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universitytasmania-my.sharepoint.com/personal/cathryn_wynnedwards_utas_edu_au/Documents/sediment trap lab proc/2016_saz18/"/>
    </mc:Choice>
  </mc:AlternateContent>
  <xr:revisionPtr revIDLastSave="25" documentId="8_{D05E128D-C092-4693-B8DB-3C0A014CBC8C}" xr6:coauthVersionLast="47" xr6:coauthVersionMax="47" xr10:uidLastSave="{D3326152-BE37-45F1-ADDE-1A39C9D3C7FD}"/>
  <bookViews>
    <workbookView xWindow="-8990" yWindow="-21710" windowWidth="38620" windowHeight="21220" tabRatio="783" firstSheet="13" activeTab="22" xr2:uid="{00000000-000D-0000-FFFF-FFFF00000000}"/>
  </bookViews>
  <sheets>
    <sheet name="sal_pH" sheetId="63219" r:id="rId1"/>
    <sheet name="PIC raw data" sheetId="63234" r:id="rId2"/>
    <sheet name="BSi_results" sheetId="63211" r:id="rId3"/>
    <sheet name="samp_list_BSi" sheetId="63224" r:id="rId4"/>
    <sheet name="BSi calibration data" sheetId="63233" r:id="rId5"/>
    <sheet name="mass_filt_1" sheetId="63217" r:id="rId6"/>
    <sheet name="silica_estimates" sheetId="63210" r:id="rId7"/>
    <sheet name="stats" sheetId="63206" r:id="rId8"/>
    <sheet name="labels" sheetId="1" r:id="rId9"/>
    <sheet name="graph_mf" sheetId="63204" r:id="rId10"/>
    <sheet name="brine" sheetId="63231" r:id="rId11"/>
    <sheet name="samp_list" sheetId="63223" r:id="rId12"/>
    <sheet name="notes" sheetId="63208" r:id="rId13"/>
    <sheet name="logs" sheetId="63225" r:id="rId14"/>
    <sheet name="depths" sheetId="63228" r:id="rId15"/>
    <sheet name="PIC" sheetId="63226" r:id="rId16"/>
    <sheet name="CHN" sheetId="63192" r:id="rId17"/>
    <sheet name="main" sheetId="10541" r:id="rId18"/>
    <sheet name="sample_archive" sheetId="63237" r:id="rId19"/>
    <sheet name="report" sheetId="63229" r:id="rId20"/>
    <sheet name="report_47" sheetId="63236" r:id="rId21"/>
    <sheet name="report_47_flagged" sheetId="63238" r:id="rId22"/>
    <sheet name="netcdf_format" sheetId="63230" r:id="rId23"/>
    <sheet name="quick plots" sheetId="63235" r:id="rId24"/>
  </sheets>
  <definedNames>
    <definedName name="_xlnm.Print_Area" localSheetId="2">BSi_results!$A$13:$G$78</definedName>
    <definedName name="_xlnm.Print_Area" localSheetId="16">CHN!$A$1:$I$67</definedName>
    <definedName name="_xlnm.Print_Area" localSheetId="9">graph_mf!$A$1:$W$68</definedName>
    <definedName name="_xlnm.Print_Area" localSheetId="8">labels!$A$1:$P$21</definedName>
    <definedName name="_xlnm.Print_Area" localSheetId="13">logs!$R$2:$AA$28</definedName>
    <definedName name="_xlnm.Print_Area" localSheetId="17">main!$A$1:$W$77</definedName>
    <definedName name="_xlnm.Print_Area" localSheetId="5">mass_filt_1!$C$85:$T$98</definedName>
    <definedName name="_xlnm.Print_Area" localSheetId="22">netcdf_format!$A$1:$AK$67</definedName>
    <definedName name="_xlnm.Print_Area" localSheetId="6">silica_estimates!$A$1:$L$95</definedName>
    <definedName name="_xlnm.Print_Titles" localSheetId="2">BSi_results!$1:$2</definedName>
    <definedName name="_xlnm.Print_Titles" localSheetId="16">CHN!$1:$2</definedName>
    <definedName name="_xlnm.Print_Titles" localSheetId="5">mass_filt_1!$1:$2</definedName>
    <definedName name="_xlnm.Print_Titles" localSheetId="22">netcdf_format!$1:$1</definedName>
    <definedName name="_xlnm.Print_Titles" localSheetId="7">stats!$1:$3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4" i="63230" l="1"/>
  <c r="L15" i="63230"/>
  <c r="L16" i="63230"/>
  <c r="L17" i="63230"/>
  <c r="L18" i="63230"/>
  <c r="L19" i="63230"/>
  <c r="L20" i="63230"/>
  <c r="L21" i="63230"/>
  <c r="L22" i="63230"/>
  <c r="L23" i="63230"/>
  <c r="L24" i="63230"/>
  <c r="L25" i="63230"/>
  <c r="L26" i="63230"/>
  <c r="L27" i="63230"/>
  <c r="L28" i="63230"/>
  <c r="L29" i="63230"/>
  <c r="L30" i="63230"/>
  <c r="L31" i="63230"/>
  <c r="L32" i="63230"/>
  <c r="L33" i="63230"/>
  <c r="L34" i="63230"/>
  <c r="L35" i="63230"/>
  <c r="L36" i="63230"/>
  <c r="L37" i="63230"/>
  <c r="L38" i="63230"/>
  <c r="L39" i="63230"/>
  <c r="L40" i="63230"/>
  <c r="L41" i="63230"/>
  <c r="L42" i="63230"/>
  <c r="L43" i="63230"/>
  <c r="L44" i="63230"/>
  <c r="L45" i="63230"/>
  <c r="L46" i="63230"/>
  <c r="L47" i="63230"/>
  <c r="L48" i="63230"/>
  <c r="L49" i="63230"/>
  <c r="L50" i="63230"/>
  <c r="L51" i="63230"/>
  <c r="L52" i="63230"/>
  <c r="L53" i="63230"/>
  <c r="L54" i="63230"/>
  <c r="L55" i="63230"/>
  <c r="L56" i="63230"/>
  <c r="L57" i="63230"/>
  <c r="L58" i="63230"/>
  <c r="L59" i="63230"/>
  <c r="L60" i="63230"/>
  <c r="L61" i="63230"/>
  <c r="L62" i="63230"/>
  <c r="L63" i="63230"/>
  <c r="L64" i="63230"/>
  <c r="L65" i="63230"/>
  <c r="L66" i="63230"/>
  <c r="L67" i="63230"/>
  <c r="L13" i="63230"/>
  <c r="K14" i="63230"/>
  <c r="K15" i="63230"/>
  <c r="K16" i="63230"/>
  <c r="K17" i="63230"/>
  <c r="K18" i="63230"/>
  <c r="K19" i="63230"/>
  <c r="K20" i="63230"/>
  <c r="K21" i="63230"/>
  <c r="K22" i="63230"/>
  <c r="K23" i="63230"/>
  <c r="K24" i="63230"/>
  <c r="K25" i="63230"/>
  <c r="K26" i="63230"/>
  <c r="K27" i="63230"/>
  <c r="K28" i="63230"/>
  <c r="K29" i="63230"/>
  <c r="K30" i="63230"/>
  <c r="K31" i="63230"/>
  <c r="K32" i="63230"/>
  <c r="K33" i="63230"/>
  <c r="K34" i="63230"/>
  <c r="K35" i="63230"/>
  <c r="K36" i="63230"/>
  <c r="K37" i="63230"/>
  <c r="K38" i="63230"/>
  <c r="K39" i="63230"/>
  <c r="K40" i="63230"/>
  <c r="K41" i="63230"/>
  <c r="K42" i="63230"/>
  <c r="K43" i="63230"/>
  <c r="K44" i="63230"/>
  <c r="K45" i="63230"/>
  <c r="K46" i="63230"/>
  <c r="K47" i="63230"/>
  <c r="K48" i="63230"/>
  <c r="K49" i="63230"/>
  <c r="K50" i="63230"/>
  <c r="K51" i="63230"/>
  <c r="K52" i="63230"/>
  <c r="K53" i="63230"/>
  <c r="K54" i="63230"/>
  <c r="K55" i="63230"/>
  <c r="K56" i="63230"/>
  <c r="K57" i="63230"/>
  <c r="K58" i="63230"/>
  <c r="K59" i="63230"/>
  <c r="K60" i="63230"/>
  <c r="K61" i="63230"/>
  <c r="K62" i="63230"/>
  <c r="K63" i="63230"/>
  <c r="K64" i="63230"/>
  <c r="K65" i="63230"/>
  <c r="K66" i="63230"/>
  <c r="K67" i="63230"/>
  <c r="K13" i="63230"/>
  <c r="J34" i="63230"/>
  <c r="J35" i="63230"/>
  <c r="J36" i="63230"/>
  <c r="J37" i="63230"/>
  <c r="J38" i="63230"/>
  <c r="J39" i="63230"/>
  <c r="J40" i="63230"/>
  <c r="J41" i="63230"/>
  <c r="J42" i="63230"/>
  <c r="J43" i="63230"/>
  <c r="J44" i="63230"/>
  <c r="J45" i="63230"/>
  <c r="J46" i="63230"/>
  <c r="J47" i="63230"/>
  <c r="J48" i="63230"/>
  <c r="J49" i="63230"/>
  <c r="J50" i="63230"/>
  <c r="J51" i="63230"/>
  <c r="J52" i="63230"/>
  <c r="J53" i="63230"/>
  <c r="J54" i="63230"/>
  <c r="J55" i="63230"/>
  <c r="J56" i="63230"/>
  <c r="J57" i="63230"/>
  <c r="J58" i="63230"/>
  <c r="J59" i="63230"/>
  <c r="J60" i="63230"/>
  <c r="J61" i="63230"/>
  <c r="J62" i="63230"/>
  <c r="J63" i="63230"/>
  <c r="J64" i="63230"/>
  <c r="J65" i="63230"/>
  <c r="J66" i="63230"/>
  <c r="J67" i="63230"/>
  <c r="J14" i="63230"/>
  <c r="J15" i="63230"/>
  <c r="J16" i="63230"/>
  <c r="J17" i="63230"/>
  <c r="J18" i="63230"/>
  <c r="J19" i="63230"/>
  <c r="J20" i="63230"/>
  <c r="J21" i="63230"/>
  <c r="J22" i="63230"/>
  <c r="J23" i="63230"/>
  <c r="J24" i="63230"/>
  <c r="J25" i="63230"/>
  <c r="J26" i="63230"/>
  <c r="J27" i="63230"/>
  <c r="J28" i="63230"/>
  <c r="J29" i="63230"/>
  <c r="J30" i="63230"/>
  <c r="J31" i="63230"/>
  <c r="J32" i="63230"/>
  <c r="J33" i="63230"/>
  <c r="J13" i="63230"/>
  <c r="AI55" i="63230"/>
  <c r="N14" i="63230"/>
  <c r="N15" i="63230"/>
  <c r="N16" i="63230"/>
  <c r="N17" i="63230"/>
  <c r="N18" i="63230"/>
  <c r="N19" i="63230"/>
  <c r="N20" i="63230"/>
  <c r="N21" i="63230"/>
  <c r="N22" i="63230"/>
  <c r="N23" i="63230"/>
  <c r="O23" i="63230" s="1"/>
  <c r="N24" i="63230"/>
  <c r="O24" i="63230" s="1"/>
  <c r="N25" i="63230"/>
  <c r="O25" i="63230" s="1"/>
  <c r="N26" i="63230"/>
  <c r="N27" i="63230"/>
  <c r="N28" i="63230"/>
  <c r="N29" i="63230"/>
  <c r="N30" i="63230"/>
  <c r="N31" i="63230"/>
  <c r="N32" i="63230"/>
  <c r="N33" i="63230"/>
  <c r="O33" i="63230" s="1"/>
  <c r="N34" i="63230"/>
  <c r="N35" i="63230"/>
  <c r="N36" i="63230"/>
  <c r="O36" i="63230" s="1"/>
  <c r="N37" i="63230"/>
  <c r="O37" i="63230" s="1"/>
  <c r="N38" i="63230"/>
  <c r="N39" i="63230"/>
  <c r="N40" i="63230"/>
  <c r="N41" i="63230"/>
  <c r="N42" i="63230"/>
  <c r="N43" i="63230"/>
  <c r="N44" i="63230"/>
  <c r="N45" i="63230"/>
  <c r="O45" i="63230" s="1"/>
  <c r="N46" i="63230"/>
  <c r="N47" i="63230"/>
  <c r="N48" i="63230"/>
  <c r="N49" i="63230"/>
  <c r="O49" i="63230" s="1"/>
  <c r="N50" i="63230"/>
  <c r="N51" i="63230"/>
  <c r="N52" i="63230"/>
  <c r="N53" i="63230"/>
  <c r="N54" i="63230"/>
  <c r="N55" i="63230"/>
  <c r="N56" i="63230"/>
  <c r="N57" i="63230"/>
  <c r="O57" i="63230" s="1"/>
  <c r="N58" i="63230"/>
  <c r="N59" i="63230"/>
  <c r="O59" i="63230" s="1"/>
  <c r="N60" i="63230"/>
  <c r="N61" i="63230"/>
  <c r="O61" i="63230" s="1"/>
  <c r="N62" i="63230"/>
  <c r="N63" i="63230"/>
  <c r="N64" i="63230"/>
  <c r="N65" i="63230"/>
  <c r="N66" i="63230"/>
  <c r="N67" i="63230"/>
  <c r="N13" i="63230"/>
  <c r="O32" i="63230"/>
  <c r="O47" i="63230"/>
  <c r="O44" i="63230"/>
  <c r="O20" i="63230"/>
  <c r="O48" i="63230"/>
  <c r="O60" i="63230"/>
  <c r="J46" i="63237"/>
  <c r="E13" i="63231"/>
  <c r="H7" i="63231"/>
  <c r="J10" i="63237"/>
  <c r="J9" i="63237"/>
  <c r="J7" i="63237"/>
  <c r="J6" i="63237"/>
  <c r="J5" i="63237"/>
  <c r="J4" i="63237"/>
  <c r="J3" i="63237"/>
  <c r="J8" i="63237"/>
  <c r="J2" i="63237"/>
  <c r="AK13" i="63230"/>
  <c r="AK67" i="63230"/>
  <c r="AH67" i="63230"/>
  <c r="AE67" i="63230"/>
  <c r="AB67" i="63230"/>
  <c r="Y67" i="63230"/>
  <c r="V67" i="63230"/>
  <c r="S67" i="63230"/>
  <c r="P67" i="63230"/>
  <c r="I67" i="63230"/>
  <c r="H67" i="63230"/>
  <c r="D67" i="63230"/>
  <c r="A67" i="63230"/>
  <c r="AK66" i="63230"/>
  <c r="AH66" i="63230"/>
  <c r="AE66" i="63230"/>
  <c r="AB66" i="63230"/>
  <c r="Y66" i="63230"/>
  <c r="V66" i="63230"/>
  <c r="S66" i="63230"/>
  <c r="P66" i="63230"/>
  <c r="I66" i="63230"/>
  <c r="H66" i="63230"/>
  <c r="D66" i="63230"/>
  <c r="A66" i="63230"/>
  <c r="AK65" i="63230"/>
  <c r="AH65" i="63230"/>
  <c r="AE65" i="63230"/>
  <c r="AB65" i="63230"/>
  <c r="Y65" i="63230"/>
  <c r="V65" i="63230"/>
  <c r="S65" i="63230"/>
  <c r="P65" i="63230"/>
  <c r="I65" i="63230"/>
  <c r="H65" i="63230"/>
  <c r="D65" i="63230"/>
  <c r="A65" i="63230"/>
  <c r="AK64" i="63230"/>
  <c r="AH64" i="63230"/>
  <c r="AE64" i="63230"/>
  <c r="AB64" i="63230"/>
  <c r="Y64" i="63230"/>
  <c r="V64" i="63230"/>
  <c r="S64" i="63230"/>
  <c r="P64" i="63230"/>
  <c r="I64" i="63230"/>
  <c r="H64" i="63230"/>
  <c r="D64" i="63230"/>
  <c r="A64" i="63230"/>
  <c r="AK63" i="63230"/>
  <c r="AH63" i="63230"/>
  <c r="AE63" i="63230"/>
  <c r="AB63" i="63230"/>
  <c r="Y63" i="63230"/>
  <c r="V63" i="63230"/>
  <c r="S63" i="63230"/>
  <c r="P63" i="63230"/>
  <c r="I63" i="63230"/>
  <c r="H63" i="63230"/>
  <c r="D63" i="63230"/>
  <c r="A63" i="63230"/>
  <c r="AK62" i="63230"/>
  <c r="AH62" i="63230"/>
  <c r="AE62" i="63230"/>
  <c r="AB62" i="63230"/>
  <c r="Y62" i="63230"/>
  <c r="V62" i="63230"/>
  <c r="S62" i="63230"/>
  <c r="P62" i="63230"/>
  <c r="I62" i="63230"/>
  <c r="H62" i="63230"/>
  <c r="D62" i="63230"/>
  <c r="A62" i="63230"/>
  <c r="AK61" i="63230"/>
  <c r="AH61" i="63230"/>
  <c r="AE61" i="63230"/>
  <c r="AB61" i="63230"/>
  <c r="Y61" i="63230"/>
  <c r="V61" i="63230"/>
  <c r="S61" i="63230"/>
  <c r="P61" i="63230"/>
  <c r="I61" i="63230"/>
  <c r="H61" i="63230"/>
  <c r="D61" i="63230"/>
  <c r="A61" i="63230"/>
  <c r="AK60" i="63230"/>
  <c r="AH60" i="63230"/>
  <c r="AE60" i="63230"/>
  <c r="AB60" i="63230"/>
  <c r="Y60" i="63230"/>
  <c r="V60" i="63230"/>
  <c r="S60" i="63230"/>
  <c r="P60" i="63230"/>
  <c r="I60" i="63230"/>
  <c r="H60" i="63230"/>
  <c r="D60" i="63230"/>
  <c r="A60" i="63230"/>
  <c r="AK59" i="63230"/>
  <c r="AH59" i="63230"/>
  <c r="AE59" i="63230"/>
  <c r="AB59" i="63230"/>
  <c r="Y59" i="63230"/>
  <c r="V59" i="63230"/>
  <c r="S59" i="63230"/>
  <c r="P59" i="63230"/>
  <c r="I59" i="63230"/>
  <c r="H59" i="63230"/>
  <c r="D59" i="63230"/>
  <c r="A59" i="63230"/>
  <c r="AK58" i="63230"/>
  <c r="AH58" i="63230"/>
  <c r="AE58" i="63230"/>
  <c r="AB58" i="63230"/>
  <c r="Y58" i="63230"/>
  <c r="V58" i="63230"/>
  <c r="S58" i="63230"/>
  <c r="P58" i="63230"/>
  <c r="I58" i="63230"/>
  <c r="H58" i="63230"/>
  <c r="D58" i="63230"/>
  <c r="A58" i="63230"/>
  <c r="AK57" i="63230"/>
  <c r="AH57" i="63230"/>
  <c r="AE57" i="63230"/>
  <c r="AB57" i="63230"/>
  <c r="Y57" i="63230"/>
  <c r="V57" i="63230"/>
  <c r="S57" i="63230"/>
  <c r="P57" i="63230"/>
  <c r="I57" i="63230"/>
  <c r="H57" i="63230"/>
  <c r="D57" i="63230"/>
  <c r="A57" i="63230"/>
  <c r="AK56" i="63230"/>
  <c r="AH56" i="63230"/>
  <c r="AE56" i="63230"/>
  <c r="AB56" i="63230"/>
  <c r="Y56" i="63230"/>
  <c r="V56" i="63230"/>
  <c r="S56" i="63230"/>
  <c r="P56" i="63230"/>
  <c r="I56" i="63230"/>
  <c r="H56" i="63230"/>
  <c r="D56" i="63230"/>
  <c r="A56" i="63230"/>
  <c r="AK55" i="63230"/>
  <c r="AH55" i="63230"/>
  <c r="AE55" i="63230"/>
  <c r="AB55" i="63230"/>
  <c r="Y55" i="63230"/>
  <c r="V55" i="63230"/>
  <c r="S55" i="63230"/>
  <c r="P55" i="63230"/>
  <c r="I55" i="63230"/>
  <c r="H55" i="63230"/>
  <c r="D55" i="63230"/>
  <c r="A55" i="63230"/>
  <c r="AK54" i="63230"/>
  <c r="AH54" i="63230"/>
  <c r="AE54" i="63230"/>
  <c r="AB54" i="63230"/>
  <c r="Y54" i="63230"/>
  <c r="V54" i="63230"/>
  <c r="S54" i="63230"/>
  <c r="P54" i="63230"/>
  <c r="I54" i="63230"/>
  <c r="H54" i="63230"/>
  <c r="D54" i="63230"/>
  <c r="A54" i="63230"/>
  <c r="AK53" i="63230"/>
  <c r="AH53" i="63230"/>
  <c r="AE53" i="63230"/>
  <c r="AB53" i="63230"/>
  <c r="Y53" i="63230"/>
  <c r="V53" i="63230"/>
  <c r="S53" i="63230"/>
  <c r="P53" i="63230"/>
  <c r="I53" i="63230"/>
  <c r="H53" i="63230"/>
  <c r="D53" i="63230"/>
  <c r="A53" i="63230"/>
  <c r="AK52" i="63230"/>
  <c r="AH52" i="63230"/>
  <c r="AE52" i="63230"/>
  <c r="AB52" i="63230"/>
  <c r="Y52" i="63230"/>
  <c r="V52" i="63230"/>
  <c r="S52" i="63230"/>
  <c r="P52" i="63230"/>
  <c r="I52" i="63230"/>
  <c r="H52" i="63230"/>
  <c r="D52" i="63230"/>
  <c r="A52" i="63230"/>
  <c r="AK51" i="63230"/>
  <c r="AH51" i="63230"/>
  <c r="AE51" i="63230"/>
  <c r="AB51" i="63230"/>
  <c r="Y51" i="63230"/>
  <c r="V51" i="63230"/>
  <c r="S51" i="63230"/>
  <c r="P51" i="63230"/>
  <c r="I51" i="63230"/>
  <c r="H51" i="63230"/>
  <c r="D51" i="63230"/>
  <c r="A51" i="63230"/>
  <c r="AK50" i="63230"/>
  <c r="AH50" i="63230"/>
  <c r="AE50" i="63230"/>
  <c r="AB50" i="63230"/>
  <c r="Y50" i="63230"/>
  <c r="V50" i="63230"/>
  <c r="S50" i="63230"/>
  <c r="P50" i="63230"/>
  <c r="I50" i="63230"/>
  <c r="H50" i="63230"/>
  <c r="D50" i="63230"/>
  <c r="A50" i="63230"/>
  <c r="AK49" i="63230"/>
  <c r="AH49" i="63230"/>
  <c r="AE49" i="63230"/>
  <c r="AB49" i="63230"/>
  <c r="Y49" i="63230"/>
  <c r="V49" i="63230"/>
  <c r="S49" i="63230"/>
  <c r="P49" i="63230"/>
  <c r="I49" i="63230"/>
  <c r="H49" i="63230"/>
  <c r="D49" i="63230"/>
  <c r="A49" i="63230"/>
  <c r="AK48" i="63230"/>
  <c r="AH48" i="63230"/>
  <c r="AE48" i="63230"/>
  <c r="AB48" i="63230"/>
  <c r="Y48" i="63230"/>
  <c r="V48" i="63230"/>
  <c r="S48" i="63230"/>
  <c r="P48" i="63230"/>
  <c r="I48" i="63230"/>
  <c r="H48" i="63230"/>
  <c r="D48" i="63230"/>
  <c r="A48" i="63230"/>
  <c r="AK47" i="63230"/>
  <c r="AH47" i="63230"/>
  <c r="AE47" i="63230"/>
  <c r="AB47" i="63230"/>
  <c r="Y47" i="63230"/>
  <c r="V47" i="63230"/>
  <c r="S47" i="63230"/>
  <c r="P47" i="63230"/>
  <c r="I47" i="63230"/>
  <c r="H47" i="63230"/>
  <c r="D47" i="63230"/>
  <c r="A47" i="63230"/>
  <c r="AK46" i="63230"/>
  <c r="AH46" i="63230"/>
  <c r="AE46" i="63230"/>
  <c r="AB46" i="63230"/>
  <c r="Y46" i="63230"/>
  <c r="V46" i="63230"/>
  <c r="S46" i="63230"/>
  <c r="P46" i="63230"/>
  <c r="I46" i="63230"/>
  <c r="H46" i="63230"/>
  <c r="D46" i="63230"/>
  <c r="A46" i="63230"/>
  <c r="AK45" i="63230"/>
  <c r="AH45" i="63230"/>
  <c r="AE45" i="63230"/>
  <c r="AB45" i="63230"/>
  <c r="Y45" i="63230"/>
  <c r="V45" i="63230"/>
  <c r="S45" i="63230"/>
  <c r="P45" i="63230"/>
  <c r="I45" i="63230"/>
  <c r="H45" i="63230"/>
  <c r="D45" i="63230"/>
  <c r="A45" i="63230"/>
  <c r="AK44" i="63230"/>
  <c r="AH44" i="63230"/>
  <c r="AE44" i="63230"/>
  <c r="AB44" i="63230"/>
  <c r="Y44" i="63230"/>
  <c r="V44" i="63230"/>
  <c r="S44" i="63230"/>
  <c r="P44" i="63230"/>
  <c r="I44" i="63230"/>
  <c r="H44" i="63230"/>
  <c r="D44" i="63230"/>
  <c r="A44" i="63230"/>
  <c r="AK43" i="63230"/>
  <c r="AH43" i="63230"/>
  <c r="AE43" i="63230"/>
  <c r="AB43" i="63230"/>
  <c r="Y43" i="63230"/>
  <c r="V43" i="63230"/>
  <c r="S43" i="63230"/>
  <c r="P43" i="63230"/>
  <c r="I43" i="63230"/>
  <c r="H43" i="63230"/>
  <c r="D43" i="63230"/>
  <c r="A43" i="63230"/>
  <c r="AK42" i="63230"/>
  <c r="AH42" i="63230"/>
  <c r="AE42" i="63230"/>
  <c r="AB42" i="63230"/>
  <c r="Y42" i="63230"/>
  <c r="V42" i="63230"/>
  <c r="S42" i="63230"/>
  <c r="P42" i="63230"/>
  <c r="I42" i="63230"/>
  <c r="H42" i="63230"/>
  <c r="D42" i="63230"/>
  <c r="A42" i="63230"/>
  <c r="AK41" i="63230"/>
  <c r="AH41" i="63230"/>
  <c r="AE41" i="63230"/>
  <c r="AB41" i="63230"/>
  <c r="Y41" i="63230"/>
  <c r="V41" i="63230"/>
  <c r="S41" i="63230"/>
  <c r="P41" i="63230"/>
  <c r="I41" i="63230"/>
  <c r="H41" i="63230"/>
  <c r="D41" i="63230"/>
  <c r="A41" i="63230"/>
  <c r="AK40" i="63230"/>
  <c r="AH40" i="63230"/>
  <c r="AE40" i="63230"/>
  <c r="AB40" i="63230"/>
  <c r="Y40" i="63230"/>
  <c r="V40" i="63230"/>
  <c r="S40" i="63230"/>
  <c r="P40" i="63230"/>
  <c r="I40" i="63230"/>
  <c r="H40" i="63230"/>
  <c r="D40" i="63230"/>
  <c r="A40" i="63230"/>
  <c r="AK39" i="63230"/>
  <c r="AH39" i="63230"/>
  <c r="AE39" i="63230"/>
  <c r="AB39" i="63230"/>
  <c r="Y39" i="63230"/>
  <c r="V39" i="63230"/>
  <c r="S39" i="63230"/>
  <c r="P39" i="63230"/>
  <c r="I39" i="63230"/>
  <c r="H39" i="63230"/>
  <c r="D39" i="63230"/>
  <c r="A39" i="63230"/>
  <c r="AK38" i="63230"/>
  <c r="AH38" i="63230"/>
  <c r="AE38" i="63230"/>
  <c r="AB38" i="63230"/>
  <c r="Y38" i="63230"/>
  <c r="V38" i="63230"/>
  <c r="S38" i="63230"/>
  <c r="P38" i="63230"/>
  <c r="I38" i="63230"/>
  <c r="H38" i="63230"/>
  <c r="D38" i="63230"/>
  <c r="A38" i="63230"/>
  <c r="AK37" i="63230"/>
  <c r="AH37" i="63230"/>
  <c r="AE37" i="63230"/>
  <c r="AB37" i="63230"/>
  <c r="Y37" i="63230"/>
  <c r="V37" i="63230"/>
  <c r="S37" i="63230"/>
  <c r="P37" i="63230"/>
  <c r="I37" i="63230"/>
  <c r="H37" i="63230"/>
  <c r="D37" i="63230"/>
  <c r="A37" i="63230"/>
  <c r="AK36" i="63230"/>
  <c r="AH36" i="63230"/>
  <c r="AE36" i="63230"/>
  <c r="AB36" i="63230"/>
  <c r="Y36" i="63230"/>
  <c r="V36" i="63230"/>
  <c r="S36" i="63230"/>
  <c r="P36" i="63230"/>
  <c r="I36" i="63230"/>
  <c r="H36" i="63230"/>
  <c r="D36" i="63230"/>
  <c r="A36" i="63230"/>
  <c r="AK35" i="63230"/>
  <c r="AH35" i="63230"/>
  <c r="AE35" i="63230"/>
  <c r="AB35" i="63230"/>
  <c r="Y35" i="63230"/>
  <c r="V35" i="63230"/>
  <c r="S35" i="63230"/>
  <c r="P35" i="63230"/>
  <c r="I35" i="63230"/>
  <c r="H35" i="63230"/>
  <c r="D35" i="63230"/>
  <c r="A35" i="63230"/>
  <c r="AK34" i="63230"/>
  <c r="AH34" i="63230"/>
  <c r="AE34" i="63230"/>
  <c r="AB34" i="63230"/>
  <c r="Y34" i="63230"/>
  <c r="V34" i="63230"/>
  <c r="S34" i="63230"/>
  <c r="P34" i="63230"/>
  <c r="I34" i="63230"/>
  <c r="H34" i="63230"/>
  <c r="D34" i="63230"/>
  <c r="A34" i="63230"/>
  <c r="AK33" i="63230"/>
  <c r="AH33" i="63230"/>
  <c r="AE33" i="63230"/>
  <c r="AB33" i="63230"/>
  <c r="Y33" i="63230"/>
  <c r="V33" i="63230"/>
  <c r="S33" i="63230"/>
  <c r="P33" i="63230"/>
  <c r="I33" i="63230"/>
  <c r="H33" i="63230"/>
  <c r="D33" i="63230"/>
  <c r="A33" i="63230"/>
  <c r="AK32" i="63230"/>
  <c r="AH32" i="63230"/>
  <c r="AE32" i="63230"/>
  <c r="AB32" i="63230"/>
  <c r="Y32" i="63230"/>
  <c r="V32" i="63230"/>
  <c r="S32" i="63230"/>
  <c r="P32" i="63230"/>
  <c r="I32" i="63230"/>
  <c r="H32" i="63230"/>
  <c r="D32" i="63230"/>
  <c r="A32" i="63230"/>
  <c r="AK31" i="63230"/>
  <c r="AH31" i="63230"/>
  <c r="AE31" i="63230"/>
  <c r="AB31" i="63230"/>
  <c r="Y31" i="63230"/>
  <c r="V31" i="63230"/>
  <c r="S31" i="63230"/>
  <c r="P31" i="63230"/>
  <c r="I31" i="63230"/>
  <c r="H31" i="63230"/>
  <c r="D31" i="63230"/>
  <c r="A31" i="63230"/>
  <c r="AK30" i="63230"/>
  <c r="AH30" i="63230"/>
  <c r="AE30" i="63230"/>
  <c r="AB30" i="63230"/>
  <c r="Y30" i="63230"/>
  <c r="V30" i="63230"/>
  <c r="S30" i="63230"/>
  <c r="P30" i="63230"/>
  <c r="I30" i="63230"/>
  <c r="H30" i="63230"/>
  <c r="D30" i="63230"/>
  <c r="A30" i="63230"/>
  <c r="AK29" i="63230"/>
  <c r="AH29" i="63230"/>
  <c r="AE29" i="63230"/>
  <c r="AB29" i="63230"/>
  <c r="Y29" i="63230"/>
  <c r="V29" i="63230"/>
  <c r="S29" i="63230"/>
  <c r="P29" i="63230"/>
  <c r="I29" i="63230"/>
  <c r="H29" i="63230"/>
  <c r="D29" i="63230"/>
  <c r="A29" i="63230"/>
  <c r="AK28" i="63230"/>
  <c r="AH28" i="63230"/>
  <c r="AE28" i="63230"/>
  <c r="AB28" i="63230"/>
  <c r="Y28" i="63230"/>
  <c r="V28" i="63230"/>
  <c r="S28" i="63230"/>
  <c r="P28" i="63230"/>
  <c r="I28" i="63230"/>
  <c r="H28" i="63230"/>
  <c r="D28" i="63230"/>
  <c r="A28" i="63230"/>
  <c r="AK27" i="63230"/>
  <c r="AH27" i="63230"/>
  <c r="AE27" i="63230"/>
  <c r="AB27" i="63230"/>
  <c r="Y27" i="63230"/>
  <c r="V27" i="63230"/>
  <c r="S27" i="63230"/>
  <c r="P27" i="63230"/>
  <c r="I27" i="63230"/>
  <c r="H27" i="63230"/>
  <c r="D27" i="63230"/>
  <c r="A27" i="63230"/>
  <c r="AK26" i="63230"/>
  <c r="AH26" i="63230"/>
  <c r="AE26" i="63230"/>
  <c r="AB26" i="63230"/>
  <c r="Y26" i="63230"/>
  <c r="V26" i="63230"/>
  <c r="S26" i="63230"/>
  <c r="P26" i="63230"/>
  <c r="I26" i="63230"/>
  <c r="H26" i="63230"/>
  <c r="D26" i="63230"/>
  <c r="A26" i="63230"/>
  <c r="AK25" i="63230"/>
  <c r="AH25" i="63230"/>
  <c r="AE25" i="63230"/>
  <c r="AB25" i="63230"/>
  <c r="Y25" i="63230"/>
  <c r="V25" i="63230"/>
  <c r="S25" i="63230"/>
  <c r="P25" i="63230"/>
  <c r="I25" i="63230"/>
  <c r="H25" i="63230"/>
  <c r="D25" i="63230"/>
  <c r="A25" i="63230"/>
  <c r="AK24" i="63230"/>
  <c r="AH24" i="63230"/>
  <c r="AE24" i="63230"/>
  <c r="AB24" i="63230"/>
  <c r="Y24" i="63230"/>
  <c r="V24" i="63230"/>
  <c r="S24" i="63230"/>
  <c r="P24" i="63230"/>
  <c r="I24" i="63230"/>
  <c r="H24" i="63230"/>
  <c r="D24" i="63230"/>
  <c r="A24" i="63230"/>
  <c r="AK23" i="63230"/>
  <c r="AH23" i="63230"/>
  <c r="AE23" i="63230"/>
  <c r="AB23" i="63230"/>
  <c r="Y23" i="63230"/>
  <c r="V23" i="63230"/>
  <c r="S23" i="63230"/>
  <c r="P23" i="63230"/>
  <c r="I23" i="63230"/>
  <c r="H23" i="63230"/>
  <c r="D23" i="63230"/>
  <c r="A23" i="63230"/>
  <c r="AK22" i="63230"/>
  <c r="AH22" i="63230"/>
  <c r="AE22" i="63230"/>
  <c r="AB22" i="63230"/>
  <c r="Y22" i="63230"/>
  <c r="V22" i="63230"/>
  <c r="S22" i="63230"/>
  <c r="P22" i="63230"/>
  <c r="I22" i="63230"/>
  <c r="H22" i="63230"/>
  <c r="D22" i="63230"/>
  <c r="A22" i="63230"/>
  <c r="AK21" i="63230"/>
  <c r="AH21" i="63230"/>
  <c r="AE21" i="63230"/>
  <c r="AB21" i="63230"/>
  <c r="Y21" i="63230"/>
  <c r="V21" i="63230"/>
  <c r="S21" i="63230"/>
  <c r="P21" i="63230"/>
  <c r="I21" i="63230"/>
  <c r="H21" i="63230"/>
  <c r="D21" i="63230"/>
  <c r="A21" i="63230"/>
  <c r="AK20" i="63230"/>
  <c r="AH20" i="63230"/>
  <c r="AE20" i="63230"/>
  <c r="AB20" i="63230"/>
  <c r="Y20" i="63230"/>
  <c r="V20" i="63230"/>
  <c r="S20" i="63230"/>
  <c r="P20" i="63230"/>
  <c r="I20" i="63230"/>
  <c r="H20" i="63230"/>
  <c r="D20" i="63230"/>
  <c r="A20" i="63230"/>
  <c r="AK19" i="63230"/>
  <c r="AH19" i="63230"/>
  <c r="AE19" i="63230"/>
  <c r="AB19" i="63230"/>
  <c r="Y19" i="63230"/>
  <c r="V19" i="63230"/>
  <c r="S19" i="63230"/>
  <c r="P19" i="63230"/>
  <c r="I19" i="63230"/>
  <c r="H19" i="63230"/>
  <c r="D19" i="63230"/>
  <c r="A19" i="63230"/>
  <c r="AK18" i="63230"/>
  <c r="AH18" i="63230"/>
  <c r="AE18" i="63230"/>
  <c r="AB18" i="63230"/>
  <c r="Y18" i="63230"/>
  <c r="V18" i="63230"/>
  <c r="S18" i="63230"/>
  <c r="P18" i="63230"/>
  <c r="I18" i="63230"/>
  <c r="H18" i="63230"/>
  <c r="D18" i="63230"/>
  <c r="A18" i="63230"/>
  <c r="AK17" i="63230"/>
  <c r="AH17" i="63230"/>
  <c r="AE17" i="63230"/>
  <c r="AB17" i="63230"/>
  <c r="Y17" i="63230"/>
  <c r="V17" i="63230"/>
  <c r="S17" i="63230"/>
  <c r="P17" i="63230"/>
  <c r="I17" i="63230"/>
  <c r="H17" i="63230"/>
  <c r="D17" i="63230"/>
  <c r="A17" i="63230"/>
  <c r="AK16" i="63230"/>
  <c r="AH16" i="63230"/>
  <c r="AE16" i="63230"/>
  <c r="AB16" i="63230"/>
  <c r="Y16" i="63230"/>
  <c r="V16" i="63230"/>
  <c r="S16" i="63230"/>
  <c r="P16" i="63230"/>
  <c r="I16" i="63230"/>
  <c r="H16" i="63230"/>
  <c r="D16" i="63230"/>
  <c r="A16" i="63230"/>
  <c r="AK15" i="63230"/>
  <c r="AH15" i="63230"/>
  <c r="AE15" i="63230"/>
  <c r="AB15" i="63230"/>
  <c r="Y15" i="63230"/>
  <c r="V15" i="63230"/>
  <c r="S15" i="63230"/>
  <c r="P15" i="63230"/>
  <c r="I15" i="63230"/>
  <c r="H15" i="63230"/>
  <c r="D15" i="63230"/>
  <c r="A15" i="63230"/>
  <c r="AK14" i="63230"/>
  <c r="AH14" i="63230"/>
  <c r="AE14" i="63230"/>
  <c r="AB14" i="63230"/>
  <c r="Y14" i="63230"/>
  <c r="V14" i="63230"/>
  <c r="S14" i="63230"/>
  <c r="P14" i="63230"/>
  <c r="I14" i="63230"/>
  <c r="H14" i="63230"/>
  <c r="D14" i="63230"/>
  <c r="A14" i="63230"/>
  <c r="AH13" i="63230"/>
  <c r="AE13" i="63230"/>
  <c r="AB13" i="63230"/>
  <c r="Y13" i="63230"/>
  <c r="V13" i="63230"/>
  <c r="S13" i="63230"/>
  <c r="P13" i="63230"/>
  <c r="I13" i="63230"/>
  <c r="H13" i="63230"/>
  <c r="D13" i="63230"/>
  <c r="A13" i="63230"/>
  <c r="AF60" i="63236"/>
  <c r="E60" i="63236"/>
  <c r="C60" i="63236"/>
  <c r="B60" i="63236"/>
  <c r="A60" i="63236"/>
  <c r="AF59" i="63236"/>
  <c r="E59" i="63236"/>
  <c r="C59" i="63236"/>
  <c r="B59" i="63236"/>
  <c r="A59" i="63236"/>
  <c r="AF58" i="63236"/>
  <c r="E58" i="63236"/>
  <c r="C58" i="63236"/>
  <c r="B58" i="63236"/>
  <c r="A58" i="63236"/>
  <c r="AF57" i="63236"/>
  <c r="E57" i="63236"/>
  <c r="C57" i="63236"/>
  <c r="B57" i="63236"/>
  <c r="A57" i="63236"/>
  <c r="AF56" i="63236"/>
  <c r="E56" i="63236"/>
  <c r="C56" i="63236"/>
  <c r="B56" i="63236"/>
  <c r="A56" i="63236"/>
  <c r="AF55" i="63236"/>
  <c r="E55" i="63236"/>
  <c r="C55" i="63236"/>
  <c r="B55" i="63236"/>
  <c r="A55" i="63236"/>
  <c r="AF54" i="63236"/>
  <c r="E54" i="63236"/>
  <c r="C54" i="63236"/>
  <c r="B54" i="63236"/>
  <c r="A54" i="63236"/>
  <c r="AF53" i="63236"/>
  <c r="E53" i="63236"/>
  <c r="C53" i="63236"/>
  <c r="B53" i="63236"/>
  <c r="A53" i="63236"/>
  <c r="AF52" i="63236"/>
  <c r="E52" i="63236"/>
  <c r="C52" i="63236"/>
  <c r="B52" i="63236"/>
  <c r="A52" i="63236"/>
  <c r="AF51" i="63236"/>
  <c r="E51" i="63236"/>
  <c r="C51" i="63236"/>
  <c r="B51" i="63236"/>
  <c r="A51" i="63236"/>
  <c r="AF50" i="63236"/>
  <c r="E50" i="63236"/>
  <c r="C50" i="63236"/>
  <c r="B50" i="63236"/>
  <c r="A50" i="63236"/>
  <c r="AF49" i="63236"/>
  <c r="E49" i="63236"/>
  <c r="C49" i="63236"/>
  <c r="B49" i="63236"/>
  <c r="A49" i="63236"/>
  <c r="AF48" i="63236"/>
  <c r="E48" i="63236"/>
  <c r="C48" i="63236"/>
  <c r="B48" i="63236"/>
  <c r="A48" i="63236"/>
  <c r="AN47" i="63236"/>
  <c r="AM47" i="63236"/>
  <c r="AL47" i="63236"/>
  <c r="AK47" i="63236"/>
  <c r="AJ47" i="63236"/>
  <c r="AI47" i="63236"/>
  <c r="AH47" i="63236"/>
  <c r="AF47" i="63236"/>
  <c r="AE47" i="63236"/>
  <c r="AD47" i="63236"/>
  <c r="AC47" i="63236"/>
  <c r="AB47" i="63236"/>
  <c r="AA47" i="63236"/>
  <c r="Z47" i="63236"/>
  <c r="U47" i="63236"/>
  <c r="T47" i="63236"/>
  <c r="S47" i="63236"/>
  <c r="R47" i="63236"/>
  <c r="Q47" i="63236"/>
  <c r="P47" i="63236"/>
  <c r="E47" i="63236"/>
  <c r="C47" i="63236"/>
  <c r="B47" i="63236"/>
  <c r="A47" i="63236"/>
  <c r="AN46" i="63236"/>
  <c r="AM46" i="63236"/>
  <c r="AL46" i="63236"/>
  <c r="AK46" i="63236"/>
  <c r="AJ46" i="63236"/>
  <c r="AI46" i="63236"/>
  <c r="AH46" i="63236"/>
  <c r="AF46" i="63236"/>
  <c r="AE46" i="63236"/>
  <c r="AD46" i="63236"/>
  <c r="AC46" i="63236"/>
  <c r="AB46" i="63236"/>
  <c r="AA46" i="63236"/>
  <c r="Z46" i="63236"/>
  <c r="U46" i="63236"/>
  <c r="T46" i="63236"/>
  <c r="S46" i="63236"/>
  <c r="R46" i="63236"/>
  <c r="Q46" i="63236"/>
  <c r="P46" i="63236"/>
  <c r="E46" i="63236"/>
  <c r="C46" i="63236"/>
  <c r="B46" i="63236"/>
  <c r="A46" i="63236"/>
  <c r="AN45" i="63236"/>
  <c r="AM45" i="63236"/>
  <c r="AL45" i="63236"/>
  <c r="AK45" i="63236"/>
  <c r="AJ45" i="63236"/>
  <c r="AI45" i="63236"/>
  <c r="AH45" i="63236"/>
  <c r="AF45" i="63236"/>
  <c r="AE45" i="63236"/>
  <c r="AD45" i="63236"/>
  <c r="AC45" i="63236"/>
  <c r="AB45" i="63236"/>
  <c r="AA45" i="63236"/>
  <c r="Z45" i="63236"/>
  <c r="U45" i="63236"/>
  <c r="T45" i="63236"/>
  <c r="S45" i="63236"/>
  <c r="R45" i="63236"/>
  <c r="Q45" i="63236"/>
  <c r="P45" i="63236"/>
  <c r="E45" i="63236"/>
  <c r="C45" i="63236"/>
  <c r="B45" i="63236"/>
  <c r="A45" i="63236"/>
  <c r="AF44" i="63236"/>
  <c r="E44" i="63236"/>
  <c r="C44" i="63236"/>
  <c r="B44" i="63236"/>
  <c r="A44" i="63236"/>
  <c r="AF43" i="63236"/>
  <c r="E43" i="63236"/>
  <c r="C43" i="63236"/>
  <c r="B43" i="63236"/>
  <c r="A43" i="63236"/>
  <c r="AF42" i="63236"/>
  <c r="E42" i="63236"/>
  <c r="C42" i="63236"/>
  <c r="B42" i="63236"/>
  <c r="A42" i="63236"/>
  <c r="AF41" i="63236"/>
  <c r="E41" i="63236"/>
  <c r="C41" i="63236"/>
  <c r="B41" i="63236"/>
  <c r="A41" i="63236"/>
  <c r="AF40" i="63236"/>
  <c r="E40" i="63236"/>
  <c r="C40" i="63236"/>
  <c r="B40" i="63236"/>
  <c r="A40" i="63236"/>
  <c r="AF39" i="63236"/>
  <c r="E39" i="63236"/>
  <c r="C39" i="63236"/>
  <c r="B39" i="63236"/>
  <c r="A39" i="63236"/>
  <c r="AF38" i="63236"/>
  <c r="E38" i="63236"/>
  <c r="C38" i="63236"/>
  <c r="B38" i="63236"/>
  <c r="A38" i="63236"/>
  <c r="AF37" i="63236"/>
  <c r="E37" i="63236"/>
  <c r="C37" i="63236"/>
  <c r="B37" i="63236"/>
  <c r="A37" i="63236"/>
  <c r="AF36" i="63236"/>
  <c r="E36" i="63236"/>
  <c r="C36" i="63236"/>
  <c r="B36" i="63236"/>
  <c r="A36" i="63236"/>
  <c r="AF35" i="63236"/>
  <c r="E35" i="63236"/>
  <c r="C35" i="63236"/>
  <c r="B35" i="63236"/>
  <c r="A35" i="63236"/>
  <c r="AF34" i="63236"/>
  <c r="E34" i="63236"/>
  <c r="C34" i="63236"/>
  <c r="B34" i="63236"/>
  <c r="A34" i="63236"/>
  <c r="AF33" i="63236"/>
  <c r="E33" i="63236"/>
  <c r="C33" i="63236"/>
  <c r="B33" i="63236"/>
  <c r="A33" i="63236"/>
  <c r="AF32" i="63236"/>
  <c r="E32" i="63236"/>
  <c r="C32" i="63236"/>
  <c r="B32" i="63236"/>
  <c r="A32" i="63236"/>
  <c r="AF31" i="63236"/>
  <c r="E31" i="63236"/>
  <c r="C31" i="63236"/>
  <c r="B31" i="63236"/>
  <c r="A31" i="63236"/>
  <c r="AF30" i="63236"/>
  <c r="E30" i="63236"/>
  <c r="C30" i="63236"/>
  <c r="B30" i="63236"/>
  <c r="A30" i="63236"/>
  <c r="AF29" i="63236"/>
  <c r="E29" i="63236"/>
  <c r="C29" i="63236"/>
  <c r="B29" i="63236"/>
  <c r="A29" i="63236"/>
  <c r="AF28" i="63236"/>
  <c r="E28" i="63236"/>
  <c r="C28" i="63236"/>
  <c r="B28" i="63236"/>
  <c r="A28" i="63236"/>
  <c r="AF27" i="63236"/>
  <c r="E27" i="63236"/>
  <c r="C27" i="63236"/>
  <c r="B27" i="63236"/>
  <c r="A27" i="63236"/>
  <c r="AN26" i="63236"/>
  <c r="AM26" i="63236"/>
  <c r="AL26" i="63236"/>
  <c r="AK26" i="63236"/>
  <c r="AJ26" i="63236"/>
  <c r="AI26" i="63236"/>
  <c r="AH26" i="63236"/>
  <c r="AF26" i="63236"/>
  <c r="AE26" i="63236"/>
  <c r="AD26" i="63236"/>
  <c r="AC26" i="63236"/>
  <c r="AB26" i="63236"/>
  <c r="AA26" i="63236"/>
  <c r="Z26" i="63236"/>
  <c r="U26" i="63236"/>
  <c r="T26" i="63236"/>
  <c r="S26" i="63236"/>
  <c r="R26" i="63236"/>
  <c r="Q26" i="63236"/>
  <c r="P26" i="63236"/>
  <c r="E26" i="63236"/>
  <c r="C26" i="63236"/>
  <c r="B26" i="63236"/>
  <c r="A26" i="63236"/>
  <c r="AN25" i="63236"/>
  <c r="AM25" i="63236"/>
  <c r="AL25" i="63236"/>
  <c r="AK25" i="63236"/>
  <c r="AJ25" i="63236"/>
  <c r="AI25" i="63236"/>
  <c r="AH25" i="63236"/>
  <c r="AF25" i="63236"/>
  <c r="AE25" i="63236"/>
  <c r="AD25" i="63236"/>
  <c r="AC25" i="63236"/>
  <c r="AB25" i="63236"/>
  <c r="AA25" i="63236"/>
  <c r="Z25" i="63236"/>
  <c r="U25" i="63236"/>
  <c r="T25" i="63236"/>
  <c r="S25" i="63236"/>
  <c r="R25" i="63236"/>
  <c r="Q25" i="63236"/>
  <c r="P25" i="63236"/>
  <c r="E25" i="63236"/>
  <c r="C25" i="63236"/>
  <c r="B25" i="63236"/>
  <c r="A25" i="63236"/>
  <c r="AN24" i="63236"/>
  <c r="AM24" i="63236"/>
  <c r="AL24" i="63236"/>
  <c r="AK24" i="63236"/>
  <c r="AJ24" i="63236"/>
  <c r="AI24" i="63236"/>
  <c r="AH24" i="63236"/>
  <c r="AF24" i="63236"/>
  <c r="AE24" i="63236"/>
  <c r="AD24" i="63236"/>
  <c r="AC24" i="63236"/>
  <c r="AB24" i="63236"/>
  <c r="AA24" i="63236"/>
  <c r="Z24" i="63236"/>
  <c r="U24" i="63236"/>
  <c r="T24" i="63236"/>
  <c r="S24" i="63236"/>
  <c r="R24" i="63236"/>
  <c r="Q24" i="63236"/>
  <c r="P24" i="63236"/>
  <c r="E24" i="63236"/>
  <c r="C24" i="63236"/>
  <c r="B24" i="63236"/>
  <c r="A24" i="63236"/>
  <c r="AN23" i="63236"/>
  <c r="AM23" i="63236"/>
  <c r="AL23" i="63236"/>
  <c r="AK23" i="63236"/>
  <c r="AJ23" i="63236"/>
  <c r="AI23" i="63236"/>
  <c r="AH23" i="63236"/>
  <c r="AF23" i="63236"/>
  <c r="AE23" i="63236"/>
  <c r="AD23" i="63236"/>
  <c r="AC23" i="63236"/>
  <c r="AB23" i="63236"/>
  <c r="AA23" i="63236"/>
  <c r="Z23" i="63236"/>
  <c r="U23" i="63236"/>
  <c r="T23" i="63236"/>
  <c r="S23" i="63236"/>
  <c r="R23" i="63236"/>
  <c r="Q23" i="63236"/>
  <c r="P23" i="63236"/>
  <c r="E23" i="63236"/>
  <c r="C23" i="63236"/>
  <c r="B23" i="63236"/>
  <c r="A23" i="63236"/>
  <c r="AN22" i="63236"/>
  <c r="AM22" i="63236"/>
  <c r="AL22" i="63236"/>
  <c r="AK22" i="63236"/>
  <c r="AJ22" i="63236"/>
  <c r="AI22" i="63236"/>
  <c r="AH22" i="63236"/>
  <c r="AF22" i="63236"/>
  <c r="AE22" i="63236"/>
  <c r="AD22" i="63236"/>
  <c r="AC22" i="63236"/>
  <c r="AB22" i="63236"/>
  <c r="AA22" i="63236"/>
  <c r="Z22" i="63236"/>
  <c r="U22" i="63236"/>
  <c r="T22" i="63236"/>
  <c r="S22" i="63236"/>
  <c r="R22" i="63236"/>
  <c r="Q22" i="63236"/>
  <c r="P22" i="63236"/>
  <c r="E22" i="63236"/>
  <c r="C22" i="63236"/>
  <c r="B22" i="63236"/>
  <c r="A22" i="63236"/>
  <c r="AN21" i="63236"/>
  <c r="AM21" i="63236"/>
  <c r="AL21" i="63236"/>
  <c r="AK21" i="63236"/>
  <c r="AJ21" i="63236"/>
  <c r="AI21" i="63236"/>
  <c r="AH21" i="63236"/>
  <c r="AF21" i="63236"/>
  <c r="AE21" i="63236"/>
  <c r="AD21" i="63236"/>
  <c r="AC21" i="63236"/>
  <c r="AB21" i="63236"/>
  <c r="AA21" i="63236"/>
  <c r="Z21" i="63236"/>
  <c r="U21" i="63236"/>
  <c r="T21" i="63236"/>
  <c r="S21" i="63236"/>
  <c r="R21" i="63236"/>
  <c r="Q21" i="63236"/>
  <c r="P21" i="63236"/>
  <c r="E21" i="63236"/>
  <c r="C21" i="63236"/>
  <c r="B21" i="63236"/>
  <c r="A21" i="63236"/>
  <c r="AN20" i="63236"/>
  <c r="AM20" i="63236"/>
  <c r="AK20" i="63236"/>
  <c r="AJ20" i="63236"/>
  <c r="AF20" i="63236"/>
  <c r="AD20" i="63236"/>
  <c r="AC20" i="63236"/>
  <c r="T20" i="63236"/>
  <c r="Q20" i="63236"/>
  <c r="P20" i="63236"/>
  <c r="E20" i="63236"/>
  <c r="C20" i="63236"/>
  <c r="B20" i="63236"/>
  <c r="A20" i="63236"/>
  <c r="AF19" i="63236"/>
  <c r="E19" i="63236"/>
  <c r="C19" i="63236"/>
  <c r="B19" i="63236"/>
  <c r="A19" i="63236"/>
  <c r="AN18" i="63236"/>
  <c r="AM18" i="63236"/>
  <c r="AK18" i="63236"/>
  <c r="AJ18" i="63236"/>
  <c r="AF18" i="63236"/>
  <c r="AD18" i="63236"/>
  <c r="AC18" i="63236"/>
  <c r="T18" i="63236"/>
  <c r="Q18" i="63236"/>
  <c r="P18" i="63236"/>
  <c r="E18" i="63236"/>
  <c r="C18" i="63236"/>
  <c r="B18" i="63236"/>
  <c r="A18" i="63236"/>
  <c r="AF17" i="63236"/>
  <c r="E17" i="63236"/>
  <c r="C17" i="63236"/>
  <c r="B17" i="63236"/>
  <c r="A17" i="63236"/>
  <c r="AF16" i="63236"/>
  <c r="E16" i="63236"/>
  <c r="C16" i="63236"/>
  <c r="B16" i="63236"/>
  <c r="A16" i="63236"/>
  <c r="AF15" i="63236"/>
  <c r="E15" i="63236"/>
  <c r="C15" i="63236"/>
  <c r="B15" i="63236"/>
  <c r="A15" i="63236"/>
  <c r="AF14" i="63236"/>
  <c r="E14" i="63236"/>
  <c r="C14" i="63236"/>
  <c r="B14" i="63236"/>
  <c r="A14" i="63236"/>
  <c r="AF13" i="63236"/>
  <c r="E13" i="63236"/>
  <c r="C13" i="63236"/>
  <c r="B13" i="63236"/>
  <c r="A13" i="63236"/>
  <c r="AN12" i="63236"/>
  <c r="AM12" i="63236"/>
  <c r="AK12" i="63236"/>
  <c r="AJ12" i="63236"/>
  <c r="AF12" i="63236"/>
  <c r="AD12" i="63236"/>
  <c r="AC12" i="63236"/>
  <c r="T12" i="63236"/>
  <c r="Q12" i="63236"/>
  <c r="P12" i="63236"/>
  <c r="E12" i="63236"/>
  <c r="C12" i="63236"/>
  <c r="B12" i="63236"/>
  <c r="A12" i="63236"/>
  <c r="AF11" i="63236"/>
  <c r="E11" i="63236"/>
  <c r="C11" i="63236"/>
  <c r="B11" i="63236"/>
  <c r="A11" i="63236"/>
  <c r="AF10" i="63236"/>
  <c r="E10" i="63236"/>
  <c r="C10" i="63236"/>
  <c r="B10" i="63236"/>
  <c r="A10" i="63236"/>
  <c r="AF9" i="63236"/>
  <c r="E9" i="63236"/>
  <c r="C9" i="63236"/>
  <c r="B9" i="63236"/>
  <c r="A9" i="63236"/>
  <c r="AF8" i="63236"/>
  <c r="E8" i="63236"/>
  <c r="C8" i="63236"/>
  <c r="B8" i="63236"/>
  <c r="A8" i="63236"/>
  <c r="AF7" i="63236"/>
  <c r="E7" i="63236"/>
  <c r="C7" i="63236"/>
  <c r="B7" i="63236"/>
  <c r="A7" i="63236"/>
  <c r="AF6" i="63236"/>
  <c r="E6" i="63236"/>
  <c r="C6" i="63236"/>
  <c r="B6" i="63236"/>
  <c r="A6" i="63236"/>
  <c r="AM60" i="63238"/>
  <c r="E60" i="63238"/>
  <c r="C60" i="63238"/>
  <c r="B60" i="63238"/>
  <c r="A60" i="63238"/>
  <c r="AM59" i="63238"/>
  <c r="E59" i="63238"/>
  <c r="C59" i="63238"/>
  <c r="B59" i="63238"/>
  <c r="A59" i="63238"/>
  <c r="AM58" i="63238"/>
  <c r="E58" i="63238"/>
  <c r="C58" i="63238"/>
  <c r="B58" i="63238"/>
  <c r="A58" i="63238"/>
  <c r="AM57" i="63238"/>
  <c r="E57" i="63238"/>
  <c r="C57" i="63238"/>
  <c r="B57" i="63238"/>
  <c r="A57" i="63238"/>
  <c r="AM56" i="63238"/>
  <c r="E56" i="63238"/>
  <c r="C56" i="63238"/>
  <c r="B56" i="63238"/>
  <c r="A56" i="63238"/>
  <c r="AM55" i="63238"/>
  <c r="E55" i="63238"/>
  <c r="C55" i="63238"/>
  <c r="B55" i="63238"/>
  <c r="A55" i="63238"/>
  <c r="AM54" i="63238"/>
  <c r="E54" i="63238"/>
  <c r="C54" i="63238"/>
  <c r="B54" i="63238"/>
  <c r="A54" i="63238"/>
  <c r="AM53" i="63238"/>
  <c r="E53" i="63238"/>
  <c r="C53" i="63238"/>
  <c r="B53" i="63238"/>
  <c r="A53" i="63238"/>
  <c r="AM52" i="63238"/>
  <c r="E52" i="63238"/>
  <c r="C52" i="63238"/>
  <c r="B52" i="63238"/>
  <c r="A52" i="63238"/>
  <c r="AM51" i="63238"/>
  <c r="E51" i="63238"/>
  <c r="C51" i="63238"/>
  <c r="B51" i="63238"/>
  <c r="A51" i="63238"/>
  <c r="AM50" i="63238"/>
  <c r="E50" i="63238"/>
  <c r="C50" i="63238"/>
  <c r="B50" i="63238"/>
  <c r="A50" i="63238"/>
  <c r="AM49" i="63238"/>
  <c r="E49" i="63238"/>
  <c r="C49" i="63238"/>
  <c r="B49" i="63238"/>
  <c r="A49" i="63238"/>
  <c r="AM48" i="63238"/>
  <c r="E48" i="63238"/>
  <c r="C48" i="63238"/>
  <c r="B48" i="63238"/>
  <c r="A48" i="63238"/>
  <c r="AZ47" i="63238"/>
  <c r="AY47" i="63238"/>
  <c r="AW47" i="63238"/>
  <c r="AU47" i="63238"/>
  <c r="AS47" i="63238"/>
  <c r="AQ47" i="63238"/>
  <c r="AO47" i="63238"/>
  <c r="AM47" i="63238"/>
  <c r="AL47" i="63238"/>
  <c r="AK47" i="63238"/>
  <c r="AJ47" i="63238"/>
  <c r="AI47" i="63238"/>
  <c r="AH47" i="63238"/>
  <c r="AG47" i="63238"/>
  <c r="AB47" i="63238"/>
  <c r="AA47" i="63238"/>
  <c r="Z47" i="63238"/>
  <c r="Y47" i="63238"/>
  <c r="X47" i="63238"/>
  <c r="W47" i="63238"/>
  <c r="E47" i="63238"/>
  <c r="C47" i="63238"/>
  <c r="B47" i="63238"/>
  <c r="A47" i="63238"/>
  <c r="AZ46" i="63238"/>
  <c r="AY46" i="63238"/>
  <c r="AW46" i="63238"/>
  <c r="AU46" i="63238"/>
  <c r="AS46" i="63238"/>
  <c r="AQ46" i="63238"/>
  <c r="AO46" i="63238"/>
  <c r="AM46" i="63238"/>
  <c r="AL46" i="63238"/>
  <c r="AK46" i="63238"/>
  <c r="AJ46" i="63238"/>
  <c r="AI46" i="63238"/>
  <c r="AH46" i="63238"/>
  <c r="AG46" i="63238"/>
  <c r="AB46" i="63238"/>
  <c r="AA46" i="63238"/>
  <c r="Z46" i="63238"/>
  <c r="Y46" i="63238"/>
  <c r="X46" i="63238"/>
  <c r="W46" i="63238"/>
  <c r="E46" i="63238"/>
  <c r="C46" i="63238"/>
  <c r="B46" i="63238"/>
  <c r="A46" i="63238"/>
  <c r="AZ45" i="63238"/>
  <c r="AY45" i="63238"/>
  <c r="AW45" i="63238"/>
  <c r="AU45" i="63238"/>
  <c r="AS45" i="63238"/>
  <c r="AQ45" i="63238"/>
  <c r="AO45" i="63238"/>
  <c r="AM45" i="63238"/>
  <c r="AL45" i="63238"/>
  <c r="AK45" i="63238"/>
  <c r="AJ45" i="63238"/>
  <c r="AI45" i="63238"/>
  <c r="AH45" i="63238"/>
  <c r="AG45" i="63238"/>
  <c r="AB45" i="63238"/>
  <c r="AA45" i="63238"/>
  <c r="Z45" i="63238"/>
  <c r="Y45" i="63238"/>
  <c r="X45" i="63238"/>
  <c r="W45" i="63238"/>
  <c r="E45" i="63238"/>
  <c r="C45" i="63238"/>
  <c r="B45" i="63238"/>
  <c r="A45" i="63238"/>
  <c r="AM44" i="63238"/>
  <c r="E44" i="63238"/>
  <c r="C44" i="63238"/>
  <c r="B44" i="63238"/>
  <c r="A44" i="63238"/>
  <c r="AM43" i="63238"/>
  <c r="E43" i="63238"/>
  <c r="C43" i="63238"/>
  <c r="B43" i="63238"/>
  <c r="A43" i="63238"/>
  <c r="AM42" i="63238"/>
  <c r="E42" i="63238"/>
  <c r="C42" i="63238"/>
  <c r="B42" i="63238"/>
  <c r="A42" i="63238"/>
  <c r="AM41" i="63238"/>
  <c r="E41" i="63238"/>
  <c r="C41" i="63238"/>
  <c r="B41" i="63238"/>
  <c r="A41" i="63238"/>
  <c r="AM40" i="63238"/>
  <c r="E40" i="63238"/>
  <c r="C40" i="63238"/>
  <c r="B40" i="63238"/>
  <c r="A40" i="63238"/>
  <c r="AM39" i="63238"/>
  <c r="E39" i="63238"/>
  <c r="C39" i="63238"/>
  <c r="B39" i="63238"/>
  <c r="A39" i="63238"/>
  <c r="AM38" i="63238"/>
  <c r="E38" i="63238"/>
  <c r="C38" i="63238"/>
  <c r="B38" i="63238"/>
  <c r="A38" i="63238"/>
  <c r="AM37" i="63238"/>
  <c r="E37" i="63238"/>
  <c r="C37" i="63238"/>
  <c r="B37" i="63238"/>
  <c r="A37" i="63238"/>
  <c r="AM36" i="63238"/>
  <c r="E36" i="63238"/>
  <c r="C36" i="63238"/>
  <c r="B36" i="63238"/>
  <c r="A36" i="63238"/>
  <c r="AM35" i="63238"/>
  <c r="E35" i="63238"/>
  <c r="C35" i="63238"/>
  <c r="B35" i="63238"/>
  <c r="A35" i="63238"/>
  <c r="AM34" i="63238"/>
  <c r="E34" i="63238"/>
  <c r="C34" i="63238"/>
  <c r="B34" i="63238"/>
  <c r="A34" i="63238"/>
  <c r="AM33" i="63238"/>
  <c r="E33" i="63238"/>
  <c r="C33" i="63238"/>
  <c r="B33" i="63238"/>
  <c r="A33" i="63238"/>
  <c r="AM32" i="63238"/>
  <c r="E32" i="63238"/>
  <c r="C32" i="63238"/>
  <c r="B32" i="63238"/>
  <c r="A32" i="63238"/>
  <c r="AM31" i="63238"/>
  <c r="E31" i="63238"/>
  <c r="C31" i="63238"/>
  <c r="B31" i="63238"/>
  <c r="A31" i="63238"/>
  <c r="AM30" i="63238"/>
  <c r="E30" i="63238"/>
  <c r="C30" i="63238"/>
  <c r="B30" i="63238"/>
  <c r="A30" i="63238"/>
  <c r="AM29" i="63238"/>
  <c r="E29" i="63238"/>
  <c r="C29" i="63238"/>
  <c r="B29" i="63238"/>
  <c r="A29" i="63238"/>
  <c r="AM28" i="63238"/>
  <c r="E28" i="63238"/>
  <c r="C28" i="63238"/>
  <c r="B28" i="63238"/>
  <c r="A28" i="63238"/>
  <c r="AM27" i="63238"/>
  <c r="E27" i="63238"/>
  <c r="C27" i="63238"/>
  <c r="B27" i="63238"/>
  <c r="A27" i="63238"/>
  <c r="AZ26" i="63238"/>
  <c r="AY26" i="63238"/>
  <c r="AW26" i="63238"/>
  <c r="AU26" i="63238"/>
  <c r="AS26" i="63238"/>
  <c r="AQ26" i="63238"/>
  <c r="AO26" i="63238"/>
  <c r="AM26" i="63238"/>
  <c r="AL26" i="63238"/>
  <c r="AK26" i="63238"/>
  <c r="AJ26" i="63238"/>
  <c r="AI26" i="63238"/>
  <c r="AH26" i="63238"/>
  <c r="AG26" i="63238"/>
  <c r="AB26" i="63238"/>
  <c r="AA26" i="63238"/>
  <c r="Z26" i="63238"/>
  <c r="Y26" i="63238"/>
  <c r="X26" i="63238"/>
  <c r="W26" i="63238"/>
  <c r="E26" i="63238"/>
  <c r="C26" i="63238"/>
  <c r="B26" i="63238"/>
  <c r="A26" i="63238"/>
  <c r="AZ25" i="63238"/>
  <c r="AY25" i="63238"/>
  <c r="AW25" i="63238"/>
  <c r="AU25" i="63238"/>
  <c r="AS25" i="63238"/>
  <c r="AQ25" i="63238"/>
  <c r="AO25" i="63238"/>
  <c r="AM25" i="63238"/>
  <c r="AL25" i="63238"/>
  <c r="AK25" i="63238"/>
  <c r="AJ25" i="63238"/>
  <c r="AI25" i="63238"/>
  <c r="AH25" i="63238"/>
  <c r="AG25" i="63238"/>
  <c r="AB25" i="63238"/>
  <c r="AA25" i="63238"/>
  <c r="Z25" i="63238"/>
  <c r="Y25" i="63238"/>
  <c r="X25" i="63238"/>
  <c r="W25" i="63238"/>
  <c r="E25" i="63238"/>
  <c r="C25" i="63238"/>
  <c r="B25" i="63238"/>
  <c r="A25" i="63238"/>
  <c r="AZ24" i="63238"/>
  <c r="AY24" i="63238"/>
  <c r="AW24" i="63238"/>
  <c r="AU24" i="63238"/>
  <c r="AS24" i="63238"/>
  <c r="AQ24" i="63238"/>
  <c r="AO24" i="63238"/>
  <c r="AM24" i="63238"/>
  <c r="AL24" i="63238"/>
  <c r="AK24" i="63238"/>
  <c r="AJ24" i="63238"/>
  <c r="AI24" i="63238"/>
  <c r="AH24" i="63238"/>
  <c r="AG24" i="63238"/>
  <c r="AB24" i="63238"/>
  <c r="AA24" i="63238"/>
  <c r="Z24" i="63238"/>
  <c r="Y24" i="63238"/>
  <c r="X24" i="63238"/>
  <c r="W24" i="63238"/>
  <c r="E24" i="63238"/>
  <c r="C24" i="63238"/>
  <c r="B24" i="63238"/>
  <c r="A24" i="63238"/>
  <c r="AZ23" i="63238"/>
  <c r="AY23" i="63238"/>
  <c r="AW23" i="63238"/>
  <c r="AU23" i="63238"/>
  <c r="AS23" i="63238"/>
  <c r="AQ23" i="63238"/>
  <c r="AO23" i="63238"/>
  <c r="AM23" i="63238"/>
  <c r="AL23" i="63238"/>
  <c r="AK23" i="63238"/>
  <c r="AJ23" i="63238"/>
  <c r="AI23" i="63238"/>
  <c r="AH23" i="63238"/>
  <c r="AG23" i="63238"/>
  <c r="AB23" i="63238"/>
  <c r="AA23" i="63238"/>
  <c r="Z23" i="63238"/>
  <c r="Y23" i="63238"/>
  <c r="X23" i="63238"/>
  <c r="W23" i="63238"/>
  <c r="E23" i="63238"/>
  <c r="C23" i="63238"/>
  <c r="B23" i="63238"/>
  <c r="A23" i="63238"/>
  <c r="AZ22" i="63238"/>
  <c r="AY22" i="63238"/>
  <c r="AW22" i="63238"/>
  <c r="AU22" i="63238"/>
  <c r="AS22" i="63238"/>
  <c r="AQ22" i="63238"/>
  <c r="AO22" i="63238"/>
  <c r="AM22" i="63238"/>
  <c r="AL22" i="63238"/>
  <c r="AK22" i="63238"/>
  <c r="AJ22" i="63238"/>
  <c r="AI22" i="63238"/>
  <c r="AH22" i="63238"/>
  <c r="AG22" i="63238"/>
  <c r="AB22" i="63238"/>
  <c r="AA22" i="63238"/>
  <c r="Z22" i="63238"/>
  <c r="Y22" i="63238"/>
  <c r="X22" i="63238"/>
  <c r="W22" i="63238"/>
  <c r="E22" i="63238"/>
  <c r="C22" i="63238"/>
  <c r="B22" i="63238"/>
  <c r="A22" i="63238"/>
  <c r="AZ21" i="63238"/>
  <c r="AY21" i="63238"/>
  <c r="AW21" i="63238"/>
  <c r="AU21" i="63238"/>
  <c r="AS21" i="63238"/>
  <c r="AQ21" i="63238"/>
  <c r="AO21" i="63238"/>
  <c r="AM21" i="63238"/>
  <c r="AL21" i="63238"/>
  <c r="AK21" i="63238"/>
  <c r="AJ21" i="63238"/>
  <c r="AI21" i="63238"/>
  <c r="AH21" i="63238"/>
  <c r="AG21" i="63238"/>
  <c r="AB21" i="63238"/>
  <c r="AA21" i="63238"/>
  <c r="Z21" i="63238"/>
  <c r="Y21" i="63238"/>
  <c r="X21" i="63238"/>
  <c r="W21" i="63238"/>
  <c r="E21" i="63238"/>
  <c r="C21" i="63238"/>
  <c r="B21" i="63238"/>
  <c r="A21" i="63238"/>
  <c r="AZ20" i="63238"/>
  <c r="AY20" i="63238"/>
  <c r="AU20" i="63238"/>
  <c r="AS20" i="63238"/>
  <c r="AM20" i="63238"/>
  <c r="AK20" i="63238"/>
  <c r="AJ20" i="63238"/>
  <c r="AA20" i="63238"/>
  <c r="X20" i="63238"/>
  <c r="W20" i="63238"/>
  <c r="E20" i="63238"/>
  <c r="C20" i="63238"/>
  <c r="B20" i="63238"/>
  <c r="A20" i="63238"/>
  <c r="AM19" i="63238"/>
  <c r="E19" i="63238"/>
  <c r="C19" i="63238"/>
  <c r="B19" i="63238"/>
  <c r="A19" i="63238"/>
  <c r="AZ18" i="63238"/>
  <c r="AY18" i="63238"/>
  <c r="AU18" i="63238"/>
  <c r="AS18" i="63238"/>
  <c r="AM18" i="63238"/>
  <c r="AK18" i="63238"/>
  <c r="AJ18" i="63238"/>
  <c r="AA18" i="63238"/>
  <c r="X18" i="63238"/>
  <c r="W18" i="63238"/>
  <c r="E18" i="63238"/>
  <c r="C18" i="63238"/>
  <c r="B18" i="63238"/>
  <c r="A18" i="63238"/>
  <c r="AM17" i="63238"/>
  <c r="E17" i="63238"/>
  <c r="C17" i="63238"/>
  <c r="B17" i="63238"/>
  <c r="A17" i="63238"/>
  <c r="AM16" i="63238"/>
  <c r="E16" i="63238"/>
  <c r="C16" i="63238"/>
  <c r="B16" i="63238"/>
  <c r="A16" i="63238"/>
  <c r="AM15" i="63238"/>
  <c r="E15" i="63238"/>
  <c r="C15" i="63238"/>
  <c r="B15" i="63238"/>
  <c r="A15" i="63238"/>
  <c r="AM14" i="63238"/>
  <c r="E14" i="63238"/>
  <c r="C14" i="63238"/>
  <c r="B14" i="63238"/>
  <c r="A14" i="63238"/>
  <c r="AM13" i="63238"/>
  <c r="E13" i="63238"/>
  <c r="C13" i="63238"/>
  <c r="B13" i="63238"/>
  <c r="A13" i="63238"/>
  <c r="AZ12" i="63238"/>
  <c r="AY12" i="63238"/>
  <c r="AU12" i="63238"/>
  <c r="AS12" i="63238"/>
  <c r="AM12" i="63238"/>
  <c r="AK12" i="63238"/>
  <c r="AJ12" i="63238"/>
  <c r="AA12" i="63238"/>
  <c r="X12" i="63238"/>
  <c r="W12" i="63238"/>
  <c r="E12" i="63238"/>
  <c r="C12" i="63238"/>
  <c r="B12" i="63238"/>
  <c r="A12" i="63238"/>
  <c r="AM11" i="63238"/>
  <c r="E11" i="63238"/>
  <c r="C11" i="63238"/>
  <c r="B11" i="63238"/>
  <c r="A11" i="63238"/>
  <c r="AM10" i="63238"/>
  <c r="E10" i="63238"/>
  <c r="C10" i="63238"/>
  <c r="B10" i="63238"/>
  <c r="A10" i="63238"/>
  <c r="AM9" i="63238"/>
  <c r="E9" i="63238"/>
  <c r="C9" i="63238"/>
  <c r="B9" i="63238"/>
  <c r="A9" i="63238"/>
  <c r="AM8" i="63238"/>
  <c r="E8" i="63238"/>
  <c r="C8" i="63238"/>
  <c r="B8" i="63238"/>
  <c r="A8" i="63238"/>
  <c r="AM7" i="63238"/>
  <c r="E7" i="63238"/>
  <c r="C7" i="63238"/>
  <c r="B7" i="63238"/>
  <c r="A7" i="63238"/>
  <c r="AM6" i="63238"/>
  <c r="E6" i="63238"/>
  <c r="C6" i="63238"/>
  <c r="B6" i="63238"/>
  <c r="A6" i="63238"/>
  <c r="D60" i="63229"/>
  <c r="D59" i="63229"/>
  <c r="D58" i="63229"/>
  <c r="D58" i="63238"/>
  <c r="D57" i="63229"/>
  <c r="D56" i="63229"/>
  <c r="D55" i="63229"/>
  <c r="D54" i="63229"/>
  <c r="D53" i="63229"/>
  <c r="D52" i="63229"/>
  <c r="D52" i="63238"/>
  <c r="D51" i="63229"/>
  <c r="D50" i="63229"/>
  <c r="D49" i="63229"/>
  <c r="D48" i="63229"/>
  <c r="D48" i="63238"/>
  <c r="M47" i="63229"/>
  <c r="L47" i="63229"/>
  <c r="K47" i="63229"/>
  <c r="J47" i="63229"/>
  <c r="I47" i="63229"/>
  <c r="D47" i="63229"/>
  <c r="M46" i="63229"/>
  <c r="L46" i="63229"/>
  <c r="K46" i="63229"/>
  <c r="J46" i="63229"/>
  <c r="I46" i="63229"/>
  <c r="D46" i="63229"/>
  <c r="M45" i="63229"/>
  <c r="L45" i="63229"/>
  <c r="K45" i="63229"/>
  <c r="J45" i="63229"/>
  <c r="I45" i="63229"/>
  <c r="D45" i="63229"/>
  <c r="D44" i="63229"/>
  <c r="D43" i="63229"/>
  <c r="D42" i="63229"/>
  <c r="D41" i="63229"/>
  <c r="D40" i="63229"/>
  <c r="D39" i="63229"/>
  <c r="D38" i="63229"/>
  <c r="D37" i="63229"/>
  <c r="D36" i="63229"/>
  <c r="D35" i="63229"/>
  <c r="D34" i="63229"/>
  <c r="D33" i="63229"/>
  <c r="D32" i="63229"/>
  <c r="D31" i="63229"/>
  <c r="D30" i="63229"/>
  <c r="D29" i="63229"/>
  <c r="D28" i="63229"/>
  <c r="D27" i="63229"/>
  <c r="M26" i="63229"/>
  <c r="L26" i="63229"/>
  <c r="K26" i="63229"/>
  <c r="J26" i="63229"/>
  <c r="I26" i="63229"/>
  <c r="I26" i="63236"/>
  <c r="D26" i="63229"/>
  <c r="M25" i="63229"/>
  <c r="L25" i="63229"/>
  <c r="K25" i="63229"/>
  <c r="J25" i="63229"/>
  <c r="L25" i="63238"/>
  <c r="I25" i="63229"/>
  <c r="D25" i="63229"/>
  <c r="M24" i="63229"/>
  <c r="L24" i="63229"/>
  <c r="K24" i="63229"/>
  <c r="N24" i="63238"/>
  <c r="J24" i="63229"/>
  <c r="I24" i="63229"/>
  <c r="D24" i="63229"/>
  <c r="M23" i="63229"/>
  <c r="L23" i="63229"/>
  <c r="P23" i="63238"/>
  <c r="K23" i="63229"/>
  <c r="J23" i="63229"/>
  <c r="I23" i="63229"/>
  <c r="D23" i="63229"/>
  <c r="M22" i="63229"/>
  <c r="R22" i="63238"/>
  <c r="L22" i="63229"/>
  <c r="K22" i="63229"/>
  <c r="J22" i="63229"/>
  <c r="I22" i="63229"/>
  <c r="I22" i="63236"/>
  <c r="D22" i="63229"/>
  <c r="D22" i="63238"/>
  <c r="M21" i="63229"/>
  <c r="L21" i="63229"/>
  <c r="K21" i="63229"/>
  <c r="J21" i="63229"/>
  <c r="I21" i="63229"/>
  <c r="D21" i="63229"/>
  <c r="M20" i="63229"/>
  <c r="J20" i="63229"/>
  <c r="I20" i="63229"/>
  <c r="D20" i="63229"/>
  <c r="D19" i="63229"/>
  <c r="M18" i="63229"/>
  <c r="J18" i="63229"/>
  <c r="I18" i="63229"/>
  <c r="D18" i="63229"/>
  <c r="D17" i="63229"/>
  <c r="D16" i="63229"/>
  <c r="D15" i="63229"/>
  <c r="D14" i="63229"/>
  <c r="D13" i="63229"/>
  <c r="M12" i="63229"/>
  <c r="J12" i="63229"/>
  <c r="I12" i="63229"/>
  <c r="D12" i="63229"/>
  <c r="D11" i="63229"/>
  <c r="D10" i="63229"/>
  <c r="D9" i="63229"/>
  <c r="D8" i="63229"/>
  <c r="D7" i="63229"/>
  <c r="D6" i="63229"/>
  <c r="D58" i="63237"/>
  <c r="C58" i="63237"/>
  <c r="D57" i="63237"/>
  <c r="C57" i="63237"/>
  <c r="D56" i="63237"/>
  <c r="C56" i="63237"/>
  <c r="D55" i="63237"/>
  <c r="C55" i="63237"/>
  <c r="D54" i="63237"/>
  <c r="C54" i="63237"/>
  <c r="D53" i="63237"/>
  <c r="C53" i="63237"/>
  <c r="D52" i="63237"/>
  <c r="C52" i="63237"/>
  <c r="D51" i="63237"/>
  <c r="C51" i="63237"/>
  <c r="D50" i="63237"/>
  <c r="C50" i="63237"/>
  <c r="D49" i="63237"/>
  <c r="C49" i="63237"/>
  <c r="D48" i="63237"/>
  <c r="C48" i="63237"/>
  <c r="D47" i="63237"/>
  <c r="C47" i="63237"/>
  <c r="C46" i="63237"/>
  <c r="D44" i="63237"/>
  <c r="C44" i="63237"/>
  <c r="D43" i="63237"/>
  <c r="C43" i="63237"/>
  <c r="D42" i="63237"/>
  <c r="C42" i="63237"/>
  <c r="D41" i="63237"/>
  <c r="C41" i="63237"/>
  <c r="D40" i="63237"/>
  <c r="C40" i="63237"/>
  <c r="D39" i="63237"/>
  <c r="C39" i="63237"/>
  <c r="D38" i="63237"/>
  <c r="C38" i="63237"/>
  <c r="D37" i="63237"/>
  <c r="C37" i="63237"/>
  <c r="D36" i="63237"/>
  <c r="C36" i="63237"/>
  <c r="D35" i="63237"/>
  <c r="C35" i="63237"/>
  <c r="D34" i="63237"/>
  <c r="C34" i="63237"/>
  <c r="D33" i="63237"/>
  <c r="C33" i="63237"/>
  <c r="D32" i="63237"/>
  <c r="C32" i="63237"/>
  <c r="D31" i="63237"/>
  <c r="C31" i="63237"/>
  <c r="D30" i="63237"/>
  <c r="C30" i="63237"/>
  <c r="D29" i="63237"/>
  <c r="C29" i="63237"/>
  <c r="D28" i="63237"/>
  <c r="C28" i="63237"/>
  <c r="D27" i="63237"/>
  <c r="C27" i="63237"/>
  <c r="D26" i="63237"/>
  <c r="C26" i="63237"/>
  <c r="D25" i="63237"/>
  <c r="C25" i="63237"/>
  <c r="C24" i="63237"/>
  <c r="D22" i="63237"/>
  <c r="C22" i="63237"/>
  <c r="D21" i="63237"/>
  <c r="C21" i="63237"/>
  <c r="D20" i="63237"/>
  <c r="C20" i="63237"/>
  <c r="D19" i="63237"/>
  <c r="C19" i="63237"/>
  <c r="D18" i="63237"/>
  <c r="C18" i="63237"/>
  <c r="D17" i="63237"/>
  <c r="C17" i="63237"/>
  <c r="D16" i="63237"/>
  <c r="C16" i="63237"/>
  <c r="D15" i="63237"/>
  <c r="C15" i="63237"/>
  <c r="D14" i="63237"/>
  <c r="C14" i="63237"/>
  <c r="D13" i="63237"/>
  <c r="C13" i="63237"/>
  <c r="D12" i="63237"/>
  <c r="C12" i="63237"/>
  <c r="D11" i="63237"/>
  <c r="C11" i="63237"/>
  <c r="D10" i="63237"/>
  <c r="C10" i="63237"/>
  <c r="D9" i="63237"/>
  <c r="C9" i="63237"/>
  <c r="D8" i="63237"/>
  <c r="C8" i="63237"/>
  <c r="D7" i="63237"/>
  <c r="C7" i="63237"/>
  <c r="D6" i="63237"/>
  <c r="C6" i="63237"/>
  <c r="D5" i="63237"/>
  <c r="C5" i="63237"/>
  <c r="D4" i="63237"/>
  <c r="C4" i="63237"/>
  <c r="D3" i="63237"/>
  <c r="C3" i="63237"/>
  <c r="C2" i="63237"/>
  <c r="F98" i="10541"/>
  <c r="D81" i="10541"/>
  <c r="D80" i="10541"/>
  <c r="D84" i="10541"/>
  <c r="U67" i="10541"/>
  <c r="W60" i="63229"/>
  <c r="T67" i="10541"/>
  <c r="V60" i="63229"/>
  <c r="S67" i="10541"/>
  <c r="AP60" i="63229"/>
  <c r="R67" i="10541"/>
  <c r="AO60" i="63229"/>
  <c r="N67" i="10541"/>
  <c r="L60" i="63229"/>
  <c r="M67" i="10541"/>
  <c r="L67" i="10541"/>
  <c r="K60" i="63229"/>
  <c r="G67" i="10541"/>
  <c r="Y60" i="63229"/>
  <c r="U66" i="10541"/>
  <c r="W59" i="63229"/>
  <c r="T66" i="10541"/>
  <c r="V59" i="63229"/>
  <c r="S66" i="10541"/>
  <c r="AP59" i="63229"/>
  <c r="R66" i="10541"/>
  <c r="AO59" i="63229"/>
  <c r="U65" i="10541"/>
  <c r="W58" i="63229"/>
  <c r="T65" i="10541"/>
  <c r="V58" i="63229"/>
  <c r="S65" i="10541"/>
  <c r="AP58" i="63229"/>
  <c r="R65" i="10541"/>
  <c r="AO58" i="63229"/>
  <c r="N65" i="10541"/>
  <c r="L58" i="63229"/>
  <c r="M65" i="10541"/>
  <c r="L65" i="10541"/>
  <c r="K58" i="63229"/>
  <c r="U64" i="10541"/>
  <c r="W57" i="63229"/>
  <c r="T64" i="10541"/>
  <c r="V57" i="63229"/>
  <c r="S64" i="10541"/>
  <c r="AP57" i="63229"/>
  <c r="R64" i="10541"/>
  <c r="AO57" i="63229"/>
  <c r="U63" i="10541"/>
  <c r="W56" i="63229"/>
  <c r="T63" i="10541"/>
  <c r="V56" i="63229"/>
  <c r="S63" i="10541"/>
  <c r="AP56" i="63229"/>
  <c r="R63" i="10541"/>
  <c r="AO56" i="63229"/>
  <c r="N63" i="10541"/>
  <c r="L56" i="63229"/>
  <c r="M63" i="10541"/>
  <c r="L63" i="10541"/>
  <c r="K56" i="63229"/>
  <c r="U62" i="10541"/>
  <c r="W55" i="63229"/>
  <c r="T62" i="10541"/>
  <c r="V55" i="63229"/>
  <c r="S62" i="10541"/>
  <c r="AP55" i="63229"/>
  <c r="R62" i="10541"/>
  <c r="AO55" i="63229"/>
  <c r="N62" i="10541"/>
  <c r="L55" i="63229"/>
  <c r="M62" i="10541"/>
  <c r="L62" i="10541"/>
  <c r="K55" i="63229"/>
  <c r="U61" i="10541"/>
  <c r="W54" i="63229"/>
  <c r="T61" i="10541"/>
  <c r="V54" i="63229"/>
  <c r="S61" i="10541"/>
  <c r="AP54" i="63229"/>
  <c r="R61" i="10541"/>
  <c r="AO54" i="63229"/>
  <c r="N61" i="10541"/>
  <c r="L54" i="63229"/>
  <c r="M61" i="10541"/>
  <c r="L61" i="10541"/>
  <c r="K54" i="63229"/>
  <c r="U60" i="10541"/>
  <c r="W53" i="63229"/>
  <c r="T60" i="10541"/>
  <c r="V53" i="63229"/>
  <c r="S60" i="10541"/>
  <c r="AP53" i="63229"/>
  <c r="R60" i="10541"/>
  <c r="AO53" i="63229"/>
  <c r="N60" i="10541"/>
  <c r="L53" i="63229"/>
  <c r="M60" i="10541"/>
  <c r="L60" i="10541"/>
  <c r="K53" i="63229"/>
  <c r="U59" i="10541"/>
  <c r="W52" i="63229"/>
  <c r="T59" i="10541"/>
  <c r="V52" i="63229"/>
  <c r="S59" i="10541"/>
  <c r="AP52" i="63229"/>
  <c r="R59" i="10541"/>
  <c r="AO52" i="63229"/>
  <c r="N59" i="10541"/>
  <c r="L52" i="63229"/>
  <c r="M59" i="10541"/>
  <c r="L59" i="10541"/>
  <c r="K52" i="63229"/>
  <c r="U58" i="10541"/>
  <c r="W51" i="63229"/>
  <c r="T58" i="10541"/>
  <c r="V51" i="63229"/>
  <c r="S58" i="10541"/>
  <c r="AP51" i="63229"/>
  <c r="R58" i="10541"/>
  <c r="AO51" i="63229"/>
  <c r="N58" i="10541"/>
  <c r="L51" i="63229"/>
  <c r="M58" i="10541"/>
  <c r="L58" i="10541"/>
  <c r="K51" i="63229"/>
  <c r="U57" i="10541"/>
  <c r="W50" i="63229"/>
  <c r="T57" i="10541"/>
  <c r="V50" i="63229"/>
  <c r="S57" i="10541"/>
  <c r="AP50" i="63229"/>
  <c r="R57" i="10541"/>
  <c r="AO50" i="63229"/>
  <c r="N57" i="10541"/>
  <c r="L50" i="63229"/>
  <c r="M57" i="10541"/>
  <c r="L57" i="10541"/>
  <c r="K50" i="63229"/>
  <c r="U56" i="10541"/>
  <c r="W49" i="63229"/>
  <c r="T56" i="10541"/>
  <c r="V49" i="63229"/>
  <c r="S56" i="10541"/>
  <c r="AP49" i="63229"/>
  <c r="R56" i="10541"/>
  <c r="AO49" i="63229"/>
  <c r="N56" i="10541"/>
  <c r="L49" i="63229"/>
  <c r="M56" i="10541"/>
  <c r="L56" i="10541"/>
  <c r="K49" i="63229"/>
  <c r="U55" i="10541"/>
  <c r="W48" i="63229"/>
  <c r="T55" i="10541"/>
  <c r="V48" i="63229"/>
  <c r="S55" i="10541"/>
  <c r="AP48" i="63229"/>
  <c r="R55" i="10541"/>
  <c r="AO48" i="63229"/>
  <c r="N55" i="10541"/>
  <c r="L48" i="63229"/>
  <c r="M55" i="10541"/>
  <c r="L55" i="10541"/>
  <c r="K48" i="63229"/>
  <c r="AT51" i="10541"/>
  <c r="AC51" i="10541"/>
  <c r="O47" i="63229"/>
  <c r="AB51" i="10541"/>
  <c r="N47" i="63229"/>
  <c r="U51" i="10541"/>
  <c r="W47" i="63229"/>
  <c r="T51" i="10541"/>
  <c r="V47" i="63229"/>
  <c r="S51" i="10541"/>
  <c r="AP47" i="63229"/>
  <c r="R51" i="10541"/>
  <c r="AO47" i="63229"/>
  <c r="AT50" i="10541"/>
  <c r="AC50" i="10541"/>
  <c r="O46" i="63229"/>
  <c r="AB50" i="10541"/>
  <c r="N46" i="63229"/>
  <c r="U50" i="10541"/>
  <c r="W46" i="63229"/>
  <c r="T50" i="10541"/>
  <c r="V46" i="63229"/>
  <c r="S50" i="10541"/>
  <c r="AP46" i="63229"/>
  <c r="R50" i="10541"/>
  <c r="AO46" i="63229"/>
  <c r="AC49" i="10541"/>
  <c r="O45" i="63229"/>
  <c r="AB49" i="10541"/>
  <c r="N45" i="63229"/>
  <c r="U49" i="10541"/>
  <c r="W45" i="63229"/>
  <c r="T49" i="10541"/>
  <c r="V45" i="63229"/>
  <c r="S49" i="10541"/>
  <c r="AP45" i="63229"/>
  <c r="R49" i="10541"/>
  <c r="AO45" i="63229"/>
  <c r="AS48" i="10541"/>
  <c r="U48" i="10541"/>
  <c r="W44" i="63229"/>
  <c r="T48" i="10541"/>
  <c r="V44" i="63229"/>
  <c r="S48" i="10541"/>
  <c r="AP44" i="63229"/>
  <c r="R48" i="10541"/>
  <c r="AO44" i="63229"/>
  <c r="N48" i="10541"/>
  <c r="L44" i="63229"/>
  <c r="M48" i="10541"/>
  <c r="L48" i="10541"/>
  <c r="K44" i="63229"/>
  <c r="G48" i="10541"/>
  <c r="Y44" i="63229"/>
  <c r="U47" i="10541"/>
  <c r="W43" i="63229"/>
  <c r="T47" i="10541"/>
  <c r="V43" i="63229"/>
  <c r="S47" i="10541"/>
  <c r="AP43" i="63229"/>
  <c r="R47" i="10541"/>
  <c r="AO43" i="63229"/>
  <c r="N47" i="10541"/>
  <c r="L43" i="63229"/>
  <c r="M47" i="10541"/>
  <c r="L47" i="10541"/>
  <c r="K43" i="63229"/>
  <c r="U46" i="10541"/>
  <c r="W42" i="63229"/>
  <c r="T46" i="10541"/>
  <c r="V42" i="63229"/>
  <c r="S46" i="10541"/>
  <c r="AP42" i="63229"/>
  <c r="R46" i="10541"/>
  <c r="AO42" i="63229"/>
  <c r="U45" i="10541"/>
  <c r="W41" i="63229"/>
  <c r="T45" i="10541"/>
  <c r="V41" i="63229"/>
  <c r="S45" i="10541"/>
  <c r="AP41" i="63229"/>
  <c r="R45" i="10541"/>
  <c r="AO41" i="63229"/>
  <c r="N45" i="10541"/>
  <c r="L41" i="63229"/>
  <c r="M45" i="10541"/>
  <c r="L45" i="10541"/>
  <c r="K41" i="63229"/>
  <c r="U44" i="10541"/>
  <c r="W40" i="63229"/>
  <c r="T44" i="10541"/>
  <c r="V40" i="63229"/>
  <c r="S44" i="10541"/>
  <c r="AP40" i="63229"/>
  <c r="R44" i="10541"/>
  <c r="AO40" i="63229"/>
  <c r="N44" i="10541"/>
  <c r="L40" i="63229"/>
  <c r="M44" i="10541"/>
  <c r="L44" i="10541"/>
  <c r="K40" i="63229"/>
  <c r="U43" i="10541"/>
  <c r="W39" i="63229"/>
  <c r="T43" i="10541"/>
  <c r="V39" i="63229"/>
  <c r="S43" i="10541"/>
  <c r="AP39" i="63229"/>
  <c r="R43" i="10541"/>
  <c r="AO39" i="63229"/>
  <c r="N43" i="10541"/>
  <c r="L39" i="63229"/>
  <c r="M43" i="10541"/>
  <c r="L43" i="10541"/>
  <c r="K39" i="63229"/>
  <c r="U42" i="10541"/>
  <c r="W38" i="63229"/>
  <c r="T42" i="10541"/>
  <c r="V38" i="63229"/>
  <c r="S42" i="10541"/>
  <c r="AP38" i="63229"/>
  <c r="R42" i="10541"/>
  <c r="AO38" i="63229"/>
  <c r="N42" i="10541"/>
  <c r="L38" i="63229"/>
  <c r="M42" i="10541"/>
  <c r="L42" i="10541"/>
  <c r="K38" i="63229"/>
  <c r="U41" i="10541"/>
  <c r="W37" i="63229"/>
  <c r="T41" i="10541"/>
  <c r="V37" i="63229"/>
  <c r="S41" i="10541"/>
  <c r="AP37" i="63229"/>
  <c r="R41" i="10541"/>
  <c r="AO37" i="63229"/>
  <c r="N41" i="10541"/>
  <c r="L37" i="63229"/>
  <c r="M41" i="10541"/>
  <c r="L41" i="10541"/>
  <c r="K37" i="63229"/>
  <c r="U40" i="10541"/>
  <c r="W36" i="63229"/>
  <c r="T40" i="10541"/>
  <c r="V36" i="63229"/>
  <c r="S40" i="10541"/>
  <c r="AP36" i="63229"/>
  <c r="R40" i="10541"/>
  <c r="AO36" i="63229"/>
  <c r="N40" i="10541"/>
  <c r="L36" i="63229"/>
  <c r="M40" i="10541"/>
  <c r="L40" i="10541"/>
  <c r="K36" i="63229"/>
  <c r="U39" i="10541"/>
  <c r="W35" i="63229"/>
  <c r="T39" i="10541"/>
  <c r="V35" i="63229"/>
  <c r="S39" i="10541"/>
  <c r="AP35" i="63229"/>
  <c r="R39" i="10541"/>
  <c r="AO35" i="63229"/>
  <c r="N39" i="10541"/>
  <c r="L35" i="63229"/>
  <c r="M39" i="10541"/>
  <c r="L39" i="10541"/>
  <c r="K35" i="63229"/>
  <c r="U38" i="10541"/>
  <c r="W34" i="63229"/>
  <c r="T38" i="10541"/>
  <c r="V34" i="63229"/>
  <c r="S38" i="10541"/>
  <c r="AP34" i="63229"/>
  <c r="R38" i="10541"/>
  <c r="AO34" i="63229"/>
  <c r="N38" i="10541"/>
  <c r="L34" i="63229"/>
  <c r="M38" i="10541"/>
  <c r="L38" i="10541"/>
  <c r="K34" i="63229"/>
  <c r="G38" i="10541"/>
  <c r="Y34" i="63229"/>
  <c r="U37" i="10541"/>
  <c r="W33" i="63229"/>
  <c r="T37" i="10541"/>
  <c r="V33" i="63229"/>
  <c r="S37" i="10541"/>
  <c r="AP33" i="63229"/>
  <c r="R37" i="10541"/>
  <c r="AO33" i="63229"/>
  <c r="N37" i="10541"/>
  <c r="L33" i="63229"/>
  <c r="M37" i="10541"/>
  <c r="L37" i="10541"/>
  <c r="K33" i="63229"/>
  <c r="U36" i="10541"/>
  <c r="W32" i="63229"/>
  <c r="T36" i="10541"/>
  <c r="V32" i="63229"/>
  <c r="S36" i="10541"/>
  <c r="AP32" i="63229"/>
  <c r="R36" i="10541"/>
  <c r="AO32" i="63229"/>
  <c r="N36" i="10541"/>
  <c r="L32" i="63229"/>
  <c r="M36" i="10541"/>
  <c r="L36" i="10541"/>
  <c r="K32" i="63229"/>
  <c r="G36" i="10541"/>
  <c r="Y32" i="63229"/>
  <c r="U35" i="10541"/>
  <c r="W31" i="63229"/>
  <c r="T35" i="10541"/>
  <c r="V31" i="63229"/>
  <c r="S35" i="10541"/>
  <c r="AP31" i="63229"/>
  <c r="R35" i="10541"/>
  <c r="AO31" i="63229"/>
  <c r="U34" i="10541"/>
  <c r="W30" i="63229"/>
  <c r="T34" i="10541"/>
  <c r="V30" i="63229"/>
  <c r="S34" i="10541"/>
  <c r="AP30" i="63229"/>
  <c r="R34" i="10541"/>
  <c r="AO30" i="63229"/>
  <c r="N34" i="10541"/>
  <c r="L30" i="63229"/>
  <c r="M34" i="10541"/>
  <c r="L34" i="10541"/>
  <c r="K30" i="63229"/>
  <c r="G34" i="10541"/>
  <c r="Y30" i="63229"/>
  <c r="U33" i="10541"/>
  <c r="W29" i="63229"/>
  <c r="T33" i="10541"/>
  <c r="V29" i="63229"/>
  <c r="S33" i="10541"/>
  <c r="AP29" i="63229"/>
  <c r="R33" i="10541"/>
  <c r="AO29" i="63229"/>
  <c r="N33" i="10541"/>
  <c r="L29" i="63229"/>
  <c r="M33" i="10541"/>
  <c r="L33" i="10541"/>
  <c r="K29" i="63229"/>
  <c r="U32" i="10541"/>
  <c r="W28" i="63229"/>
  <c r="T32" i="10541"/>
  <c r="V28" i="63229"/>
  <c r="S32" i="10541"/>
  <c r="AP28" i="63229"/>
  <c r="R32" i="10541"/>
  <c r="AO28" i="63229"/>
  <c r="N32" i="10541"/>
  <c r="L28" i="63229"/>
  <c r="M32" i="10541"/>
  <c r="L32" i="10541"/>
  <c r="K28" i="63229"/>
  <c r="G32" i="10541"/>
  <c r="Y28" i="63229"/>
  <c r="U31" i="10541"/>
  <c r="W27" i="63229"/>
  <c r="T31" i="10541"/>
  <c r="V27" i="63229"/>
  <c r="S31" i="10541"/>
  <c r="AP27" i="63229"/>
  <c r="R31" i="10541"/>
  <c r="AO27" i="63229"/>
  <c r="N31" i="10541"/>
  <c r="L27" i="63229"/>
  <c r="M31" i="10541"/>
  <c r="L31" i="10541"/>
  <c r="K27" i="63229"/>
  <c r="AC27" i="10541"/>
  <c r="O26" i="63229"/>
  <c r="AB27" i="10541"/>
  <c r="N26" i="63229"/>
  <c r="V27" i="10541"/>
  <c r="X26" i="63229"/>
  <c r="U27" i="10541"/>
  <c r="W26" i="63229"/>
  <c r="T27" i="10541"/>
  <c r="V26" i="63229"/>
  <c r="S27" i="10541"/>
  <c r="AP26" i="63229"/>
  <c r="R27" i="10541"/>
  <c r="AO26" i="63229"/>
  <c r="AC26" i="10541"/>
  <c r="O25" i="63229"/>
  <c r="AB26" i="10541"/>
  <c r="N25" i="63229"/>
  <c r="U26" i="10541"/>
  <c r="W25" i="63229"/>
  <c r="T26" i="10541"/>
  <c r="V25" i="63229"/>
  <c r="S26" i="10541"/>
  <c r="AP25" i="63229"/>
  <c r="R26" i="10541"/>
  <c r="AO25" i="63229"/>
  <c r="AC25" i="10541"/>
  <c r="O24" i="63229"/>
  <c r="AB25" i="10541"/>
  <c r="N24" i="63229"/>
  <c r="U25" i="10541"/>
  <c r="W24" i="63229"/>
  <c r="T25" i="10541"/>
  <c r="V24" i="63229"/>
  <c r="S25" i="10541"/>
  <c r="AP24" i="63229"/>
  <c r="R25" i="10541"/>
  <c r="AO24" i="63229"/>
  <c r="AC24" i="10541"/>
  <c r="O23" i="63229"/>
  <c r="AB24" i="10541"/>
  <c r="N23" i="63229"/>
  <c r="U24" i="10541"/>
  <c r="W23" i="63229"/>
  <c r="T24" i="10541"/>
  <c r="V23" i="63229"/>
  <c r="S24" i="10541"/>
  <c r="AP23" i="63229"/>
  <c r="R24" i="10541"/>
  <c r="AO23" i="63229"/>
  <c r="AC23" i="10541"/>
  <c r="O22" i="63229"/>
  <c r="AB23" i="10541"/>
  <c r="N22" i="63229"/>
  <c r="V23" i="10541"/>
  <c r="X22" i="63229"/>
  <c r="U23" i="10541"/>
  <c r="W22" i="63229"/>
  <c r="T23" i="10541"/>
  <c r="V22" i="63229"/>
  <c r="S23" i="10541"/>
  <c r="AP22" i="63229"/>
  <c r="R23" i="10541"/>
  <c r="AO22" i="63229"/>
  <c r="AC22" i="10541"/>
  <c r="O21" i="63229"/>
  <c r="AB22" i="10541"/>
  <c r="N21" i="63229"/>
  <c r="U22" i="10541"/>
  <c r="W21" i="63229"/>
  <c r="T22" i="10541"/>
  <c r="V21" i="63229"/>
  <c r="S22" i="10541"/>
  <c r="AP21" i="63229"/>
  <c r="R22" i="10541"/>
  <c r="AO21" i="63229"/>
  <c r="V21" i="10541"/>
  <c r="X20" i="63229"/>
  <c r="U21" i="10541"/>
  <c r="W20" i="63229"/>
  <c r="T21" i="10541"/>
  <c r="V20" i="63229"/>
  <c r="S21" i="10541"/>
  <c r="AP20" i="63229"/>
  <c r="R21" i="10541"/>
  <c r="AO20" i="63229"/>
  <c r="N21" i="10541"/>
  <c r="L20" i="63229"/>
  <c r="M21" i="10541"/>
  <c r="L21" i="10541"/>
  <c r="K20" i="63229"/>
  <c r="G21" i="10541"/>
  <c r="Y20" i="63229"/>
  <c r="U20" i="10541"/>
  <c r="W19" i="63229"/>
  <c r="T20" i="10541"/>
  <c r="V19" i="63229"/>
  <c r="S20" i="10541"/>
  <c r="AP19" i="63229"/>
  <c r="R20" i="10541"/>
  <c r="AO19" i="63229"/>
  <c r="N20" i="10541"/>
  <c r="L19" i="63229"/>
  <c r="M20" i="10541"/>
  <c r="L20" i="10541"/>
  <c r="K19" i="63229"/>
  <c r="G20" i="10541"/>
  <c r="Y19" i="63229"/>
  <c r="U19" i="10541"/>
  <c r="W18" i="63229"/>
  <c r="T19" i="10541"/>
  <c r="V18" i="63229"/>
  <c r="S19" i="10541"/>
  <c r="AP18" i="63229"/>
  <c r="R19" i="10541"/>
  <c r="AO18" i="63229"/>
  <c r="N19" i="10541"/>
  <c r="L18" i="63229"/>
  <c r="M19" i="10541"/>
  <c r="L19" i="10541"/>
  <c r="K18" i="63229"/>
  <c r="G19" i="10541"/>
  <c r="Y18" i="63229"/>
  <c r="U18" i="10541"/>
  <c r="T18" i="10541"/>
  <c r="V17" i="63229"/>
  <c r="S18" i="10541"/>
  <c r="AP17" i="63229"/>
  <c r="R18" i="10541"/>
  <c r="AO17" i="63229"/>
  <c r="N18" i="10541"/>
  <c r="L17" i="63229"/>
  <c r="M18" i="10541"/>
  <c r="L18" i="10541"/>
  <c r="K17" i="63229"/>
  <c r="U17" i="10541"/>
  <c r="W16" i="63229"/>
  <c r="T17" i="10541"/>
  <c r="V16" i="63229"/>
  <c r="S17" i="10541"/>
  <c r="AP16" i="63229"/>
  <c r="R17" i="10541"/>
  <c r="AO16" i="63229"/>
  <c r="N17" i="10541"/>
  <c r="L16" i="63229"/>
  <c r="M17" i="10541"/>
  <c r="L17" i="10541"/>
  <c r="U16" i="10541"/>
  <c r="W15" i="63229"/>
  <c r="T16" i="10541"/>
  <c r="V15" i="63229"/>
  <c r="S16" i="10541"/>
  <c r="AP15" i="63229"/>
  <c r="R16" i="10541"/>
  <c r="AO15" i="63229"/>
  <c r="N16" i="10541"/>
  <c r="L15" i="63229"/>
  <c r="M16" i="10541"/>
  <c r="L16" i="10541"/>
  <c r="K15" i="63229"/>
  <c r="U15" i="10541"/>
  <c r="W14" i="63229"/>
  <c r="T15" i="10541"/>
  <c r="V14" i="63229"/>
  <c r="S15" i="10541"/>
  <c r="AP14" i="63229"/>
  <c r="R15" i="10541"/>
  <c r="AO14" i="63229"/>
  <c r="N15" i="10541"/>
  <c r="L14" i="63229"/>
  <c r="M15" i="10541"/>
  <c r="L15" i="10541"/>
  <c r="K14" i="63229"/>
  <c r="U14" i="10541"/>
  <c r="T14" i="10541"/>
  <c r="V13" i="63229"/>
  <c r="S14" i="10541"/>
  <c r="AP13" i="63229"/>
  <c r="R14" i="10541"/>
  <c r="AO13" i="63229"/>
  <c r="N14" i="10541"/>
  <c r="L13" i="63229"/>
  <c r="M14" i="10541"/>
  <c r="L14" i="10541"/>
  <c r="K13" i="63229"/>
  <c r="U13" i="10541"/>
  <c r="W12" i="63229"/>
  <c r="T13" i="10541"/>
  <c r="V12" i="63229"/>
  <c r="S13" i="10541"/>
  <c r="AP12" i="63229"/>
  <c r="R13" i="10541"/>
  <c r="AO12" i="63229"/>
  <c r="N13" i="10541"/>
  <c r="L12" i="63229"/>
  <c r="M13" i="10541"/>
  <c r="L13" i="10541"/>
  <c r="K12" i="63229"/>
  <c r="U12" i="10541"/>
  <c r="W11" i="63229"/>
  <c r="T12" i="10541"/>
  <c r="V12" i="10541"/>
  <c r="X11" i="63229"/>
  <c r="S12" i="10541"/>
  <c r="AP11" i="63229"/>
  <c r="R12" i="10541"/>
  <c r="AO11" i="63229"/>
  <c r="N12" i="10541"/>
  <c r="L11" i="63229"/>
  <c r="M12" i="10541"/>
  <c r="L12" i="10541"/>
  <c r="K11" i="63229"/>
  <c r="U11" i="10541"/>
  <c r="T11" i="10541"/>
  <c r="V10" i="63229"/>
  <c r="S11" i="10541"/>
  <c r="AP10" i="63229"/>
  <c r="R11" i="10541"/>
  <c r="AO10" i="63229"/>
  <c r="U10" i="10541"/>
  <c r="G10" i="10541"/>
  <c r="T10" i="10541"/>
  <c r="V9" i="63229"/>
  <c r="S10" i="10541"/>
  <c r="AP9" i="63229"/>
  <c r="R10" i="10541"/>
  <c r="AO9" i="63229"/>
  <c r="N10" i="10541"/>
  <c r="L9" i="63229"/>
  <c r="M10" i="10541"/>
  <c r="L10" i="10541"/>
  <c r="U9" i="10541"/>
  <c r="W8" i="63229"/>
  <c r="T9" i="10541"/>
  <c r="G9" i="10541"/>
  <c r="Y8" i="63229"/>
  <c r="S9" i="10541"/>
  <c r="AP8" i="63229"/>
  <c r="R9" i="10541"/>
  <c r="AO8" i="63229"/>
  <c r="N9" i="10541"/>
  <c r="L8" i="63229"/>
  <c r="M9" i="10541"/>
  <c r="L9" i="10541"/>
  <c r="U8" i="10541"/>
  <c r="W7" i="63229"/>
  <c r="T8" i="10541"/>
  <c r="G8" i="10541"/>
  <c r="Y7" i="63229"/>
  <c r="S8" i="10541"/>
  <c r="AP7" i="63229"/>
  <c r="R8" i="10541"/>
  <c r="AO7" i="63229"/>
  <c r="N8" i="10541"/>
  <c r="L7" i="63229"/>
  <c r="M8" i="10541"/>
  <c r="L8" i="10541"/>
  <c r="K7" i="63229"/>
  <c r="U7" i="10541"/>
  <c r="W6" i="63229"/>
  <c r="T7" i="10541"/>
  <c r="V6" i="63229"/>
  <c r="S7" i="10541"/>
  <c r="AP6" i="63229"/>
  <c r="R7" i="10541"/>
  <c r="AO6" i="63229"/>
  <c r="N7" i="10541"/>
  <c r="L6" i="63229"/>
  <c r="M7" i="10541"/>
  <c r="L7" i="10541"/>
  <c r="K6" i="63229"/>
  <c r="AD69" i="63192"/>
  <c r="F68" i="63192"/>
  <c r="T63" i="63192"/>
  <c r="N66" i="10541"/>
  <c r="S63" i="63192"/>
  <c r="M66" i="10541"/>
  <c r="R63" i="63192"/>
  <c r="L66" i="10541"/>
  <c r="AD62" i="63192"/>
  <c r="T60" i="63192"/>
  <c r="N64" i="10541"/>
  <c r="L57" i="63229"/>
  <c r="S60" i="63192"/>
  <c r="M64" i="10541"/>
  <c r="R60" i="63192"/>
  <c r="L64" i="10541"/>
  <c r="AD53" i="63192"/>
  <c r="AD49" i="63192"/>
  <c r="T49" i="63192"/>
  <c r="N46" i="10541"/>
  <c r="S49" i="63192"/>
  <c r="M46" i="10541"/>
  <c r="R49" i="63192"/>
  <c r="L46" i="10541"/>
  <c r="AD36" i="63192"/>
  <c r="AD33" i="63192"/>
  <c r="T22" i="63192"/>
  <c r="N35" i="10541"/>
  <c r="L31" i="63229"/>
  <c r="S22" i="63192"/>
  <c r="M35" i="10541"/>
  <c r="R22" i="63192"/>
  <c r="L35" i="10541"/>
  <c r="AD21" i="63192"/>
  <c r="T20" i="63192"/>
  <c r="N11" i="10541"/>
  <c r="L10" i="63229"/>
  <c r="S20" i="63192"/>
  <c r="M11" i="10541"/>
  <c r="R20" i="63192"/>
  <c r="L11" i="10541"/>
  <c r="M91" i="63226"/>
  <c r="M89" i="63226"/>
  <c r="M87" i="63226"/>
  <c r="T41" i="63226"/>
  <c r="AF46" i="10541"/>
  <c r="M86" i="63226"/>
  <c r="M85" i="63226"/>
  <c r="T42" i="63226"/>
  <c r="AF47" i="10541"/>
  <c r="M83" i="63226"/>
  <c r="M81" i="63226"/>
  <c r="T8" i="63226"/>
  <c r="AF11" i="10541"/>
  <c r="T61" i="63226"/>
  <c r="AF67" i="10541"/>
  <c r="T60" i="63226"/>
  <c r="AF66" i="10541"/>
  <c r="T59" i="63226"/>
  <c r="AF65" i="10541"/>
  <c r="T58" i="63226"/>
  <c r="AF64" i="10541"/>
  <c r="T57" i="63226"/>
  <c r="AF63" i="10541"/>
  <c r="T56" i="63226"/>
  <c r="AF62" i="10541"/>
  <c r="T55" i="63226"/>
  <c r="AF61" i="10541"/>
  <c r="T54" i="63226"/>
  <c r="AF60" i="10541"/>
  <c r="T53" i="63226"/>
  <c r="AF59" i="10541"/>
  <c r="T52" i="63226"/>
  <c r="AF58" i="10541"/>
  <c r="T51" i="63226"/>
  <c r="AF57" i="10541"/>
  <c r="T50" i="63226"/>
  <c r="AF56" i="10541"/>
  <c r="T49" i="63226"/>
  <c r="AF55" i="10541"/>
  <c r="T43" i="63226"/>
  <c r="AF48" i="10541"/>
  <c r="T40" i="63226"/>
  <c r="AF45" i="10541"/>
  <c r="T39" i="63226"/>
  <c r="AF44" i="10541"/>
  <c r="T38" i="63226"/>
  <c r="AF43" i="10541"/>
  <c r="T37" i="63226"/>
  <c r="AF42" i="10541"/>
  <c r="T36" i="63226"/>
  <c r="AF41" i="10541"/>
  <c r="T35" i="63226"/>
  <c r="AF40" i="10541"/>
  <c r="T34" i="63226"/>
  <c r="AF39" i="10541"/>
  <c r="T33" i="63226"/>
  <c r="AF38" i="10541"/>
  <c r="T32" i="63226"/>
  <c r="AF37" i="10541"/>
  <c r="T31" i="63226"/>
  <c r="AF36" i="10541"/>
  <c r="T30" i="63226"/>
  <c r="AF35" i="10541"/>
  <c r="T29" i="63226"/>
  <c r="AF34" i="10541"/>
  <c r="T28" i="63226"/>
  <c r="AF33" i="10541"/>
  <c r="T27" i="63226"/>
  <c r="AF32" i="10541"/>
  <c r="T26" i="63226"/>
  <c r="AF31" i="10541"/>
  <c r="T17" i="63226"/>
  <c r="AF20" i="10541"/>
  <c r="T15" i="63226"/>
  <c r="AF18" i="10541"/>
  <c r="T14" i="63226"/>
  <c r="AF17" i="10541"/>
  <c r="T13" i="63226"/>
  <c r="AF16" i="10541"/>
  <c r="T12" i="63226"/>
  <c r="AF15" i="10541"/>
  <c r="T11" i="63226"/>
  <c r="AF14" i="10541"/>
  <c r="T9" i="63226"/>
  <c r="AF12" i="10541"/>
  <c r="T7" i="63226"/>
  <c r="AF10" i="10541"/>
  <c r="T6" i="63226"/>
  <c r="AF9" i="10541"/>
  <c r="T5" i="63226"/>
  <c r="AF8" i="10541"/>
  <c r="T4" i="63226"/>
  <c r="AF7" i="10541"/>
  <c r="F208" i="63228"/>
  <c r="D204" i="63228"/>
  <c r="D205" i="63228"/>
  <c r="D203" i="63228"/>
  <c r="D202" i="63228"/>
  <c r="D201" i="63228"/>
  <c r="D199" i="63228"/>
  <c r="D198" i="63228"/>
  <c r="D197" i="63228"/>
  <c r="D195" i="63228"/>
  <c r="D194" i="63228"/>
  <c r="D193" i="63228"/>
  <c r="D191" i="63228"/>
  <c r="D190" i="63228"/>
  <c r="D189" i="63228"/>
  <c r="D187" i="63228"/>
  <c r="D186" i="63228"/>
  <c r="D185" i="63228"/>
  <c r="D183" i="63228"/>
  <c r="D182" i="63228"/>
  <c r="D181" i="63228"/>
  <c r="D179" i="63228"/>
  <c r="D178" i="63228"/>
  <c r="D177" i="63228"/>
  <c r="D175" i="63228"/>
  <c r="D174" i="63228"/>
  <c r="D173" i="63228"/>
  <c r="D171" i="63228"/>
  <c r="D170" i="63228"/>
  <c r="D169" i="63228"/>
  <c r="D167" i="63228"/>
  <c r="D166" i="63228"/>
  <c r="D165" i="63228"/>
  <c r="H164" i="63228"/>
  <c r="D164" i="63228"/>
  <c r="J164" i="63228"/>
  <c r="D163" i="63228"/>
  <c r="D162" i="63228"/>
  <c r="D160" i="63228"/>
  <c r="D159" i="63228"/>
  <c r="D158" i="63228"/>
  <c r="D156" i="63228"/>
  <c r="C155" i="63228"/>
  <c r="I164" i="63228"/>
  <c r="K164" i="63228"/>
  <c r="D151" i="63228"/>
  <c r="D147" i="63228"/>
  <c r="H146" i="63228"/>
  <c r="E146" i="63228"/>
  <c r="D145" i="63228"/>
  <c r="D141" i="63228"/>
  <c r="D137" i="63228"/>
  <c r="D133" i="63228"/>
  <c r="D129" i="63228"/>
  <c r="C126" i="63228"/>
  <c r="D125" i="63228"/>
  <c r="D118" i="63228"/>
  <c r="C115" i="63228"/>
  <c r="D112" i="63228"/>
  <c r="D111" i="63228"/>
  <c r="D104" i="63228"/>
  <c r="D96" i="63228"/>
  <c r="D88" i="63228"/>
  <c r="C88" i="63228"/>
  <c r="D82" i="63228"/>
  <c r="D74" i="63228"/>
  <c r="I72" i="63228"/>
  <c r="E44" i="63228"/>
  <c r="H72" i="63228"/>
  <c r="D70" i="63228"/>
  <c r="D62" i="63228"/>
  <c r="D54" i="63228"/>
  <c r="D46" i="63228"/>
  <c r="D39" i="63228"/>
  <c r="D32" i="63228"/>
  <c r="D28" i="63228"/>
  <c r="D24" i="63228"/>
  <c r="D20" i="63228"/>
  <c r="D16" i="63228"/>
  <c r="D12" i="63228"/>
  <c r="D8" i="63228"/>
  <c r="E46" i="63223"/>
  <c r="E34" i="63223"/>
  <c r="D27" i="63223"/>
  <c r="D9" i="63231"/>
  <c r="G8" i="63231"/>
  <c r="E8" i="63231"/>
  <c r="F8" i="63231"/>
  <c r="D8" i="63231"/>
  <c r="G7" i="63231"/>
  <c r="E7" i="63231"/>
  <c r="F7" i="63231"/>
  <c r="D7" i="63231"/>
  <c r="G6" i="63231"/>
  <c r="E6" i="63231"/>
  <c r="F6" i="63231"/>
  <c r="D6" i="63231"/>
  <c r="G5" i="63231"/>
  <c r="E5" i="63231"/>
  <c r="F5" i="63231"/>
  <c r="D5" i="63231"/>
  <c r="B2" i="63231"/>
  <c r="B73" i="63204"/>
  <c r="B72" i="63204"/>
  <c r="R14" i="63210"/>
  <c r="S14" i="63210"/>
  <c r="F14" i="63210"/>
  <c r="M8" i="63210"/>
  <c r="L8" i="63210"/>
  <c r="D8" i="63210"/>
  <c r="G8" i="63210"/>
  <c r="H8" i="63210"/>
  <c r="N8" i="63210"/>
  <c r="P8" i="63210"/>
  <c r="M7" i="63210"/>
  <c r="L7" i="63210"/>
  <c r="H7" i="63210"/>
  <c r="N7" i="63210"/>
  <c r="P7" i="63210"/>
  <c r="H84" i="63217"/>
  <c r="G83" i="63217"/>
  <c r="G82" i="63217"/>
  <c r="H81" i="63217"/>
  <c r="G80" i="63217"/>
  <c r="G79" i="63217"/>
  <c r="G81" i="63217"/>
  <c r="H78" i="63217"/>
  <c r="G77" i="63217"/>
  <c r="G78" i="63217"/>
  <c r="G76" i="63217"/>
  <c r="W76" i="63217"/>
  <c r="W75" i="63217"/>
  <c r="H75" i="63217"/>
  <c r="R75" i="63217"/>
  <c r="G75" i="63217"/>
  <c r="G74" i="63217"/>
  <c r="R74" i="63217"/>
  <c r="G73" i="63217"/>
  <c r="W73" i="63217"/>
  <c r="H72" i="63217"/>
  <c r="G72" i="63217"/>
  <c r="W72" i="63217"/>
  <c r="R71" i="63217"/>
  <c r="E54" i="63223"/>
  <c r="G71" i="63217"/>
  <c r="W71" i="63217"/>
  <c r="G70" i="63217"/>
  <c r="R70" i="63217"/>
  <c r="R69" i="63217"/>
  <c r="E52" i="63223"/>
  <c r="G69" i="63217"/>
  <c r="W69" i="63217"/>
  <c r="G68" i="63217"/>
  <c r="R68" i="63217"/>
  <c r="R67" i="63217"/>
  <c r="E50" i="63223"/>
  <c r="G67" i="63217"/>
  <c r="W67" i="63217"/>
  <c r="G66" i="63217"/>
  <c r="R66" i="63217"/>
  <c r="R62" i="63217"/>
  <c r="S62" i="63217"/>
  <c r="S61" i="63217"/>
  <c r="E50" i="10541"/>
  <c r="J49" i="63224"/>
  <c r="R61" i="63217"/>
  <c r="T61" i="63217"/>
  <c r="S60" i="63217"/>
  <c r="E49" i="10541"/>
  <c r="R60" i="63217"/>
  <c r="K48" i="63224"/>
  <c r="H59" i="63217"/>
  <c r="G59" i="63217"/>
  <c r="R59" i="63217"/>
  <c r="E44" i="63223"/>
  <c r="H56" i="63217"/>
  <c r="G56" i="63217"/>
  <c r="R56" i="63217"/>
  <c r="H53" i="63217"/>
  <c r="G53" i="63217"/>
  <c r="H50" i="63217"/>
  <c r="G50" i="63217"/>
  <c r="R47" i="63217"/>
  <c r="E40" i="63223"/>
  <c r="T46" i="63217"/>
  <c r="R46" i="63217"/>
  <c r="S46" i="63217"/>
  <c r="T45" i="63217"/>
  <c r="R45" i="63217"/>
  <c r="S45" i="63217"/>
  <c r="E42" i="10541"/>
  <c r="J40" i="63224"/>
  <c r="R44" i="63217"/>
  <c r="E37" i="63223"/>
  <c r="R43" i="63217"/>
  <c r="E36" i="63223"/>
  <c r="T42" i="63217"/>
  <c r="R42" i="63217"/>
  <c r="S42" i="63217"/>
  <c r="T41" i="63217"/>
  <c r="R41" i="63217"/>
  <c r="S41" i="63217"/>
  <c r="E38" i="10541"/>
  <c r="J36" i="63224"/>
  <c r="R40" i="63217"/>
  <c r="E33" i="63223"/>
  <c r="R39" i="63217"/>
  <c r="E32" i="63223"/>
  <c r="T38" i="63217"/>
  <c r="R38" i="63217"/>
  <c r="S38" i="63217"/>
  <c r="T37" i="63217"/>
  <c r="R37" i="63217"/>
  <c r="E30" i="63223"/>
  <c r="R36" i="63217"/>
  <c r="E29" i="63223"/>
  <c r="R35" i="63217"/>
  <c r="E28" i="63223"/>
  <c r="T34" i="63217"/>
  <c r="S34" i="63217"/>
  <c r="E31" i="10541"/>
  <c r="J28" i="63224"/>
  <c r="H34" i="63217"/>
  <c r="R34" i="63217"/>
  <c r="G34" i="63217"/>
  <c r="R28" i="63217"/>
  <c r="E25" i="63223"/>
  <c r="G28" i="63217"/>
  <c r="R27" i="63217"/>
  <c r="T27" i="63217"/>
  <c r="G27" i="63217"/>
  <c r="R26" i="63217"/>
  <c r="E23" i="63223"/>
  <c r="G26" i="63217"/>
  <c r="R25" i="63217"/>
  <c r="T25" i="63217"/>
  <c r="G25" i="63217"/>
  <c r="R24" i="63217"/>
  <c r="E21" i="63223"/>
  <c r="G24" i="63217"/>
  <c r="R23" i="63217"/>
  <c r="T23" i="63217"/>
  <c r="G23" i="63217"/>
  <c r="R22" i="63217"/>
  <c r="E19" i="63223"/>
  <c r="G22" i="63217"/>
  <c r="R21" i="63217"/>
  <c r="T21" i="63217"/>
  <c r="G21" i="63217"/>
  <c r="R20" i="63217"/>
  <c r="E17" i="63223"/>
  <c r="G20" i="63217"/>
  <c r="R19" i="63217"/>
  <c r="T19" i="63217"/>
  <c r="H19" i="63217"/>
  <c r="G19" i="63217"/>
  <c r="R18" i="63217"/>
  <c r="E15" i="63223"/>
  <c r="G18" i="63217"/>
  <c r="G17" i="63217"/>
  <c r="R17" i="63217"/>
  <c r="R16" i="63217"/>
  <c r="E13" i="63223"/>
  <c r="G16" i="63217"/>
  <c r="G15" i="63217"/>
  <c r="R15" i="63217"/>
  <c r="R14" i="63217"/>
  <c r="E11" i="63223"/>
  <c r="G14" i="63217"/>
  <c r="G13" i="63217"/>
  <c r="R13" i="63217"/>
  <c r="R12" i="63217"/>
  <c r="E9" i="63223"/>
  <c r="G12" i="63217"/>
  <c r="G11" i="63217"/>
  <c r="R11" i="63217"/>
  <c r="R10" i="63217"/>
  <c r="E7" i="63223"/>
  <c r="H10" i="63217"/>
  <c r="G10" i="63217"/>
  <c r="G9" i="63217"/>
  <c r="R9" i="63217"/>
  <c r="H8" i="63217"/>
  <c r="G7" i="63217"/>
  <c r="G6" i="63217"/>
  <c r="G8" i="63217"/>
  <c r="H70" i="63224"/>
  <c r="H69" i="63224"/>
  <c r="H68" i="63224"/>
  <c r="H67" i="63224"/>
  <c r="H66" i="63224"/>
  <c r="H65" i="63224"/>
  <c r="H64" i="63224"/>
  <c r="H63" i="63224"/>
  <c r="H62" i="63224"/>
  <c r="H61" i="63224"/>
  <c r="H60" i="63224"/>
  <c r="H59" i="63224"/>
  <c r="H58" i="63224"/>
  <c r="H57" i="63224"/>
  <c r="H56" i="63224"/>
  <c r="H55" i="63224"/>
  <c r="H54" i="63224"/>
  <c r="H53" i="63224"/>
  <c r="H52" i="63224"/>
  <c r="H51" i="63224"/>
  <c r="H50" i="63224"/>
  <c r="L50" i="63224"/>
  <c r="K49" i="63224"/>
  <c r="H49" i="63224"/>
  <c r="L49" i="63224"/>
  <c r="H48" i="63224"/>
  <c r="L48" i="63224"/>
  <c r="H47" i="63224"/>
  <c r="H46" i="63224"/>
  <c r="H45" i="63224"/>
  <c r="H44" i="63224"/>
  <c r="H43" i="63224"/>
  <c r="H42" i="63224"/>
  <c r="K41" i="63224"/>
  <c r="H41" i="63224"/>
  <c r="K40" i="63224"/>
  <c r="H40" i="63224"/>
  <c r="H39" i="63224"/>
  <c r="H38" i="63224"/>
  <c r="K37" i="63224"/>
  <c r="H37" i="63224"/>
  <c r="K36" i="63224"/>
  <c r="H36" i="63224"/>
  <c r="H35" i="63224"/>
  <c r="H34" i="63224"/>
  <c r="H33" i="63224"/>
  <c r="H32" i="63224"/>
  <c r="K31" i="63224"/>
  <c r="H31" i="63224"/>
  <c r="H30" i="63224"/>
  <c r="H29" i="63224"/>
  <c r="H28" i="63224"/>
  <c r="H27" i="63224"/>
  <c r="L27" i="63224"/>
  <c r="H26" i="63224"/>
  <c r="L26" i="63224"/>
  <c r="H25" i="63224"/>
  <c r="L25" i="63224"/>
  <c r="H24" i="63224"/>
  <c r="L24" i="63224"/>
  <c r="H23" i="63224"/>
  <c r="L23" i="63224"/>
  <c r="H22" i="63224"/>
  <c r="L22" i="63224"/>
  <c r="H21" i="63224"/>
  <c r="H20" i="63224"/>
  <c r="H19" i="63224"/>
  <c r="H18" i="63224"/>
  <c r="H17" i="63224"/>
  <c r="H16" i="63224"/>
  <c r="H15" i="63224"/>
  <c r="H14" i="63224"/>
  <c r="H13" i="63224"/>
  <c r="H12" i="63224"/>
  <c r="H11" i="63224"/>
  <c r="K10" i="63224"/>
  <c r="H10" i="63224"/>
  <c r="H9" i="63224"/>
  <c r="H8" i="63224"/>
  <c r="H7" i="63224"/>
  <c r="H6" i="63224"/>
  <c r="AH167" i="63211"/>
  <c r="AH166" i="63211"/>
  <c r="AH165" i="63211"/>
  <c r="AH164" i="63211"/>
  <c r="AH163" i="63211"/>
  <c r="AH162" i="63211"/>
  <c r="AH161" i="63211"/>
  <c r="AH160" i="63211"/>
  <c r="AH159" i="63211"/>
  <c r="AH158" i="63211"/>
  <c r="AH157" i="63211"/>
  <c r="AH156" i="63211"/>
  <c r="AH155" i="63211"/>
  <c r="AH154" i="63211"/>
  <c r="AH153" i="63211"/>
  <c r="AH152" i="63211"/>
  <c r="AH151" i="63211"/>
  <c r="AH150" i="63211"/>
  <c r="AH149" i="63211"/>
  <c r="AH148" i="63211"/>
  <c r="AH147" i="63211"/>
  <c r="AH146" i="63211"/>
  <c r="AH145" i="63211"/>
  <c r="AH144" i="63211"/>
  <c r="AH143" i="63211"/>
  <c r="AH142" i="63211"/>
  <c r="AH141" i="63211"/>
  <c r="AH140" i="63211"/>
  <c r="AH139" i="63211"/>
  <c r="AH138" i="63211"/>
  <c r="AH137" i="63211"/>
  <c r="AH136" i="63211"/>
  <c r="AH135" i="63211"/>
  <c r="AH134" i="63211"/>
  <c r="AH133" i="63211"/>
  <c r="AH132" i="63211"/>
  <c r="AH131" i="63211"/>
  <c r="AH130" i="63211"/>
  <c r="AH129" i="63211"/>
  <c r="AH128" i="63211"/>
  <c r="AH127" i="63211"/>
  <c r="AH126" i="63211"/>
  <c r="AH125" i="63211"/>
  <c r="AH124" i="63211"/>
  <c r="AH123" i="63211"/>
  <c r="AH122" i="63211"/>
  <c r="AH121" i="63211"/>
  <c r="AH120" i="63211"/>
  <c r="AH119" i="63211"/>
  <c r="AH118" i="63211"/>
  <c r="AH117" i="63211"/>
  <c r="AH116" i="63211"/>
  <c r="AH115" i="63211"/>
  <c r="AH114" i="63211"/>
  <c r="AH113" i="63211"/>
  <c r="AH112" i="63211"/>
  <c r="AH111" i="63211"/>
  <c r="AH110" i="63211"/>
  <c r="AH109" i="63211"/>
  <c r="AH108" i="63211"/>
  <c r="AH107" i="63211"/>
  <c r="AH106" i="63211"/>
  <c r="AH105" i="63211"/>
  <c r="AH104" i="63211"/>
  <c r="AH103" i="63211"/>
  <c r="AH102" i="63211"/>
  <c r="AH101" i="63211"/>
  <c r="AH100" i="63211"/>
  <c r="AH99" i="63211"/>
  <c r="AH98" i="63211"/>
  <c r="AH97" i="63211"/>
  <c r="AH96" i="63211"/>
  <c r="AH95" i="63211"/>
  <c r="AH94" i="63211"/>
  <c r="AH93" i="63211"/>
  <c r="AH92" i="63211"/>
  <c r="AH91" i="63211"/>
  <c r="AH90" i="63211"/>
  <c r="AH89" i="63211"/>
  <c r="AH88" i="63211"/>
  <c r="AH87" i="63211"/>
  <c r="AH86" i="63211"/>
  <c r="AH85" i="63211"/>
  <c r="AH84" i="63211"/>
  <c r="AH83" i="63211"/>
  <c r="AH82" i="63211"/>
  <c r="AH81" i="63211"/>
  <c r="AH80" i="63211"/>
  <c r="AH79" i="63211"/>
  <c r="N78" i="63211"/>
  <c r="AH78" i="63211"/>
  <c r="AH77" i="63211"/>
  <c r="N77" i="63211"/>
  <c r="AH76" i="63211"/>
  <c r="N74" i="63211"/>
  <c r="N76" i="63211"/>
  <c r="AH75" i="63211"/>
  <c r="N75" i="63211"/>
  <c r="AH74" i="63211"/>
  <c r="AH73" i="63211"/>
  <c r="N73" i="63211"/>
  <c r="AH72" i="63211"/>
  <c r="N72" i="63211"/>
  <c r="O72" i="63211"/>
  <c r="P72" i="63211"/>
  <c r="Q72" i="63211"/>
  <c r="AH71" i="63211"/>
  <c r="AH70" i="63211"/>
  <c r="N71" i="63211"/>
  <c r="N70" i="63211"/>
  <c r="AH69" i="63211"/>
  <c r="AH68" i="63211"/>
  <c r="AH67" i="63211"/>
  <c r="N69" i="63211"/>
  <c r="AH66" i="63211"/>
  <c r="N68" i="63211"/>
  <c r="O68" i="63211"/>
  <c r="P68" i="63211"/>
  <c r="Q68" i="63211"/>
  <c r="AH65" i="63211"/>
  <c r="N67" i="63211"/>
  <c r="AH64" i="63211"/>
  <c r="N66" i="63211"/>
  <c r="AH63" i="63211"/>
  <c r="N65" i="63211"/>
  <c r="N63" i="63211"/>
  <c r="AH62" i="63211"/>
  <c r="N64" i="63211"/>
  <c r="O64" i="63211"/>
  <c r="P64" i="63211"/>
  <c r="Q64" i="63211"/>
  <c r="AH61" i="63211"/>
  <c r="AH60" i="63211"/>
  <c r="N62" i="63211"/>
  <c r="AH59" i="63211"/>
  <c r="N61" i="63211"/>
  <c r="AH58" i="63211"/>
  <c r="N60" i="63211"/>
  <c r="AH57" i="63211"/>
  <c r="AJ59" i="63211"/>
  <c r="AH56" i="63211"/>
  <c r="AH55" i="63211"/>
  <c r="AH54" i="63211"/>
  <c r="N55" i="63211"/>
  <c r="O55" i="63211"/>
  <c r="P55" i="63211"/>
  <c r="Q55" i="63211"/>
  <c r="AH53" i="63211"/>
  <c r="AH52" i="63211"/>
  <c r="N54" i="63211"/>
  <c r="N52" i="63211"/>
  <c r="AH51" i="63211"/>
  <c r="N53" i="63211"/>
  <c r="AH50" i="63211"/>
  <c r="AH49" i="63211"/>
  <c r="N51" i="63211"/>
  <c r="N49" i="63211"/>
  <c r="AH48" i="63211"/>
  <c r="N50" i="63211"/>
  <c r="AH47" i="63211"/>
  <c r="AH46" i="63211"/>
  <c r="N48" i="63211"/>
  <c r="AH45" i="63211"/>
  <c r="N47" i="63211"/>
  <c r="N45" i="63211"/>
  <c r="AH44" i="63211"/>
  <c r="N46" i="63211"/>
  <c r="N44" i="63211"/>
  <c r="AH43" i="63211"/>
  <c r="AH42" i="63211"/>
  <c r="AH41" i="63211"/>
  <c r="N43" i="63211"/>
  <c r="AH40" i="63211"/>
  <c r="N42" i="63211"/>
  <c r="AH39" i="63211"/>
  <c r="N41" i="63211"/>
  <c r="AH38" i="63211"/>
  <c r="N40" i="63211"/>
  <c r="O40" i="63211"/>
  <c r="P40" i="63211"/>
  <c r="Q40" i="63211"/>
  <c r="AH37" i="63211"/>
  <c r="N39" i="63211"/>
  <c r="AH36" i="63211"/>
  <c r="N38" i="63211"/>
  <c r="AH35" i="63211"/>
  <c r="N37" i="63211"/>
  <c r="O37" i="63211"/>
  <c r="P37" i="63211"/>
  <c r="Q37" i="63211"/>
  <c r="AH34" i="63211"/>
  <c r="AJ38" i="63211"/>
  <c r="AH33" i="63211"/>
  <c r="N36" i="63211"/>
  <c r="AH32" i="63211"/>
  <c r="AH31" i="63211"/>
  <c r="AH30" i="63211"/>
  <c r="N21" i="63211"/>
  <c r="AH29" i="63211"/>
  <c r="N29" i="63211"/>
  <c r="AH28" i="63211"/>
  <c r="N28" i="63211"/>
  <c r="AH27" i="63211"/>
  <c r="N27" i="63211"/>
  <c r="AH26" i="63211"/>
  <c r="N26" i="63211"/>
  <c r="AH25" i="63211"/>
  <c r="N25" i="63211"/>
  <c r="AH24" i="63211"/>
  <c r="N24" i="63211"/>
  <c r="AH23" i="63211"/>
  <c r="N23" i="63211"/>
  <c r="AH22" i="63211"/>
  <c r="N22" i="63211"/>
  <c r="AH21" i="63211"/>
  <c r="AH20" i="63211"/>
  <c r="N20" i="63211"/>
  <c r="AH19" i="63211"/>
  <c r="N19" i="63211"/>
  <c r="O19" i="63211"/>
  <c r="P19" i="63211"/>
  <c r="Q19" i="63211"/>
  <c r="AH18" i="63211"/>
  <c r="N18" i="63211"/>
  <c r="AH17" i="63211"/>
  <c r="N17" i="63211"/>
  <c r="AH16" i="63211"/>
  <c r="N16" i="63211"/>
  <c r="AH15" i="63211"/>
  <c r="AJ16" i="63211"/>
  <c r="AH14" i="63211"/>
  <c r="AI15" i="63211"/>
  <c r="M14" i="63211"/>
  <c r="O28" i="63211"/>
  <c r="P28" i="63211"/>
  <c r="Q28" i="63211"/>
  <c r="W116" i="63234"/>
  <c r="J116" i="63234"/>
  <c r="W122" i="63234"/>
  <c r="X122" i="63234"/>
  <c r="W80" i="63234"/>
  <c r="X80" i="63234"/>
  <c r="W77" i="63234"/>
  <c r="J76" i="63234"/>
  <c r="W83" i="63234"/>
  <c r="X83" i="63234"/>
  <c r="W43" i="63234"/>
  <c r="X43" i="63234"/>
  <c r="W41" i="63234"/>
  <c r="X41" i="63234"/>
  <c r="W40" i="63234"/>
  <c r="J40" i="63234"/>
  <c r="W46" i="63234"/>
  <c r="X46" i="63234"/>
  <c r="AD19" i="63234"/>
  <c r="AD17" i="63234"/>
  <c r="AD15" i="63234"/>
  <c r="W12" i="63234"/>
  <c r="X12" i="63234"/>
  <c r="AD11" i="63234"/>
  <c r="W11" i="63234"/>
  <c r="X11" i="63234"/>
  <c r="AD9" i="63234"/>
  <c r="W9" i="63234"/>
  <c r="X9" i="63234"/>
  <c r="AD7" i="63234"/>
  <c r="AF7" i="63234"/>
  <c r="W7" i="63234"/>
  <c r="J7" i="63234"/>
  <c r="W10" i="63234"/>
  <c r="X10" i="63234"/>
  <c r="F77" i="63219"/>
  <c r="D77" i="63219"/>
  <c r="G77" i="63219"/>
  <c r="F76" i="63219"/>
  <c r="D76" i="63219"/>
  <c r="G76" i="63219"/>
  <c r="F75" i="63219"/>
  <c r="D75" i="63219"/>
  <c r="F74" i="63219"/>
  <c r="D74" i="63219"/>
  <c r="H74" i="63219"/>
  <c r="F73" i="63219"/>
  <c r="H73" i="63219"/>
  <c r="D73" i="63219"/>
  <c r="F65" i="63219"/>
  <c r="H65" i="63219"/>
  <c r="D65" i="63219"/>
  <c r="F64" i="63219"/>
  <c r="H64" i="63219"/>
  <c r="D64" i="63219"/>
  <c r="H63" i="63219"/>
  <c r="F63" i="63219"/>
  <c r="G63" i="63219"/>
  <c r="D63" i="63219"/>
  <c r="H62" i="63219"/>
  <c r="F62" i="63219"/>
  <c r="D62" i="63219"/>
  <c r="G62" i="63219"/>
  <c r="F61" i="63219"/>
  <c r="D61" i="63219"/>
  <c r="G61" i="63219"/>
  <c r="J50" i="63219"/>
  <c r="I50" i="63219"/>
  <c r="J40" i="63219"/>
  <c r="I40" i="63219"/>
  <c r="J31" i="63219"/>
  <c r="I31" i="63219"/>
  <c r="J19" i="63219"/>
  <c r="I19" i="63219"/>
  <c r="J10" i="63219"/>
  <c r="I10" i="63219"/>
  <c r="E10" i="63223"/>
  <c r="S13" i="63217"/>
  <c r="E12" i="10541"/>
  <c r="K12" i="63224"/>
  <c r="E8" i="63223"/>
  <c r="S11" i="63217"/>
  <c r="E10" i="10541"/>
  <c r="J9" i="63224"/>
  <c r="E43" i="63223"/>
  <c r="K46" i="63224"/>
  <c r="S56" i="63217"/>
  <c r="E47" i="10541"/>
  <c r="J40" i="63237"/>
  <c r="E14" i="63223"/>
  <c r="K16" i="63224"/>
  <c r="S17" i="63217"/>
  <c r="E16" i="10541"/>
  <c r="F15" i="63229"/>
  <c r="K14" i="63224"/>
  <c r="S15" i="63217"/>
  <c r="E14" i="10541"/>
  <c r="F13" i="63229"/>
  <c r="W82" i="63234"/>
  <c r="X82" i="63234"/>
  <c r="N14" i="63211"/>
  <c r="M15" i="63211"/>
  <c r="O43" i="63211"/>
  <c r="P43" i="63211"/>
  <c r="Q43" i="63211"/>
  <c r="R43" i="63211"/>
  <c r="T43" i="63211"/>
  <c r="AB37" i="10541"/>
  <c r="O46" i="63211"/>
  <c r="P46" i="63211"/>
  <c r="Q46" i="63211"/>
  <c r="S46" i="63211"/>
  <c r="U46" i="63211"/>
  <c r="AC40" i="10541"/>
  <c r="O51" i="63211"/>
  <c r="P51" i="63211"/>
  <c r="Q51" i="63211"/>
  <c r="O60" i="63211"/>
  <c r="P60" i="63211"/>
  <c r="Q60" i="63211"/>
  <c r="O62" i="63211"/>
  <c r="P62" i="63211"/>
  <c r="Q62" i="63211"/>
  <c r="O71" i="63211"/>
  <c r="P71" i="63211"/>
  <c r="Q71" i="63211"/>
  <c r="S71" i="63211"/>
  <c r="U71" i="63211"/>
  <c r="O73" i="63211"/>
  <c r="P73" i="63211"/>
  <c r="Q73" i="63211"/>
  <c r="M16" i="63211"/>
  <c r="S10" i="63217"/>
  <c r="D7" i="63223"/>
  <c r="S14" i="63217"/>
  <c r="E13" i="10541"/>
  <c r="I13" i="10541"/>
  <c r="H12" i="63229"/>
  <c r="S18" i="63217"/>
  <c r="E17" i="10541"/>
  <c r="S36" i="63217"/>
  <c r="E33" i="10541"/>
  <c r="S40" i="63217"/>
  <c r="E37" i="10541"/>
  <c r="J35" i="63224"/>
  <c r="S44" i="63217"/>
  <c r="E41" i="10541"/>
  <c r="J39" i="63224"/>
  <c r="R50" i="63217"/>
  <c r="T62" i="63217"/>
  <c r="S67" i="63217"/>
  <c r="E56" i="10541"/>
  <c r="J52" i="63224"/>
  <c r="S69" i="63217"/>
  <c r="E58" i="10541"/>
  <c r="AL58" i="10541"/>
  <c r="S71" i="63217"/>
  <c r="E60" i="10541"/>
  <c r="J56" i="63224"/>
  <c r="R73" i="63217"/>
  <c r="K58" i="63224"/>
  <c r="G84" i="63217"/>
  <c r="R84" i="63217"/>
  <c r="K65" i="63224"/>
  <c r="G14" i="63210"/>
  <c r="H14" i="63210"/>
  <c r="I14" i="63210"/>
  <c r="K14" i="63210"/>
  <c r="L14" i="63210"/>
  <c r="E38" i="63223"/>
  <c r="D9" i="63228"/>
  <c r="D13" i="63228"/>
  <c r="D17" i="63228"/>
  <c r="D21" i="63228"/>
  <c r="D25" i="63228"/>
  <c r="D29" i="63228"/>
  <c r="D34" i="63228"/>
  <c r="D42" i="63228"/>
  <c r="D49" i="63228"/>
  <c r="D57" i="63228"/>
  <c r="D65" i="63228"/>
  <c r="K72" i="63228"/>
  <c r="D77" i="63228"/>
  <c r="D85" i="63228"/>
  <c r="D89" i="63228"/>
  <c r="D97" i="63228"/>
  <c r="D105" i="63228"/>
  <c r="D119" i="63228"/>
  <c r="D126" i="63228"/>
  <c r="D130" i="63228"/>
  <c r="D134" i="63228"/>
  <c r="D138" i="63228"/>
  <c r="D142" i="63228"/>
  <c r="D146" i="63228"/>
  <c r="J146" i="63228"/>
  <c r="D148" i="63228"/>
  <c r="D152" i="63228"/>
  <c r="D155" i="63228"/>
  <c r="V10" i="10541"/>
  <c r="X9" i="63229"/>
  <c r="G11" i="10541"/>
  <c r="G14" i="10541"/>
  <c r="Y13" i="63229"/>
  <c r="G25" i="10541"/>
  <c r="Y24" i="63229"/>
  <c r="Y24" i="63236"/>
  <c r="V43" i="10541"/>
  <c r="X39" i="63229"/>
  <c r="G49" i="10541"/>
  <c r="Y45" i="63229"/>
  <c r="G55" i="10541"/>
  <c r="Y48" i="63229"/>
  <c r="G56" i="10541"/>
  <c r="Y49" i="63229"/>
  <c r="Y49" i="63236"/>
  <c r="G57" i="10541"/>
  <c r="Y50" i="63229"/>
  <c r="V57" i="10541"/>
  <c r="X50" i="63229"/>
  <c r="V58" i="10541"/>
  <c r="X51" i="63229"/>
  <c r="G60" i="10541"/>
  <c r="Y53" i="63229"/>
  <c r="M60" i="63230"/>
  <c r="G61" i="10541"/>
  <c r="Y54" i="63229"/>
  <c r="V61" i="10541"/>
  <c r="X54" i="63229"/>
  <c r="V62" i="10541"/>
  <c r="X55" i="63229"/>
  <c r="G64" i="10541"/>
  <c r="Y57" i="63229"/>
  <c r="M64" i="63230"/>
  <c r="I63" i="63219"/>
  <c r="H61" i="63219"/>
  <c r="I61" i="63219"/>
  <c r="D80" i="63219"/>
  <c r="H75" i="63219"/>
  <c r="AJ17" i="63211"/>
  <c r="O18" i="63211"/>
  <c r="P18" i="63211"/>
  <c r="Q18" i="63211"/>
  <c r="O23" i="63211"/>
  <c r="P23" i="63211"/>
  <c r="Q23" i="63211"/>
  <c r="R23" i="63211"/>
  <c r="T23" i="63211"/>
  <c r="AB15" i="10541"/>
  <c r="N14" i="63229"/>
  <c r="O27" i="63211"/>
  <c r="P27" i="63211"/>
  <c r="Q27" i="63211"/>
  <c r="S27" i="63211"/>
  <c r="U27" i="63211"/>
  <c r="AC19" i="10541"/>
  <c r="O18" i="63229"/>
  <c r="O38" i="63211"/>
  <c r="P38" i="63211"/>
  <c r="Q38" i="63211"/>
  <c r="O41" i="63211"/>
  <c r="P41" i="63211"/>
  <c r="Q41" i="63211"/>
  <c r="O45" i="63211"/>
  <c r="P45" i="63211"/>
  <c r="Q45" i="63211"/>
  <c r="S45" i="63211"/>
  <c r="U45" i="63211"/>
  <c r="AC39" i="10541"/>
  <c r="O35" i="63229"/>
  <c r="AI58" i="63211"/>
  <c r="AJ60" i="63211"/>
  <c r="O65" i="63211"/>
  <c r="P65" i="63211"/>
  <c r="Q65" i="63211"/>
  <c r="O76" i="63211"/>
  <c r="P76" i="63211"/>
  <c r="Q76" i="63211"/>
  <c r="R76" i="63211"/>
  <c r="T76" i="63211"/>
  <c r="K17" i="63224"/>
  <c r="K20" i="63224"/>
  <c r="K30" i="63224"/>
  <c r="R81" i="63217"/>
  <c r="S81" i="63217"/>
  <c r="D10" i="63228"/>
  <c r="D14" i="63228"/>
  <c r="D18" i="63228"/>
  <c r="D22" i="63228"/>
  <c r="D26" i="63228"/>
  <c r="D30" i="63228"/>
  <c r="D35" i="63228"/>
  <c r="D43" i="63228"/>
  <c r="D50" i="63228"/>
  <c r="D58" i="63228"/>
  <c r="D66" i="63228"/>
  <c r="D78" i="63228"/>
  <c r="D86" i="63228"/>
  <c r="D92" i="63228"/>
  <c r="D100" i="63228"/>
  <c r="D107" i="63228"/>
  <c r="I146" i="63228"/>
  <c r="D122" i="63228"/>
  <c r="D127" i="63228"/>
  <c r="D131" i="63228"/>
  <c r="D135" i="63228"/>
  <c r="D139" i="63228"/>
  <c r="D143" i="63228"/>
  <c r="D149" i="63228"/>
  <c r="D153" i="63228"/>
  <c r="G7" i="10541"/>
  <c r="W7" i="10541"/>
  <c r="G12" i="10541"/>
  <c r="Y11" i="63229"/>
  <c r="G13" i="10541"/>
  <c r="V13" i="10541"/>
  <c r="X12" i="63229"/>
  <c r="V14" i="10541"/>
  <c r="X13" i="63229"/>
  <c r="G18" i="10541"/>
  <c r="V25" i="10541"/>
  <c r="X24" i="63229"/>
  <c r="X24" i="63236"/>
  <c r="G42" i="10541"/>
  <c r="Y38" i="63229"/>
  <c r="G44" i="10541"/>
  <c r="Y40" i="63229"/>
  <c r="G45" i="10541"/>
  <c r="Y41" i="63229"/>
  <c r="V45" i="10541"/>
  <c r="X41" i="63229"/>
  <c r="V49" i="10541"/>
  <c r="X45" i="63229"/>
  <c r="G65" i="10541"/>
  <c r="Y58" i="63229"/>
  <c r="V65" i="10541"/>
  <c r="X58" i="63229"/>
  <c r="W45" i="63234"/>
  <c r="X45" i="63234"/>
  <c r="W78" i="63234"/>
  <c r="X78" i="63234"/>
  <c r="N15" i="63211"/>
  <c r="O36" i="63211"/>
  <c r="P36" i="63211"/>
  <c r="Q36" i="63211"/>
  <c r="S36" i="63211"/>
  <c r="U36" i="63211"/>
  <c r="AC31" i="10541"/>
  <c r="O27" i="63229"/>
  <c r="O47" i="63211"/>
  <c r="P47" i="63211"/>
  <c r="Q47" i="63211"/>
  <c r="R47" i="63211"/>
  <c r="T47" i="63211"/>
  <c r="AB41" i="10541"/>
  <c r="O50" i="63211"/>
  <c r="P50" i="63211"/>
  <c r="Q50" i="63211"/>
  <c r="S50" i="63211"/>
  <c r="U50" i="63211"/>
  <c r="AC44" i="10541"/>
  <c r="O53" i="63211"/>
  <c r="P53" i="63211"/>
  <c r="Q53" i="63211"/>
  <c r="N59" i="63211"/>
  <c r="O59" i="63211"/>
  <c r="P59" i="63211"/>
  <c r="Q59" i="63211"/>
  <c r="S59" i="63211"/>
  <c r="U59" i="63211"/>
  <c r="AC55" i="10541"/>
  <c r="O48" i="63229"/>
  <c r="O74" i="63211"/>
  <c r="P74" i="63211"/>
  <c r="Q74" i="63211"/>
  <c r="R74" i="63211"/>
  <c r="T74" i="63211"/>
  <c r="O78" i="63211"/>
  <c r="P78" i="63211"/>
  <c r="Q78" i="63211"/>
  <c r="S78" i="63211"/>
  <c r="U78" i="63211"/>
  <c r="K13" i="63224"/>
  <c r="K54" i="63224"/>
  <c r="S12" i="63217"/>
  <c r="E11" i="10541"/>
  <c r="AL11" i="10541"/>
  <c r="S16" i="63217"/>
  <c r="E15" i="10541"/>
  <c r="J15" i="63224"/>
  <c r="S37" i="63217"/>
  <c r="E34" i="10541"/>
  <c r="J31" i="63224"/>
  <c r="R53" i="63217"/>
  <c r="T53" i="63217"/>
  <c r="X67" i="63217"/>
  <c r="X69" i="63217"/>
  <c r="X71" i="63217"/>
  <c r="R72" i="63217"/>
  <c r="T72" i="63217"/>
  <c r="D7" i="63228"/>
  <c r="D11" i="63228"/>
  <c r="D15" i="63228"/>
  <c r="D19" i="63228"/>
  <c r="D23" i="63228"/>
  <c r="D27" i="63228"/>
  <c r="D31" i="63228"/>
  <c r="D38" i="63228"/>
  <c r="D45" i="63228"/>
  <c r="D53" i="63228"/>
  <c r="D61" i="63228"/>
  <c r="D69" i="63228"/>
  <c r="D73" i="63228"/>
  <c r="D81" i="63228"/>
  <c r="D93" i="63228"/>
  <c r="D101" i="63228"/>
  <c r="D108" i="63228"/>
  <c r="D115" i="63228"/>
  <c r="D123" i="63228"/>
  <c r="D128" i="63228"/>
  <c r="D132" i="63228"/>
  <c r="D136" i="63228"/>
  <c r="D140" i="63228"/>
  <c r="D144" i="63228"/>
  <c r="D150" i="63228"/>
  <c r="D154" i="63228"/>
  <c r="D157" i="63228"/>
  <c r="D161" i="63228"/>
  <c r="D168" i="63228"/>
  <c r="D172" i="63228"/>
  <c r="D176" i="63228"/>
  <c r="D180" i="63228"/>
  <c r="D184" i="63228"/>
  <c r="D188" i="63228"/>
  <c r="D192" i="63228"/>
  <c r="D196" i="63228"/>
  <c r="D200" i="63228"/>
  <c r="G15" i="10541"/>
  <c r="G16" i="10541"/>
  <c r="G17" i="10541"/>
  <c r="I17" i="10541"/>
  <c r="H16" i="63229"/>
  <c r="S16" i="63229"/>
  <c r="V17" i="10541"/>
  <c r="X16" i="63229"/>
  <c r="V18" i="10541"/>
  <c r="X17" i="63229"/>
  <c r="G23" i="10541"/>
  <c r="Y22" i="63229"/>
  <c r="G27" i="10541"/>
  <c r="Y26" i="63229"/>
  <c r="M33" i="63230"/>
  <c r="G31" i="10541"/>
  <c r="Y27" i="63229"/>
  <c r="Y27" i="63236"/>
  <c r="AS31" i="10541"/>
  <c r="V33" i="10541"/>
  <c r="X29" i="63229"/>
  <c r="V37" i="10541"/>
  <c r="X33" i="63229"/>
  <c r="G40" i="10541"/>
  <c r="Y36" i="63229"/>
  <c r="M43" i="63230"/>
  <c r="V46" i="10541"/>
  <c r="X42" i="63229"/>
  <c r="AE42" i="63238"/>
  <c r="AS47" i="10541"/>
  <c r="AS50" i="10541"/>
  <c r="AS51" i="10541"/>
  <c r="V66" i="10541"/>
  <c r="X59" i="63229"/>
  <c r="X59" i="63236"/>
  <c r="G74" i="63219"/>
  <c r="I74" i="63219"/>
  <c r="H77" i="63219"/>
  <c r="I77" i="63219"/>
  <c r="G65" i="63219"/>
  <c r="I65" i="63219"/>
  <c r="H76" i="63219"/>
  <c r="I76" i="63219"/>
  <c r="O17" i="63211"/>
  <c r="P17" i="63211"/>
  <c r="Q17" i="63211"/>
  <c r="O22" i="63211"/>
  <c r="P22" i="63211"/>
  <c r="Q22" i="63211"/>
  <c r="O26" i="63211"/>
  <c r="P26" i="63211"/>
  <c r="Q26" i="63211"/>
  <c r="S26" i="63211"/>
  <c r="U26" i="63211"/>
  <c r="AC18" i="10541"/>
  <c r="O17" i="63229"/>
  <c r="O21" i="63211"/>
  <c r="P21" i="63211"/>
  <c r="Q21" i="63211"/>
  <c r="S21" i="63211"/>
  <c r="U21" i="63211"/>
  <c r="AC13" i="10541"/>
  <c r="O12" i="63229"/>
  <c r="O39" i="63211"/>
  <c r="P39" i="63211"/>
  <c r="Q39" i="63211"/>
  <c r="O42" i="63211"/>
  <c r="P42" i="63211"/>
  <c r="Q42" i="63211"/>
  <c r="R42" i="63211"/>
  <c r="T42" i="63211"/>
  <c r="AB36" i="10541"/>
  <c r="O49" i="63211"/>
  <c r="P49" i="63211"/>
  <c r="Q49" i="63211"/>
  <c r="S49" i="63211"/>
  <c r="U49" i="63211"/>
  <c r="AC43" i="10541"/>
  <c r="O39" i="63229"/>
  <c r="O61" i="63211"/>
  <c r="P61" i="63211"/>
  <c r="Q61" i="63211"/>
  <c r="O66" i="63211"/>
  <c r="P66" i="63211"/>
  <c r="Q66" i="63211"/>
  <c r="O69" i="63211"/>
  <c r="P69" i="63211"/>
  <c r="Q69" i="63211"/>
  <c r="S69" i="63211"/>
  <c r="U69" i="63211"/>
  <c r="O70" i="63211"/>
  <c r="P70" i="63211"/>
  <c r="Q70" i="63211"/>
  <c r="S70" i="63211"/>
  <c r="U70" i="63211"/>
  <c r="AC65" i="10541"/>
  <c r="O58" i="63229"/>
  <c r="O77" i="63211"/>
  <c r="P77" i="63211"/>
  <c r="Q77" i="63211"/>
  <c r="R8" i="63217"/>
  <c r="X73" i="63217"/>
  <c r="R17" i="63211"/>
  <c r="T17" i="63211"/>
  <c r="AB10" i="10541"/>
  <c r="N9" i="63229"/>
  <c r="S17" i="63211"/>
  <c r="U17" i="63211"/>
  <c r="AC10" i="10541"/>
  <c r="O9" i="63229"/>
  <c r="S66" i="63211"/>
  <c r="U66" i="63211"/>
  <c r="AC62" i="10541"/>
  <c r="O55" i="63229"/>
  <c r="R66" i="63211"/>
  <c r="T66" i="63211"/>
  <c r="AB62" i="10541"/>
  <c r="N55" i="63229"/>
  <c r="S77" i="63211"/>
  <c r="U77" i="63211"/>
  <c r="R77" i="63211"/>
  <c r="T77" i="63211"/>
  <c r="E5" i="63223"/>
  <c r="S8" i="63217"/>
  <c r="T8" i="63217"/>
  <c r="K6" i="63224"/>
  <c r="I62" i="63219"/>
  <c r="Q80" i="63211"/>
  <c r="S43" i="63211"/>
  <c r="U43" i="63211"/>
  <c r="AC37" i="10541"/>
  <c r="O33" i="63229"/>
  <c r="R46" i="63211"/>
  <c r="T46" i="63211"/>
  <c r="AB40" i="10541"/>
  <c r="S51" i="63211"/>
  <c r="U51" i="63211"/>
  <c r="AC45" i="10541"/>
  <c r="O41" i="63229"/>
  <c r="R51" i="63211"/>
  <c r="T51" i="63211"/>
  <c r="AB45" i="10541"/>
  <c r="R55" i="63211"/>
  <c r="T55" i="63211"/>
  <c r="AB48" i="10541"/>
  <c r="S55" i="63211"/>
  <c r="U55" i="63211"/>
  <c r="AC48" i="10541"/>
  <c r="O44" i="63229"/>
  <c r="R60" i="63211"/>
  <c r="T60" i="63211"/>
  <c r="AB56" i="10541"/>
  <c r="N49" i="63229"/>
  <c r="S60" i="63211"/>
  <c r="U60" i="63211"/>
  <c r="AC56" i="10541"/>
  <c r="O49" i="63229"/>
  <c r="S62" i="63211"/>
  <c r="U62" i="63211"/>
  <c r="AC58" i="10541"/>
  <c r="O51" i="63229"/>
  <c r="R62" i="63211"/>
  <c r="T62" i="63211"/>
  <c r="AB58" i="10541"/>
  <c r="N51" i="63229"/>
  <c r="R68" i="63211"/>
  <c r="T68" i="63211"/>
  <c r="S68" i="63211"/>
  <c r="U68" i="63211"/>
  <c r="R71" i="63211"/>
  <c r="T71" i="63211"/>
  <c r="S73" i="63211"/>
  <c r="U73" i="63211"/>
  <c r="AC67" i="10541"/>
  <c r="O60" i="63229"/>
  <c r="R73" i="63211"/>
  <c r="T73" i="63211"/>
  <c r="AB67" i="10541"/>
  <c r="N60" i="63229"/>
  <c r="S9" i="63217"/>
  <c r="K7" i="63224"/>
  <c r="E6" i="63223"/>
  <c r="T9" i="63217"/>
  <c r="E35" i="10541"/>
  <c r="D31" i="63223"/>
  <c r="E39" i="10541"/>
  <c r="D35" i="63223"/>
  <c r="E43" i="10541"/>
  <c r="D39" i="63223"/>
  <c r="T50" i="63217"/>
  <c r="S50" i="63217"/>
  <c r="E41" i="63223"/>
  <c r="K43" i="63224"/>
  <c r="X75" i="63217"/>
  <c r="R78" i="63217"/>
  <c r="E61" i="63223"/>
  <c r="T84" i="63217"/>
  <c r="S84" i="63217"/>
  <c r="S28" i="63211"/>
  <c r="U28" i="63211"/>
  <c r="AC20" i="10541"/>
  <c r="O19" i="63229"/>
  <c r="R28" i="63211"/>
  <c r="T28" i="63211"/>
  <c r="AB20" i="10541"/>
  <c r="N19" i="63229"/>
  <c r="R21" i="63211"/>
  <c r="T21" i="63211"/>
  <c r="AB13" i="10541"/>
  <c r="N12" i="63229"/>
  <c r="R49" i="63211"/>
  <c r="T49" i="63211"/>
  <c r="AB43" i="10541"/>
  <c r="S18" i="63211"/>
  <c r="U18" i="63211"/>
  <c r="R18" i="63211"/>
  <c r="T18" i="63211"/>
  <c r="S23" i="63211"/>
  <c r="U23" i="63211"/>
  <c r="AC15" i="10541"/>
  <c r="O14" i="63229"/>
  <c r="R27" i="63211"/>
  <c r="T27" i="63211"/>
  <c r="AB19" i="10541"/>
  <c r="N18" i="63229"/>
  <c r="S38" i="63211"/>
  <c r="U38" i="63211"/>
  <c r="AC33" i="10541"/>
  <c r="O29" i="63229"/>
  <c r="R38" i="63211"/>
  <c r="T38" i="63211"/>
  <c r="AB33" i="10541"/>
  <c r="R41" i="63211"/>
  <c r="T41" i="63211"/>
  <c r="S41" i="63211"/>
  <c r="U41" i="63211"/>
  <c r="R45" i="63211"/>
  <c r="T45" i="63211"/>
  <c r="AB39" i="10541"/>
  <c r="S65" i="63211"/>
  <c r="U65" i="63211"/>
  <c r="AC61" i="10541"/>
  <c r="O54" i="63229"/>
  <c r="R65" i="63211"/>
  <c r="T65" i="63211"/>
  <c r="AB61" i="10541"/>
  <c r="N54" i="63229"/>
  <c r="S76" i="63211"/>
  <c r="U76" i="63211"/>
  <c r="E49" i="63223"/>
  <c r="T66" i="63217"/>
  <c r="S66" i="63217"/>
  <c r="K51" i="63224"/>
  <c r="E51" i="63223"/>
  <c r="T68" i="63217"/>
  <c r="S68" i="63217"/>
  <c r="K53" i="63224"/>
  <c r="E53" i="63223"/>
  <c r="T70" i="63217"/>
  <c r="S70" i="63217"/>
  <c r="K55" i="63224"/>
  <c r="E57" i="63223"/>
  <c r="S74" i="63217"/>
  <c r="K59" i="63224"/>
  <c r="T74" i="63217"/>
  <c r="E60" i="63223"/>
  <c r="I6" i="63229"/>
  <c r="AG7" i="10541"/>
  <c r="J6" i="63229"/>
  <c r="I43" i="63229"/>
  <c r="AG47" i="10541"/>
  <c r="R22" i="63211"/>
  <c r="T22" i="63211"/>
  <c r="AB14" i="10541"/>
  <c r="N13" i="63229"/>
  <c r="S22" i="63211"/>
  <c r="U22" i="63211"/>
  <c r="AC14" i="10541"/>
  <c r="O13" i="63229"/>
  <c r="S39" i="63211"/>
  <c r="U39" i="63211"/>
  <c r="AC34" i="10541"/>
  <c r="O30" i="63229"/>
  <c r="R39" i="63211"/>
  <c r="T39" i="63211"/>
  <c r="AB34" i="10541"/>
  <c r="N30" i="63229"/>
  <c r="S42" i="63211"/>
  <c r="U42" i="63211"/>
  <c r="AC36" i="10541"/>
  <c r="O32" i="63229"/>
  <c r="S61" i="63211"/>
  <c r="U61" i="63211"/>
  <c r="AC57" i="10541"/>
  <c r="O50" i="63229"/>
  <c r="R61" i="63211"/>
  <c r="T61" i="63211"/>
  <c r="AB57" i="10541"/>
  <c r="R69" i="63211"/>
  <c r="T69" i="63211"/>
  <c r="K28" i="63224"/>
  <c r="E27" i="63223"/>
  <c r="E51" i="10541"/>
  <c r="D47" i="63223"/>
  <c r="T75" i="63217"/>
  <c r="S75" i="63217"/>
  <c r="E58" i="63223"/>
  <c r="K60" i="63224"/>
  <c r="I8" i="63229"/>
  <c r="AG9" i="10541"/>
  <c r="J8" i="63229"/>
  <c r="I64" i="63219"/>
  <c r="Q79" i="63211"/>
  <c r="Q83" i="63211"/>
  <c r="S19" i="63211"/>
  <c r="U19" i="63211"/>
  <c r="R19" i="63211"/>
  <c r="T19" i="63211"/>
  <c r="R36" i="63211"/>
  <c r="T36" i="63211"/>
  <c r="AB31" i="10541"/>
  <c r="S37" i="63211"/>
  <c r="U37" i="63211"/>
  <c r="AC32" i="10541"/>
  <c r="O28" i="63229"/>
  <c r="R37" i="63211"/>
  <c r="T37" i="63211"/>
  <c r="AB32" i="10541"/>
  <c r="S40" i="63211"/>
  <c r="U40" i="63211"/>
  <c r="R40" i="63211"/>
  <c r="T40" i="63211"/>
  <c r="S47" i="63211"/>
  <c r="U47" i="63211"/>
  <c r="AC41" i="10541"/>
  <c r="O37" i="63229"/>
  <c r="R50" i="63211"/>
  <c r="T50" i="63211"/>
  <c r="AB44" i="10541"/>
  <c r="S53" i="63211"/>
  <c r="U53" i="63211"/>
  <c r="R53" i="63211"/>
  <c r="T53" i="63211"/>
  <c r="R59" i="63211"/>
  <c r="T59" i="63211"/>
  <c r="AB55" i="10541"/>
  <c r="N48" i="63229"/>
  <c r="S64" i="63211"/>
  <c r="U64" i="63211"/>
  <c r="AC60" i="10541"/>
  <c r="O53" i="63229"/>
  <c r="R64" i="63211"/>
  <c r="T64" i="63211"/>
  <c r="AB60" i="10541"/>
  <c r="N53" i="63229"/>
  <c r="S72" i="63211"/>
  <c r="U72" i="63211"/>
  <c r="R72" i="63211"/>
  <c r="T72" i="63211"/>
  <c r="S74" i="63211"/>
  <c r="U74" i="63211"/>
  <c r="R78" i="63211"/>
  <c r="T78" i="63211"/>
  <c r="E42" i="63223"/>
  <c r="S53" i="63217"/>
  <c r="K44" i="63224"/>
  <c r="E55" i="63223"/>
  <c r="S72" i="63217"/>
  <c r="K57" i="63224"/>
  <c r="K146" i="63228"/>
  <c r="I7" i="63229"/>
  <c r="AG8" i="10541"/>
  <c r="J7" i="63229"/>
  <c r="G64" i="63219"/>
  <c r="G75" i="63219"/>
  <c r="I75" i="63219"/>
  <c r="O52" i="63211"/>
  <c r="P52" i="63211"/>
  <c r="Q52" i="63211"/>
  <c r="O75" i="63211"/>
  <c r="P75" i="63211"/>
  <c r="Q75" i="63211"/>
  <c r="H10" i="10541"/>
  <c r="G9" i="63229"/>
  <c r="AL10" i="10541"/>
  <c r="F9" i="63229"/>
  <c r="I10" i="10541"/>
  <c r="H9" i="63229"/>
  <c r="H11" i="10541"/>
  <c r="G10" i="63229"/>
  <c r="H12" i="10541"/>
  <c r="G11" i="63229"/>
  <c r="F11" i="63229"/>
  <c r="F12" i="63229"/>
  <c r="H14" i="10541"/>
  <c r="G13" i="63229"/>
  <c r="AL14" i="10541"/>
  <c r="F14" i="63229"/>
  <c r="AL15" i="10541"/>
  <c r="AL60" i="10541"/>
  <c r="H15" i="10541"/>
  <c r="G14" i="63229"/>
  <c r="H16" i="10541"/>
  <c r="G15" i="63229"/>
  <c r="F16" i="63229"/>
  <c r="H17" i="10541"/>
  <c r="G16" i="63229"/>
  <c r="J12" i="63237"/>
  <c r="F29" i="63229"/>
  <c r="J26" i="63237"/>
  <c r="F33" i="63229"/>
  <c r="J30" i="63237"/>
  <c r="F43" i="63229"/>
  <c r="F45" i="63229"/>
  <c r="I49" i="10541"/>
  <c r="H45" i="63229"/>
  <c r="H49" i="10541"/>
  <c r="W66" i="63217"/>
  <c r="X66" i="63217"/>
  <c r="J47" i="63237"/>
  <c r="W68" i="63217"/>
  <c r="X68" i="63217"/>
  <c r="J49" i="63237"/>
  <c r="W70" i="63217"/>
  <c r="X70" i="63217"/>
  <c r="F53" i="63229"/>
  <c r="I60" i="10541"/>
  <c r="H53" i="63229"/>
  <c r="S53" i="63229"/>
  <c r="J51" i="63237"/>
  <c r="D8" i="63223"/>
  <c r="D10" i="63223"/>
  <c r="D12" i="63223"/>
  <c r="D29" i="63223"/>
  <c r="D33" i="63223"/>
  <c r="D45" i="63223"/>
  <c r="D50" i="63223"/>
  <c r="D54" i="63223"/>
  <c r="I11" i="63229"/>
  <c r="AG12" i="10541"/>
  <c r="J11" i="63229"/>
  <c r="AG17" i="10541"/>
  <c r="J16" i="63229"/>
  <c r="I16" i="63229"/>
  <c r="I28" i="63229"/>
  <c r="AI32" i="10541"/>
  <c r="AG32" i="10541"/>
  <c r="I32" i="63229"/>
  <c r="AG36" i="10541"/>
  <c r="I36" i="63229"/>
  <c r="AG40" i="10541"/>
  <c r="AH40" i="10541"/>
  <c r="AJ40" i="10541"/>
  <c r="I40" i="63229"/>
  <c r="AG44" i="10541"/>
  <c r="I44" i="63229"/>
  <c r="AG48" i="10541"/>
  <c r="I51" i="63229"/>
  <c r="AG58" i="10541"/>
  <c r="I55" i="63229"/>
  <c r="AG62" i="10541"/>
  <c r="I59" i="63229"/>
  <c r="AG66" i="10541"/>
  <c r="L42" i="63229"/>
  <c r="AT46" i="10541"/>
  <c r="K6" i="63236"/>
  <c r="N6" i="63238"/>
  <c r="AP6" i="63236"/>
  <c r="T13" i="63230"/>
  <c r="U13" i="63230"/>
  <c r="BC6" i="63238"/>
  <c r="V8" i="10541"/>
  <c r="X7" i="63229"/>
  <c r="V7" i="63229"/>
  <c r="E9" i="10541"/>
  <c r="L8" i="63236"/>
  <c r="P8" i="63238"/>
  <c r="W8" i="63236"/>
  <c r="AD8" i="63238"/>
  <c r="L9" i="63236"/>
  <c r="P9" i="63238"/>
  <c r="S9" i="63229"/>
  <c r="Y9" i="63229"/>
  <c r="V10" i="63236"/>
  <c r="AC10" i="63238"/>
  <c r="X11" i="63236"/>
  <c r="AE11" i="63238"/>
  <c r="V12" i="63236"/>
  <c r="AC12" i="63238"/>
  <c r="V13" i="63236"/>
  <c r="AC13" i="63238"/>
  <c r="K14" i="63236"/>
  <c r="N14" i="63238"/>
  <c r="AP14" i="63236"/>
  <c r="T21" i="63230"/>
  <c r="U21" i="63230"/>
  <c r="BC14" i="63238"/>
  <c r="K15" i="63236"/>
  <c r="N15" i="63238"/>
  <c r="AH17" i="10541"/>
  <c r="K17" i="63236"/>
  <c r="N17" i="63238"/>
  <c r="O15" i="63211"/>
  <c r="P15" i="63211"/>
  <c r="Q15" i="63211"/>
  <c r="O25" i="63211"/>
  <c r="P25" i="63211"/>
  <c r="Q25" i="63211"/>
  <c r="O44" i="63211"/>
  <c r="P44" i="63211"/>
  <c r="Q44" i="63211"/>
  <c r="O48" i="63211"/>
  <c r="P48" i="63211"/>
  <c r="Q48" i="63211"/>
  <c r="O54" i="63211"/>
  <c r="P54" i="63211"/>
  <c r="Q54" i="63211"/>
  <c r="O67" i="63211"/>
  <c r="P67" i="63211"/>
  <c r="Q67" i="63211"/>
  <c r="D68" i="63219"/>
  <c r="W8" i="63234"/>
  <c r="X8" i="63234"/>
  <c r="X14" i="63234"/>
  <c r="W13" i="63234"/>
  <c r="X13" i="63234"/>
  <c r="W42" i="63234"/>
  <c r="X42" i="63234"/>
  <c r="W44" i="63234"/>
  <c r="X44" i="63234"/>
  <c r="W117" i="63234"/>
  <c r="X117" i="63234"/>
  <c r="W119" i="63234"/>
  <c r="X119" i="63234"/>
  <c r="W121" i="63234"/>
  <c r="X121" i="63234"/>
  <c r="AJ37" i="63211"/>
  <c r="Q81" i="63211"/>
  <c r="K9" i="63224"/>
  <c r="K15" i="63224"/>
  <c r="K19" i="63224"/>
  <c r="K29" i="63224"/>
  <c r="K35" i="63224"/>
  <c r="K39" i="63224"/>
  <c r="J48" i="63224"/>
  <c r="K52" i="63224"/>
  <c r="K56" i="63224"/>
  <c r="T10" i="63217"/>
  <c r="T11" i="63217"/>
  <c r="T12" i="63217"/>
  <c r="T13" i="63217"/>
  <c r="T14" i="63217"/>
  <c r="T15" i="63217"/>
  <c r="T16" i="63217"/>
  <c r="T17" i="63217"/>
  <c r="T18" i="63217"/>
  <c r="S19" i="63217"/>
  <c r="S20" i="63217"/>
  <c r="S21" i="63217"/>
  <c r="S22" i="63217"/>
  <c r="S23" i="63217"/>
  <c r="S24" i="63217"/>
  <c r="S25" i="63217"/>
  <c r="S26" i="63217"/>
  <c r="S27" i="63217"/>
  <c r="S28" i="63217"/>
  <c r="S35" i="63217"/>
  <c r="T36" i="63217"/>
  <c r="S39" i="63217"/>
  <c r="T40" i="63217"/>
  <c r="S43" i="63217"/>
  <c r="T44" i="63217"/>
  <c r="S47" i="63217"/>
  <c r="T56" i="63217"/>
  <c r="S59" i="63217"/>
  <c r="T60" i="63217"/>
  <c r="T67" i="63217"/>
  <c r="T69" i="63217"/>
  <c r="T71" i="63217"/>
  <c r="S73" i="63217"/>
  <c r="W74" i="63217"/>
  <c r="X74" i="63217"/>
  <c r="W77" i="63217"/>
  <c r="E12" i="63223"/>
  <c r="E16" i="63223"/>
  <c r="E18" i="63223"/>
  <c r="E20" i="63223"/>
  <c r="E22" i="63223"/>
  <c r="E24" i="63223"/>
  <c r="E31" i="63223"/>
  <c r="E35" i="63223"/>
  <c r="E39" i="63223"/>
  <c r="E45" i="63223"/>
  <c r="E47" i="63223"/>
  <c r="E56" i="63223"/>
  <c r="D36" i="63228"/>
  <c r="D40" i="63228"/>
  <c r="D44" i="63228"/>
  <c r="D47" i="63228"/>
  <c r="D51" i="63228"/>
  <c r="D55" i="63228"/>
  <c r="D59" i="63228"/>
  <c r="D63" i="63228"/>
  <c r="D67" i="63228"/>
  <c r="D71" i="63228"/>
  <c r="D75" i="63228"/>
  <c r="D79" i="63228"/>
  <c r="D83" i="63228"/>
  <c r="D87" i="63228"/>
  <c r="D90" i="63228"/>
  <c r="D94" i="63228"/>
  <c r="D98" i="63228"/>
  <c r="D102" i="63228"/>
  <c r="D106" i="63228"/>
  <c r="E106" i="63228"/>
  <c r="D109" i="63228"/>
  <c r="D113" i="63228"/>
  <c r="D116" i="63228"/>
  <c r="D120" i="63228"/>
  <c r="D124" i="63228"/>
  <c r="I13" i="63229"/>
  <c r="AG14" i="10541"/>
  <c r="I17" i="63229"/>
  <c r="AG18" i="10541"/>
  <c r="I29" i="63229"/>
  <c r="AG33" i="10541"/>
  <c r="I33" i="63229"/>
  <c r="AG37" i="10541"/>
  <c r="AH37" i="10541"/>
  <c r="AI37" i="10541"/>
  <c r="I37" i="63229"/>
  <c r="AG41" i="10541"/>
  <c r="I41" i="63229"/>
  <c r="AG45" i="10541"/>
  <c r="I48" i="63229"/>
  <c r="AG55" i="10541"/>
  <c r="I52" i="63229"/>
  <c r="AG59" i="10541"/>
  <c r="I56" i="63229"/>
  <c r="AG63" i="10541"/>
  <c r="I60" i="63229"/>
  <c r="AG67" i="10541"/>
  <c r="K10" i="63229"/>
  <c r="K31" i="63229"/>
  <c r="L57" i="63236"/>
  <c r="P57" i="63238"/>
  <c r="L59" i="63229"/>
  <c r="AT49" i="10541"/>
  <c r="Y6" i="63229"/>
  <c r="V6" i="63236"/>
  <c r="AC6" i="63238"/>
  <c r="M14" i="63230"/>
  <c r="Y7" i="63236"/>
  <c r="AF7" i="63238"/>
  <c r="L7" i="63236"/>
  <c r="P7" i="63238"/>
  <c r="W7" i="63236"/>
  <c r="AD7" i="63238"/>
  <c r="M15" i="63230"/>
  <c r="Y8" i="63236"/>
  <c r="AF8" i="63238"/>
  <c r="AO8" i="63236"/>
  <c r="Q15" i="63230"/>
  <c r="R15" i="63230"/>
  <c r="BA8" i="63238"/>
  <c r="AO9" i="63236"/>
  <c r="Q16" i="63230"/>
  <c r="R16" i="63230"/>
  <c r="BA9" i="63238"/>
  <c r="X9" i="63236"/>
  <c r="AE9" i="63238"/>
  <c r="Y10" i="63229"/>
  <c r="L11" i="63236"/>
  <c r="P11" i="63238"/>
  <c r="W11" i="63236"/>
  <c r="AD11" i="63238"/>
  <c r="P12" i="63238"/>
  <c r="L12" i="63236"/>
  <c r="W12" i="63236"/>
  <c r="AD12" i="63238"/>
  <c r="L13" i="63236"/>
  <c r="P13" i="63238"/>
  <c r="V14" i="63236"/>
  <c r="AC14" i="63238"/>
  <c r="K18" i="63236"/>
  <c r="N18" i="63238"/>
  <c r="AP18" i="63236"/>
  <c r="T25" i="63230"/>
  <c r="U25" i="63230"/>
  <c r="BC18" i="63238"/>
  <c r="AP19" i="63236"/>
  <c r="T26" i="63230"/>
  <c r="U26" i="63230"/>
  <c r="BC19" i="63238"/>
  <c r="O29" i="63211"/>
  <c r="P29" i="63211"/>
  <c r="Q29" i="63211"/>
  <c r="O63" i="63211"/>
  <c r="P63" i="63211"/>
  <c r="Q63" i="63211"/>
  <c r="G73" i="63219"/>
  <c r="I73" i="63219"/>
  <c r="W79" i="63234"/>
  <c r="X79" i="63234"/>
  <c r="X84" i="63234"/>
  <c r="W81" i="63234"/>
  <c r="X81" i="63234"/>
  <c r="O14" i="63211"/>
  <c r="P14" i="63211"/>
  <c r="Q14" i="63211"/>
  <c r="K8" i="63224"/>
  <c r="J17" i="63224"/>
  <c r="K18" i="63224"/>
  <c r="K22" i="63224"/>
  <c r="K23" i="63224"/>
  <c r="K24" i="63224"/>
  <c r="K25" i="63224"/>
  <c r="K26" i="63224"/>
  <c r="K27" i="63224"/>
  <c r="K32" i="63224"/>
  <c r="K34" i="63224"/>
  <c r="K38" i="63224"/>
  <c r="K42" i="63224"/>
  <c r="K50" i="63224"/>
  <c r="T20" i="63217"/>
  <c r="T22" i="63217"/>
  <c r="T24" i="63217"/>
  <c r="T26" i="63217"/>
  <c r="T28" i="63217"/>
  <c r="F27" i="63229"/>
  <c r="J24" i="63237"/>
  <c r="H31" i="10541"/>
  <c r="T35" i="63217"/>
  <c r="T39" i="63217"/>
  <c r="T43" i="63217"/>
  <c r="T47" i="63217"/>
  <c r="T59" i="63217"/>
  <c r="T73" i="63217"/>
  <c r="D11" i="63223"/>
  <c r="D13" i="63223"/>
  <c r="D15" i="63223"/>
  <c r="D30" i="63223"/>
  <c r="D34" i="63223"/>
  <c r="D38" i="63223"/>
  <c r="D46" i="63223"/>
  <c r="D33" i="63228"/>
  <c r="D37" i="63228"/>
  <c r="D41" i="63228"/>
  <c r="D48" i="63228"/>
  <c r="D52" i="63228"/>
  <c r="D56" i="63228"/>
  <c r="D60" i="63228"/>
  <c r="D64" i="63228"/>
  <c r="D68" i="63228"/>
  <c r="D72" i="63228"/>
  <c r="J72" i="63228"/>
  <c r="D76" i="63228"/>
  <c r="D80" i="63228"/>
  <c r="D84" i="63228"/>
  <c r="D91" i="63228"/>
  <c r="D95" i="63228"/>
  <c r="D99" i="63228"/>
  <c r="D103" i="63228"/>
  <c r="D110" i="63228"/>
  <c r="D114" i="63228"/>
  <c r="D117" i="63228"/>
  <c r="D121" i="63228"/>
  <c r="I9" i="63229"/>
  <c r="AG10" i="10541"/>
  <c r="J9" i="63229"/>
  <c r="AG15" i="10541"/>
  <c r="I14" i="63229"/>
  <c r="I19" i="63229"/>
  <c r="AG20" i="10541"/>
  <c r="J19" i="63229"/>
  <c r="I30" i="63229"/>
  <c r="AG34" i="10541"/>
  <c r="J30" i="63229"/>
  <c r="I34" i="63229"/>
  <c r="AG38" i="10541"/>
  <c r="I38" i="63229"/>
  <c r="AG42" i="10541"/>
  <c r="AH42" i="10541"/>
  <c r="I42" i="63229"/>
  <c r="AG46" i="10541"/>
  <c r="I49" i="63229"/>
  <c r="AG56" i="10541"/>
  <c r="J49" i="63229"/>
  <c r="I53" i="63229"/>
  <c r="AG60" i="10541"/>
  <c r="J53" i="63229"/>
  <c r="I57" i="63229"/>
  <c r="AG64" i="10541"/>
  <c r="J57" i="63229"/>
  <c r="K42" i="63229"/>
  <c r="AH46" i="10541"/>
  <c r="AS46" i="10541"/>
  <c r="L6" i="63236"/>
  <c r="P6" i="63238"/>
  <c r="W6" i="63236"/>
  <c r="AD6" i="63238"/>
  <c r="AO7" i="63236"/>
  <c r="Q14" i="63230"/>
  <c r="R14" i="63230"/>
  <c r="BA7" i="63238"/>
  <c r="W8" i="10541"/>
  <c r="W9" i="10541"/>
  <c r="W10" i="10541"/>
  <c r="W11" i="10541"/>
  <c r="K8" i="63229"/>
  <c r="AP8" i="63236"/>
  <c r="T15" i="63230"/>
  <c r="U15" i="63230"/>
  <c r="BC8" i="63238"/>
  <c r="AP9" i="63236"/>
  <c r="T16" i="63230"/>
  <c r="U16" i="63230"/>
  <c r="BC9" i="63238"/>
  <c r="AO10" i="63236"/>
  <c r="Q17" i="63230"/>
  <c r="R17" i="63230"/>
  <c r="BA10" i="63238"/>
  <c r="M18" i="63230"/>
  <c r="Y11" i="63236"/>
  <c r="AF11" i="63238"/>
  <c r="AO11" i="63236"/>
  <c r="Q18" i="63230"/>
  <c r="R18" i="63230"/>
  <c r="BA11" i="63238"/>
  <c r="AO12" i="63236"/>
  <c r="Q19" i="63230"/>
  <c r="R19" i="63230"/>
  <c r="BA12" i="63238"/>
  <c r="X12" i="63236"/>
  <c r="AE12" i="63238"/>
  <c r="AO13" i="63236"/>
  <c r="Q20" i="63230"/>
  <c r="R20" i="63230"/>
  <c r="BA13" i="63238"/>
  <c r="X13" i="63236"/>
  <c r="AE13" i="63238"/>
  <c r="L14" i="63236"/>
  <c r="P14" i="63238"/>
  <c r="W14" i="63236"/>
  <c r="AD14" i="63238"/>
  <c r="W15" i="63236"/>
  <c r="AD15" i="63238"/>
  <c r="W16" i="63236"/>
  <c r="AD16" i="63238"/>
  <c r="Y17" i="63229"/>
  <c r="V18" i="63236"/>
  <c r="AC18" i="63238"/>
  <c r="W118" i="63234"/>
  <c r="X118" i="63234"/>
  <c r="W120" i="63234"/>
  <c r="X120" i="63234"/>
  <c r="O16" i="63211"/>
  <c r="P16" i="63211"/>
  <c r="Q16" i="63211"/>
  <c r="O20" i="63211"/>
  <c r="P20" i="63211"/>
  <c r="Q20" i="63211"/>
  <c r="O24" i="63211"/>
  <c r="P24" i="63211"/>
  <c r="Q24" i="63211"/>
  <c r="AI36" i="63211"/>
  <c r="J12" i="63224"/>
  <c r="K21" i="63224"/>
  <c r="J30" i="63224"/>
  <c r="K47" i="63224"/>
  <c r="F30" i="63229"/>
  <c r="I34" i="10541"/>
  <c r="H30" i="63229"/>
  <c r="H34" i="10541"/>
  <c r="G30" i="63229"/>
  <c r="J27" i="63237"/>
  <c r="F34" i="63229"/>
  <c r="I38" i="10541"/>
  <c r="H34" i="63229"/>
  <c r="H38" i="10541"/>
  <c r="J31" i="63237"/>
  <c r="F38" i="63229"/>
  <c r="I42" i="10541"/>
  <c r="H38" i="63229"/>
  <c r="R38" i="63229"/>
  <c r="H42" i="10541"/>
  <c r="J35" i="63237"/>
  <c r="F46" i="63229"/>
  <c r="I10" i="63229"/>
  <c r="AG11" i="10541"/>
  <c r="J10" i="63229"/>
  <c r="I15" i="63229"/>
  <c r="AG16" i="10541"/>
  <c r="J15" i="63229"/>
  <c r="I27" i="63229"/>
  <c r="AG31" i="10541"/>
  <c r="I31" i="63229"/>
  <c r="AG35" i="10541"/>
  <c r="J31" i="63229"/>
  <c r="I35" i="63229"/>
  <c r="AG39" i="10541"/>
  <c r="I39" i="63229"/>
  <c r="AG43" i="10541"/>
  <c r="I50" i="63229"/>
  <c r="AG57" i="10541"/>
  <c r="AH57" i="10541"/>
  <c r="I54" i="63229"/>
  <c r="AG61" i="10541"/>
  <c r="J54" i="63229"/>
  <c r="I58" i="63229"/>
  <c r="AG65" i="10541"/>
  <c r="J58" i="63229"/>
  <c r="L10" i="63236"/>
  <c r="P10" i="63238"/>
  <c r="L31" i="63236"/>
  <c r="P31" i="63238"/>
  <c r="K57" i="63229"/>
  <c r="AH64" i="10541"/>
  <c r="K59" i="63229"/>
  <c r="AH66" i="10541"/>
  <c r="AS49" i="10541"/>
  <c r="AO6" i="63236"/>
  <c r="Q13" i="63230"/>
  <c r="R13" i="63230"/>
  <c r="BA6" i="63238"/>
  <c r="V7" i="10541"/>
  <c r="X6" i="63229"/>
  <c r="K7" i="63236"/>
  <c r="N7" i="63238"/>
  <c r="AP7" i="63236"/>
  <c r="T14" i="63230"/>
  <c r="U14" i="63230"/>
  <c r="BC7" i="63238"/>
  <c r="X8" i="10541"/>
  <c r="X9" i="10541"/>
  <c r="X10" i="10541"/>
  <c r="X11" i="10541"/>
  <c r="AH8" i="10541"/>
  <c r="V9" i="10541"/>
  <c r="X8" i="63229"/>
  <c r="V8" i="63229"/>
  <c r="V9" i="63236"/>
  <c r="AC9" i="63238"/>
  <c r="BC10" i="63238"/>
  <c r="AP10" i="63236"/>
  <c r="T17" i="63230"/>
  <c r="U17" i="63230"/>
  <c r="K11" i="63236"/>
  <c r="N11" i="63238"/>
  <c r="AP11" i="63236"/>
  <c r="T18" i="63230"/>
  <c r="U18" i="63230"/>
  <c r="BC11" i="63238"/>
  <c r="K12" i="63236"/>
  <c r="N12" i="63238"/>
  <c r="AP12" i="63236"/>
  <c r="T19" i="63230"/>
  <c r="U19" i="63230"/>
  <c r="BC12" i="63238"/>
  <c r="K13" i="63236"/>
  <c r="N13" i="63238"/>
  <c r="AP13" i="63236"/>
  <c r="T20" i="63230"/>
  <c r="U20" i="63230"/>
  <c r="BC13" i="63238"/>
  <c r="AO14" i="63236"/>
  <c r="Q21" i="63230"/>
  <c r="R21" i="63230"/>
  <c r="BA14" i="63238"/>
  <c r="AO15" i="63236"/>
  <c r="Q22" i="63230"/>
  <c r="R22" i="63230"/>
  <c r="BA15" i="63238"/>
  <c r="AO16" i="63236"/>
  <c r="Q23" i="63230"/>
  <c r="R23" i="63230"/>
  <c r="BA16" i="63238"/>
  <c r="AO17" i="63236"/>
  <c r="Q24" i="63230"/>
  <c r="R24" i="63230"/>
  <c r="BA17" i="63238"/>
  <c r="L19" i="63236"/>
  <c r="P19" i="63238"/>
  <c r="L20" i="63236"/>
  <c r="P20" i="63238"/>
  <c r="V15" i="63236"/>
  <c r="AC15" i="63238"/>
  <c r="AP16" i="63236"/>
  <c r="T23" i="63230"/>
  <c r="U23" i="63230"/>
  <c r="BC16" i="63238"/>
  <c r="X17" i="63236"/>
  <c r="AE17" i="63238"/>
  <c r="L18" i="63236"/>
  <c r="P18" i="63238"/>
  <c r="W18" i="63236"/>
  <c r="AD18" i="63238"/>
  <c r="M26" i="63230"/>
  <c r="Y19" i="63236"/>
  <c r="AF19" i="63238"/>
  <c r="V19" i="63236"/>
  <c r="AC19" i="63238"/>
  <c r="K20" i="63236"/>
  <c r="N20" i="63238"/>
  <c r="AP20" i="63236"/>
  <c r="T27" i="63230"/>
  <c r="U27" i="63230"/>
  <c r="BC20" i="63238"/>
  <c r="W21" i="63236"/>
  <c r="AD21" i="63238"/>
  <c r="T21" i="63238"/>
  <c r="N21" i="63236"/>
  <c r="M29" i="63230"/>
  <c r="Y22" i="63236"/>
  <c r="AF22" i="63238"/>
  <c r="AP22" i="63236"/>
  <c r="T29" i="63230"/>
  <c r="U29" i="63230"/>
  <c r="BC22" i="63238"/>
  <c r="W23" i="63236"/>
  <c r="AD23" i="63238"/>
  <c r="N23" i="63236"/>
  <c r="T23" i="63238"/>
  <c r="M31" i="63230"/>
  <c r="AP24" i="63236"/>
  <c r="T31" i="63230"/>
  <c r="U31" i="63230"/>
  <c r="BC24" i="63238"/>
  <c r="W25" i="63236"/>
  <c r="AD25" i="63238"/>
  <c r="N25" i="63236"/>
  <c r="T25" i="63238"/>
  <c r="Y26" i="63236"/>
  <c r="AF26" i="63238"/>
  <c r="AP26" i="63236"/>
  <c r="T33" i="63230"/>
  <c r="U33" i="63230"/>
  <c r="BC26" i="63238"/>
  <c r="P27" i="63238"/>
  <c r="L27" i="63236"/>
  <c r="W27" i="63236"/>
  <c r="AD27" i="63238"/>
  <c r="AT31" i="10541"/>
  <c r="M35" i="63230"/>
  <c r="Y28" i="63236"/>
  <c r="AF28" i="63238"/>
  <c r="V28" i="63236"/>
  <c r="AC28" i="63238"/>
  <c r="X32" i="10541"/>
  <c r="AO29" i="63236"/>
  <c r="Q36" i="63230"/>
  <c r="R36" i="63230"/>
  <c r="BA29" i="63238"/>
  <c r="X29" i="63236"/>
  <c r="AE29" i="63238"/>
  <c r="AT33" i="10541"/>
  <c r="M37" i="63230"/>
  <c r="Y30" i="63236"/>
  <c r="AF30" i="63238"/>
  <c r="V30" i="63236"/>
  <c r="AC30" i="63238"/>
  <c r="AO31" i="63236"/>
  <c r="Q38" i="63230"/>
  <c r="R38" i="63230"/>
  <c r="BA31" i="63238"/>
  <c r="V35" i="10541"/>
  <c r="X31" i="63229"/>
  <c r="Y32" i="63236"/>
  <c r="AF32" i="63238"/>
  <c r="M39" i="63230"/>
  <c r="V32" i="63236"/>
  <c r="AC32" i="63238"/>
  <c r="BA33" i="63238"/>
  <c r="AO33" i="63236"/>
  <c r="Q40" i="63230"/>
  <c r="R40" i="63230"/>
  <c r="AE33" i="63238"/>
  <c r="X33" i="63236"/>
  <c r="AT37" i="10541"/>
  <c r="M41" i="63230"/>
  <c r="Y34" i="63236"/>
  <c r="AF34" i="63238"/>
  <c r="AC34" i="63238"/>
  <c r="V34" i="63236"/>
  <c r="AO35" i="63236"/>
  <c r="Q42" i="63230"/>
  <c r="R42" i="63230"/>
  <c r="BA35" i="63238"/>
  <c r="V39" i="10541"/>
  <c r="X35" i="63229"/>
  <c r="AT39" i="10541"/>
  <c r="V36" i="63236"/>
  <c r="AC36" i="63238"/>
  <c r="BA37" i="63238"/>
  <c r="AO37" i="63236"/>
  <c r="Q44" i="63230"/>
  <c r="R44" i="63230"/>
  <c r="V41" i="10541"/>
  <c r="X37" i="63229"/>
  <c r="AT41" i="10541"/>
  <c r="M45" i="63230"/>
  <c r="Y38" i="63236"/>
  <c r="AF38" i="63238"/>
  <c r="V38" i="63236"/>
  <c r="AC38" i="63238"/>
  <c r="AO39" i="63236"/>
  <c r="Q46" i="63230"/>
  <c r="R46" i="63230"/>
  <c r="BA39" i="63238"/>
  <c r="X39" i="63236"/>
  <c r="AE39" i="63238"/>
  <c r="AT43" i="10541"/>
  <c r="M47" i="63230"/>
  <c r="Y40" i="63236"/>
  <c r="AF40" i="63238"/>
  <c r="V40" i="63236"/>
  <c r="AC40" i="63238"/>
  <c r="AS44" i="10541"/>
  <c r="K41" i="63236"/>
  <c r="N41" i="63238"/>
  <c r="AP41" i="63236"/>
  <c r="T48" i="63230"/>
  <c r="U48" i="63230"/>
  <c r="BC41" i="63238"/>
  <c r="AO42" i="63236"/>
  <c r="Q49" i="63230"/>
  <c r="R49" i="63230"/>
  <c r="BA42" i="63238"/>
  <c r="X42" i="63236"/>
  <c r="L43" i="63236"/>
  <c r="P43" i="63238"/>
  <c r="W43" i="63236"/>
  <c r="AD43" i="63238"/>
  <c r="AT47" i="10541"/>
  <c r="M51" i="63230"/>
  <c r="Y44" i="63236"/>
  <c r="AF44" i="63238"/>
  <c r="V44" i="63236"/>
  <c r="AC44" i="63238"/>
  <c r="AO45" i="63236"/>
  <c r="Q52" i="63230"/>
  <c r="R52" i="63230"/>
  <c r="BA45" i="63238"/>
  <c r="X45" i="63236"/>
  <c r="AE45" i="63238"/>
  <c r="O45" i="63236"/>
  <c r="V45" i="63238"/>
  <c r="V46" i="63236"/>
  <c r="AC46" i="63238"/>
  <c r="AO47" i="63236"/>
  <c r="Q54" i="63230"/>
  <c r="R54" i="63230"/>
  <c r="BA47" i="63238"/>
  <c r="V51" i="10541"/>
  <c r="X47" i="63229"/>
  <c r="O47" i="63236"/>
  <c r="V47" i="63238"/>
  <c r="M55" i="63230"/>
  <c r="Y48" i="63236"/>
  <c r="AF48" i="63238"/>
  <c r="V48" i="63236"/>
  <c r="AC48" i="63238"/>
  <c r="M56" i="63230"/>
  <c r="V49" i="63236"/>
  <c r="AC49" i="63238"/>
  <c r="K50" i="63236"/>
  <c r="N50" i="63238"/>
  <c r="AP50" i="63236"/>
  <c r="T57" i="63230"/>
  <c r="U57" i="63230"/>
  <c r="BC50" i="63238"/>
  <c r="AO51" i="63236"/>
  <c r="Q58" i="63230"/>
  <c r="R58" i="63230"/>
  <c r="BA51" i="63238"/>
  <c r="X51" i="63236"/>
  <c r="AE51" i="63238"/>
  <c r="L52" i="63236"/>
  <c r="P52" i="63238"/>
  <c r="W52" i="63236"/>
  <c r="AD52" i="63238"/>
  <c r="V53" i="63236"/>
  <c r="AC53" i="63238"/>
  <c r="K54" i="63236"/>
  <c r="N54" i="63238"/>
  <c r="AP54" i="63236"/>
  <c r="T61" i="63230"/>
  <c r="U61" i="63230"/>
  <c r="BC54" i="63238"/>
  <c r="AO55" i="63236"/>
  <c r="Q62" i="63230"/>
  <c r="R62" i="63230"/>
  <c r="BA55" i="63238"/>
  <c r="AE55" i="63238"/>
  <c r="X55" i="63236"/>
  <c r="L56" i="63236"/>
  <c r="P56" i="63238"/>
  <c r="W56" i="63236"/>
  <c r="AD56" i="63238"/>
  <c r="V57" i="63236"/>
  <c r="AC57" i="63238"/>
  <c r="K58" i="63236"/>
  <c r="N58" i="63238"/>
  <c r="AP58" i="63236"/>
  <c r="T65" i="63230"/>
  <c r="U65" i="63230"/>
  <c r="BC58" i="63238"/>
  <c r="AO59" i="63236"/>
  <c r="Q66" i="63230"/>
  <c r="R66" i="63230"/>
  <c r="BA59" i="63238"/>
  <c r="AE59" i="63238"/>
  <c r="L60" i="63236"/>
  <c r="P60" i="63238"/>
  <c r="W60" i="63236"/>
  <c r="AD60" i="63238"/>
  <c r="V11" i="63229"/>
  <c r="J12" i="63236"/>
  <c r="L12" i="63238"/>
  <c r="Y12" i="63229"/>
  <c r="W13" i="63229"/>
  <c r="E22" i="63230"/>
  <c r="D15" i="63236"/>
  <c r="D15" i="63238"/>
  <c r="Y16" i="63229"/>
  <c r="E24" i="63230"/>
  <c r="D17" i="63236"/>
  <c r="D17" i="63238"/>
  <c r="I18" i="63236"/>
  <c r="K18" i="63238"/>
  <c r="V11" i="10541"/>
  <c r="X10" i="63229"/>
  <c r="AH12" i="10541"/>
  <c r="V15" i="10541"/>
  <c r="X14" i="63229"/>
  <c r="L15" i="63236"/>
  <c r="P15" i="63238"/>
  <c r="AH16" i="10541"/>
  <c r="V16" i="63236"/>
  <c r="AC16" i="63238"/>
  <c r="AP17" i="63236"/>
  <c r="T24" i="63230"/>
  <c r="U24" i="63230"/>
  <c r="BC17" i="63238"/>
  <c r="AO18" i="63236"/>
  <c r="Q25" i="63230"/>
  <c r="R25" i="63230"/>
  <c r="BA18" i="63238"/>
  <c r="V19" i="10541"/>
  <c r="X18" i="63229"/>
  <c r="W19" i="63236"/>
  <c r="AD19" i="63238"/>
  <c r="AH20" i="10541"/>
  <c r="AJ20" i="10541"/>
  <c r="M27" i="63230"/>
  <c r="Y20" i="63236"/>
  <c r="AF20" i="63238"/>
  <c r="V20" i="63236"/>
  <c r="AC20" i="63238"/>
  <c r="AO21" i="63236"/>
  <c r="Q28" i="63230"/>
  <c r="R28" i="63230"/>
  <c r="BA21" i="63238"/>
  <c r="V22" i="10541"/>
  <c r="X21" i="63229"/>
  <c r="O21" i="63236"/>
  <c r="V21" i="63238"/>
  <c r="V22" i="63236"/>
  <c r="AC22" i="63238"/>
  <c r="AO23" i="63236"/>
  <c r="Q30" i="63230"/>
  <c r="R30" i="63230"/>
  <c r="BA23" i="63238"/>
  <c r="V24" i="10541"/>
  <c r="X23" i="63229"/>
  <c r="O23" i="63236"/>
  <c r="V23" i="63238"/>
  <c r="V24" i="63236"/>
  <c r="AC24" i="63238"/>
  <c r="AO25" i="63236"/>
  <c r="Q32" i="63230"/>
  <c r="R32" i="63230"/>
  <c r="BA25" i="63238"/>
  <c r="V26" i="10541"/>
  <c r="X25" i="63229"/>
  <c r="O25" i="63236"/>
  <c r="V25" i="63238"/>
  <c r="V26" i="63236"/>
  <c r="AC26" i="63238"/>
  <c r="AO27" i="63236"/>
  <c r="Q34" i="63230"/>
  <c r="R34" i="63230"/>
  <c r="BA27" i="63238"/>
  <c r="V31" i="10541"/>
  <c r="X27" i="63229"/>
  <c r="L28" i="63236"/>
  <c r="P28" i="63238"/>
  <c r="W28" i="63236"/>
  <c r="AD28" i="63238"/>
  <c r="AH32" i="10541"/>
  <c r="AS32" i="10541"/>
  <c r="K29" i="63236"/>
  <c r="N29" i="63238"/>
  <c r="AP29" i="63236"/>
  <c r="T36" i="63230"/>
  <c r="U36" i="63230"/>
  <c r="BC29" i="63238"/>
  <c r="L30" i="63236"/>
  <c r="P30" i="63238"/>
  <c r="S30" i="63229"/>
  <c r="W30" i="63236"/>
  <c r="AD30" i="63238"/>
  <c r="AH34" i="10541"/>
  <c r="AS34" i="10541"/>
  <c r="AS35" i="10541"/>
  <c r="AP31" i="63236"/>
  <c r="T38" i="63230"/>
  <c r="U38" i="63230"/>
  <c r="BC31" i="63238"/>
  <c r="L32" i="63236"/>
  <c r="P32" i="63238"/>
  <c r="W32" i="63236"/>
  <c r="AD32" i="63238"/>
  <c r="AH36" i="10541"/>
  <c r="AI36" i="10541"/>
  <c r="AS36" i="10541"/>
  <c r="K33" i="63236"/>
  <c r="N33" i="63238"/>
  <c r="AP33" i="63236"/>
  <c r="T40" i="63230"/>
  <c r="U40" i="63230"/>
  <c r="BC33" i="63238"/>
  <c r="L34" i="63236"/>
  <c r="P34" i="63238"/>
  <c r="W34" i="63236"/>
  <c r="AD34" i="63238"/>
  <c r="AH38" i="10541"/>
  <c r="AS38" i="10541"/>
  <c r="K35" i="63236"/>
  <c r="N35" i="63238"/>
  <c r="AP35" i="63236"/>
  <c r="T42" i="63230"/>
  <c r="U42" i="63230"/>
  <c r="BC35" i="63238"/>
  <c r="L36" i="63236"/>
  <c r="P36" i="63238"/>
  <c r="W36" i="63236"/>
  <c r="AD36" i="63238"/>
  <c r="AS40" i="10541"/>
  <c r="N37" i="63238"/>
  <c r="K37" i="63236"/>
  <c r="AP37" i="63236"/>
  <c r="T44" i="63230"/>
  <c r="U44" i="63230"/>
  <c r="BC37" i="63238"/>
  <c r="L38" i="63236"/>
  <c r="P38" i="63238"/>
  <c r="W38" i="63236"/>
  <c r="AD38" i="63238"/>
  <c r="AS42" i="10541"/>
  <c r="K39" i="63236"/>
  <c r="N39" i="63238"/>
  <c r="AP39" i="63236"/>
  <c r="T46" i="63230"/>
  <c r="U46" i="63230"/>
  <c r="BC39" i="63238"/>
  <c r="L40" i="63236"/>
  <c r="P40" i="63238"/>
  <c r="W40" i="63236"/>
  <c r="AD40" i="63238"/>
  <c r="AH44" i="10541"/>
  <c r="AT44" i="10541"/>
  <c r="M48" i="63230"/>
  <c r="Y41" i="63236"/>
  <c r="AF41" i="63238"/>
  <c r="V41" i="63236"/>
  <c r="AC41" i="63238"/>
  <c r="AS45" i="10541"/>
  <c r="AP42" i="63236"/>
  <c r="T49" i="63230"/>
  <c r="U49" i="63230"/>
  <c r="BC42" i="63238"/>
  <c r="AO43" i="63236"/>
  <c r="Q50" i="63230"/>
  <c r="R50" i="63230"/>
  <c r="BA43" i="63238"/>
  <c r="V47" i="10541"/>
  <c r="X43" i="63229"/>
  <c r="L44" i="63236"/>
  <c r="P44" i="63238"/>
  <c r="W44" i="63236"/>
  <c r="AD44" i="63238"/>
  <c r="AT48" i="10541"/>
  <c r="M52" i="63230"/>
  <c r="Y45" i="63236"/>
  <c r="AF45" i="63238"/>
  <c r="AP45" i="63236"/>
  <c r="T52" i="63230"/>
  <c r="U52" i="63230"/>
  <c r="BC45" i="63238"/>
  <c r="W46" i="63236"/>
  <c r="AD46" i="63238"/>
  <c r="N46" i="63236"/>
  <c r="T46" i="63238"/>
  <c r="G51" i="10541"/>
  <c r="AP47" i="63236"/>
  <c r="T54" i="63230"/>
  <c r="U54" i="63230"/>
  <c r="BC47" i="63238"/>
  <c r="L48" i="63236"/>
  <c r="P48" i="63238"/>
  <c r="W48" i="63236"/>
  <c r="AD48" i="63238"/>
  <c r="L49" i="63236"/>
  <c r="P49" i="63238"/>
  <c r="W49" i="63236"/>
  <c r="AD49" i="63238"/>
  <c r="AH56" i="10541"/>
  <c r="M57" i="63230"/>
  <c r="Y50" i="63236"/>
  <c r="AF50" i="63238"/>
  <c r="V50" i="63236"/>
  <c r="AC50" i="63238"/>
  <c r="K51" i="63236"/>
  <c r="N51" i="63238"/>
  <c r="AP51" i="63236"/>
  <c r="T58" i="63230"/>
  <c r="U58" i="63230"/>
  <c r="BC51" i="63238"/>
  <c r="AO52" i="63236"/>
  <c r="Q59" i="63230"/>
  <c r="R59" i="63230"/>
  <c r="BA52" i="63238"/>
  <c r="V59" i="10541"/>
  <c r="X52" i="63229"/>
  <c r="L53" i="63236"/>
  <c r="P53" i="63238"/>
  <c r="W53" i="63236"/>
  <c r="AD53" i="63238"/>
  <c r="AH60" i="10541"/>
  <c r="M61" i="63230"/>
  <c r="Y54" i="63236"/>
  <c r="AF54" i="63238"/>
  <c r="V54" i="63236"/>
  <c r="AC54" i="63238"/>
  <c r="K55" i="63236"/>
  <c r="N55" i="63238"/>
  <c r="AP55" i="63236"/>
  <c r="T62" i="63230"/>
  <c r="U62" i="63230"/>
  <c r="BC55" i="63238"/>
  <c r="AO56" i="63236"/>
  <c r="Q63" i="63230"/>
  <c r="R63" i="63230"/>
  <c r="BA56" i="63238"/>
  <c r="V63" i="10541"/>
  <c r="X56" i="63229"/>
  <c r="W57" i="63236"/>
  <c r="AD57" i="63238"/>
  <c r="M65" i="63230"/>
  <c r="Y58" i="63236"/>
  <c r="AF58" i="63238"/>
  <c r="V58" i="63236"/>
  <c r="AC58" i="63238"/>
  <c r="AP59" i="63236"/>
  <c r="T66" i="63230"/>
  <c r="U66" i="63230"/>
  <c r="BC59" i="63238"/>
  <c r="AO60" i="63236"/>
  <c r="Q67" i="63230"/>
  <c r="R67" i="63230"/>
  <c r="BA60" i="63238"/>
  <c r="V67" i="10541"/>
  <c r="X60" i="63229"/>
  <c r="K9" i="63229"/>
  <c r="W9" i="63229"/>
  <c r="W10" i="63229"/>
  <c r="K16" i="63229"/>
  <c r="W17" i="63229"/>
  <c r="V16" i="10541"/>
  <c r="X15" i="63229"/>
  <c r="L16" i="63236"/>
  <c r="P16" i="63238"/>
  <c r="V17" i="63236"/>
  <c r="AC17" i="63238"/>
  <c r="AO19" i="63236"/>
  <c r="Q26" i="63230"/>
  <c r="R26" i="63230"/>
  <c r="BA19" i="63238"/>
  <c r="V20" i="10541"/>
  <c r="X19" i="63229"/>
  <c r="W20" i="63236"/>
  <c r="AD20" i="63238"/>
  <c r="G22" i="10541"/>
  <c r="AP21" i="63236"/>
  <c r="T28" i="63230"/>
  <c r="U28" i="63230"/>
  <c r="BC21" i="63238"/>
  <c r="W22" i="63236"/>
  <c r="AD22" i="63238"/>
  <c r="N22" i="63236"/>
  <c r="T22" i="63238"/>
  <c r="G24" i="10541"/>
  <c r="AP23" i="63236"/>
  <c r="T30" i="63230"/>
  <c r="U30" i="63230"/>
  <c r="BC23" i="63238"/>
  <c r="W24" i="63236"/>
  <c r="AD24" i="63238"/>
  <c r="N24" i="63236"/>
  <c r="T24" i="63238"/>
  <c r="G26" i="10541"/>
  <c r="AP25" i="63236"/>
  <c r="T32" i="63230"/>
  <c r="U32" i="63230"/>
  <c r="BC25" i="63238"/>
  <c r="W26" i="63236"/>
  <c r="AD26" i="63238"/>
  <c r="N26" i="63236"/>
  <c r="T26" i="63238"/>
  <c r="K27" i="63236"/>
  <c r="N27" i="63238"/>
  <c r="AP27" i="63236"/>
  <c r="T34" i="63230"/>
  <c r="U34" i="63230"/>
  <c r="BC27" i="63238"/>
  <c r="AO28" i="63236"/>
  <c r="Q35" i="63230"/>
  <c r="R35" i="63230"/>
  <c r="BA28" i="63238"/>
  <c r="V32" i="10541"/>
  <c r="X28" i="63229"/>
  <c r="AT32" i="10541"/>
  <c r="G33" i="10541"/>
  <c r="AC29" i="63238"/>
  <c r="V29" i="63236"/>
  <c r="AO30" i="63236"/>
  <c r="Q37" i="63230"/>
  <c r="R37" i="63230"/>
  <c r="BA30" i="63238"/>
  <c r="V34" i="10541"/>
  <c r="X30" i="63229"/>
  <c r="AT34" i="10541"/>
  <c r="AT35" i="10541"/>
  <c r="G35" i="10541"/>
  <c r="V31" i="63236"/>
  <c r="AC31" i="63238"/>
  <c r="AO32" i="63236"/>
  <c r="Q39" i="63230"/>
  <c r="R39" i="63230"/>
  <c r="BA32" i="63238"/>
  <c r="V36" i="10541"/>
  <c r="X32" i="63229"/>
  <c r="AT36" i="10541"/>
  <c r="G37" i="10541"/>
  <c r="V33" i="63236"/>
  <c r="AC33" i="63238"/>
  <c r="AO34" i="63236"/>
  <c r="Q41" i="63230"/>
  <c r="R41" i="63230"/>
  <c r="BA34" i="63238"/>
  <c r="V38" i="10541"/>
  <c r="X34" i="63229"/>
  <c r="AT38" i="10541"/>
  <c r="G39" i="10541"/>
  <c r="V35" i="63236"/>
  <c r="AC35" i="63238"/>
  <c r="BA36" i="63238"/>
  <c r="AO36" i="63236"/>
  <c r="Q43" i="63230"/>
  <c r="R43" i="63230"/>
  <c r="V40" i="10541"/>
  <c r="X36" i="63229"/>
  <c r="AT40" i="10541"/>
  <c r="G41" i="10541"/>
  <c r="V37" i="63236"/>
  <c r="AC37" i="63238"/>
  <c r="AO38" i="63236"/>
  <c r="Q45" i="63230"/>
  <c r="R45" i="63230"/>
  <c r="BA38" i="63238"/>
  <c r="V42" i="10541"/>
  <c r="X38" i="63229"/>
  <c r="AT42" i="10541"/>
  <c r="G43" i="10541"/>
  <c r="V39" i="63236"/>
  <c r="AC39" i="63238"/>
  <c r="BA40" i="63238"/>
  <c r="AO40" i="63236"/>
  <c r="Q47" i="63230"/>
  <c r="R47" i="63230"/>
  <c r="V44" i="10541"/>
  <c r="X40" i="63229"/>
  <c r="L41" i="63236"/>
  <c r="P41" i="63238"/>
  <c r="W41" i="63236"/>
  <c r="AD41" i="63238"/>
  <c r="AH45" i="10541"/>
  <c r="AJ45" i="10541"/>
  <c r="AT45" i="10541"/>
  <c r="G46" i="10541"/>
  <c r="AC42" i="63238"/>
  <c r="V42" i="63236"/>
  <c r="K43" i="63236"/>
  <c r="N43" i="63238"/>
  <c r="AP43" i="63236"/>
  <c r="T50" i="63230"/>
  <c r="U50" i="63230"/>
  <c r="BC43" i="63238"/>
  <c r="BA44" i="63238"/>
  <c r="AO44" i="63236"/>
  <c r="Q51" i="63230"/>
  <c r="R51" i="63230"/>
  <c r="V48" i="10541"/>
  <c r="X44" i="63229"/>
  <c r="V45" i="63236"/>
  <c r="AC45" i="63238"/>
  <c r="AO46" i="63236"/>
  <c r="Q53" i="63230"/>
  <c r="R53" i="63230"/>
  <c r="BA46" i="63238"/>
  <c r="V50" i="10541"/>
  <c r="X46" i="63229"/>
  <c r="O46" i="63236"/>
  <c r="V46" i="63238"/>
  <c r="V47" i="63236"/>
  <c r="AC47" i="63238"/>
  <c r="AO48" i="63236"/>
  <c r="Q55" i="63230"/>
  <c r="R55" i="63230"/>
  <c r="BA48" i="63238"/>
  <c r="V55" i="10541"/>
  <c r="X48" i="63229"/>
  <c r="AO49" i="63236"/>
  <c r="Q56" i="63230"/>
  <c r="R56" i="63230"/>
  <c r="BA49" i="63238"/>
  <c r="V56" i="10541"/>
  <c r="X49" i="63229"/>
  <c r="P50" i="63238"/>
  <c r="L50" i="63236"/>
  <c r="W50" i="63236"/>
  <c r="AD50" i="63238"/>
  <c r="G58" i="10541"/>
  <c r="V51" i="63236"/>
  <c r="AC51" i="63238"/>
  <c r="K52" i="63236"/>
  <c r="N52" i="63238"/>
  <c r="AP52" i="63236"/>
  <c r="T59" i="63230"/>
  <c r="U59" i="63230"/>
  <c r="BC52" i="63238"/>
  <c r="AO53" i="63236"/>
  <c r="Q60" i="63230"/>
  <c r="R60" i="63230"/>
  <c r="BA53" i="63238"/>
  <c r="V60" i="10541"/>
  <c r="X53" i="63229"/>
  <c r="L54" i="63236"/>
  <c r="P54" i="63238"/>
  <c r="W54" i="63236"/>
  <c r="AD54" i="63238"/>
  <c r="AH61" i="10541"/>
  <c r="AI61" i="10541"/>
  <c r="G62" i="10541"/>
  <c r="V55" i="63236"/>
  <c r="AC55" i="63238"/>
  <c r="K56" i="63236"/>
  <c r="N56" i="63238"/>
  <c r="AP56" i="63236"/>
  <c r="T63" i="63230"/>
  <c r="U63" i="63230"/>
  <c r="BC56" i="63238"/>
  <c r="AO57" i="63236"/>
  <c r="Q64" i="63230"/>
  <c r="R64" i="63230"/>
  <c r="BA57" i="63238"/>
  <c r="V64" i="10541"/>
  <c r="X57" i="63229"/>
  <c r="L58" i="63236"/>
  <c r="P58" i="63238"/>
  <c r="W58" i="63236"/>
  <c r="AD58" i="63238"/>
  <c r="AH65" i="10541"/>
  <c r="G66" i="10541"/>
  <c r="V59" i="63236"/>
  <c r="AC59" i="63238"/>
  <c r="K60" i="63236"/>
  <c r="N60" i="63238"/>
  <c r="AP60" i="63236"/>
  <c r="T67" i="63230"/>
  <c r="U67" i="63230"/>
  <c r="BC60" i="63238"/>
  <c r="D83" i="10541"/>
  <c r="E20" i="63230"/>
  <c r="D13" i="63236"/>
  <c r="D13" i="63238"/>
  <c r="E21" i="63230"/>
  <c r="D14" i="63236"/>
  <c r="D14" i="63238"/>
  <c r="Y14" i="63229"/>
  <c r="Y15" i="63229"/>
  <c r="E23" i="63230"/>
  <c r="D16" i="63236"/>
  <c r="D16" i="63238"/>
  <c r="E25" i="63230"/>
  <c r="D18" i="63236"/>
  <c r="D18" i="63238"/>
  <c r="AP15" i="63236"/>
  <c r="T22" i="63230"/>
  <c r="U22" i="63230"/>
  <c r="BC15" i="63238"/>
  <c r="AE16" i="63238"/>
  <c r="L17" i="63236"/>
  <c r="P17" i="63238"/>
  <c r="M25" i="63230"/>
  <c r="Y18" i="63236"/>
  <c r="AF18" i="63238"/>
  <c r="K19" i="63236"/>
  <c r="N19" i="63238"/>
  <c r="AO20" i="63236"/>
  <c r="Q27" i="63230"/>
  <c r="R27" i="63230"/>
  <c r="BA20" i="63238"/>
  <c r="X20" i="63236"/>
  <c r="AE20" i="63238"/>
  <c r="V21" i="63236"/>
  <c r="AC21" i="63238"/>
  <c r="AO22" i="63236"/>
  <c r="Q29" i="63230"/>
  <c r="R29" i="63230"/>
  <c r="BA22" i="63238"/>
  <c r="X22" i="63236"/>
  <c r="AE22" i="63238"/>
  <c r="O22" i="63236"/>
  <c r="V22" i="63238"/>
  <c r="V23" i="63236"/>
  <c r="AC23" i="63238"/>
  <c r="AO24" i="63236"/>
  <c r="Q31" i="63230"/>
  <c r="R31" i="63230"/>
  <c r="BA24" i="63238"/>
  <c r="O24" i="63236"/>
  <c r="V24" i="63238"/>
  <c r="V25" i="63236"/>
  <c r="AC25" i="63238"/>
  <c r="AO26" i="63236"/>
  <c r="Q33" i="63230"/>
  <c r="R33" i="63230"/>
  <c r="BA26" i="63238"/>
  <c r="X26" i="63236"/>
  <c r="AE26" i="63238"/>
  <c r="O26" i="63236"/>
  <c r="V26" i="63238"/>
  <c r="AF27" i="63238"/>
  <c r="V27" i="63236"/>
  <c r="AC27" i="63238"/>
  <c r="K28" i="63236"/>
  <c r="N28" i="63238"/>
  <c r="AP28" i="63236"/>
  <c r="T35" i="63230"/>
  <c r="U35" i="63230"/>
  <c r="BC28" i="63238"/>
  <c r="L29" i="63236"/>
  <c r="P29" i="63238"/>
  <c r="AD29" i="63238"/>
  <c r="W29" i="63236"/>
  <c r="AH33" i="10541"/>
  <c r="AI33" i="10541"/>
  <c r="AS33" i="10541"/>
  <c r="K30" i="63236"/>
  <c r="N30" i="63238"/>
  <c r="R30" i="63229"/>
  <c r="BC30" i="63238"/>
  <c r="AP30" i="63236"/>
  <c r="T37" i="63230"/>
  <c r="U37" i="63230"/>
  <c r="W31" i="63236"/>
  <c r="AD31" i="63238"/>
  <c r="N32" i="63238"/>
  <c r="K32" i="63236"/>
  <c r="AP32" i="63236"/>
  <c r="T39" i="63230"/>
  <c r="U39" i="63230"/>
  <c r="BC32" i="63238"/>
  <c r="L33" i="63236"/>
  <c r="P33" i="63238"/>
  <c r="W33" i="63236"/>
  <c r="AD33" i="63238"/>
  <c r="AS37" i="10541"/>
  <c r="K34" i="63236"/>
  <c r="N34" i="63238"/>
  <c r="AP34" i="63236"/>
  <c r="T41" i="63230"/>
  <c r="U41" i="63230"/>
  <c r="BC34" i="63238"/>
  <c r="L35" i="63236"/>
  <c r="P35" i="63238"/>
  <c r="W35" i="63236"/>
  <c r="AD35" i="63238"/>
  <c r="AS39" i="10541"/>
  <c r="K36" i="63236"/>
  <c r="N36" i="63238"/>
  <c r="AP36" i="63236"/>
  <c r="T43" i="63230"/>
  <c r="U43" i="63230"/>
  <c r="BC36" i="63238"/>
  <c r="L37" i="63236"/>
  <c r="P37" i="63238"/>
  <c r="W37" i="63236"/>
  <c r="AD37" i="63238"/>
  <c r="AH41" i="10541"/>
  <c r="AS41" i="10541"/>
  <c r="K38" i="63236"/>
  <c r="N38" i="63238"/>
  <c r="AP38" i="63236"/>
  <c r="T45" i="63230"/>
  <c r="U45" i="63230"/>
  <c r="BC38" i="63238"/>
  <c r="L39" i="63236"/>
  <c r="P39" i="63238"/>
  <c r="W39" i="63236"/>
  <c r="AD39" i="63238"/>
  <c r="AS43" i="10541"/>
  <c r="K40" i="63236"/>
  <c r="N40" i="63238"/>
  <c r="AP40" i="63236"/>
  <c r="T47" i="63230"/>
  <c r="U47" i="63230"/>
  <c r="BC40" i="63238"/>
  <c r="BA41" i="63238"/>
  <c r="AO41" i="63236"/>
  <c r="Q48" i="63230"/>
  <c r="R48" i="63230"/>
  <c r="W42" i="63236"/>
  <c r="AD42" i="63238"/>
  <c r="G47" i="10541"/>
  <c r="V43" i="63236"/>
  <c r="AC43" i="63238"/>
  <c r="K44" i="63236"/>
  <c r="N44" i="63238"/>
  <c r="AP44" i="63236"/>
  <c r="T51" i="63230"/>
  <c r="U51" i="63230"/>
  <c r="BC44" i="63238"/>
  <c r="W45" i="63236"/>
  <c r="AD45" i="63238"/>
  <c r="N45" i="63236"/>
  <c r="T45" i="63238"/>
  <c r="G50" i="10541"/>
  <c r="AP46" i="63236"/>
  <c r="T53" i="63230"/>
  <c r="U53" i="63230"/>
  <c r="BC46" i="63238"/>
  <c r="W47" i="63236"/>
  <c r="AD47" i="63238"/>
  <c r="N47" i="63236"/>
  <c r="T47" i="63238"/>
  <c r="K48" i="63236"/>
  <c r="N48" i="63238"/>
  <c r="AP48" i="63236"/>
  <c r="T55" i="63230"/>
  <c r="U55" i="63230"/>
  <c r="BC48" i="63238"/>
  <c r="W55" i="10541"/>
  <c r="K49" i="63236"/>
  <c r="N49" i="63238"/>
  <c r="AP49" i="63236"/>
  <c r="T56" i="63230"/>
  <c r="U56" i="63230"/>
  <c r="BC49" i="63238"/>
  <c r="AO50" i="63236"/>
  <c r="Q57" i="63230"/>
  <c r="R57" i="63230"/>
  <c r="BA50" i="63238"/>
  <c r="X50" i="63236"/>
  <c r="AE50" i="63238"/>
  <c r="L51" i="63236"/>
  <c r="P51" i="63238"/>
  <c r="W51" i="63236"/>
  <c r="AD51" i="63238"/>
  <c r="G59" i="10541"/>
  <c r="V52" i="63236"/>
  <c r="AC52" i="63238"/>
  <c r="K53" i="63236"/>
  <c r="N53" i="63238"/>
  <c r="AP53" i="63236"/>
  <c r="T60" i="63230"/>
  <c r="U60" i="63230"/>
  <c r="BC53" i="63238"/>
  <c r="AO54" i="63236"/>
  <c r="Q61" i="63230"/>
  <c r="R61" i="63230"/>
  <c r="BA54" i="63238"/>
  <c r="X54" i="63236"/>
  <c r="AE54" i="63238"/>
  <c r="L55" i="63236"/>
  <c r="P55" i="63238"/>
  <c r="W55" i="63236"/>
  <c r="AD55" i="63238"/>
  <c r="G63" i="10541"/>
  <c r="V56" i="63236"/>
  <c r="AC56" i="63238"/>
  <c r="AP57" i="63236"/>
  <c r="T64" i="63230"/>
  <c r="U64" i="63230"/>
  <c r="BC57" i="63238"/>
  <c r="AO58" i="63236"/>
  <c r="Q65" i="63230"/>
  <c r="R65" i="63230"/>
  <c r="BA58" i="63238"/>
  <c r="X58" i="63236"/>
  <c r="AE58" i="63238"/>
  <c r="W59" i="63236"/>
  <c r="AD59" i="63238"/>
  <c r="M67" i="63230"/>
  <c r="Y60" i="63236"/>
  <c r="AF60" i="63238"/>
  <c r="V60" i="63236"/>
  <c r="AC60" i="63238"/>
  <c r="E13" i="63230"/>
  <c r="D6" i="63236"/>
  <c r="D6" i="63238"/>
  <c r="E14" i="63230"/>
  <c r="D7" i="63236"/>
  <c r="D7" i="63238"/>
  <c r="E15" i="63230"/>
  <c r="D8" i="63236"/>
  <c r="D8" i="63238"/>
  <c r="E16" i="63230"/>
  <c r="D9" i="63236"/>
  <c r="D9" i="63238"/>
  <c r="E17" i="63230"/>
  <c r="D10" i="63236"/>
  <c r="D10" i="63238"/>
  <c r="E18" i="63230"/>
  <c r="D11" i="63238"/>
  <c r="D11" i="63236"/>
  <c r="E19" i="63230"/>
  <c r="D12" i="63236"/>
  <c r="D12" i="63238"/>
  <c r="I12" i="63236"/>
  <c r="K12" i="63238"/>
  <c r="M12" i="63236"/>
  <c r="R12" i="63238"/>
  <c r="J18" i="63236"/>
  <c r="L18" i="63238"/>
  <c r="L21" i="63236"/>
  <c r="P21" i="63238"/>
  <c r="K22" i="63236"/>
  <c r="N22" i="63238"/>
  <c r="I23" i="63236"/>
  <c r="K23" i="63238"/>
  <c r="M23" i="63236"/>
  <c r="R23" i="63238"/>
  <c r="I25" i="63236"/>
  <c r="K25" i="63238"/>
  <c r="M25" i="63236"/>
  <c r="R25" i="63238"/>
  <c r="J26" i="63236"/>
  <c r="L26" i="63238"/>
  <c r="E36" i="63230"/>
  <c r="D29" i="63236"/>
  <c r="D29" i="63238"/>
  <c r="I45" i="63236"/>
  <c r="K45" i="63238"/>
  <c r="M45" i="63236"/>
  <c r="R45" i="63238"/>
  <c r="L46" i="63236"/>
  <c r="P46" i="63238"/>
  <c r="K47" i="63236"/>
  <c r="N47" i="63238"/>
  <c r="E28" i="63230"/>
  <c r="D21" i="63236"/>
  <c r="D21" i="63238"/>
  <c r="I21" i="63236"/>
  <c r="K21" i="63238"/>
  <c r="M21" i="63236"/>
  <c r="R21" i="63238"/>
  <c r="L22" i="63236"/>
  <c r="P22" i="63238"/>
  <c r="E30" i="63230"/>
  <c r="D23" i="63236"/>
  <c r="D23" i="63238"/>
  <c r="J23" i="63236"/>
  <c r="L23" i="63238"/>
  <c r="L24" i="63236"/>
  <c r="P24" i="63238"/>
  <c r="E32" i="63230"/>
  <c r="D25" i="63236"/>
  <c r="D25" i="63238"/>
  <c r="K26" i="63236"/>
  <c r="N26" i="63238"/>
  <c r="E35" i="63230"/>
  <c r="D28" i="63236"/>
  <c r="D28" i="63238"/>
  <c r="E37" i="63230"/>
  <c r="D30" i="63236"/>
  <c r="D30" i="63238"/>
  <c r="E39" i="63230"/>
  <c r="D32" i="63236"/>
  <c r="D32" i="63238"/>
  <c r="E41" i="63230"/>
  <c r="D34" i="63236"/>
  <c r="D34" i="63238"/>
  <c r="E43" i="63230"/>
  <c r="D36" i="63236"/>
  <c r="D36" i="63238"/>
  <c r="E45" i="63230"/>
  <c r="D38" i="63236"/>
  <c r="D38" i="63238"/>
  <c r="E47" i="63230"/>
  <c r="D40" i="63236"/>
  <c r="D40" i="63238"/>
  <c r="E49" i="63230"/>
  <c r="D42" i="63236"/>
  <c r="D42" i="63238"/>
  <c r="E51" i="63230"/>
  <c r="D44" i="63236"/>
  <c r="D44" i="63238"/>
  <c r="E26" i="63230"/>
  <c r="D19" i="63236"/>
  <c r="D19" i="63238"/>
  <c r="E27" i="63230"/>
  <c r="D20" i="63236"/>
  <c r="D20" i="63238"/>
  <c r="I20" i="63236"/>
  <c r="K20" i="63238"/>
  <c r="M20" i="63236"/>
  <c r="R20" i="63238"/>
  <c r="J21" i="63236"/>
  <c r="L21" i="63238"/>
  <c r="K23" i="63236"/>
  <c r="N23" i="63238"/>
  <c r="I24" i="63236"/>
  <c r="K24" i="63238"/>
  <c r="M24" i="63236"/>
  <c r="R24" i="63238"/>
  <c r="K25" i="63236"/>
  <c r="N25" i="63238"/>
  <c r="L26" i="63236"/>
  <c r="P26" i="63238"/>
  <c r="E34" i="63230"/>
  <c r="D27" i="63236"/>
  <c r="D27" i="63238"/>
  <c r="M18" i="63236"/>
  <c r="R18" i="63238"/>
  <c r="J20" i="63236"/>
  <c r="L20" i="63238"/>
  <c r="K21" i="63236"/>
  <c r="N21" i="63238"/>
  <c r="J22" i="63236"/>
  <c r="L22" i="63238"/>
  <c r="E31" i="63230"/>
  <c r="D24" i="63236"/>
  <c r="D24" i="63238"/>
  <c r="J24" i="63236"/>
  <c r="L24" i="63238"/>
  <c r="L25" i="63236"/>
  <c r="P25" i="63238"/>
  <c r="E38" i="63230"/>
  <c r="D31" i="63238"/>
  <c r="D31" i="63236"/>
  <c r="E40" i="63230"/>
  <c r="D33" i="63236"/>
  <c r="D33" i="63238"/>
  <c r="E42" i="63230"/>
  <c r="D35" i="63236"/>
  <c r="D35" i="63238"/>
  <c r="E44" i="63230"/>
  <c r="D37" i="63236"/>
  <c r="D37" i="63238"/>
  <c r="E46" i="63230"/>
  <c r="D39" i="63236"/>
  <c r="D39" i="63238"/>
  <c r="E48" i="63230"/>
  <c r="D41" i="63236"/>
  <c r="D41" i="63238"/>
  <c r="E50" i="63230"/>
  <c r="D43" i="63236"/>
  <c r="D43" i="63238"/>
  <c r="E52" i="63230"/>
  <c r="D45" i="63236"/>
  <c r="D45" i="63238"/>
  <c r="J45" i="63236"/>
  <c r="L45" i="63238"/>
  <c r="E53" i="63230"/>
  <c r="D46" i="63236"/>
  <c r="D46" i="63238"/>
  <c r="I46" i="63236"/>
  <c r="K46" i="63238"/>
  <c r="M46" i="63236"/>
  <c r="R46" i="63238"/>
  <c r="L47" i="63236"/>
  <c r="P47" i="63238"/>
  <c r="K26" i="63238"/>
  <c r="K45" i="63236"/>
  <c r="N45" i="63238"/>
  <c r="J46" i="63236"/>
  <c r="L46" i="63238"/>
  <c r="E54" i="63230"/>
  <c r="D47" i="63236"/>
  <c r="D47" i="63238"/>
  <c r="I47" i="63236"/>
  <c r="K47" i="63238"/>
  <c r="M47" i="63236"/>
  <c r="K22" i="63238"/>
  <c r="M26" i="63236"/>
  <c r="E29" i="63230"/>
  <c r="D22" i="63236"/>
  <c r="M22" i="63236"/>
  <c r="L23" i="63236"/>
  <c r="K24" i="63236"/>
  <c r="J25" i="63236"/>
  <c r="E33" i="63230"/>
  <c r="D26" i="63236"/>
  <c r="D26" i="63238"/>
  <c r="L45" i="63236"/>
  <c r="P45" i="63238"/>
  <c r="K46" i="63236"/>
  <c r="N46" i="63238"/>
  <c r="J47" i="63236"/>
  <c r="L47" i="63238"/>
  <c r="E55" i="63230"/>
  <c r="D48" i="63236"/>
  <c r="E56" i="63230"/>
  <c r="D49" i="63236"/>
  <c r="D49" i="63238"/>
  <c r="E57" i="63230"/>
  <c r="D50" i="63236"/>
  <c r="D50" i="63238"/>
  <c r="E58" i="63230"/>
  <c r="D51" i="63236"/>
  <c r="D51" i="63238"/>
  <c r="E59" i="63230"/>
  <c r="D52" i="63236"/>
  <c r="E60" i="63230"/>
  <c r="D53" i="63236"/>
  <c r="D53" i="63238"/>
  <c r="E61" i="63230"/>
  <c r="D54" i="63236"/>
  <c r="D54" i="63238"/>
  <c r="E62" i="63230"/>
  <c r="D55" i="63236"/>
  <c r="D55" i="63238"/>
  <c r="E63" i="63230"/>
  <c r="D56" i="63236"/>
  <c r="D56" i="63238"/>
  <c r="E64" i="63230"/>
  <c r="D57" i="63236"/>
  <c r="D57" i="63238"/>
  <c r="E65" i="63230"/>
  <c r="D58" i="63236"/>
  <c r="E66" i="63230"/>
  <c r="D59" i="63236"/>
  <c r="D59" i="63238"/>
  <c r="E67" i="63230"/>
  <c r="D60" i="63236"/>
  <c r="D60" i="63238"/>
  <c r="R26" i="63238"/>
  <c r="R47" i="63238"/>
  <c r="O40" i="63229"/>
  <c r="AI44" i="10541"/>
  <c r="R12" i="63229"/>
  <c r="AA12" i="63229"/>
  <c r="S12" i="63229"/>
  <c r="Z12" i="63238"/>
  <c r="O36" i="63229"/>
  <c r="AI40" i="10541"/>
  <c r="G92" i="10541"/>
  <c r="Z18" i="63230"/>
  <c r="AA18" i="63230"/>
  <c r="R53" i="63229"/>
  <c r="X41" i="63236"/>
  <c r="M34" i="63230"/>
  <c r="X16" i="63236"/>
  <c r="AF57" i="63238"/>
  <c r="AF53" i="63238"/>
  <c r="Z21" i="63230"/>
  <c r="AA21" i="63230"/>
  <c r="D9" i="63223"/>
  <c r="I31" i="10541"/>
  <c r="J54" i="63224"/>
  <c r="F51" i="63229"/>
  <c r="I56" i="10541"/>
  <c r="H49" i="63229"/>
  <c r="J34" i="63237"/>
  <c r="I16" i="10541"/>
  <c r="H15" i="63229"/>
  <c r="F10" i="63229"/>
  <c r="T81" i="63217"/>
  <c r="X72" i="63217"/>
  <c r="Z60" i="63230"/>
  <c r="AA60" i="63230"/>
  <c r="H47" i="10541"/>
  <c r="H41" i="10541"/>
  <c r="AF36" i="63238"/>
  <c r="J16" i="63224"/>
  <c r="W56" i="10541"/>
  <c r="W57" i="10541"/>
  <c r="W58" i="10541"/>
  <c r="W59" i="10541"/>
  <c r="W60" i="10541"/>
  <c r="W61" i="10541"/>
  <c r="W62" i="10541"/>
  <c r="W63" i="10541"/>
  <c r="W64" i="10541"/>
  <c r="W65" i="10541"/>
  <c r="W66" i="10541"/>
  <c r="W67" i="10541"/>
  <c r="AE41" i="63238"/>
  <c r="AE24" i="63238"/>
  <c r="W31" i="10541"/>
  <c r="W32" i="10541"/>
  <c r="G90" i="10541"/>
  <c r="S38" i="63229"/>
  <c r="Y57" i="63236"/>
  <c r="Y53" i="63236"/>
  <c r="X56" i="10541"/>
  <c r="X57" i="10541"/>
  <c r="AF49" i="63238"/>
  <c r="Y36" i="63236"/>
  <c r="AF24" i="63238"/>
  <c r="X12" i="10541"/>
  <c r="X13" i="10541"/>
  <c r="X14" i="10541"/>
  <c r="X15" i="10541"/>
  <c r="X16" i="10541"/>
  <c r="X17" i="10541"/>
  <c r="X18" i="10541"/>
  <c r="X19" i="10541"/>
  <c r="X20" i="10541"/>
  <c r="X21" i="10541"/>
  <c r="Z17" i="63230"/>
  <c r="AA17" i="63230"/>
  <c r="AI57" i="10541"/>
  <c r="J46" i="63224"/>
  <c r="AH10" i="10541"/>
  <c r="AJ10" i="10541"/>
  <c r="W12" i="10541"/>
  <c r="W13" i="10541"/>
  <c r="W14" i="10541"/>
  <c r="W15" i="10541"/>
  <c r="W16" i="10541"/>
  <c r="W17" i="10541"/>
  <c r="W18" i="10541"/>
  <c r="W19" i="10541"/>
  <c r="W20" i="10541"/>
  <c r="W21" i="10541"/>
  <c r="W22" i="10541"/>
  <c r="W23" i="10541"/>
  <c r="W24" i="10541"/>
  <c r="W25" i="10541"/>
  <c r="W26" i="10541"/>
  <c r="W27" i="10541"/>
  <c r="I79" i="63219"/>
  <c r="I80" i="63219"/>
  <c r="H83" i="63219"/>
  <c r="J14" i="63224"/>
  <c r="X47" i="63234"/>
  <c r="Z47" i="63234"/>
  <c r="W21" i="63230"/>
  <c r="X21" i="63230"/>
  <c r="D43" i="63223"/>
  <c r="D14" i="63223"/>
  <c r="H60" i="10541"/>
  <c r="G53" i="63229"/>
  <c r="F49" i="63229"/>
  <c r="F37" i="63229"/>
  <c r="F37" i="63236"/>
  <c r="J11" i="63237"/>
  <c r="I15" i="10541"/>
  <c r="H14" i="63229"/>
  <c r="I14" i="10541"/>
  <c r="H13" i="63229"/>
  <c r="H13" i="10541"/>
  <c r="G12" i="63229"/>
  <c r="G12" i="63236"/>
  <c r="I12" i="10541"/>
  <c r="H11" i="63229"/>
  <c r="O18" i="63230"/>
  <c r="I11" i="10541"/>
  <c r="H10" i="63229"/>
  <c r="S10" i="63229"/>
  <c r="R26" i="63211"/>
  <c r="T26" i="63211"/>
  <c r="AB18" i="10541"/>
  <c r="N17" i="63229"/>
  <c r="K63" i="63224"/>
  <c r="R70" i="63211"/>
  <c r="T70" i="63211"/>
  <c r="AB65" i="10541"/>
  <c r="N58" i="63229"/>
  <c r="N58" i="63236"/>
  <c r="W19" i="63230"/>
  <c r="X19" i="63230"/>
  <c r="J10" i="63224"/>
  <c r="J13" i="63224"/>
  <c r="Z19" i="63230"/>
  <c r="AA19" i="63230"/>
  <c r="D52" i="63223"/>
  <c r="D37" i="63223"/>
  <c r="H56" i="10541"/>
  <c r="G49" i="63229"/>
  <c r="AL17" i="10541"/>
  <c r="AL13" i="10541"/>
  <c r="I67" i="63219"/>
  <c r="I68" i="63219"/>
  <c r="H71" i="63219"/>
  <c r="I92" i="10541"/>
  <c r="J92" i="10541"/>
  <c r="R38" i="63236"/>
  <c r="Y38" i="63238"/>
  <c r="AA38" i="63229"/>
  <c r="G37" i="63229"/>
  <c r="G43" i="63229"/>
  <c r="J90" i="10541"/>
  <c r="I90" i="10541"/>
  <c r="X85" i="63234"/>
  <c r="Z84" i="63234"/>
  <c r="X48" i="63234"/>
  <c r="M58" i="63229"/>
  <c r="AM65" i="10541"/>
  <c r="Y31" i="63229"/>
  <c r="Y29" i="63229"/>
  <c r="X33" i="10541"/>
  <c r="X34" i="10541"/>
  <c r="X35" i="10541"/>
  <c r="X36" i="10541"/>
  <c r="X37" i="10541"/>
  <c r="X38" i="10541"/>
  <c r="X39" i="10541"/>
  <c r="X40" i="10541"/>
  <c r="X41" i="10541"/>
  <c r="X42" i="10541"/>
  <c r="X43" i="10541"/>
  <c r="X44" i="10541"/>
  <c r="X45" i="10541"/>
  <c r="X46" i="10541"/>
  <c r="X47" i="10541"/>
  <c r="X48" i="10541"/>
  <c r="X49" i="10541"/>
  <c r="X50" i="10541"/>
  <c r="X51" i="10541"/>
  <c r="W33" i="10541"/>
  <c r="W34" i="10541"/>
  <c r="W35" i="10541"/>
  <c r="W36" i="10541"/>
  <c r="W37" i="10541"/>
  <c r="W38" i="10541"/>
  <c r="W39" i="10541"/>
  <c r="W40" i="10541"/>
  <c r="W41" i="10541"/>
  <c r="W42" i="10541"/>
  <c r="W43" i="10541"/>
  <c r="W44" i="10541"/>
  <c r="W45" i="10541"/>
  <c r="W46" i="10541"/>
  <c r="W47" i="10541"/>
  <c r="W48" i="10541"/>
  <c r="W49" i="10541"/>
  <c r="W50" i="10541"/>
  <c r="W51" i="10541"/>
  <c r="M53" i="63229"/>
  <c r="AM60" i="10541"/>
  <c r="M49" i="63229"/>
  <c r="AM56" i="10541"/>
  <c r="Z38" i="63238"/>
  <c r="S38" i="63236"/>
  <c r="AB38" i="63229"/>
  <c r="M30" i="63229"/>
  <c r="AM34" i="10541"/>
  <c r="X18" i="63236"/>
  <c r="AE18" i="63238"/>
  <c r="X14" i="63236"/>
  <c r="AE14" i="63238"/>
  <c r="M23" i="63230"/>
  <c r="Y16" i="63236"/>
  <c r="AF16" i="63238"/>
  <c r="W13" i="63236"/>
  <c r="AD13" i="63238"/>
  <c r="AE37" i="63238"/>
  <c r="X37" i="63236"/>
  <c r="M57" i="63229"/>
  <c r="AM64" i="10541"/>
  <c r="J39" i="63229"/>
  <c r="AH43" i="10541"/>
  <c r="AU43" i="10541"/>
  <c r="J31" i="63236"/>
  <c r="L31" i="63238"/>
  <c r="Q31" i="63229"/>
  <c r="J10" i="63236"/>
  <c r="L10" i="63238"/>
  <c r="Q10" i="63229"/>
  <c r="O41" i="63230"/>
  <c r="H34" i="63236"/>
  <c r="I34" i="63238"/>
  <c r="S20" i="63211"/>
  <c r="U20" i="63211"/>
  <c r="AC12" i="10541"/>
  <c r="R20" i="63211"/>
  <c r="T20" i="63211"/>
  <c r="AB12" i="10541"/>
  <c r="N11" i="63229"/>
  <c r="AI60" i="10541"/>
  <c r="AI20" i="10541"/>
  <c r="R29" i="63211"/>
  <c r="T29" i="63211"/>
  <c r="AB21" i="10541"/>
  <c r="N20" i="63229"/>
  <c r="S29" i="63211"/>
  <c r="U29" i="63211"/>
  <c r="AC21" i="10541"/>
  <c r="O20" i="63229"/>
  <c r="I60" i="63236"/>
  <c r="K60" i="63238"/>
  <c r="I52" i="63236"/>
  <c r="K52" i="63238"/>
  <c r="I41" i="63236"/>
  <c r="K41" i="63238"/>
  <c r="I33" i="63236"/>
  <c r="K33" i="63238"/>
  <c r="I13" i="63236"/>
  <c r="K13" i="63238"/>
  <c r="P13" i="63229"/>
  <c r="E32" i="10541"/>
  <c r="D28" i="63223"/>
  <c r="E20" i="10541"/>
  <c r="D18" i="63223"/>
  <c r="I16" i="63236"/>
  <c r="K16" i="63238"/>
  <c r="P16" i="63229"/>
  <c r="F49" i="63236"/>
  <c r="G49" i="63238"/>
  <c r="F45" i="63236"/>
  <c r="G45" i="63238"/>
  <c r="H33" i="10541"/>
  <c r="G15" i="63236"/>
  <c r="H15" i="63238"/>
  <c r="W22" i="63230"/>
  <c r="X22" i="63230"/>
  <c r="G14" i="63236"/>
  <c r="H14" i="63238"/>
  <c r="R75" i="63211"/>
  <c r="T75" i="63211"/>
  <c r="T80" i="63211"/>
  <c r="S75" i="63211"/>
  <c r="U75" i="63211"/>
  <c r="O28" i="63236"/>
  <c r="V28" i="63238"/>
  <c r="J8" i="63236"/>
  <c r="L8" i="63238"/>
  <c r="O17" i="63236"/>
  <c r="V17" i="63238"/>
  <c r="N14" i="63236"/>
  <c r="T14" i="63238"/>
  <c r="Z14" i="63229"/>
  <c r="O12" i="63236"/>
  <c r="V12" i="63238"/>
  <c r="U12" i="63229"/>
  <c r="E59" i="63223"/>
  <c r="T78" i="63217"/>
  <c r="S78" i="63217"/>
  <c r="X77" i="63217"/>
  <c r="K62" i="63224"/>
  <c r="N60" i="63236"/>
  <c r="T60" i="63238"/>
  <c r="AC64" i="10541"/>
  <c r="W68" i="63211"/>
  <c r="N41" i="63229"/>
  <c r="N55" i="63236"/>
  <c r="T55" i="63238"/>
  <c r="Y52" i="63229"/>
  <c r="Y46" i="63229"/>
  <c r="R34" i="63229"/>
  <c r="M21" i="63230"/>
  <c r="Y14" i="63236"/>
  <c r="AF14" i="63238"/>
  <c r="M54" i="63229"/>
  <c r="AM61" i="10541"/>
  <c r="X53" i="63236"/>
  <c r="AE53" i="63238"/>
  <c r="Y51" i="63229"/>
  <c r="X58" i="10541"/>
  <c r="X59" i="10541"/>
  <c r="X60" i="10541"/>
  <c r="X61" i="10541"/>
  <c r="X62" i="10541"/>
  <c r="X63" i="10541"/>
  <c r="X64" i="10541"/>
  <c r="X65" i="10541"/>
  <c r="X66" i="10541"/>
  <c r="X67" i="10541"/>
  <c r="X48" i="63236"/>
  <c r="AE48" i="63238"/>
  <c r="X46" i="63236"/>
  <c r="AE46" i="63238"/>
  <c r="Y23" i="63229"/>
  <c r="W10" i="63236"/>
  <c r="AD10" i="63238"/>
  <c r="X60" i="63236"/>
  <c r="AE60" i="63238"/>
  <c r="M40" i="63229"/>
  <c r="AM44" i="10541"/>
  <c r="M32" i="63229"/>
  <c r="AM36" i="10541"/>
  <c r="X23" i="63236"/>
  <c r="AE23" i="63238"/>
  <c r="M11" i="63229"/>
  <c r="AM12" i="10541"/>
  <c r="M19" i="63230"/>
  <c r="Y12" i="63236"/>
  <c r="AF12" i="63238"/>
  <c r="V11" i="63236"/>
  <c r="AC11" i="63238"/>
  <c r="R12" i="63236"/>
  <c r="Y12" i="63238"/>
  <c r="X8" i="63236"/>
  <c r="AE8" i="63238"/>
  <c r="K57" i="63236"/>
  <c r="N57" i="63238"/>
  <c r="I58" i="63236"/>
  <c r="K58" i="63238"/>
  <c r="I54" i="63236"/>
  <c r="K54" i="63238"/>
  <c r="I50" i="63236"/>
  <c r="K50" i="63238"/>
  <c r="I39" i="63236"/>
  <c r="K39" i="63238"/>
  <c r="I35" i="63236"/>
  <c r="K35" i="63238"/>
  <c r="I31" i="63236"/>
  <c r="K31" i="63238"/>
  <c r="I27" i="63236"/>
  <c r="K27" i="63238"/>
  <c r="I10" i="63236"/>
  <c r="K10" i="63238"/>
  <c r="P10" i="63229"/>
  <c r="G38" i="63238"/>
  <c r="F38" i="63236"/>
  <c r="G34" i="63238"/>
  <c r="F34" i="63236"/>
  <c r="H30" i="63236"/>
  <c r="I30" i="63238"/>
  <c r="S16" i="63211"/>
  <c r="U16" i="63211"/>
  <c r="AC9" i="10541"/>
  <c r="R16" i="63211"/>
  <c r="T16" i="63211"/>
  <c r="AB9" i="10541"/>
  <c r="N8" i="63229"/>
  <c r="M24" i="63230"/>
  <c r="Y17" i="63236"/>
  <c r="AF17" i="63238"/>
  <c r="S16" i="63236"/>
  <c r="Z16" i="63238"/>
  <c r="AB16" i="63229"/>
  <c r="AH9" i="10541"/>
  <c r="M42" i="63229"/>
  <c r="AM46" i="10541"/>
  <c r="AJ60" i="10541"/>
  <c r="AJ56" i="10541"/>
  <c r="J42" i="63229"/>
  <c r="AU46" i="10541"/>
  <c r="AJ34" i="10541"/>
  <c r="I14" i="63236"/>
  <c r="K14" i="63238"/>
  <c r="P14" i="63229"/>
  <c r="J9" i="63236"/>
  <c r="L9" i="63238"/>
  <c r="AF16" i="63230"/>
  <c r="AG16" i="63230"/>
  <c r="Q9" i="63229"/>
  <c r="S14" i="63211"/>
  <c r="U14" i="63211"/>
  <c r="AC7" i="10541"/>
  <c r="R14" i="63211"/>
  <c r="T14" i="63211"/>
  <c r="AB7" i="10541"/>
  <c r="N6" i="63229"/>
  <c r="X15" i="63234"/>
  <c r="Z14" i="63234"/>
  <c r="AH7" i="10541"/>
  <c r="AH35" i="10541"/>
  <c r="AI41" i="10541"/>
  <c r="E27" i="10541"/>
  <c r="D25" i="63223"/>
  <c r="E23" i="10541"/>
  <c r="D21" i="63223"/>
  <c r="E19" i="10541"/>
  <c r="D17" i="63223"/>
  <c r="R67" i="63211"/>
  <c r="T67" i="63211"/>
  <c r="AB63" i="10541"/>
  <c r="N56" i="63229"/>
  <c r="S67" i="63211"/>
  <c r="U67" i="63211"/>
  <c r="AC63" i="10541"/>
  <c r="R25" i="63211"/>
  <c r="T25" i="63211"/>
  <c r="AB17" i="10541"/>
  <c r="N16" i="63229"/>
  <c r="S25" i="63211"/>
  <c r="U25" i="63211"/>
  <c r="AC17" i="10541"/>
  <c r="S9" i="63236"/>
  <c r="Z9" i="63238"/>
  <c r="AB9" i="63229"/>
  <c r="V7" i="63236"/>
  <c r="AC7" i="63238"/>
  <c r="J59" i="63229"/>
  <c r="AU49" i="10541"/>
  <c r="J55" i="63229"/>
  <c r="AH62" i="10541"/>
  <c r="J51" i="63229"/>
  <c r="AH58" i="10541"/>
  <c r="AJ44" i="10541"/>
  <c r="AJ36" i="10541"/>
  <c r="AJ32" i="10541"/>
  <c r="J16" i="63236"/>
  <c r="L16" i="63238"/>
  <c r="Q16" i="63229"/>
  <c r="H53" i="63236"/>
  <c r="I53" i="63238"/>
  <c r="I58" i="10541"/>
  <c r="H51" i="63229"/>
  <c r="U51" i="63229"/>
  <c r="F51" i="63236"/>
  <c r="G51" i="63238"/>
  <c r="G49" i="63236"/>
  <c r="H49" i="63238"/>
  <c r="W56" i="63230"/>
  <c r="X56" i="63230"/>
  <c r="F43" i="63236"/>
  <c r="G43" i="63238"/>
  <c r="G37" i="63238"/>
  <c r="F33" i="63236"/>
  <c r="G33" i="63238"/>
  <c r="G29" i="63238"/>
  <c r="F29" i="63236"/>
  <c r="H16" i="63236"/>
  <c r="I16" i="63238"/>
  <c r="O22" i="63230"/>
  <c r="H15" i="63236"/>
  <c r="I15" i="63238"/>
  <c r="F14" i="63236"/>
  <c r="G14" i="63238"/>
  <c r="H13" i="63238"/>
  <c r="W20" i="63230"/>
  <c r="X20" i="63230"/>
  <c r="G13" i="63236"/>
  <c r="F11" i="63236"/>
  <c r="G11" i="63238"/>
  <c r="G10" i="63236"/>
  <c r="H10" i="63238"/>
  <c r="R52" i="63211"/>
  <c r="T52" i="63211"/>
  <c r="S52" i="63211"/>
  <c r="U52" i="63211"/>
  <c r="J7" i="63236"/>
  <c r="L7" i="63238"/>
  <c r="N48" i="63236"/>
  <c r="T48" i="63238"/>
  <c r="N40" i="63229"/>
  <c r="AV44" i="10541"/>
  <c r="AB35" i="10541"/>
  <c r="N31" i="63229"/>
  <c r="V40" i="63211"/>
  <c r="N27" i="63229"/>
  <c r="AV31" i="10541"/>
  <c r="E64" i="10541"/>
  <c r="D58" i="63223"/>
  <c r="N50" i="63229"/>
  <c r="N30" i="63236"/>
  <c r="T30" i="63238"/>
  <c r="Z30" i="63229"/>
  <c r="O13" i="63236"/>
  <c r="V13" i="63238"/>
  <c r="U13" i="63229"/>
  <c r="E66" i="10541"/>
  <c r="D60" i="63223"/>
  <c r="E59" i="10541"/>
  <c r="D53" i="63223"/>
  <c r="E57" i="10541"/>
  <c r="D51" i="63223"/>
  <c r="E55" i="10541"/>
  <c r="D49" i="63223"/>
  <c r="N35" i="63229"/>
  <c r="AV39" i="10541"/>
  <c r="O29" i="63236"/>
  <c r="V29" i="63238"/>
  <c r="O14" i="63236"/>
  <c r="V14" i="63238"/>
  <c r="U14" i="63229"/>
  <c r="O58" i="63236"/>
  <c r="V58" i="63238"/>
  <c r="N12" i="63236"/>
  <c r="T12" i="63238"/>
  <c r="Z12" i="63229"/>
  <c r="E67" i="10541"/>
  <c r="D61" i="63223"/>
  <c r="F35" i="63229"/>
  <c r="J32" i="63237"/>
  <c r="H39" i="10541"/>
  <c r="I39" i="10541"/>
  <c r="H35" i="63229"/>
  <c r="P35" i="63229"/>
  <c r="AL36" i="10541"/>
  <c r="J37" i="63224"/>
  <c r="O60" i="63236"/>
  <c r="V60" i="63238"/>
  <c r="AB64" i="10541"/>
  <c r="N57" i="63229"/>
  <c r="V68" i="63211"/>
  <c r="N49" i="63236"/>
  <c r="T49" i="63238"/>
  <c r="O41" i="63236"/>
  <c r="V41" i="63238"/>
  <c r="O33" i="63236"/>
  <c r="V33" i="63238"/>
  <c r="O55" i="63236"/>
  <c r="V55" i="63238"/>
  <c r="M29" i="63229"/>
  <c r="AM33" i="10541"/>
  <c r="Y55" i="63229"/>
  <c r="AE44" i="63238"/>
  <c r="X44" i="63236"/>
  <c r="Y42" i="63229"/>
  <c r="Y39" i="63229"/>
  <c r="Y37" i="63229"/>
  <c r="Y35" i="63229"/>
  <c r="Y33" i="63229"/>
  <c r="Y25" i="63229"/>
  <c r="K16" i="63236"/>
  <c r="N16" i="63238"/>
  <c r="R16" i="63229"/>
  <c r="X52" i="63236"/>
  <c r="AE52" i="63238"/>
  <c r="M38" i="63229"/>
  <c r="AM42" i="10541"/>
  <c r="S30" i="63236"/>
  <c r="Z30" i="63238"/>
  <c r="AB30" i="63229"/>
  <c r="M19" i="63229"/>
  <c r="AM20" i="10541"/>
  <c r="V8" i="63236"/>
  <c r="AC8" i="63238"/>
  <c r="AI65" i="10541"/>
  <c r="J35" i="63229"/>
  <c r="AU39" i="10541"/>
  <c r="J27" i="63229"/>
  <c r="AH31" i="10541"/>
  <c r="AU31" i="10541"/>
  <c r="I15" i="63236"/>
  <c r="K15" i="63238"/>
  <c r="P15" i="63229"/>
  <c r="F46" i="63236"/>
  <c r="G46" i="63238"/>
  <c r="H38" i="63236"/>
  <c r="I38" i="63238"/>
  <c r="AM10" i="10541"/>
  <c r="K8" i="63236"/>
  <c r="N8" i="63238"/>
  <c r="AI56" i="10541"/>
  <c r="AI34" i="10541"/>
  <c r="L59" i="63236"/>
  <c r="P59" i="63238"/>
  <c r="K10" i="63236"/>
  <c r="N10" i="63238"/>
  <c r="W17" i="63230"/>
  <c r="X17" i="63230"/>
  <c r="R10" i="63229"/>
  <c r="I56" i="63236"/>
  <c r="K56" i="63238"/>
  <c r="I48" i="63236"/>
  <c r="K48" i="63238"/>
  <c r="I37" i="63236"/>
  <c r="K37" i="63238"/>
  <c r="I29" i="63236"/>
  <c r="K29" i="63238"/>
  <c r="I17" i="63236"/>
  <c r="K17" i="63238"/>
  <c r="E48" i="10541"/>
  <c r="D44" i="63223"/>
  <c r="E40" i="10541"/>
  <c r="D36" i="63223"/>
  <c r="E24" i="10541"/>
  <c r="D22" i="63223"/>
  <c r="R44" i="63211"/>
  <c r="T44" i="63211"/>
  <c r="AB38" i="10541"/>
  <c r="S44" i="63211"/>
  <c r="U44" i="63211"/>
  <c r="AC38" i="10541"/>
  <c r="M16" i="63230"/>
  <c r="Y9" i="63236"/>
  <c r="AF9" i="63238"/>
  <c r="I9" i="10541"/>
  <c r="H8" i="63229"/>
  <c r="Q8" i="63229"/>
  <c r="H9" i="10541"/>
  <c r="G8" i="63229"/>
  <c r="AL9" i="10541"/>
  <c r="F8" i="63229"/>
  <c r="J8" i="63224"/>
  <c r="H37" i="10541"/>
  <c r="G16" i="63236"/>
  <c r="H16" i="63238"/>
  <c r="Z23" i="63230"/>
  <c r="AA23" i="63230"/>
  <c r="F12" i="63236"/>
  <c r="G12" i="63238"/>
  <c r="F9" i="63236"/>
  <c r="G9" i="63238"/>
  <c r="O53" i="63236"/>
  <c r="V53" i="63238"/>
  <c r="U53" i="63229"/>
  <c r="O37" i="63236"/>
  <c r="V37" i="63238"/>
  <c r="F47" i="63229"/>
  <c r="I51" i="10541"/>
  <c r="H47" i="63229"/>
  <c r="H51" i="10541"/>
  <c r="J50" i="63224"/>
  <c r="O32" i="63236"/>
  <c r="V32" i="63238"/>
  <c r="J6" i="63236"/>
  <c r="L6" i="63238"/>
  <c r="O35" i="63236"/>
  <c r="V35" i="63238"/>
  <c r="U35" i="63229"/>
  <c r="N29" i="63229"/>
  <c r="AV33" i="10541"/>
  <c r="T58" i="63238"/>
  <c r="E45" i="10541"/>
  <c r="D41" i="63223"/>
  <c r="O49" i="63236"/>
  <c r="V49" i="63238"/>
  <c r="U49" i="63229"/>
  <c r="N33" i="63229"/>
  <c r="D5" i="63223"/>
  <c r="E7" i="10541"/>
  <c r="Y56" i="63229"/>
  <c r="R53" i="63236"/>
  <c r="Y53" i="63238"/>
  <c r="AA53" i="63229"/>
  <c r="AV50" i="10541"/>
  <c r="Y43" i="63229"/>
  <c r="M37" i="63229"/>
  <c r="AM41" i="10541"/>
  <c r="AH39" i="10541"/>
  <c r="AJ39" i="10541"/>
  <c r="M33" i="63229"/>
  <c r="AM37" i="10541"/>
  <c r="M50" i="63229"/>
  <c r="AM57" i="10541"/>
  <c r="X49" i="63236"/>
  <c r="AE49" i="63238"/>
  <c r="M41" i="63229"/>
  <c r="AM45" i="10541"/>
  <c r="AE40" i="63238"/>
  <c r="X40" i="63236"/>
  <c r="X38" i="63236"/>
  <c r="AE38" i="63238"/>
  <c r="X36" i="63236"/>
  <c r="AE36" i="63238"/>
  <c r="X34" i="63236"/>
  <c r="AE34" i="63238"/>
  <c r="X32" i="63236"/>
  <c r="AE32" i="63238"/>
  <c r="X30" i="63236"/>
  <c r="AE30" i="63238"/>
  <c r="X28" i="63236"/>
  <c r="AE28" i="63238"/>
  <c r="Y21" i="63229"/>
  <c r="X22" i="10541"/>
  <c r="X23" i="10541"/>
  <c r="X24" i="10541"/>
  <c r="X25" i="10541"/>
  <c r="X26" i="10541"/>
  <c r="X27" i="10541"/>
  <c r="X19" i="63236"/>
  <c r="AE19" i="63238"/>
  <c r="W9" i="63236"/>
  <c r="AD9" i="63238"/>
  <c r="Y47" i="63229"/>
  <c r="M34" i="63229"/>
  <c r="AM38" i="10541"/>
  <c r="S34" i="63229"/>
  <c r="X21" i="63236"/>
  <c r="AE21" i="63238"/>
  <c r="X10" i="63236"/>
  <c r="AE10" i="63238"/>
  <c r="G91" i="10541"/>
  <c r="X47" i="63236"/>
  <c r="AE47" i="63238"/>
  <c r="X31" i="63236"/>
  <c r="AE31" i="63238"/>
  <c r="M7" i="63229"/>
  <c r="AM8" i="10541"/>
  <c r="X6" i="63236"/>
  <c r="AE6" i="63238"/>
  <c r="M59" i="63229"/>
  <c r="AM66" i="10541"/>
  <c r="S10" i="63236"/>
  <c r="Z10" i="63238"/>
  <c r="AB10" i="63229"/>
  <c r="AJ65" i="10541"/>
  <c r="AJ61" i="10541"/>
  <c r="AJ57" i="10541"/>
  <c r="J15" i="63236"/>
  <c r="L15" i="63238"/>
  <c r="AF22" i="63230"/>
  <c r="AG22" i="63230"/>
  <c r="Q15" i="63229"/>
  <c r="H50" i="10541"/>
  <c r="F30" i="63236"/>
  <c r="G30" i="63238"/>
  <c r="K42" i="63236"/>
  <c r="N42" i="63238"/>
  <c r="I57" i="63236"/>
  <c r="K57" i="63238"/>
  <c r="I53" i="63236"/>
  <c r="K53" i="63238"/>
  <c r="P53" i="63229"/>
  <c r="I49" i="63236"/>
  <c r="K49" i="63238"/>
  <c r="I42" i="63236"/>
  <c r="K42" i="63238"/>
  <c r="I38" i="63236"/>
  <c r="P38" i="63229"/>
  <c r="K38" i="63238"/>
  <c r="I34" i="63236"/>
  <c r="P34" i="63229"/>
  <c r="K34" i="63238"/>
  <c r="I30" i="63236"/>
  <c r="P30" i="63229"/>
  <c r="K30" i="63238"/>
  <c r="I19" i="63236"/>
  <c r="K19" i="63238"/>
  <c r="J14" i="63229"/>
  <c r="AH15" i="10541"/>
  <c r="I9" i="63236"/>
  <c r="K9" i="63238"/>
  <c r="P9" i="63229"/>
  <c r="G27" i="63229"/>
  <c r="X123" i="63234"/>
  <c r="M20" i="63230"/>
  <c r="Y13" i="63236"/>
  <c r="AF13" i="63238"/>
  <c r="AB12" i="63229"/>
  <c r="M13" i="63230"/>
  <c r="Y6" i="63236"/>
  <c r="AF6" i="63238"/>
  <c r="K31" i="63236"/>
  <c r="N31" i="63238"/>
  <c r="J41" i="63229"/>
  <c r="AU45" i="10541"/>
  <c r="AJ41" i="10541"/>
  <c r="AJ37" i="10541"/>
  <c r="AJ33" i="10541"/>
  <c r="E44" i="10541"/>
  <c r="D40" i="63223"/>
  <c r="E36" i="10541"/>
  <c r="D32" i="63223"/>
  <c r="E26" i="10541"/>
  <c r="D24" i="63223"/>
  <c r="E22" i="10541"/>
  <c r="D20" i="63223"/>
  <c r="E18" i="10541"/>
  <c r="D16" i="63223"/>
  <c r="R54" i="63211"/>
  <c r="T54" i="63211"/>
  <c r="AB47" i="10541"/>
  <c r="S54" i="63211"/>
  <c r="U54" i="63211"/>
  <c r="AC47" i="10541"/>
  <c r="R15" i="63211"/>
  <c r="T15" i="63211"/>
  <c r="AB8" i="10541"/>
  <c r="N7" i="63229"/>
  <c r="S15" i="63211"/>
  <c r="U15" i="63211"/>
  <c r="AC8" i="10541"/>
  <c r="X7" i="63236"/>
  <c r="AE7" i="63238"/>
  <c r="L42" i="63236"/>
  <c r="P42" i="63238"/>
  <c r="I59" i="63236"/>
  <c r="K59" i="63238"/>
  <c r="I55" i="63236"/>
  <c r="K55" i="63238"/>
  <c r="I51" i="63236"/>
  <c r="K51" i="63238"/>
  <c r="I44" i="63236"/>
  <c r="K44" i="63238"/>
  <c r="I40" i="63236"/>
  <c r="K40" i="63238"/>
  <c r="I36" i="63236"/>
  <c r="K36" i="63238"/>
  <c r="I32" i="63236"/>
  <c r="K32" i="63238"/>
  <c r="I28" i="63236"/>
  <c r="K28" i="63238"/>
  <c r="I11" i="63236"/>
  <c r="K11" i="63238"/>
  <c r="P11" i="63229"/>
  <c r="F53" i="63236"/>
  <c r="G53" i="63238"/>
  <c r="G45" i="63229"/>
  <c r="I47" i="10541"/>
  <c r="H43" i="63229"/>
  <c r="P43" i="63229"/>
  <c r="I41" i="10541"/>
  <c r="H37" i="63229"/>
  <c r="P37" i="63229"/>
  <c r="I37" i="10541"/>
  <c r="H33" i="63229"/>
  <c r="U33" i="63229"/>
  <c r="I33" i="10541"/>
  <c r="H29" i="63229"/>
  <c r="U29" i="63229"/>
  <c r="F16" i="63236"/>
  <c r="G16" i="63238"/>
  <c r="O21" i="63230"/>
  <c r="H14" i="63236"/>
  <c r="I14" i="63238"/>
  <c r="H13" i="63236"/>
  <c r="I13" i="63238"/>
  <c r="F13" i="63236"/>
  <c r="G13" i="63238"/>
  <c r="H12" i="63238"/>
  <c r="G11" i="63236"/>
  <c r="H11" i="63238"/>
  <c r="W18" i="63230"/>
  <c r="X18" i="63230"/>
  <c r="F10" i="63236"/>
  <c r="G10" i="63238"/>
  <c r="O16" i="63230"/>
  <c r="H9" i="63236"/>
  <c r="I9" i="63238"/>
  <c r="O48" i="63236"/>
  <c r="V48" i="63238"/>
  <c r="O40" i="63236"/>
  <c r="V40" i="63238"/>
  <c r="AC35" i="10541"/>
  <c r="W40" i="63211"/>
  <c r="O27" i="63236"/>
  <c r="V27" i="63238"/>
  <c r="I8" i="63236"/>
  <c r="K8" i="63238"/>
  <c r="O50" i="63236"/>
  <c r="V50" i="63238"/>
  <c r="O30" i="63236"/>
  <c r="V30" i="63238"/>
  <c r="U30" i="63229"/>
  <c r="N13" i="63236"/>
  <c r="T13" i="63238"/>
  <c r="Z13" i="63229"/>
  <c r="J43" i="63229"/>
  <c r="AU47" i="10541"/>
  <c r="AH47" i="10541"/>
  <c r="E63" i="10541"/>
  <c r="D57" i="63223"/>
  <c r="N54" i="63236"/>
  <c r="T54" i="63238"/>
  <c r="N18" i="63236"/>
  <c r="T18" i="63238"/>
  <c r="AB11" i="10541"/>
  <c r="N10" i="63229"/>
  <c r="V18" i="63211"/>
  <c r="N39" i="63229"/>
  <c r="AV43" i="10541"/>
  <c r="N19" i="63236"/>
  <c r="T19" i="63238"/>
  <c r="AB66" i="10541"/>
  <c r="V71" i="63211"/>
  <c r="N51" i="63236"/>
  <c r="T51" i="63238"/>
  <c r="O44" i="63236"/>
  <c r="V44" i="63238"/>
  <c r="N36" i="63229"/>
  <c r="AV40" i="10541"/>
  <c r="O9" i="63236"/>
  <c r="V9" i="63238"/>
  <c r="U9" i="63229"/>
  <c r="M22" i="63230"/>
  <c r="Y15" i="63236"/>
  <c r="AF15" i="63238"/>
  <c r="X57" i="63236"/>
  <c r="AE57" i="63238"/>
  <c r="X15" i="63236"/>
  <c r="AE15" i="63238"/>
  <c r="X56" i="63236"/>
  <c r="AE56" i="63238"/>
  <c r="S53" i="63236"/>
  <c r="Z53" i="63238"/>
  <c r="AB53" i="63229"/>
  <c r="X25" i="63236"/>
  <c r="AE25" i="63238"/>
  <c r="AM16" i="10541"/>
  <c r="M15" i="63229"/>
  <c r="R30" i="63236"/>
  <c r="AA30" i="63229"/>
  <c r="Y30" i="63238"/>
  <c r="Y59" i="63229"/>
  <c r="W17" i="63236"/>
  <c r="AD17" i="63238"/>
  <c r="K9" i="63236"/>
  <c r="N9" i="63238"/>
  <c r="W16" i="63230"/>
  <c r="X16" i="63230"/>
  <c r="R9" i="63229"/>
  <c r="AV51" i="10541"/>
  <c r="X43" i="63236"/>
  <c r="AE43" i="63238"/>
  <c r="M36" i="63229"/>
  <c r="AM40" i="10541"/>
  <c r="M28" i="63229"/>
  <c r="AM32" i="10541"/>
  <c r="X27" i="63236"/>
  <c r="AE27" i="63238"/>
  <c r="X35" i="63236"/>
  <c r="AE35" i="63238"/>
  <c r="K59" i="63236"/>
  <c r="N59" i="63238"/>
  <c r="J58" i="63236"/>
  <c r="L58" i="63238"/>
  <c r="J54" i="63236"/>
  <c r="L54" i="63238"/>
  <c r="J50" i="63229"/>
  <c r="AU34" i="10541"/>
  <c r="AU35" i="10541"/>
  <c r="I50" i="10541"/>
  <c r="H46" i="63229"/>
  <c r="G38" i="63229"/>
  <c r="G34" i="63229"/>
  <c r="G30" i="63236"/>
  <c r="H30" i="63238"/>
  <c r="Z37" i="63230"/>
  <c r="AA37" i="63230"/>
  <c r="S24" i="63211"/>
  <c r="U24" i="63211"/>
  <c r="AC16" i="10541"/>
  <c r="R24" i="63211"/>
  <c r="T24" i="63211"/>
  <c r="AB16" i="10541"/>
  <c r="N15" i="63229"/>
  <c r="L57" i="63238"/>
  <c r="J57" i="63236"/>
  <c r="L53" i="63238"/>
  <c r="AF60" i="63230"/>
  <c r="AG60" i="63230"/>
  <c r="J53" i="63236"/>
  <c r="Q53" i="63229"/>
  <c r="L49" i="63238"/>
  <c r="AF56" i="63230"/>
  <c r="AG56" i="63230"/>
  <c r="J49" i="63236"/>
  <c r="Q49" i="63229"/>
  <c r="J38" i="63229"/>
  <c r="AU42" i="10541"/>
  <c r="J34" i="63229"/>
  <c r="AU38" i="10541"/>
  <c r="L30" i="63238"/>
  <c r="J30" i="63236"/>
  <c r="Q30" i="63229"/>
  <c r="J19" i="63236"/>
  <c r="L19" i="63238"/>
  <c r="AI10" i="10541"/>
  <c r="H27" i="63229"/>
  <c r="P27" i="63229"/>
  <c r="F27" i="63236"/>
  <c r="G27" i="63238"/>
  <c r="R63" i="63211"/>
  <c r="T63" i="63211"/>
  <c r="AB59" i="10541"/>
  <c r="N52" i="63229"/>
  <c r="S63" i="63211"/>
  <c r="U63" i="63211"/>
  <c r="AC59" i="10541"/>
  <c r="M17" i="63230"/>
  <c r="Y10" i="63236"/>
  <c r="AF10" i="63238"/>
  <c r="AH11" i="10541"/>
  <c r="J60" i="63229"/>
  <c r="AU50" i="10541"/>
  <c r="AH67" i="10541"/>
  <c r="AU51" i="10541"/>
  <c r="J56" i="63229"/>
  <c r="AH63" i="10541"/>
  <c r="J52" i="63229"/>
  <c r="AH59" i="10541"/>
  <c r="J48" i="63229"/>
  <c r="AH55" i="10541"/>
  <c r="AI45" i="10541"/>
  <c r="J37" i="63229"/>
  <c r="AU41" i="10541"/>
  <c r="J33" i="63229"/>
  <c r="AU37" i="10541"/>
  <c r="J29" i="63229"/>
  <c r="AU33" i="10541"/>
  <c r="J17" i="63229"/>
  <c r="AH18" i="10541"/>
  <c r="AI18" i="10541"/>
  <c r="J13" i="63229"/>
  <c r="AH14" i="10541"/>
  <c r="E62" i="10541"/>
  <c r="D56" i="63223"/>
  <c r="E25" i="10541"/>
  <c r="D23" i="63223"/>
  <c r="E21" i="10541"/>
  <c r="D19" i="63223"/>
  <c r="R48" i="63211"/>
  <c r="T48" i="63211"/>
  <c r="AB42" i="10541"/>
  <c r="S48" i="63211"/>
  <c r="U48" i="63211"/>
  <c r="AC42" i="10541"/>
  <c r="M16" i="63229"/>
  <c r="AM17" i="10541"/>
  <c r="J44" i="63229"/>
  <c r="AU48" i="10541"/>
  <c r="AH48" i="10541"/>
  <c r="J40" i="63229"/>
  <c r="AU44" i="10541"/>
  <c r="J36" i="63229"/>
  <c r="AU40" i="10541"/>
  <c r="J32" i="63229"/>
  <c r="AU36" i="10541"/>
  <c r="J28" i="63229"/>
  <c r="AU32" i="10541"/>
  <c r="J11" i="63236"/>
  <c r="L11" i="63238"/>
  <c r="AF18" i="63230"/>
  <c r="AG18" i="63230"/>
  <c r="Q11" i="63229"/>
  <c r="G53" i="63236"/>
  <c r="H53" i="63238"/>
  <c r="W60" i="63230"/>
  <c r="X60" i="63230"/>
  <c r="H58" i="10541"/>
  <c r="G51" i="63229"/>
  <c r="O56" i="63230"/>
  <c r="H49" i="63236"/>
  <c r="I49" i="63238"/>
  <c r="O52" i="63230"/>
  <c r="H45" i="63236"/>
  <c r="I45" i="63238"/>
  <c r="F15" i="63236"/>
  <c r="G15" i="63238"/>
  <c r="O19" i="63230"/>
  <c r="H12" i="63236"/>
  <c r="I12" i="63238"/>
  <c r="H11" i="63236"/>
  <c r="O17" i="63230"/>
  <c r="H10" i="63236"/>
  <c r="I10" i="63238"/>
  <c r="G9" i="63236"/>
  <c r="H9" i="63238"/>
  <c r="Z16" i="63230"/>
  <c r="AA16" i="63230"/>
  <c r="I7" i="63236"/>
  <c r="K7" i="63238"/>
  <c r="E61" i="10541"/>
  <c r="D55" i="63223"/>
  <c r="E46" i="10541"/>
  <c r="D42" i="63223"/>
  <c r="T79" i="63211"/>
  <c r="N53" i="63236"/>
  <c r="Z53" i="63229"/>
  <c r="T53" i="63238"/>
  <c r="AI60" i="63230"/>
  <c r="AJ60" i="63230"/>
  <c r="N37" i="63229"/>
  <c r="AV41" i="10541"/>
  <c r="N28" i="63229"/>
  <c r="AV32" i="10541"/>
  <c r="N32" i="63229"/>
  <c r="AV36" i="10541"/>
  <c r="N17" i="63236"/>
  <c r="T17" i="63238"/>
  <c r="I43" i="63236"/>
  <c r="K43" i="63238"/>
  <c r="I6" i="63236"/>
  <c r="K6" i="63238"/>
  <c r="O54" i="63236"/>
  <c r="V54" i="63238"/>
  <c r="O18" i="63236"/>
  <c r="V18" i="63238"/>
  <c r="AC11" i="10541"/>
  <c r="W18" i="63211"/>
  <c r="O39" i="63236"/>
  <c r="V39" i="63238"/>
  <c r="O19" i="63236"/>
  <c r="V19" i="63238"/>
  <c r="F39" i="63229"/>
  <c r="J36" i="63237"/>
  <c r="H43" i="10541"/>
  <c r="I43" i="10541"/>
  <c r="H39" i="63229"/>
  <c r="P39" i="63229"/>
  <c r="J41" i="63224"/>
  <c r="F31" i="63229"/>
  <c r="J28" i="63237"/>
  <c r="H35" i="10541"/>
  <c r="G31" i="63229"/>
  <c r="I35" i="10541"/>
  <c r="H31" i="63229"/>
  <c r="R31" i="63229"/>
  <c r="J32" i="63224"/>
  <c r="E8" i="10541"/>
  <c r="D6" i="63223"/>
  <c r="AC66" i="10541"/>
  <c r="W71" i="63211"/>
  <c r="O51" i="63236"/>
  <c r="V51" i="63238"/>
  <c r="N44" i="63229"/>
  <c r="O36" i="63236"/>
  <c r="V36" i="63238"/>
  <c r="N9" i="63236"/>
  <c r="T9" i="63238"/>
  <c r="AI16" i="63230"/>
  <c r="AJ16" i="63230"/>
  <c r="Z9" i="63229"/>
  <c r="Z20" i="63230"/>
  <c r="AA20" i="63230"/>
  <c r="U27" i="63229"/>
  <c r="AI37" i="63230"/>
  <c r="AJ37" i="63230"/>
  <c r="Z56" i="63230"/>
  <c r="AA56" i="63230"/>
  <c r="S49" i="63229"/>
  <c r="R49" i="63229"/>
  <c r="AV48" i="10541"/>
  <c r="U39" i="63229"/>
  <c r="AF37" i="63230"/>
  <c r="AG37" i="63230"/>
  <c r="P8" i="63229"/>
  <c r="S12" i="63236"/>
  <c r="P49" i="63229"/>
  <c r="AI39" i="10541"/>
  <c r="R8" i="63229"/>
  <c r="M9" i="63229"/>
  <c r="W23" i="63230"/>
  <c r="X23" i="63230"/>
  <c r="Z49" i="63229"/>
  <c r="AI19" i="63230"/>
  <c r="AJ19" i="63230"/>
  <c r="AF23" i="63230"/>
  <c r="AG23" i="63230"/>
  <c r="AF17" i="63230"/>
  <c r="AG17" i="63230"/>
  <c r="S13" i="63229"/>
  <c r="R13" i="63229"/>
  <c r="W37" i="63230"/>
  <c r="X37" i="63230"/>
  <c r="Z22" i="63230"/>
  <c r="AA22" i="63230"/>
  <c r="S11" i="63229"/>
  <c r="R11" i="63229"/>
  <c r="I11" i="63238"/>
  <c r="AI20" i="63230"/>
  <c r="AJ20" i="63230"/>
  <c r="W38" i="63230"/>
  <c r="X38" i="63230"/>
  <c r="AI56" i="63230"/>
  <c r="AJ56" i="63230"/>
  <c r="AV34" i="10541"/>
  <c r="AV35" i="10541"/>
  <c r="AI21" i="63230"/>
  <c r="AJ21" i="63230"/>
  <c r="S14" i="63229"/>
  <c r="R14" i="63229"/>
  <c r="S15" i="63229"/>
  <c r="R15" i="63229"/>
  <c r="U33" i="63236"/>
  <c r="AB33" i="63238"/>
  <c r="P35" i="63236"/>
  <c r="W35" i="63238"/>
  <c r="U51" i="63236"/>
  <c r="AB51" i="63238"/>
  <c r="U29" i="63236"/>
  <c r="AB29" i="63238"/>
  <c r="P39" i="63236"/>
  <c r="W39" i="63238"/>
  <c r="O52" i="63229"/>
  <c r="AJ59" i="10541"/>
  <c r="AI59" i="10541"/>
  <c r="O7" i="63229"/>
  <c r="AI8" i="10541"/>
  <c r="AJ8" i="10541"/>
  <c r="P34" i="63236"/>
  <c r="W34" i="63238"/>
  <c r="U49" i="63236"/>
  <c r="AB49" i="63238"/>
  <c r="P37" i="63236"/>
  <c r="W37" i="63238"/>
  <c r="Z12" i="63236"/>
  <c r="AG12" i="63238"/>
  <c r="AE12" i="63229"/>
  <c r="F48" i="63229"/>
  <c r="I55" i="10541"/>
  <c r="H55" i="10541"/>
  <c r="J51" i="63224"/>
  <c r="AL31" i="10541"/>
  <c r="Q16" i="63236"/>
  <c r="X16" i="63238"/>
  <c r="AD16" i="63229"/>
  <c r="AB9" i="63236"/>
  <c r="AI9" i="63238"/>
  <c r="AI9" i="63229"/>
  <c r="M6" i="63229"/>
  <c r="AM7" i="10541"/>
  <c r="P10" i="63236"/>
  <c r="W10" i="63238"/>
  <c r="M59" i="63230"/>
  <c r="Y52" i="63236"/>
  <c r="AF52" i="63238"/>
  <c r="Q8" i="63236"/>
  <c r="X8" i="63238"/>
  <c r="AD8" i="63229"/>
  <c r="F28" i="63229"/>
  <c r="J25" i="63237"/>
  <c r="I32" i="10541"/>
  <c r="H32" i="10541"/>
  <c r="J29" i="63224"/>
  <c r="AL32" i="10541"/>
  <c r="E91" i="10541"/>
  <c r="H91" i="10541"/>
  <c r="Q10" i="63236"/>
  <c r="X10" i="63238"/>
  <c r="AD10" i="63229"/>
  <c r="G43" i="63236"/>
  <c r="H43" i="63238"/>
  <c r="O59" i="63229"/>
  <c r="AI66" i="10541"/>
  <c r="AJ66" i="10541"/>
  <c r="U39" i="63236"/>
  <c r="AB39" i="63238"/>
  <c r="N28" i="63236"/>
  <c r="T28" i="63238"/>
  <c r="J44" i="63236"/>
  <c r="L44" i="63238"/>
  <c r="F24" i="63229"/>
  <c r="I25" i="10541"/>
  <c r="H24" i="63229"/>
  <c r="H25" i="10541"/>
  <c r="G24" i="63229"/>
  <c r="AL25" i="10541"/>
  <c r="J25" i="63224"/>
  <c r="J29" i="63236"/>
  <c r="L29" i="63238"/>
  <c r="Q29" i="63229"/>
  <c r="J37" i="63236"/>
  <c r="L37" i="63238"/>
  <c r="Q37" i="63229"/>
  <c r="M52" i="63229"/>
  <c r="AM59" i="10541"/>
  <c r="M10" i="63229"/>
  <c r="AM11" i="10541"/>
  <c r="M66" i="63230"/>
  <c r="Y59" i="63236"/>
  <c r="AF59" i="63238"/>
  <c r="M15" i="63236"/>
  <c r="R15" i="63238"/>
  <c r="AC22" i="63230"/>
  <c r="AD22" i="63230"/>
  <c r="T15" i="63229"/>
  <c r="U9" i="63236"/>
  <c r="AB9" i="63238"/>
  <c r="N36" i="63236"/>
  <c r="T36" i="63238"/>
  <c r="Z51" i="63229"/>
  <c r="M43" i="63229"/>
  <c r="AM47" i="10541"/>
  <c r="U27" i="63236"/>
  <c r="AB27" i="63238"/>
  <c r="O31" i="63229"/>
  <c r="AJ35" i="10541"/>
  <c r="AI35" i="10541"/>
  <c r="I37" i="63238"/>
  <c r="H37" i="63236"/>
  <c r="R37" i="63229"/>
  <c r="S37" i="63229"/>
  <c r="P51" i="63229"/>
  <c r="N7" i="63236"/>
  <c r="T7" i="63238"/>
  <c r="F17" i="63229"/>
  <c r="H18" i="10541"/>
  <c r="G17" i="63229"/>
  <c r="AL62" i="10541"/>
  <c r="AL18" i="10541"/>
  <c r="J13" i="63237"/>
  <c r="I18" i="10541"/>
  <c r="H17" i="63229"/>
  <c r="J18" i="63224"/>
  <c r="F25" i="63229"/>
  <c r="H26" i="10541"/>
  <c r="G25" i="63229"/>
  <c r="AL26" i="10541"/>
  <c r="I26" i="10541"/>
  <c r="H25" i="63229"/>
  <c r="J26" i="63224"/>
  <c r="F40" i="63229"/>
  <c r="J37" i="63237"/>
  <c r="I44" i="10541"/>
  <c r="H40" i="63229"/>
  <c r="H44" i="10541"/>
  <c r="J42" i="63224"/>
  <c r="X124" i="63234"/>
  <c r="Z123" i="63234"/>
  <c r="P30" i="63236"/>
  <c r="W30" i="63238"/>
  <c r="M7" i="63236"/>
  <c r="R7" i="63238"/>
  <c r="M34" i="63236"/>
  <c r="R34" i="63238"/>
  <c r="T34" i="63229"/>
  <c r="M28" i="63230"/>
  <c r="Y21" i="63236"/>
  <c r="AF21" i="63238"/>
  <c r="M50" i="63236"/>
  <c r="R50" i="63238"/>
  <c r="M50" i="63230"/>
  <c r="Y43" i="63236"/>
  <c r="AF43" i="63238"/>
  <c r="U37" i="63229"/>
  <c r="G33" i="63229"/>
  <c r="AR37" i="10541"/>
  <c r="F23" i="63229"/>
  <c r="H24" i="10541"/>
  <c r="G23" i="63229"/>
  <c r="AL24" i="10541"/>
  <c r="I24" i="10541"/>
  <c r="H23" i="63229"/>
  <c r="J24" i="63224"/>
  <c r="F44" i="63229"/>
  <c r="J41" i="63237"/>
  <c r="I48" i="10541"/>
  <c r="H44" i="63229"/>
  <c r="Q44" i="63229"/>
  <c r="H48" i="10541"/>
  <c r="J47" i="63224"/>
  <c r="R10" i="63236"/>
  <c r="Y10" i="63238"/>
  <c r="AA10" i="63229"/>
  <c r="M9" i="63236"/>
  <c r="R9" i="63238"/>
  <c r="AC16" i="63230"/>
  <c r="AD16" i="63230"/>
  <c r="T9" i="63229"/>
  <c r="AB30" i="63236"/>
  <c r="AI30" i="63238"/>
  <c r="AI30" i="63229"/>
  <c r="M38" i="63236"/>
  <c r="R38" i="63238"/>
  <c r="T38" i="63229"/>
  <c r="M40" i="63230"/>
  <c r="Y33" i="63236"/>
  <c r="AF33" i="63238"/>
  <c r="M49" i="63230"/>
  <c r="Y42" i="63236"/>
  <c r="AF42" i="63238"/>
  <c r="M29" i="63236"/>
  <c r="R29" i="63238"/>
  <c r="T29" i="63229"/>
  <c r="F35" i="63236"/>
  <c r="G35" i="63238"/>
  <c r="F57" i="63229"/>
  <c r="I64" i="10541"/>
  <c r="H57" i="63229"/>
  <c r="Z57" i="63229"/>
  <c r="J55" i="63237"/>
  <c r="H64" i="10541"/>
  <c r="G57" i="63229"/>
  <c r="AL64" i="10541"/>
  <c r="AL40" i="10541"/>
  <c r="J60" i="63224"/>
  <c r="N31" i="63236"/>
  <c r="T31" i="63238"/>
  <c r="Z31" i="63229"/>
  <c r="AB46" i="10541"/>
  <c r="V52" i="63211"/>
  <c r="M55" i="63229"/>
  <c r="AM62" i="10541"/>
  <c r="AI62" i="10541"/>
  <c r="AJ62" i="10541"/>
  <c r="O56" i="63229"/>
  <c r="AJ63" i="10541"/>
  <c r="AI63" i="10541"/>
  <c r="Y5" i="63234"/>
  <c r="Y6" i="63234"/>
  <c r="O6" i="63229"/>
  <c r="AJ7" i="10541"/>
  <c r="AI7" i="10541"/>
  <c r="AB16" i="63236"/>
  <c r="AI16" i="63238"/>
  <c r="AI16" i="63229"/>
  <c r="M11" i="63236"/>
  <c r="R11" i="63238"/>
  <c r="AC18" i="63230"/>
  <c r="AD18" i="63230"/>
  <c r="T11" i="63229"/>
  <c r="M30" i="63230"/>
  <c r="Y23" i="63236"/>
  <c r="AF23" i="63238"/>
  <c r="AV45" i="10541"/>
  <c r="Z14" i="63236"/>
  <c r="AG14" i="63238"/>
  <c r="AE14" i="63229"/>
  <c r="G29" i="63229"/>
  <c r="AR33" i="10541"/>
  <c r="P13" i="63236"/>
  <c r="W13" i="63238"/>
  <c r="N20" i="63236"/>
  <c r="T20" i="63238"/>
  <c r="M39" i="63229"/>
  <c r="AM43" i="10541"/>
  <c r="AJ43" i="10541"/>
  <c r="AI43" i="10541"/>
  <c r="M30" i="63236"/>
  <c r="T30" i="63229"/>
  <c r="R30" i="63238"/>
  <c r="AC37" i="63230"/>
  <c r="AD37" i="63230"/>
  <c r="O38" i="63229"/>
  <c r="AI42" i="10541"/>
  <c r="AJ42" i="10541"/>
  <c r="J48" i="63236"/>
  <c r="L48" i="63238"/>
  <c r="J60" i="63236"/>
  <c r="L60" i="63238"/>
  <c r="N15" i="63236"/>
  <c r="T15" i="63238"/>
  <c r="AI22" i="63230"/>
  <c r="AJ22" i="63230"/>
  <c r="Z15" i="63229"/>
  <c r="R9" i="63236"/>
  <c r="Y9" i="63238"/>
  <c r="AA9" i="63229"/>
  <c r="T39" i="63238"/>
  <c r="N39" i="63236"/>
  <c r="Z39" i="63229"/>
  <c r="F56" i="63229"/>
  <c r="AL63" i="10541"/>
  <c r="J54" i="63237"/>
  <c r="AL39" i="10541"/>
  <c r="I63" i="10541"/>
  <c r="H56" i="63229"/>
  <c r="H63" i="10541"/>
  <c r="G56" i="63229"/>
  <c r="J59" i="63224"/>
  <c r="U30" i="63236"/>
  <c r="AB30" i="63238"/>
  <c r="O40" i="63230"/>
  <c r="H33" i="63236"/>
  <c r="I33" i="63238"/>
  <c r="S33" i="63229"/>
  <c r="R33" i="63229"/>
  <c r="R31" i="63236"/>
  <c r="Y31" i="63238"/>
  <c r="AA31" i="63229"/>
  <c r="P49" i="63236"/>
  <c r="W49" i="63238"/>
  <c r="Q15" i="63236"/>
  <c r="X15" i="63238"/>
  <c r="AD15" i="63229"/>
  <c r="AB10" i="63236"/>
  <c r="AI10" i="63238"/>
  <c r="AI10" i="63229"/>
  <c r="M59" i="63236"/>
  <c r="R59" i="63238"/>
  <c r="M54" i="63230"/>
  <c r="Y47" i="63236"/>
  <c r="AF47" i="63238"/>
  <c r="M41" i="63236"/>
  <c r="R41" i="63238"/>
  <c r="T41" i="63229"/>
  <c r="M35" i="63229"/>
  <c r="AM39" i="10541"/>
  <c r="M63" i="63230"/>
  <c r="Y56" i="63236"/>
  <c r="AF56" i="63238"/>
  <c r="F41" i="63229"/>
  <c r="I45" i="10541"/>
  <c r="H41" i="63229"/>
  <c r="H45" i="10541"/>
  <c r="J38" i="63237"/>
  <c r="J43" i="63224"/>
  <c r="U53" i="63236"/>
  <c r="AB53" i="63238"/>
  <c r="R8" i="63236"/>
  <c r="Y8" i="63238"/>
  <c r="AA8" i="63229"/>
  <c r="N57" i="63236"/>
  <c r="T57" i="63238"/>
  <c r="AC46" i="10541"/>
  <c r="W52" i="63211"/>
  <c r="J51" i="63236"/>
  <c r="L51" i="63238"/>
  <c r="Q51" i="63229"/>
  <c r="J59" i="63236"/>
  <c r="L59" i="63238"/>
  <c r="F18" i="63229"/>
  <c r="J14" i="63237"/>
  <c r="AL19" i="10541"/>
  <c r="I19" i="10541"/>
  <c r="H18" i="63229"/>
  <c r="H19" i="10541"/>
  <c r="G18" i="63229"/>
  <c r="J19" i="63224"/>
  <c r="F26" i="63229"/>
  <c r="I27" i="10541"/>
  <c r="H26" i="63229"/>
  <c r="H27" i="10541"/>
  <c r="G26" i="63229"/>
  <c r="AL27" i="10541"/>
  <c r="J27" i="63224"/>
  <c r="O8" i="63229"/>
  <c r="AJ9" i="10541"/>
  <c r="AI9" i="10541"/>
  <c r="P27" i="63236"/>
  <c r="W27" i="63238"/>
  <c r="O57" i="63229"/>
  <c r="AI64" i="10541"/>
  <c r="AJ64" i="10541"/>
  <c r="P33" i="63229"/>
  <c r="O11" i="63229"/>
  <c r="AI12" i="10541"/>
  <c r="AJ12" i="10541"/>
  <c r="O38" i="63230"/>
  <c r="H31" i="63236"/>
  <c r="I31" i="63238"/>
  <c r="S31" i="63229"/>
  <c r="F39" i="63236"/>
  <c r="G39" i="63238"/>
  <c r="O10" i="63229"/>
  <c r="AJ11" i="10541"/>
  <c r="AI11" i="10541"/>
  <c r="Z53" i="63236"/>
  <c r="AG53" i="63238"/>
  <c r="AE53" i="63229"/>
  <c r="F54" i="63229"/>
  <c r="I61" i="10541"/>
  <c r="H54" i="63229"/>
  <c r="H61" i="10541"/>
  <c r="AL37" i="10541"/>
  <c r="AL61" i="10541"/>
  <c r="J52" i="63237"/>
  <c r="J57" i="63224"/>
  <c r="N38" i="63229"/>
  <c r="AV42" i="10541"/>
  <c r="J13" i="63236"/>
  <c r="L13" i="63238"/>
  <c r="AF20" i="63230"/>
  <c r="AG20" i="63230"/>
  <c r="Q13" i="63229"/>
  <c r="N52" i="63236"/>
  <c r="T52" i="63238"/>
  <c r="J34" i="63236"/>
  <c r="L34" i="63238"/>
  <c r="AF41" i="63230"/>
  <c r="AG41" i="63230"/>
  <c r="Q34" i="63229"/>
  <c r="G34" i="63236"/>
  <c r="H34" i="63238"/>
  <c r="O46" i="63230"/>
  <c r="H39" i="63236"/>
  <c r="I39" i="63238"/>
  <c r="R39" i="63229"/>
  <c r="S39" i="63229"/>
  <c r="J32" i="63236"/>
  <c r="L32" i="63238"/>
  <c r="J40" i="63236"/>
  <c r="L40" i="63238"/>
  <c r="Q40" i="63229"/>
  <c r="AM18" i="10541"/>
  <c r="M17" i="63229"/>
  <c r="J52" i="63236"/>
  <c r="L52" i="63238"/>
  <c r="M60" i="63229"/>
  <c r="AM67" i="10541"/>
  <c r="AJ67" i="10541"/>
  <c r="AI67" i="10541"/>
  <c r="O34" i="63230"/>
  <c r="H27" i="63236"/>
  <c r="I27" i="63238"/>
  <c r="S27" i="63229"/>
  <c r="R27" i="63229"/>
  <c r="AB53" i="63236"/>
  <c r="AI53" i="63238"/>
  <c r="AI53" i="63229"/>
  <c r="N59" i="63229"/>
  <c r="AV49" i="10541"/>
  <c r="N10" i="63236"/>
  <c r="T10" i="63238"/>
  <c r="AI17" i="63230"/>
  <c r="AJ17" i="63230"/>
  <c r="Z10" i="63229"/>
  <c r="P8" i="63236"/>
  <c r="W8" i="63238"/>
  <c r="O50" i="63230"/>
  <c r="H43" i="63236"/>
  <c r="I43" i="63238"/>
  <c r="S43" i="63229"/>
  <c r="R43" i="63229"/>
  <c r="O43" i="63229"/>
  <c r="AJ47" i="10541"/>
  <c r="AI47" i="10541"/>
  <c r="AJ18" i="10541"/>
  <c r="M37" i="63236"/>
  <c r="R37" i="63238"/>
  <c r="AC44" i="63230"/>
  <c r="AD44" i="63230"/>
  <c r="T37" i="63229"/>
  <c r="AV37" i="10541"/>
  <c r="N29" i="63236"/>
  <c r="T29" i="63238"/>
  <c r="Z29" i="63229"/>
  <c r="G47" i="63229"/>
  <c r="G8" i="63236"/>
  <c r="H8" i="63238"/>
  <c r="Z15" i="63230"/>
  <c r="AA15" i="63230"/>
  <c r="O34" i="63229"/>
  <c r="AJ38" i="10541"/>
  <c r="AI38" i="10541"/>
  <c r="P29" i="63229"/>
  <c r="J35" i="63236"/>
  <c r="L35" i="63238"/>
  <c r="Q35" i="63229"/>
  <c r="M32" i="63230"/>
  <c r="Y25" i="63236"/>
  <c r="AF25" i="63238"/>
  <c r="M46" i="63230"/>
  <c r="Y39" i="63236"/>
  <c r="AF39" i="63238"/>
  <c r="O42" i="63230"/>
  <c r="H35" i="63236"/>
  <c r="I35" i="63238"/>
  <c r="S35" i="63229"/>
  <c r="R35" i="63229"/>
  <c r="T35" i="63238"/>
  <c r="N35" i="63236"/>
  <c r="Z35" i="63229"/>
  <c r="F50" i="63229"/>
  <c r="I57" i="10541"/>
  <c r="H50" i="63229"/>
  <c r="T50" i="63229"/>
  <c r="H57" i="10541"/>
  <c r="J48" i="63237"/>
  <c r="J53" i="63224"/>
  <c r="AL33" i="10541"/>
  <c r="AL57" i="10541"/>
  <c r="F59" i="63229"/>
  <c r="J57" i="63237"/>
  <c r="H66" i="10541"/>
  <c r="AL66" i="10541"/>
  <c r="I66" i="10541"/>
  <c r="H59" i="63229"/>
  <c r="Q59" i="63229"/>
  <c r="AL42" i="10541"/>
  <c r="J63" i="63224"/>
  <c r="AG30" i="63238"/>
  <c r="Z30" i="63236"/>
  <c r="AE30" i="63229"/>
  <c r="J55" i="63236"/>
  <c r="L55" i="63238"/>
  <c r="Q55" i="63229"/>
  <c r="N56" i="63236"/>
  <c r="T56" i="63238"/>
  <c r="Z56" i="63229"/>
  <c r="F22" i="63229"/>
  <c r="I23" i="10541"/>
  <c r="H22" i="63229"/>
  <c r="H23" i="10541"/>
  <c r="G22" i="63229"/>
  <c r="AL23" i="10541"/>
  <c r="J23" i="63224"/>
  <c r="Q9" i="63236"/>
  <c r="X9" i="63238"/>
  <c r="AD9" i="63229"/>
  <c r="P14" i="63236"/>
  <c r="W14" i="63238"/>
  <c r="M32" i="63236"/>
  <c r="R32" i="63238"/>
  <c r="M58" i="63230"/>
  <c r="Y51" i="63236"/>
  <c r="AF51" i="63238"/>
  <c r="M53" i="63230"/>
  <c r="Y46" i="63236"/>
  <c r="AF46" i="63238"/>
  <c r="N41" i="63236"/>
  <c r="T41" i="63238"/>
  <c r="Z41" i="63229"/>
  <c r="U12" i="63236"/>
  <c r="AB12" i="63238"/>
  <c r="P16" i="63236"/>
  <c r="W16" i="63238"/>
  <c r="F19" i="63229"/>
  <c r="J15" i="63237"/>
  <c r="I20" i="10541"/>
  <c r="H19" i="63229"/>
  <c r="H20" i="10541"/>
  <c r="G19" i="63229"/>
  <c r="AL20" i="10541"/>
  <c r="J20" i="63224"/>
  <c r="J39" i="63236"/>
  <c r="L39" i="63238"/>
  <c r="Q39" i="63229"/>
  <c r="AB38" i="63236"/>
  <c r="AI38" i="63238"/>
  <c r="AI38" i="63229"/>
  <c r="M49" i="63236"/>
  <c r="R49" i="63238"/>
  <c r="AC56" i="63230"/>
  <c r="AD56" i="63230"/>
  <c r="T49" i="63229"/>
  <c r="M38" i="63230"/>
  <c r="Y31" i="63236"/>
  <c r="AF31" i="63238"/>
  <c r="G37" i="63236"/>
  <c r="H37" i="63238"/>
  <c r="Z9" i="63236"/>
  <c r="AG9" i="63238"/>
  <c r="AE9" i="63229"/>
  <c r="N44" i="63236"/>
  <c r="T44" i="63238"/>
  <c r="F31" i="63236"/>
  <c r="G31" i="63238"/>
  <c r="P43" i="63236"/>
  <c r="W43" i="63238"/>
  <c r="G51" i="63236"/>
  <c r="H51" i="63238"/>
  <c r="J28" i="63236"/>
  <c r="L28" i="63238"/>
  <c r="J36" i="63236"/>
  <c r="L36" i="63238"/>
  <c r="AM14" i="10541"/>
  <c r="M13" i="63229"/>
  <c r="AJ14" i="10541"/>
  <c r="AI14" i="10541"/>
  <c r="J56" i="63236"/>
  <c r="L56" i="63238"/>
  <c r="X30" i="63238"/>
  <c r="Q30" i="63236"/>
  <c r="AD30" i="63229"/>
  <c r="Q49" i="63236"/>
  <c r="X49" i="63238"/>
  <c r="AD49" i="63229"/>
  <c r="Q53" i="63236"/>
  <c r="X53" i="63238"/>
  <c r="AD53" i="63229"/>
  <c r="O53" i="63230"/>
  <c r="H46" i="63236"/>
  <c r="I46" i="63238"/>
  <c r="Z13" i="63236"/>
  <c r="AG13" i="63238"/>
  <c r="AE13" i="63229"/>
  <c r="G45" i="63236"/>
  <c r="H45" i="63238"/>
  <c r="P9" i="63236"/>
  <c r="W9" i="63238"/>
  <c r="J14" i="63236"/>
  <c r="L14" i="63238"/>
  <c r="AF21" i="63230"/>
  <c r="AG21" i="63230"/>
  <c r="Q14" i="63229"/>
  <c r="J91" i="10541"/>
  <c r="I91" i="10541"/>
  <c r="AL55" i="10541"/>
  <c r="E90" i="10541"/>
  <c r="H90" i="10541"/>
  <c r="F6" i="63229"/>
  <c r="I7" i="10541"/>
  <c r="J6" i="63224"/>
  <c r="H7" i="10541"/>
  <c r="G6" i="63229"/>
  <c r="AL7" i="10541"/>
  <c r="F47" i="63236"/>
  <c r="G47" i="63238"/>
  <c r="J27" i="63236"/>
  <c r="L27" i="63238"/>
  <c r="Q27" i="63229"/>
  <c r="M19" i="63236"/>
  <c r="R19" i="63238"/>
  <c r="R16" i="63236"/>
  <c r="Y16" i="63238"/>
  <c r="AA16" i="63229"/>
  <c r="M42" i="63230"/>
  <c r="Y35" i="63236"/>
  <c r="AF35" i="63238"/>
  <c r="F52" i="63229"/>
  <c r="AL59" i="10541"/>
  <c r="J50" i="63237"/>
  <c r="AL35" i="10541"/>
  <c r="I59" i="10541"/>
  <c r="H52" i="63229"/>
  <c r="H59" i="10541"/>
  <c r="J55" i="63224"/>
  <c r="O58" i="63230"/>
  <c r="H51" i="63236"/>
  <c r="I51" i="63238"/>
  <c r="R51" i="63229"/>
  <c r="S51" i="63229"/>
  <c r="N16" i="63236"/>
  <c r="T16" i="63238"/>
  <c r="AI23" i="63230"/>
  <c r="AJ23" i="63230"/>
  <c r="Z16" i="63229"/>
  <c r="N6" i="63236"/>
  <c r="T6" i="63238"/>
  <c r="M8" i="63229"/>
  <c r="AM9" i="10541"/>
  <c r="M40" i="63236"/>
  <c r="R40" i="63238"/>
  <c r="T40" i="63229"/>
  <c r="O20" i="63236"/>
  <c r="V20" i="63238"/>
  <c r="U20" i="63229"/>
  <c r="X31" i="63238"/>
  <c r="Q31" i="63236"/>
  <c r="AD31" i="63229"/>
  <c r="M57" i="63236"/>
  <c r="R57" i="63238"/>
  <c r="T57" i="63229"/>
  <c r="M53" i="63236"/>
  <c r="R53" i="63238"/>
  <c r="AC60" i="63230"/>
  <c r="AD60" i="63230"/>
  <c r="T53" i="63229"/>
  <c r="M58" i="63236"/>
  <c r="R58" i="63238"/>
  <c r="O15" i="63229"/>
  <c r="AI16" i="10541"/>
  <c r="AJ16" i="10541"/>
  <c r="M28" i="63236"/>
  <c r="R28" i="63238"/>
  <c r="G31" i="63236"/>
  <c r="H31" i="63238"/>
  <c r="Z38" i="63230"/>
  <c r="AA38" i="63230"/>
  <c r="I8" i="10541"/>
  <c r="H7" i="63229"/>
  <c r="T7" i="63229"/>
  <c r="F7" i="63229"/>
  <c r="H8" i="10541"/>
  <c r="G7" i="63229"/>
  <c r="J7" i="63224"/>
  <c r="AL8" i="10541"/>
  <c r="AL56" i="10541"/>
  <c r="G39" i="63229"/>
  <c r="N32" i="63236"/>
  <c r="T32" i="63238"/>
  <c r="N37" i="63236"/>
  <c r="T37" i="63238"/>
  <c r="AI44" i="63230"/>
  <c r="AJ44" i="63230"/>
  <c r="Z37" i="63229"/>
  <c r="F42" i="63229"/>
  <c r="H46" i="10541"/>
  <c r="J39" i="63237"/>
  <c r="I46" i="10541"/>
  <c r="H42" i="63229"/>
  <c r="J44" i="63224"/>
  <c r="Q11" i="63236"/>
  <c r="X11" i="63238"/>
  <c r="AD11" i="63229"/>
  <c r="M44" i="63229"/>
  <c r="AM48" i="10541"/>
  <c r="AI48" i="10541"/>
  <c r="AJ48" i="10541"/>
  <c r="M16" i="63236"/>
  <c r="R16" i="63238"/>
  <c r="AC23" i="63230"/>
  <c r="AD23" i="63230"/>
  <c r="T16" i="63229"/>
  <c r="F20" i="63229"/>
  <c r="I21" i="10541"/>
  <c r="H20" i="63229"/>
  <c r="Z20" i="63229"/>
  <c r="H21" i="10541"/>
  <c r="G20" i="63229"/>
  <c r="J16" i="63237"/>
  <c r="AL21" i="10541"/>
  <c r="J21" i="63224"/>
  <c r="F55" i="63229"/>
  <c r="J53" i="63237"/>
  <c r="H62" i="10541"/>
  <c r="I62" i="10541"/>
  <c r="H55" i="63229"/>
  <c r="J58" i="63224"/>
  <c r="AL38" i="10541"/>
  <c r="J17" i="63236"/>
  <c r="L17" i="63238"/>
  <c r="J33" i="63236"/>
  <c r="L33" i="63238"/>
  <c r="Q33" i="63229"/>
  <c r="M48" i="63229"/>
  <c r="AM55" i="10541"/>
  <c r="AJ55" i="10541"/>
  <c r="AI55" i="10541"/>
  <c r="M56" i="63229"/>
  <c r="AM63" i="10541"/>
  <c r="J38" i="63236"/>
  <c r="L38" i="63238"/>
  <c r="Q38" i="63229"/>
  <c r="G38" i="63236"/>
  <c r="H38" i="63238"/>
  <c r="J50" i="63236"/>
  <c r="L50" i="63238"/>
  <c r="Q50" i="63229"/>
  <c r="M36" i="63236"/>
  <c r="R36" i="63238"/>
  <c r="AA30" i="63236"/>
  <c r="AH30" i="63238"/>
  <c r="AH30" i="63229"/>
  <c r="J43" i="63236"/>
  <c r="L43" i="63238"/>
  <c r="AF50" i="63230"/>
  <c r="AG50" i="63230"/>
  <c r="Q43" i="63229"/>
  <c r="H29" i="63236"/>
  <c r="I29" i="63238"/>
  <c r="S29" i="63229"/>
  <c r="R29" i="63229"/>
  <c r="P11" i="63236"/>
  <c r="W11" i="63238"/>
  <c r="N43" i="63229"/>
  <c r="AV47" i="10541"/>
  <c r="F21" i="63229"/>
  <c r="H22" i="10541"/>
  <c r="G21" i="63229"/>
  <c r="AL22" i="10541"/>
  <c r="I22" i="10541"/>
  <c r="H21" i="63229"/>
  <c r="J22" i="63224"/>
  <c r="F32" i="63229"/>
  <c r="J29" i="63237"/>
  <c r="I36" i="10541"/>
  <c r="H32" i="63229"/>
  <c r="T32" i="63229"/>
  <c r="H36" i="10541"/>
  <c r="J34" i="63224"/>
  <c r="AL12" i="10541"/>
  <c r="AL34" i="10541"/>
  <c r="J41" i="63236"/>
  <c r="L41" i="63238"/>
  <c r="Q41" i="63229"/>
  <c r="AB12" i="63236"/>
  <c r="AI12" i="63238"/>
  <c r="AI12" i="63229"/>
  <c r="G27" i="63236"/>
  <c r="H27" i="63238"/>
  <c r="M14" i="63229"/>
  <c r="AM15" i="10541"/>
  <c r="AI15" i="10541"/>
  <c r="AJ15" i="10541"/>
  <c r="P38" i="63236"/>
  <c r="W38" i="63238"/>
  <c r="P53" i="63236"/>
  <c r="W53" i="63238"/>
  <c r="G46" i="63229"/>
  <c r="Z34" i="63238"/>
  <c r="S34" i="63236"/>
  <c r="AB34" i="63229"/>
  <c r="M33" i="63236"/>
  <c r="R33" i="63238"/>
  <c r="T33" i="63229"/>
  <c r="AA53" i="63236"/>
  <c r="AH53" i="63238"/>
  <c r="AH53" i="63229"/>
  <c r="N33" i="63236"/>
  <c r="T33" i="63238"/>
  <c r="Z33" i="63229"/>
  <c r="U35" i="63236"/>
  <c r="AB35" i="63238"/>
  <c r="O54" i="63230"/>
  <c r="H47" i="63236"/>
  <c r="I47" i="63238"/>
  <c r="F8" i="63236"/>
  <c r="G8" i="63238"/>
  <c r="O15" i="63230"/>
  <c r="H8" i="63236"/>
  <c r="I8" i="63238"/>
  <c r="S8" i="63229"/>
  <c r="N34" i="63229"/>
  <c r="AV38" i="10541"/>
  <c r="F36" i="63229"/>
  <c r="J33" i="63237"/>
  <c r="I40" i="10541"/>
  <c r="H36" i="63229"/>
  <c r="Z36" i="63229"/>
  <c r="H40" i="10541"/>
  <c r="J38" i="63224"/>
  <c r="AL16" i="10541"/>
  <c r="P15" i="63236"/>
  <c r="W15" i="63238"/>
  <c r="M27" i="63229"/>
  <c r="AM31" i="10541"/>
  <c r="AJ31" i="10541"/>
  <c r="AI31" i="10541"/>
  <c r="M44" i="63230"/>
  <c r="Y37" i="63236"/>
  <c r="AF37" i="63238"/>
  <c r="M62" i="63230"/>
  <c r="Y55" i="63236"/>
  <c r="AF55" i="63238"/>
  <c r="Z49" i="63236"/>
  <c r="AG49" i="63238"/>
  <c r="AE49" i="63229"/>
  <c r="G35" i="63229"/>
  <c r="AR39" i="10541"/>
  <c r="F60" i="63229"/>
  <c r="AL67" i="10541"/>
  <c r="J58" i="63237"/>
  <c r="AL43" i="10541"/>
  <c r="I67" i="10541"/>
  <c r="H60" i="63229"/>
  <c r="Q60" i="63229"/>
  <c r="H67" i="10541"/>
  <c r="G60" i="63229"/>
  <c r="J65" i="63224"/>
  <c r="U14" i="63236"/>
  <c r="AB14" i="63238"/>
  <c r="U13" i="63236"/>
  <c r="AB13" i="63238"/>
  <c r="N50" i="63236"/>
  <c r="T50" i="63238"/>
  <c r="Z50" i="63229"/>
  <c r="N27" i="63236"/>
  <c r="T27" i="63238"/>
  <c r="AI34" i="63230"/>
  <c r="AJ34" i="63230"/>
  <c r="Z27" i="63229"/>
  <c r="N40" i="63236"/>
  <c r="T40" i="63238"/>
  <c r="Z40" i="63229"/>
  <c r="M51" i="63229"/>
  <c r="AM58" i="10541"/>
  <c r="AI58" i="10541"/>
  <c r="AJ58" i="10541"/>
  <c r="O16" i="63229"/>
  <c r="AJ17" i="10541"/>
  <c r="AI17" i="10541"/>
  <c r="M31" i="63229"/>
  <c r="AM35" i="10541"/>
  <c r="Z5" i="63234"/>
  <c r="Z6" i="63234"/>
  <c r="J42" i="63236"/>
  <c r="L42" i="63238"/>
  <c r="Q42" i="63229"/>
  <c r="M42" i="63236"/>
  <c r="R42" i="63238"/>
  <c r="T42" i="63229"/>
  <c r="N8" i="63236"/>
  <c r="T8" i="63238"/>
  <c r="Z8" i="63229"/>
  <c r="P31" i="63229"/>
  <c r="AA12" i="63236"/>
  <c r="AH12" i="63238"/>
  <c r="AH12" i="63229"/>
  <c r="M54" i="63236"/>
  <c r="R54" i="63238"/>
  <c r="T54" i="63229"/>
  <c r="R34" i="63236"/>
  <c r="Y34" i="63238"/>
  <c r="AA34" i="63229"/>
  <c r="E65" i="10541"/>
  <c r="E92" i="10541"/>
  <c r="H92" i="10541"/>
  <c r="D59" i="63223"/>
  <c r="N11" i="63236"/>
  <c r="T11" i="63238"/>
  <c r="AI18" i="63230"/>
  <c r="AJ18" i="63230"/>
  <c r="Z11" i="63229"/>
  <c r="M36" i="63230"/>
  <c r="Y29" i="63236"/>
  <c r="AF29" i="63238"/>
  <c r="AA38" i="63236"/>
  <c r="AH38" i="63238"/>
  <c r="AH38" i="63229"/>
  <c r="AB49" i="63229"/>
  <c r="Z49" i="63238"/>
  <c r="S49" i="63236"/>
  <c r="W34" i="63230"/>
  <c r="X34" i="63230"/>
  <c r="Z34" i="63230"/>
  <c r="AA34" i="63230"/>
  <c r="Z58" i="63230"/>
  <c r="AA58" i="63230"/>
  <c r="W58" i="63230"/>
  <c r="X58" i="63230"/>
  <c r="Y11" i="63238"/>
  <c r="AA11" i="63229"/>
  <c r="R11" i="63236"/>
  <c r="S13" i="63236"/>
  <c r="AB13" i="63229"/>
  <c r="Z13" i="63238"/>
  <c r="Q32" i="63229"/>
  <c r="Z41" i="63230"/>
  <c r="AA41" i="63230"/>
  <c r="W41" i="63230"/>
  <c r="X41" i="63230"/>
  <c r="R15" i="63236"/>
  <c r="Y15" i="63238"/>
  <c r="AA15" i="63229"/>
  <c r="AI58" i="63230"/>
  <c r="AJ58" i="63230"/>
  <c r="S11" i="63236"/>
  <c r="AB11" i="63229"/>
  <c r="Z11" i="63238"/>
  <c r="AF15" i="63230"/>
  <c r="AG15" i="63230"/>
  <c r="S14" i="63236"/>
  <c r="Z14" i="63238"/>
  <c r="AB14" i="63229"/>
  <c r="AI15" i="63230"/>
  <c r="AJ15" i="63230"/>
  <c r="AF45" i="63230"/>
  <c r="AG45" i="63230"/>
  <c r="AF34" i="63230"/>
  <c r="AG34" i="63230"/>
  <c r="T59" i="63229"/>
  <c r="AI38" i="63230"/>
  <c r="AJ38" i="63230"/>
  <c r="AC14" i="63230"/>
  <c r="AD14" i="63230"/>
  <c r="W50" i="63230"/>
  <c r="X50" i="63230"/>
  <c r="Z50" i="63230"/>
  <c r="AA50" i="63230"/>
  <c r="S15" i="63236"/>
  <c r="Z15" i="63238"/>
  <c r="AB15" i="63229"/>
  <c r="W15" i="63230"/>
  <c r="X15" i="63230"/>
  <c r="AF38" i="63230"/>
  <c r="AG38" i="63230"/>
  <c r="Z45" i="63230"/>
  <c r="AA45" i="63230"/>
  <c r="W45" i="63230"/>
  <c r="X45" i="63230"/>
  <c r="W44" i="63230"/>
  <c r="X44" i="63230"/>
  <c r="Z44" i="63230"/>
  <c r="AA44" i="63230"/>
  <c r="AF58" i="63230"/>
  <c r="AG58" i="63230"/>
  <c r="AC45" i="63230"/>
  <c r="AD45" i="63230"/>
  <c r="AC41" i="63230"/>
  <c r="AD41" i="63230"/>
  <c r="AF44" i="63230"/>
  <c r="AG44" i="63230"/>
  <c r="AA14" i="63229"/>
  <c r="R14" i="63236"/>
  <c r="Y14" i="63238"/>
  <c r="R13" i="63236"/>
  <c r="Y13" i="63238"/>
  <c r="AA13" i="63229"/>
  <c r="AA49" i="63229"/>
  <c r="Y49" i="63238"/>
  <c r="R49" i="63236"/>
  <c r="AA50" i="63238"/>
  <c r="AC50" i="63229"/>
  <c r="T50" i="63236"/>
  <c r="X44" i="63238"/>
  <c r="Q44" i="63236"/>
  <c r="AD44" i="63229"/>
  <c r="Z57" i="63236"/>
  <c r="AG57" i="63238"/>
  <c r="AE57" i="63229"/>
  <c r="M27" i="63236"/>
  <c r="R27" i="63238"/>
  <c r="AC34" i="63230"/>
  <c r="AD34" i="63230"/>
  <c r="T27" i="63229"/>
  <c r="Z27" i="63236"/>
  <c r="AG27" i="63238"/>
  <c r="AE27" i="63229"/>
  <c r="Z50" i="63236"/>
  <c r="AG50" i="63238"/>
  <c r="AE50" i="63229"/>
  <c r="S8" i="63236"/>
  <c r="Z8" i="63238"/>
  <c r="AB8" i="63229"/>
  <c r="F32" i="63236"/>
  <c r="G32" i="63238"/>
  <c r="F55" i="63236"/>
  <c r="G55" i="63238"/>
  <c r="G7" i="63236"/>
  <c r="H7" i="63238"/>
  <c r="U20" i="63236"/>
  <c r="AB20" i="63238"/>
  <c r="M8" i="63236"/>
  <c r="R8" i="63238"/>
  <c r="AC15" i="63230"/>
  <c r="AD15" i="63230"/>
  <c r="T8" i="63229"/>
  <c r="H52" i="63236"/>
  <c r="I52" i="63238"/>
  <c r="R52" i="63229"/>
  <c r="S52" i="63229"/>
  <c r="P52" i="63229"/>
  <c r="H6" i="63229"/>
  <c r="R7" i="63204"/>
  <c r="R6" i="63204"/>
  <c r="Q14" i="63236"/>
  <c r="X14" i="63238"/>
  <c r="AD14" i="63229"/>
  <c r="AE13" i="63236"/>
  <c r="AL13" i="63238"/>
  <c r="AL13" i="63229"/>
  <c r="AD30" i="63236"/>
  <c r="AK30" i="63229"/>
  <c r="AK30" i="63238"/>
  <c r="AO34" i="10541"/>
  <c r="O26" i="63230"/>
  <c r="H19" i="63236"/>
  <c r="I19" i="63238"/>
  <c r="S19" i="63229"/>
  <c r="R19" i="63229"/>
  <c r="Z19" i="63229"/>
  <c r="U19" i="63229"/>
  <c r="Q19" i="63229"/>
  <c r="P19" i="63229"/>
  <c r="G22" i="63236"/>
  <c r="H22" i="63238"/>
  <c r="Z56" i="63236"/>
  <c r="AG56" i="63238"/>
  <c r="AE56" i="63229"/>
  <c r="AE30" i="63236"/>
  <c r="AL30" i="63238"/>
  <c r="AL30" i="63229"/>
  <c r="F50" i="63236"/>
  <c r="G50" i="63238"/>
  <c r="Q35" i="63236"/>
  <c r="X35" i="63238"/>
  <c r="AD35" i="63229"/>
  <c r="P29" i="63236"/>
  <c r="W29" i="63238"/>
  <c r="Z29" i="63236"/>
  <c r="AG29" i="63238"/>
  <c r="AE29" i="63229"/>
  <c r="O43" i="63236"/>
  <c r="V43" i="63238"/>
  <c r="U43" i="63229"/>
  <c r="Z10" i="63236"/>
  <c r="AG10" i="63238"/>
  <c r="AE10" i="63229"/>
  <c r="Q34" i="63236"/>
  <c r="X34" i="63238"/>
  <c r="AD34" i="63229"/>
  <c r="Q13" i="63236"/>
  <c r="X13" i="63238"/>
  <c r="AD13" i="63229"/>
  <c r="P33" i="63236"/>
  <c r="W33" i="63238"/>
  <c r="O8" i="63236"/>
  <c r="V8" i="63238"/>
  <c r="U8" i="63229"/>
  <c r="H18" i="63236"/>
  <c r="I18" i="63238"/>
  <c r="R18" i="63229"/>
  <c r="S18" i="63229"/>
  <c r="Z18" i="63229"/>
  <c r="U18" i="63229"/>
  <c r="Q51" i="63236"/>
  <c r="X51" i="63238"/>
  <c r="AD51" i="63229"/>
  <c r="M35" i="63236"/>
  <c r="R35" i="63238"/>
  <c r="T35" i="63229"/>
  <c r="AI10" i="63236"/>
  <c r="AQ10" i="63238"/>
  <c r="AD15" i="63236"/>
  <c r="AK15" i="63238"/>
  <c r="AK15" i="63229"/>
  <c r="AO16" i="10541"/>
  <c r="R33" i="63236"/>
  <c r="Y33" i="63238"/>
  <c r="AA33" i="63229"/>
  <c r="Z20" i="63236"/>
  <c r="AG20" i="63238"/>
  <c r="AE20" i="63229"/>
  <c r="Z31" i="63236"/>
  <c r="AG31" i="63238"/>
  <c r="AE31" i="63229"/>
  <c r="O30" i="63230"/>
  <c r="H23" i="63236"/>
  <c r="I23" i="63238"/>
  <c r="G17" i="63236"/>
  <c r="H17" i="63238"/>
  <c r="AF24" i="63230"/>
  <c r="AG24" i="63230"/>
  <c r="R37" i="63236"/>
  <c r="Y37" i="63238"/>
  <c r="AA37" i="63229"/>
  <c r="M52" i="63236"/>
  <c r="R52" i="63238"/>
  <c r="T52" i="63229"/>
  <c r="AH12" i="63236"/>
  <c r="AO12" i="63238"/>
  <c r="Q38" i="63236"/>
  <c r="X38" i="63238"/>
  <c r="AD38" i="63229"/>
  <c r="O62" i="63230"/>
  <c r="H55" i="63236"/>
  <c r="I55" i="63238"/>
  <c r="S55" i="63229"/>
  <c r="R55" i="63229"/>
  <c r="P55" i="63229"/>
  <c r="U55" i="63229"/>
  <c r="Z55" i="63229"/>
  <c r="T53" i="63236"/>
  <c r="AA53" i="63238"/>
  <c r="AC53" i="63229"/>
  <c r="AD31" i="63236"/>
  <c r="AK31" i="63238"/>
  <c r="AK31" i="63229"/>
  <c r="AO35" i="10541"/>
  <c r="S51" i="63236"/>
  <c r="Z51" i="63238"/>
  <c r="AB51" i="63229"/>
  <c r="M13" i="63236"/>
  <c r="R13" i="63238"/>
  <c r="AC20" i="63230"/>
  <c r="AD20" i="63230"/>
  <c r="T13" i="63229"/>
  <c r="Z44" i="63229"/>
  <c r="T49" i="63236"/>
  <c r="AA49" i="63238"/>
  <c r="AC49" i="63229"/>
  <c r="AQ38" i="63238"/>
  <c r="AI38" i="63236"/>
  <c r="Q39" i="63236"/>
  <c r="X39" i="63238"/>
  <c r="AD39" i="63229"/>
  <c r="AL65" i="10541"/>
  <c r="AL76" i="10541"/>
  <c r="R35" i="63236"/>
  <c r="Y35" i="63238"/>
  <c r="AA35" i="63229"/>
  <c r="N59" i="63236"/>
  <c r="T59" i="63238"/>
  <c r="Z59" i="63229"/>
  <c r="X40" i="63238"/>
  <c r="Q40" i="63236"/>
  <c r="AD40" i="63229"/>
  <c r="S39" i="63236"/>
  <c r="Z39" i="63238"/>
  <c r="AB39" i="63229"/>
  <c r="AE53" i="63236"/>
  <c r="AL53" i="63238"/>
  <c r="AL53" i="63229"/>
  <c r="S31" i="63236"/>
  <c r="AB31" i="63229"/>
  <c r="Z31" i="63238"/>
  <c r="O42" i="63229"/>
  <c r="AI46" i="10541"/>
  <c r="AJ46" i="10541"/>
  <c r="T41" i="63236"/>
  <c r="AA41" i="63238"/>
  <c r="AC41" i="63229"/>
  <c r="AA31" i="63236"/>
  <c r="AH31" i="63238"/>
  <c r="AH31" i="63229"/>
  <c r="O63" i="63230"/>
  <c r="H56" i="63236"/>
  <c r="I56" i="63238"/>
  <c r="S56" i="63229"/>
  <c r="R56" i="63229"/>
  <c r="P56" i="63229"/>
  <c r="F56" i="63236"/>
  <c r="G56" i="63238"/>
  <c r="Z15" i="63236"/>
  <c r="AG15" i="63238"/>
  <c r="AE15" i="63229"/>
  <c r="T30" i="63236"/>
  <c r="AA30" i="63238"/>
  <c r="AC30" i="63229"/>
  <c r="O6" i="63236"/>
  <c r="V6" i="63238"/>
  <c r="U6" i="63229"/>
  <c r="O56" i="63236"/>
  <c r="V56" i="63238"/>
  <c r="U56" i="63229"/>
  <c r="T29" i="63236"/>
  <c r="AA29" i="63238"/>
  <c r="AC29" i="63229"/>
  <c r="T34" i="63236"/>
  <c r="AA34" i="63238"/>
  <c r="AC34" i="63229"/>
  <c r="F40" i="63236"/>
  <c r="G40" i="63238"/>
  <c r="G25" i="63236"/>
  <c r="H25" i="63238"/>
  <c r="F17" i="63236"/>
  <c r="G17" i="63238"/>
  <c r="Q37" i="63236"/>
  <c r="X37" i="63238"/>
  <c r="AD37" i="63229"/>
  <c r="AI9" i="63236"/>
  <c r="AQ9" i="63238"/>
  <c r="O52" i="63236"/>
  <c r="V52" i="63238"/>
  <c r="U52" i="63229"/>
  <c r="Z8" i="63236"/>
  <c r="AG8" i="63238"/>
  <c r="AE8" i="63229"/>
  <c r="T42" i="63236"/>
  <c r="AA42" i="63238"/>
  <c r="AC42" i="63229"/>
  <c r="Q42" i="63236"/>
  <c r="X42" i="63238"/>
  <c r="AD42" i="63229"/>
  <c r="O67" i="63230"/>
  <c r="H60" i="63236"/>
  <c r="I60" i="63238"/>
  <c r="S60" i="63229"/>
  <c r="R60" i="63229"/>
  <c r="P60" i="63229"/>
  <c r="Z60" i="63229"/>
  <c r="U60" i="63229"/>
  <c r="AR50" i="10541"/>
  <c r="AI12" i="63236"/>
  <c r="AQ12" i="63238"/>
  <c r="Q41" i="63236"/>
  <c r="X41" i="63238"/>
  <c r="AD41" i="63229"/>
  <c r="O39" i="63230"/>
  <c r="H32" i="63236"/>
  <c r="I32" i="63238"/>
  <c r="S32" i="63229"/>
  <c r="R32" i="63229"/>
  <c r="U32" i="63229"/>
  <c r="P32" i="63229"/>
  <c r="O28" i="63230"/>
  <c r="H21" i="63236"/>
  <c r="I21" i="63238"/>
  <c r="R29" i="63236"/>
  <c r="Y29" i="63238"/>
  <c r="AA29" i="63229"/>
  <c r="M56" i="63236"/>
  <c r="R56" i="63238"/>
  <c r="T56" i="63229"/>
  <c r="M48" i="63236"/>
  <c r="R48" i="63238"/>
  <c r="G55" i="63229"/>
  <c r="AR42" i="10541"/>
  <c r="F20" i="63236"/>
  <c r="G20" i="63238"/>
  <c r="M44" i="63236"/>
  <c r="R44" i="63238"/>
  <c r="T44" i="63229"/>
  <c r="G42" i="63238"/>
  <c r="F42" i="63236"/>
  <c r="O14" i="63230"/>
  <c r="H7" i="63236"/>
  <c r="I7" i="63238"/>
  <c r="S7" i="63229"/>
  <c r="R7" i="63229"/>
  <c r="P7" i="63229"/>
  <c r="Q7" i="63229"/>
  <c r="R51" i="63236"/>
  <c r="Y51" i="63238"/>
  <c r="AA51" i="63229"/>
  <c r="G6" i="63236"/>
  <c r="H6" i="63238"/>
  <c r="AI13" i="63230"/>
  <c r="AJ13" i="63230"/>
  <c r="F86" i="10541"/>
  <c r="D86" i="10541"/>
  <c r="AD53" i="63236"/>
  <c r="AK53" i="63238"/>
  <c r="AK53" i="63229"/>
  <c r="AO60" i="10541"/>
  <c r="F19" i="63236"/>
  <c r="G19" i="63238"/>
  <c r="O29" i="63230"/>
  <c r="H22" i="63236"/>
  <c r="I22" i="63238"/>
  <c r="G50" i="63229"/>
  <c r="AR34" i="10541"/>
  <c r="AR35" i="10541"/>
  <c r="S35" i="63236"/>
  <c r="Z35" i="63238"/>
  <c r="AB35" i="63229"/>
  <c r="AR51" i="10541"/>
  <c r="S43" i="63236"/>
  <c r="Z43" i="63238"/>
  <c r="AB43" i="63229"/>
  <c r="AI53" i="63236"/>
  <c r="AQ53" i="63238"/>
  <c r="R27" i="63236"/>
  <c r="Y27" i="63238"/>
  <c r="AA27" i="63229"/>
  <c r="M60" i="63236"/>
  <c r="R60" i="63238"/>
  <c r="AC67" i="63230"/>
  <c r="AD67" i="63230"/>
  <c r="T60" i="63229"/>
  <c r="R39" i="63236"/>
  <c r="Y39" i="63238"/>
  <c r="AA39" i="63229"/>
  <c r="G54" i="63229"/>
  <c r="AR41" i="10541"/>
  <c r="O10" i="63236"/>
  <c r="V10" i="63238"/>
  <c r="U10" i="63229"/>
  <c r="AA8" i="63236"/>
  <c r="AH8" i="63238"/>
  <c r="AH8" i="63229"/>
  <c r="I41" i="63238"/>
  <c r="H41" i="63236"/>
  <c r="R41" i="63229"/>
  <c r="S41" i="63229"/>
  <c r="P41" i="63229"/>
  <c r="U41" i="63229"/>
  <c r="Z39" i="63236"/>
  <c r="AG39" i="63238"/>
  <c r="AE39" i="63229"/>
  <c r="AA9" i="63236"/>
  <c r="AH9" i="63238"/>
  <c r="AH9" i="63229"/>
  <c r="F57" i="63236"/>
  <c r="G57" i="63238"/>
  <c r="F44" i="63236"/>
  <c r="G44" i="63238"/>
  <c r="G23" i="63236"/>
  <c r="H23" i="63238"/>
  <c r="U37" i="63236"/>
  <c r="AB37" i="63238"/>
  <c r="G40" i="63229"/>
  <c r="AR44" i="10541"/>
  <c r="F25" i="63236"/>
  <c r="G25" i="63238"/>
  <c r="Z7" i="63229"/>
  <c r="P51" i="63236"/>
  <c r="W51" i="63238"/>
  <c r="O31" i="63236"/>
  <c r="V31" i="63238"/>
  <c r="U31" i="63229"/>
  <c r="M43" i="63236"/>
  <c r="R43" i="63238"/>
  <c r="AC50" i="63230"/>
  <c r="AD50" i="63230"/>
  <c r="T43" i="63229"/>
  <c r="T15" i="63236"/>
  <c r="AA15" i="63238"/>
  <c r="AC15" i="63229"/>
  <c r="R10" i="63238"/>
  <c r="AC17" i="63230"/>
  <c r="AD17" i="63230"/>
  <c r="M10" i="63236"/>
  <c r="T10" i="63229"/>
  <c r="O59" i="63236"/>
  <c r="V59" i="63238"/>
  <c r="U59" i="63229"/>
  <c r="F28" i="63236"/>
  <c r="G28" i="63238"/>
  <c r="F48" i="63236"/>
  <c r="G48" i="63238"/>
  <c r="O7" i="63236"/>
  <c r="V7" i="63238"/>
  <c r="U7" i="63229"/>
  <c r="Z11" i="63236"/>
  <c r="AG11" i="63238"/>
  <c r="AE11" i="63229"/>
  <c r="M31" i="63236"/>
  <c r="T31" i="63229"/>
  <c r="R31" i="63238"/>
  <c r="AC38" i="63230"/>
  <c r="AD38" i="63230"/>
  <c r="Z40" i="63236"/>
  <c r="AG40" i="63238"/>
  <c r="AE40" i="63229"/>
  <c r="G35" i="63236"/>
  <c r="H35" i="63238"/>
  <c r="AI42" i="63230"/>
  <c r="AJ42" i="63230"/>
  <c r="G21" i="63236"/>
  <c r="H21" i="63238"/>
  <c r="G20" i="63236"/>
  <c r="H20" i="63238"/>
  <c r="G39" i="63236"/>
  <c r="H39" i="63238"/>
  <c r="O15" i="63236"/>
  <c r="V15" i="63238"/>
  <c r="U15" i="63229"/>
  <c r="F52" i="63236"/>
  <c r="G52" i="63238"/>
  <c r="AA16" i="63236"/>
  <c r="AH16" i="63238"/>
  <c r="AH16" i="63229"/>
  <c r="Q55" i="63236"/>
  <c r="X55" i="63238"/>
  <c r="AD55" i="63229"/>
  <c r="Z52" i="63229"/>
  <c r="F54" i="63236"/>
  <c r="G54" i="63238"/>
  <c r="H26" i="63236"/>
  <c r="I26" i="63238"/>
  <c r="Q59" i="63236"/>
  <c r="X59" i="63238"/>
  <c r="AD59" i="63229"/>
  <c r="T59" i="63236"/>
  <c r="AA59" i="63238"/>
  <c r="AC59" i="63229"/>
  <c r="G56" i="63236"/>
  <c r="H56" i="63238"/>
  <c r="AF63" i="63230"/>
  <c r="AG63" i="63230"/>
  <c r="AE14" i="63236"/>
  <c r="AL14" i="63238"/>
  <c r="AL14" i="63229"/>
  <c r="O51" i="63230"/>
  <c r="H44" i="63236"/>
  <c r="I44" i="63238"/>
  <c r="S44" i="63229"/>
  <c r="R44" i="63229"/>
  <c r="P44" i="63229"/>
  <c r="U44" i="63229"/>
  <c r="H17" i="63236"/>
  <c r="I17" i="63238"/>
  <c r="R17" i="63229"/>
  <c r="S17" i="63229"/>
  <c r="P17" i="63229"/>
  <c r="Z17" i="63229"/>
  <c r="U17" i="63229"/>
  <c r="Z36" i="63236"/>
  <c r="AG36" i="63238"/>
  <c r="AE36" i="63229"/>
  <c r="O31" i="63230"/>
  <c r="H24" i="63236"/>
  <c r="I24" i="63238"/>
  <c r="H28" i="63229"/>
  <c r="R20" i="63204"/>
  <c r="R19" i="63204"/>
  <c r="R6" i="63238"/>
  <c r="AC13" i="63230"/>
  <c r="AD13" i="63230"/>
  <c r="M6" i="63236"/>
  <c r="T6" i="63229"/>
  <c r="H48" i="63229"/>
  <c r="R38" i="63204"/>
  <c r="AH38" i="63236"/>
  <c r="AO38" i="63238"/>
  <c r="F58" i="63229"/>
  <c r="I65" i="10541"/>
  <c r="H58" i="63229"/>
  <c r="H65" i="10541"/>
  <c r="J56" i="63237"/>
  <c r="J62" i="63224"/>
  <c r="AL41" i="10541"/>
  <c r="AL52" i="10541"/>
  <c r="T54" i="63236"/>
  <c r="AA54" i="63238"/>
  <c r="AC54" i="63229"/>
  <c r="P31" i="63236"/>
  <c r="W31" i="63238"/>
  <c r="G60" i="63236"/>
  <c r="H60" i="63238"/>
  <c r="AF67" i="63230"/>
  <c r="AG67" i="63230"/>
  <c r="AE49" i="63236"/>
  <c r="AL49" i="63238"/>
  <c r="AL49" i="63229"/>
  <c r="F36" i="63236"/>
  <c r="G36" i="63238"/>
  <c r="G32" i="63229"/>
  <c r="AR36" i="10541"/>
  <c r="F21" i="63236"/>
  <c r="G21" i="63238"/>
  <c r="O27" i="63230"/>
  <c r="H20" i="63236"/>
  <c r="I20" i="63238"/>
  <c r="S20" i="63229"/>
  <c r="R20" i="63229"/>
  <c r="G42" i="63229"/>
  <c r="AR46" i="10541"/>
  <c r="F7" i="63236"/>
  <c r="G7" i="63238"/>
  <c r="T57" i="63236"/>
  <c r="AA57" i="63238"/>
  <c r="AC57" i="63229"/>
  <c r="Z16" i="63236"/>
  <c r="AG16" i="63238"/>
  <c r="AE16" i="63229"/>
  <c r="AL28" i="10541"/>
  <c r="F6" i="63236"/>
  <c r="G6" i="63238"/>
  <c r="AD49" i="63236"/>
  <c r="AK49" i="63238"/>
  <c r="AK49" i="63229"/>
  <c r="AO56" i="10541"/>
  <c r="AE9" i="63236"/>
  <c r="AL9" i="63238"/>
  <c r="AL9" i="63229"/>
  <c r="AA32" i="63238"/>
  <c r="T32" i="63236"/>
  <c r="AC32" i="63229"/>
  <c r="O66" i="63230"/>
  <c r="I59" i="63238"/>
  <c r="H59" i="63236"/>
  <c r="P59" i="63229"/>
  <c r="R59" i="63229"/>
  <c r="S59" i="63229"/>
  <c r="F59" i="63236"/>
  <c r="G59" i="63238"/>
  <c r="Z35" i="63236"/>
  <c r="AG35" i="63238"/>
  <c r="AE35" i="63229"/>
  <c r="T37" i="63236"/>
  <c r="AA37" i="63238"/>
  <c r="AC37" i="63229"/>
  <c r="R43" i="63236"/>
  <c r="Y43" i="63238"/>
  <c r="AA43" i="63229"/>
  <c r="Q32" i="63236"/>
  <c r="X32" i="63238"/>
  <c r="AD32" i="63229"/>
  <c r="N38" i="63236"/>
  <c r="T38" i="63238"/>
  <c r="AI45" i="63230"/>
  <c r="AJ45" i="63230"/>
  <c r="Z38" i="63229"/>
  <c r="F26" i="63236"/>
  <c r="G26" i="63238"/>
  <c r="G41" i="63229"/>
  <c r="AR45" i="10541"/>
  <c r="S33" i="63236"/>
  <c r="Z33" i="63238"/>
  <c r="AB33" i="63229"/>
  <c r="Q60" i="63236"/>
  <c r="X60" i="63238"/>
  <c r="AD60" i="63229"/>
  <c r="M55" i="63236"/>
  <c r="R55" i="63238"/>
  <c r="T55" i="63229"/>
  <c r="O64" i="63230"/>
  <c r="H57" i="63236"/>
  <c r="I57" i="63238"/>
  <c r="S57" i="63229"/>
  <c r="P57" i="63229"/>
  <c r="Q57" i="63229"/>
  <c r="R57" i="63229"/>
  <c r="G33" i="63236"/>
  <c r="H33" i="63238"/>
  <c r="AC40" i="63230"/>
  <c r="AD40" i="63230"/>
  <c r="AA7" i="63238"/>
  <c r="T7" i="63236"/>
  <c r="AC7" i="63229"/>
  <c r="Q29" i="63236"/>
  <c r="X29" i="63238"/>
  <c r="AD29" i="63229"/>
  <c r="F24" i="63236"/>
  <c r="G24" i="63238"/>
  <c r="AD10" i="63236"/>
  <c r="AK10" i="63238"/>
  <c r="AO11" i="10541"/>
  <c r="AK10" i="63229"/>
  <c r="AD16" i="63236"/>
  <c r="AK16" i="63238"/>
  <c r="AK16" i="63229"/>
  <c r="AO17" i="10541"/>
  <c r="AA34" i="63236"/>
  <c r="AH34" i="63238"/>
  <c r="AH34" i="63229"/>
  <c r="F60" i="63236"/>
  <c r="G60" i="63238"/>
  <c r="G36" i="63229"/>
  <c r="AR40" i="10541"/>
  <c r="V16" i="63238"/>
  <c r="O16" i="63236"/>
  <c r="U16" i="63229"/>
  <c r="M51" i="63236"/>
  <c r="R51" i="63238"/>
  <c r="AC58" i="63230"/>
  <c r="AD58" i="63230"/>
  <c r="T51" i="63229"/>
  <c r="O43" i="63230"/>
  <c r="I36" i="63238"/>
  <c r="H36" i="63236"/>
  <c r="S36" i="63229"/>
  <c r="R36" i="63229"/>
  <c r="P36" i="63229"/>
  <c r="U36" i="63229"/>
  <c r="N34" i="63236"/>
  <c r="T34" i="63238"/>
  <c r="AI41" i="63230"/>
  <c r="AJ41" i="63230"/>
  <c r="Z34" i="63229"/>
  <c r="Z33" i="63236"/>
  <c r="AG33" i="63238"/>
  <c r="AE33" i="63229"/>
  <c r="AH53" i="63236"/>
  <c r="AO53" i="63238"/>
  <c r="T33" i="63236"/>
  <c r="AA33" i="63238"/>
  <c r="AC33" i="63229"/>
  <c r="AB34" i="63236"/>
  <c r="AI34" i="63238"/>
  <c r="AI34" i="63229"/>
  <c r="G46" i="63236"/>
  <c r="H46" i="63238"/>
  <c r="M14" i="63236"/>
  <c r="R14" i="63238"/>
  <c r="AC21" i="63230"/>
  <c r="AD21" i="63230"/>
  <c r="T14" i="63229"/>
  <c r="T43" i="63238"/>
  <c r="AI50" i="63230"/>
  <c r="AJ50" i="63230"/>
  <c r="N43" i="63236"/>
  <c r="Z43" i="63229"/>
  <c r="S29" i="63236"/>
  <c r="AB29" i="63229"/>
  <c r="Z29" i="63238"/>
  <c r="Q43" i="63236"/>
  <c r="X43" i="63238"/>
  <c r="AD43" i="63229"/>
  <c r="AO30" i="63238"/>
  <c r="AH30" i="63236"/>
  <c r="T36" i="63229"/>
  <c r="Q50" i="63236"/>
  <c r="X50" i="63238"/>
  <c r="AD50" i="63229"/>
  <c r="Q33" i="63236"/>
  <c r="X33" i="63238"/>
  <c r="AD33" i="63229"/>
  <c r="Q17" i="63229"/>
  <c r="T16" i="63236"/>
  <c r="AA16" i="63238"/>
  <c r="AC16" i="63229"/>
  <c r="AD11" i="63236"/>
  <c r="AK11" i="63238"/>
  <c r="AO12" i="10541"/>
  <c r="AK11" i="63229"/>
  <c r="H42" i="63236"/>
  <c r="I42" i="63238"/>
  <c r="P42" i="63229"/>
  <c r="S42" i="63229"/>
  <c r="R42" i="63229"/>
  <c r="Z37" i="63236"/>
  <c r="AG37" i="63238"/>
  <c r="AE37" i="63229"/>
  <c r="Z32" i="63229"/>
  <c r="AR43" i="10541"/>
  <c r="T40" i="63236"/>
  <c r="AA40" i="63238"/>
  <c r="AC40" i="63229"/>
  <c r="G52" i="63229"/>
  <c r="AR38" i="10541"/>
  <c r="T19" i="63229"/>
  <c r="X27" i="63238"/>
  <c r="Q27" i="63236"/>
  <c r="AD27" i="63229"/>
  <c r="Q56" i="63229"/>
  <c r="Q36" i="63229"/>
  <c r="G19" i="63236"/>
  <c r="H19" i="63238"/>
  <c r="AC26" i="63230"/>
  <c r="AD26" i="63230"/>
  <c r="Z41" i="63236"/>
  <c r="AG41" i="63238"/>
  <c r="AE41" i="63229"/>
  <c r="AD9" i="63236"/>
  <c r="AK9" i="63238"/>
  <c r="AK9" i="63229"/>
  <c r="AO10" i="10541"/>
  <c r="F22" i="63236"/>
  <c r="G22" i="63238"/>
  <c r="G59" i="63229"/>
  <c r="AR49" i="10541"/>
  <c r="H50" i="63236"/>
  <c r="I50" i="63238"/>
  <c r="R50" i="63229"/>
  <c r="S50" i="63229"/>
  <c r="P50" i="63229"/>
  <c r="U50" i="63229"/>
  <c r="O34" i="63236"/>
  <c r="V34" i="63238"/>
  <c r="U34" i="63229"/>
  <c r="G47" i="63236"/>
  <c r="H47" i="63238"/>
  <c r="S27" i="63236"/>
  <c r="AB27" i="63229"/>
  <c r="Z27" i="63238"/>
  <c r="Q52" i="63229"/>
  <c r="M17" i="63236"/>
  <c r="R17" i="63238"/>
  <c r="AC24" i="63230"/>
  <c r="AD24" i="63230"/>
  <c r="T17" i="63229"/>
  <c r="H54" i="63236"/>
  <c r="I54" i="63238"/>
  <c r="R54" i="63229"/>
  <c r="S54" i="63229"/>
  <c r="P54" i="63229"/>
  <c r="Z54" i="63229"/>
  <c r="U54" i="63229"/>
  <c r="Q54" i="63229"/>
  <c r="O11" i="63236"/>
  <c r="V11" i="63238"/>
  <c r="U11" i="63229"/>
  <c r="O57" i="63236"/>
  <c r="V57" i="63238"/>
  <c r="U57" i="63229"/>
  <c r="G26" i="63236"/>
  <c r="H26" i="63238"/>
  <c r="G18" i="63236"/>
  <c r="H18" i="63238"/>
  <c r="F18" i="63236"/>
  <c r="G18" i="63238"/>
  <c r="F41" i="63236"/>
  <c r="G41" i="63238"/>
  <c r="O38" i="63236"/>
  <c r="V38" i="63238"/>
  <c r="U38" i="63229"/>
  <c r="M39" i="63236"/>
  <c r="R39" i="63238"/>
  <c r="AC46" i="63230"/>
  <c r="AD46" i="63230"/>
  <c r="T39" i="63229"/>
  <c r="H29" i="63238"/>
  <c r="AI36" i="63230"/>
  <c r="AJ36" i="63230"/>
  <c r="G29" i="63236"/>
  <c r="AA11" i="63238"/>
  <c r="T11" i="63236"/>
  <c r="AC11" i="63229"/>
  <c r="AI16" i="63236"/>
  <c r="AQ16" i="63238"/>
  <c r="N42" i="63229"/>
  <c r="AV46" i="10541"/>
  <c r="G57" i="63236"/>
  <c r="H57" i="63238"/>
  <c r="AI64" i="63230"/>
  <c r="AJ64" i="63230"/>
  <c r="T38" i="63236"/>
  <c r="AA38" i="63238"/>
  <c r="AC38" i="63229"/>
  <c r="AI30" i="63236"/>
  <c r="AQ30" i="63238"/>
  <c r="T9" i="63236"/>
  <c r="AA9" i="63238"/>
  <c r="AC9" i="63229"/>
  <c r="AA10" i="63236"/>
  <c r="AH10" i="63238"/>
  <c r="AH10" i="63229"/>
  <c r="G44" i="63229"/>
  <c r="AR48" i="10541"/>
  <c r="F23" i="63236"/>
  <c r="G23" i="63238"/>
  <c r="I40" i="63238"/>
  <c r="H40" i="63236"/>
  <c r="R40" i="63229"/>
  <c r="S40" i="63229"/>
  <c r="P40" i="63229"/>
  <c r="U40" i="63229"/>
  <c r="H25" i="63236"/>
  <c r="I25" i="63238"/>
  <c r="S37" i="63236"/>
  <c r="Z37" i="63238"/>
  <c r="AB37" i="63229"/>
  <c r="Z51" i="63236"/>
  <c r="AG51" i="63238"/>
  <c r="AE51" i="63229"/>
  <c r="G24" i="63236"/>
  <c r="H24" i="63238"/>
  <c r="G28" i="63229"/>
  <c r="AR32" i="10541"/>
  <c r="AD8" i="63236"/>
  <c r="AK8" i="63238"/>
  <c r="AK8" i="63229"/>
  <c r="AO9" i="10541"/>
  <c r="G48" i="63229"/>
  <c r="AR31" i="10541"/>
  <c r="AE12" i="63236"/>
  <c r="AL12" i="63238"/>
  <c r="AL12" i="63229"/>
  <c r="AC42" i="63230"/>
  <c r="AD42" i="63230"/>
  <c r="AA13" i="63236"/>
  <c r="AH13" i="63238"/>
  <c r="AH13" i="63229"/>
  <c r="AF42" i="63230"/>
  <c r="AG42" i="63230"/>
  <c r="AB14" i="63236"/>
  <c r="AI14" i="63238"/>
  <c r="AI14" i="63229"/>
  <c r="AH14" i="63229"/>
  <c r="AA14" i="63236"/>
  <c r="AH14" i="63238"/>
  <c r="AC36" i="63230"/>
  <c r="AD36" i="63230"/>
  <c r="W63" i="63230"/>
  <c r="X63" i="63230"/>
  <c r="Z63" i="63230"/>
  <c r="AA63" i="63230"/>
  <c r="W13" i="63230"/>
  <c r="X13" i="63230"/>
  <c r="Z13" i="63230"/>
  <c r="AA13" i="63230"/>
  <c r="AF13" i="63230"/>
  <c r="AG13" i="63230"/>
  <c r="AC63" i="63230"/>
  <c r="AD63" i="63230"/>
  <c r="Z14" i="63230"/>
  <c r="AA14" i="63230"/>
  <c r="W14" i="63230"/>
  <c r="X14" i="63230"/>
  <c r="AF14" i="63230"/>
  <c r="AG14" i="63230"/>
  <c r="AI15" i="63229"/>
  <c r="AB15" i="63236"/>
  <c r="AI15" i="63238"/>
  <c r="AI63" i="63230"/>
  <c r="AJ63" i="63230"/>
  <c r="AA15" i="63236"/>
  <c r="AH15" i="63238"/>
  <c r="AH15" i="63229"/>
  <c r="AA11" i="63236"/>
  <c r="AH11" i="63229"/>
  <c r="AH11" i="63238"/>
  <c r="Z25" i="63230"/>
  <c r="AA25" i="63230"/>
  <c r="W25" i="63230"/>
  <c r="X25" i="63230"/>
  <c r="AI25" i="63230"/>
  <c r="AJ25" i="63230"/>
  <c r="Z40" i="63230"/>
  <c r="AA40" i="63230"/>
  <c r="W40" i="63230"/>
  <c r="X40" i="63230"/>
  <c r="W46" i="63230"/>
  <c r="X46" i="63230"/>
  <c r="Z46" i="63230"/>
  <c r="AA46" i="63230"/>
  <c r="W42" i="63230"/>
  <c r="X42" i="63230"/>
  <c r="Z42" i="63230"/>
  <c r="AA42" i="63230"/>
  <c r="Z64" i="63230"/>
  <c r="AA64" i="63230"/>
  <c r="AF64" i="63230"/>
  <c r="AG64" i="63230"/>
  <c r="W64" i="63230"/>
  <c r="X64" i="63230"/>
  <c r="Z36" i="63230"/>
  <c r="AA36" i="63230"/>
  <c r="W36" i="63230"/>
  <c r="X36" i="63230"/>
  <c r="Z26" i="63230"/>
  <c r="AA26" i="63230"/>
  <c r="W26" i="63230"/>
  <c r="X26" i="63230"/>
  <c r="AI26" i="63230"/>
  <c r="AJ26" i="63230"/>
  <c r="AF26" i="63230"/>
  <c r="AG26" i="63230"/>
  <c r="Z67" i="63230"/>
  <c r="AA67" i="63230"/>
  <c r="W67" i="63230"/>
  <c r="X67" i="63230"/>
  <c r="AI67" i="63230"/>
  <c r="AJ67" i="63230"/>
  <c r="W27" i="63230"/>
  <c r="X27" i="63230"/>
  <c r="Z27" i="63230"/>
  <c r="AA27" i="63230"/>
  <c r="Z24" i="63230"/>
  <c r="AA24" i="63230"/>
  <c r="W24" i="63230"/>
  <c r="X24" i="63230"/>
  <c r="AI24" i="63230"/>
  <c r="AJ24" i="63230"/>
  <c r="AA49" i="63236"/>
  <c r="AH49" i="63229"/>
  <c r="AH49" i="63238"/>
  <c r="AF46" i="63230"/>
  <c r="AG46" i="63230"/>
  <c r="AF40" i="63230"/>
  <c r="AG40" i="63230"/>
  <c r="AF36" i="63230"/>
  <c r="AG36" i="63230"/>
  <c r="AI27" i="63230"/>
  <c r="AJ27" i="63230"/>
  <c r="AI46" i="63230"/>
  <c r="AJ46" i="63230"/>
  <c r="AC64" i="63230"/>
  <c r="AD64" i="63230"/>
  <c r="AB11" i="63236"/>
  <c r="AI11" i="63238"/>
  <c r="AI11" i="63229"/>
  <c r="AI14" i="63230"/>
  <c r="AJ14" i="63230"/>
  <c r="AI13" i="63229"/>
  <c r="AB13" i="63236"/>
  <c r="AI13" i="63238"/>
  <c r="AI40" i="63230"/>
  <c r="AJ40" i="63230"/>
  <c r="AI49" i="63238"/>
  <c r="AI49" i="63229"/>
  <c r="AB49" i="63236"/>
  <c r="AK8" i="63236"/>
  <c r="AU8" i="63238"/>
  <c r="R40" i="63236"/>
  <c r="Y40" i="63238"/>
  <c r="AA40" i="63229"/>
  <c r="S54" i="63236"/>
  <c r="Z54" i="63238"/>
  <c r="AB54" i="63229"/>
  <c r="S50" i="63236"/>
  <c r="Z50" i="63238"/>
  <c r="AB50" i="63229"/>
  <c r="T19" i="63236"/>
  <c r="AA19" i="63238"/>
  <c r="AC19" i="63229"/>
  <c r="Z42" i="63238"/>
  <c r="S42" i="63236"/>
  <c r="AB42" i="63229"/>
  <c r="U16" i="63236"/>
  <c r="AB16" i="63238"/>
  <c r="AD32" i="63236"/>
  <c r="AK32" i="63229"/>
  <c r="AK32" i="63238"/>
  <c r="AO36" i="10541"/>
  <c r="P59" i="63236"/>
  <c r="W59" i="63238"/>
  <c r="O35" i="63230"/>
  <c r="H28" i="63236"/>
  <c r="I28" i="63238"/>
  <c r="S28" i="63229"/>
  <c r="R28" i="63229"/>
  <c r="U28" i="63229"/>
  <c r="P28" i="63229"/>
  <c r="Q28" i="63229"/>
  <c r="Z28" i="63229"/>
  <c r="T28" i="63229"/>
  <c r="Z17" i="63236"/>
  <c r="AG17" i="63238"/>
  <c r="AE17" i="63229"/>
  <c r="P44" i="63236"/>
  <c r="W44" i="63238"/>
  <c r="AC59" i="63236"/>
  <c r="AJ59" i="63238"/>
  <c r="AJ59" i="63229"/>
  <c r="AN66" i="10541"/>
  <c r="AH16" i="63236"/>
  <c r="AO16" i="63238"/>
  <c r="AE11" i="63236"/>
  <c r="AL11" i="63238"/>
  <c r="AL11" i="63229"/>
  <c r="T43" i="63236"/>
  <c r="AA43" i="63238"/>
  <c r="AC43" i="63229"/>
  <c r="AH9" i="63236"/>
  <c r="AO9" i="63238"/>
  <c r="P41" i="63236"/>
  <c r="W41" i="63238"/>
  <c r="U32" i="63236"/>
  <c r="AB32" i="63238"/>
  <c r="Z60" i="63238"/>
  <c r="S60" i="63236"/>
  <c r="AB60" i="63229"/>
  <c r="U6" i="63236"/>
  <c r="AB6" i="63238"/>
  <c r="O42" i="63236"/>
  <c r="V42" i="63238"/>
  <c r="U42" i="63229"/>
  <c r="AB39" i="63236"/>
  <c r="AI39" i="63238"/>
  <c r="AI39" i="63229"/>
  <c r="AH37" i="63238"/>
  <c r="AA37" i="63236"/>
  <c r="AH37" i="63229"/>
  <c r="AE31" i="63236"/>
  <c r="AL31" i="63229"/>
  <c r="AL31" i="63238"/>
  <c r="T35" i="63236"/>
  <c r="AA35" i="63238"/>
  <c r="AC35" i="63229"/>
  <c r="AD51" i="63236"/>
  <c r="AK51" i="63238"/>
  <c r="AK51" i="63229"/>
  <c r="AO58" i="10541"/>
  <c r="U43" i="63236"/>
  <c r="AB43" i="63238"/>
  <c r="P19" i="63236"/>
  <c r="W19" i="63238"/>
  <c r="AE27" i="63236"/>
  <c r="AL27" i="63229"/>
  <c r="AL27" i="63238"/>
  <c r="AL12" i="63236"/>
  <c r="AW12" i="63238"/>
  <c r="G28" i="63236"/>
  <c r="H28" i="63238"/>
  <c r="U40" i="63236"/>
  <c r="AB40" i="63238"/>
  <c r="G44" i="63236"/>
  <c r="H44" i="63238"/>
  <c r="N42" i="63236"/>
  <c r="T42" i="63238"/>
  <c r="Z42" i="63229"/>
  <c r="U11" i="63236"/>
  <c r="AB11" i="63238"/>
  <c r="R54" i="63236"/>
  <c r="Y54" i="63238"/>
  <c r="AA54" i="63229"/>
  <c r="Q52" i="63236"/>
  <c r="X52" i="63238"/>
  <c r="AD52" i="63229"/>
  <c r="AD27" i="63236"/>
  <c r="AK27" i="63238"/>
  <c r="AK27" i="63229"/>
  <c r="AO31" i="10541"/>
  <c r="P42" i="63236"/>
  <c r="W42" i="63238"/>
  <c r="AB29" i="63236"/>
  <c r="AI29" i="63238"/>
  <c r="AI29" i="63229"/>
  <c r="AI34" i="63236"/>
  <c r="AQ34" i="63238"/>
  <c r="Z34" i="63236"/>
  <c r="AE34" i="63229"/>
  <c r="AG34" i="63238"/>
  <c r="P57" i="63236"/>
  <c r="W57" i="63238"/>
  <c r="AB33" i="63236"/>
  <c r="AI33" i="63238"/>
  <c r="AI33" i="63229"/>
  <c r="AE35" i="63236"/>
  <c r="AL35" i="63238"/>
  <c r="AL35" i="63229"/>
  <c r="R20" i="63236"/>
  <c r="Y20" i="63238"/>
  <c r="AA20" i="63229"/>
  <c r="R44" i="63236"/>
  <c r="Y44" i="63238"/>
  <c r="AA44" i="63229"/>
  <c r="T31" i="63236"/>
  <c r="AA31" i="63238"/>
  <c r="AC31" i="63229"/>
  <c r="T10" i="63236"/>
  <c r="AA10" i="63238"/>
  <c r="AC10" i="63229"/>
  <c r="AA51" i="63236"/>
  <c r="AH51" i="63238"/>
  <c r="AH51" i="63229"/>
  <c r="T56" i="63236"/>
  <c r="AA56" i="63238"/>
  <c r="AC56" i="63229"/>
  <c r="Z60" i="63236"/>
  <c r="AG60" i="63238"/>
  <c r="AE60" i="63229"/>
  <c r="P56" i="63236"/>
  <c r="W56" i="63238"/>
  <c r="S18" i="63236"/>
  <c r="Z18" i="63238"/>
  <c r="AB18" i="63229"/>
  <c r="AE10" i="63236"/>
  <c r="AL10" i="63238"/>
  <c r="AL10" i="63229"/>
  <c r="Q19" i="63236"/>
  <c r="X19" i="63238"/>
  <c r="AD19" i="63229"/>
  <c r="S19" i="63236"/>
  <c r="Z19" i="63238"/>
  <c r="AB19" i="63229"/>
  <c r="S52" i="63236"/>
  <c r="Z52" i="63238"/>
  <c r="AB52" i="63229"/>
  <c r="AE50" i="63236"/>
  <c r="AL50" i="63238"/>
  <c r="AL50" i="63229"/>
  <c r="G48" i="63236"/>
  <c r="H48" i="63238"/>
  <c r="P40" i="63236"/>
  <c r="W40" i="63238"/>
  <c r="AH10" i="63236"/>
  <c r="AO10" i="63238"/>
  <c r="AC9" i="63236"/>
  <c r="AJ9" i="63238"/>
  <c r="AJ9" i="63229"/>
  <c r="AN10" i="10541"/>
  <c r="AC11" i="63236"/>
  <c r="AJ11" i="63238"/>
  <c r="AN12" i="10541"/>
  <c r="AJ11" i="63229"/>
  <c r="U57" i="63236"/>
  <c r="AB57" i="63238"/>
  <c r="Z54" i="63236"/>
  <c r="AG54" i="63238"/>
  <c r="AE54" i="63229"/>
  <c r="U50" i="63236"/>
  <c r="AB50" i="63238"/>
  <c r="G59" i="63236"/>
  <c r="H59" i="63238"/>
  <c r="AK9" i="63236"/>
  <c r="AU9" i="63238"/>
  <c r="AN9" i="63229"/>
  <c r="AE41" i="63236"/>
  <c r="AL41" i="63238"/>
  <c r="AL41" i="63229"/>
  <c r="G52" i="63236"/>
  <c r="H52" i="63238"/>
  <c r="AC16" i="63236"/>
  <c r="AJ16" i="63238"/>
  <c r="AJ16" i="63229"/>
  <c r="AN17" i="10541"/>
  <c r="AD33" i="63236"/>
  <c r="AK33" i="63238"/>
  <c r="AK33" i="63229"/>
  <c r="AO37" i="10541"/>
  <c r="T36" i="63236"/>
  <c r="AA36" i="63238"/>
  <c r="AC36" i="63229"/>
  <c r="AE33" i="63236"/>
  <c r="AL33" i="63229"/>
  <c r="AL33" i="63238"/>
  <c r="P36" i="63236"/>
  <c r="W36" i="63238"/>
  <c r="AC7" i="63236"/>
  <c r="AJ7" i="63238"/>
  <c r="AN8" i="10541"/>
  <c r="AJ7" i="63229"/>
  <c r="S57" i="63236"/>
  <c r="Z57" i="63238"/>
  <c r="AB57" i="63229"/>
  <c r="T55" i="63236"/>
  <c r="AA55" i="63238"/>
  <c r="AC55" i="63229"/>
  <c r="AD60" i="63236"/>
  <c r="AK60" i="63238"/>
  <c r="AK60" i="63229"/>
  <c r="AO67" i="10541"/>
  <c r="AC37" i="63236"/>
  <c r="AJ37" i="63238"/>
  <c r="AJ37" i="63229"/>
  <c r="AN41" i="10541"/>
  <c r="S59" i="63236"/>
  <c r="Z59" i="63238"/>
  <c r="AB59" i="63229"/>
  <c r="AC57" i="63236"/>
  <c r="AJ57" i="63238"/>
  <c r="AJ57" i="63229"/>
  <c r="AN64" i="10541"/>
  <c r="S20" i="63236"/>
  <c r="Z20" i="63238"/>
  <c r="AB20" i="63229"/>
  <c r="G58" i="63229"/>
  <c r="AR47" i="10541"/>
  <c r="T6" i="63236"/>
  <c r="AA6" i="63238"/>
  <c r="AC6" i="63229"/>
  <c r="S17" i="63236"/>
  <c r="Z17" i="63238"/>
  <c r="AB17" i="63229"/>
  <c r="S44" i="63236"/>
  <c r="AB44" i="63229"/>
  <c r="Z44" i="63238"/>
  <c r="AL14" i="63236"/>
  <c r="AW14" i="63238"/>
  <c r="U59" i="63236"/>
  <c r="AB59" i="63238"/>
  <c r="R41" i="63236"/>
  <c r="Y41" i="63238"/>
  <c r="AA41" i="63229"/>
  <c r="AH8" i="63236"/>
  <c r="AO8" i="63238"/>
  <c r="U10" i="63236"/>
  <c r="AB10" i="63238"/>
  <c r="G54" i="63236"/>
  <c r="H54" i="63238"/>
  <c r="T60" i="63236"/>
  <c r="AA60" i="63238"/>
  <c r="AC60" i="63229"/>
  <c r="AA27" i="63236"/>
  <c r="AH27" i="63238"/>
  <c r="AH27" i="63229"/>
  <c r="AK53" i="63236"/>
  <c r="AU53" i="63238"/>
  <c r="AN53" i="63229"/>
  <c r="R7" i="63236"/>
  <c r="Y7" i="63238"/>
  <c r="AA7" i="63229"/>
  <c r="S32" i="63236"/>
  <c r="AB32" i="63229"/>
  <c r="Z32" i="63238"/>
  <c r="AD41" i="63236"/>
  <c r="AK41" i="63229"/>
  <c r="AK41" i="63238"/>
  <c r="AO45" i="10541"/>
  <c r="P60" i="63236"/>
  <c r="W60" i="63238"/>
  <c r="AE8" i="63236"/>
  <c r="AL8" i="63238"/>
  <c r="AL8" i="63229"/>
  <c r="AC29" i="63236"/>
  <c r="AJ29" i="63238"/>
  <c r="AJ29" i="63229"/>
  <c r="AN33" i="10541"/>
  <c r="AE15" i="63236"/>
  <c r="AL15" i="63238"/>
  <c r="AL15" i="63229"/>
  <c r="R56" i="63236"/>
  <c r="Y56" i="63238"/>
  <c r="AA56" i="63229"/>
  <c r="AB31" i="63236"/>
  <c r="AI31" i="63238"/>
  <c r="AI31" i="63229"/>
  <c r="Z59" i="63236"/>
  <c r="AG59" i="63238"/>
  <c r="AE59" i="63229"/>
  <c r="AA35" i="63236"/>
  <c r="AH35" i="63238"/>
  <c r="AH35" i="63229"/>
  <c r="AK39" i="63238"/>
  <c r="AD39" i="63236"/>
  <c r="AK39" i="63229"/>
  <c r="AO43" i="10541"/>
  <c r="Z44" i="63236"/>
  <c r="AG44" i="63238"/>
  <c r="AE44" i="63229"/>
  <c r="Z55" i="63236"/>
  <c r="AG55" i="63238"/>
  <c r="AE55" i="63229"/>
  <c r="S55" i="63236"/>
  <c r="Z55" i="63238"/>
  <c r="AB55" i="63229"/>
  <c r="AD38" i="63236"/>
  <c r="AK38" i="63238"/>
  <c r="AK38" i="63229"/>
  <c r="AO42" i="10541"/>
  <c r="AA33" i="63236"/>
  <c r="AH33" i="63238"/>
  <c r="AH33" i="63229"/>
  <c r="AU15" i="63238"/>
  <c r="AK15" i="63236"/>
  <c r="AN15" i="63229"/>
  <c r="R18" i="63236"/>
  <c r="Y18" i="63238"/>
  <c r="AA18" i="63229"/>
  <c r="U8" i="63236"/>
  <c r="AB8" i="63238"/>
  <c r="AD34" i="63236"/>
  <c r="AK34" i="63238"/>
  <c r="AK34" i="63229"/>
  <c r="AO38" i="10541"/>
  <c r="U19" i="63236"/>
  <c r="AB19" i="63238"/>
  <c r="AL13" i="63236"/>
  <c r="AW13" i="63238"/>
  <c r="AD14" i="63236"/>
  <c r="AK14" i="63238"/>
  <c r="AK14" i="63229"/>
  <c r="AO15" i="10541"/>
  <c r="R52" i="63236"/>
  <c r="Y52" i="63238"/>
  <c r="AA52" i="63229"/>
  <c r="T8" i="63236"/>
  <c r="AA8" i="63238"/>
  <c r="AC8" i="63229"/>
  <c r="AI8" i="63238"/>
  <c r="AB8" i="63236"/>
  <c r="AI8" i="63229"/>
  <c r="AN8" i="63229"/>
  <c r="AD44" i="63236"/>
  <c r="AK44" i="63238"/>
  <c r="AK44" i="63229"/>
  <c r="AO48" i="10541"/>
  <c r="AC50" i="63236"/>
  <c r="AJ50" i="63238"/>
  <c r="AJ50" i="63229"/>
  <c r="AN57" i="10541"/>
  <c r="AE51" i="63236"/>
  <c r="AL51" i="63238"/>
  <c r="AL51" i="63229"/>
  <c r="Q54" i="63236"/>
  <c r="X54" i="63238"/>
  <c r="AD54" i="63229"/>
  <c r="Q56" i="63236"/>
  <c r="X56" i="63238"/>
  <c r="AD56" i="63229"/>
  <c r="AE37" i="63236"/>
  <c r="AL37" i="63238"/>
  <c r="AL37" i="63229"/>
  <c r="S36" i="63236"/>
  <c r="Z36" i="63238"/>
  <c r="AB36" i="63229"/>
  <c r="T51" i="63236"/>
  <c r="AA51" i="63238"/>
  <c r="AC51" i="63229"/>
  <c r="G36" i="63236"/>
  <c r="H36" i="63238"/>
  <c r="AK16" i="63236"/>
  <c r="AU16" i="63238"/>
  <c r="AN16" i="63229"/>
  <c r="AK10" i="63236"/>
  <c r="AU10" i="63238"/>
  <c r="AN10" i="63229"/>
  <c r="Q57" i="63236"/>
  <c r="X57" i="63238"/>
  <c r="AD57" i="63229"/>
  <c r="Z38" i="63236"/>
  <c r="AG38" i="63238"/>
  <c r="AE38" i="63229"/>
  <c r="AC32" i="63236"/>
  <c r="AJ32" i="63238"/>
  <c r="AJ32" i="63229"/>
  <c r="AN36" i="10541"/>
  <c r="AK49" i="63236"/>
  <c r="AU49" i="63238"/>
  <c r="AN49" i="63229"/>
  <c r="G42" i="63236"/>
  <c r="H42" i="63238"/>
  <c r="AL49" i="63236"/>
  <c r="AW49" i="63238"/>
  <c r="AC54" i="63236"/>
  <c r="AJ54" i="63238"/>
  <c r="AJ54" i="63229"/>
  <c r="AN61" i="10541"/>
  <c r="F58" i="63236"/>
  <c r="G58" i="63238"/>
  <c r="AE36" i="63236"/>
  <c r="AL36" i="63238"/>
  <c r="AL36" i="63229"/>
  <c r="AD55" i="63236"/>
  <c r="AK55" i="63238"/>
  <c r="AK55" i="63229"/>
  <c r="AO62" i="10541"/>
  <c r="U15" i="63236"/>
  <c r="AB15" i="63238"/>
  <c r="U31" i="63236"/>
  <c r="AB31" i="63238"/>
  <c r="AE39" i="63236"/>
  <c r="AL39" i="63238"/>
  <c r="AL39" i="63229"/>
  <c r="Q7" i="63236"/>
  <c r="X7" i="63238"/>
  <c r="AD7" i="63229"/>
  <c r="G55" i="63236"/>
  <c r="H55" i="63238"/>
  <c r="U60" i="63236"/>
  <c r="AB60" i="63238"/>
  <c r="AD42" i="63236"/>
  <c r="AK42" i="63238"/>
  <c r="AK42" i="63229"/>
  <c r="AO46" i="10541"/>
  <c r="AD37" i="63236"/>
  <c r="AK37" i="63238"/>
  <c r="AK37" i="63229"/>
  <c r="AO41" i="10541"/>
  <c r="AL53" i="63236"/>
  <c r="AW53" i="63238"/>
  <c r="P55" i="63236"/>
  <c r="W55" i="63238"/>
  <c r="T52" i="63236"/>
  <c r="AA52" i="63238"/>
  <c r="AC52" i="63229"/>
  <c r="Z18" i="63236"/>
  <c r="AG18" i="63238"/>
  <c r="AE18" i="63229"/>
  <c r="AK35" i="63238"/>
  <c r="AD35" i="63236"/>
  <c r="AK35" i="63229"/>
  <c r="AO39" i="10541"/>
  <c r="R19" i="63236"/>
  <c r="Y19" i="63238"/>
  <c r="AA19" i="63229"/>
  <c r="P52" i="63236"/>
  <c r="W52" i="63238"/>
  <c r="U54" i="63236"/>
  <c r="AB54" i="63238"/>
  <c r="T17" i="63236"/>
  <c r="AA17" i="63238"/>
  <c r="AC17" i="63229"/>
  <c r="R50" i="63236"/>
  <c r="Y50" i="63238"/>
  <c r="AA50" i="63229"/>
  <c r="AK11" i="63236"/>
  <c r="AU11" i="63238"/>
  <c r="AN11" i="63229"/>
  <c r="Q17" i="63236"/>
  <c r="X17" i="63238"/>
  <c r="AD17" i="63229"/>
  <c r="AD50" i="63236"/>
  <c r="AK50" i="63238"/>
  <c r="AK50" i="63229"/>
  <c r="AO57" i="10541"/>
  <c r="AK43" i="63238"/>
  <c r="AK43" i="63229"/>
  <c r="AD43" i="63236"/>
  <c r="AO47" i="10541"/>
  <c r="AC33" i="63236"/>
  <c r="AJ33" i="63238"/>
  <c r="AJ33" i="63229"/>
  <c r="AN37" i="10541"/>
  <c r="U36" i="63236"/>
  <c r="AB36" i="63238"/>
  <c r="G41" i="63236"/>
  <c r="H41" i="63238"/>
  <c r="G32" i="63236"/>
  <c r="H32" i="63238"/>
  <c r="O55" i="63230"/>
  <c r="H48" i="63236"/>
  <c r="I48" i="63238"/>
  <c r="S48" i="63229"/>
  <c r="R48" i="63229"/>
  <c r="P48" i="63229"/>
  <c r="Z48" i="63229"/>
  <c r="U48" i="63229"/>
  <c r="Q48" i="63229"/>
  <c r="P17" i="63236"/>
  <c r="W17" i="63238"/>
  <c r="AE40" i="63236"/>
  <c r="AL40" i="63238"/>
  <c r="AL40" i="63229"/>
  <c r="AC15" i="63236"/>
  <c r="AJ15" i="63238"/>
  <c r="AJ15" i="63229"/>
  <c r="AN16" i="10541"/>
  <c r="S41" i="63236"/>
  <c r="Z41" i="63238"/>
  <c r="AB41" i="63229"/>
  <c r="P7" i="63236"/>
  <c r="W7" i="63238"/>
  <c r="T44" i="63236"/>
  <c r="AA44" i="63238"/>
  <c r="AC44" i="63229"/>
  <c r="T48" i="63229"/>
  <c r="AA29" i="63236"/>
  <c r="AH29" i="63238"/>
  <c r="AH29" i="63229"/>
  <c r="R32" i="63236"/>
  <c r="AA32" i="63229"/>
  <c r="Y32" i="63238"/>
  <c r="U56" i="63236"/>
  <c r="AB56" i="63238"/>
  <c r="R55" i="63236"/>
  <c r="Y55" i="63238"/>
  <c r="AA55" i="63229"/>
  <c r="AB37" i="63236"/>
  <c r="AI37" i="63238"/>
  <c r="AI37" i="63229"/>
  <c r="S40" i="63236"/>
  <c r="AB40" i="63229"/>
  <c r="Z40" i="63238"/>
  <c r="AC38" i="63236"/>
  <c r="AJ38" i="63238"/>
  <c r="AJ38" i="63229"/>
  <c r="AN42" i="10541"/>
  <c r="T39" i="63236"/>
  <c r="AA39" i="63238"/>
  <c r="AC39" i="63229"/>
  <c r="U38" i="63236"/>
  <c r="AB38" i="63238"/>
  <c r="P54" i="63236"/>
  <c r="W54" i="63238"/>
  <c r="AI27" i="63238"/>
  <c r="AB27" i="63236"/>
  <c r="AI27" i="63229"/>
  <c r="U34" i="63236"/>
  <c r="AB34" i="63238"/>
  <c r="P50" i="63236"/>
  <c r="W50" i="63238"/>
  <c r="X36" i="63238"/>
  <c r="Q36" i="63236"/>
  <c r="AD36" i="63229"/>
  <c r="AC40" i="63236"/>
  <c r="AJ40" i="63238"/>
  <c r="AJ40" i="63229"/>
  <c r="AN44" i="10541"/>
  <c r="Z32" i="63236"/>
  <c r="AG32" i="63238"/>
  <c r="AE32" i="63229"/>
  <c r="R42" i="63236"/>
  <c r="Y42" i="63238"/>
  <c r="AA42" i="63229"/>
  <c r="Z43" i="63236"/>
  <c r="AG43" i="63238"/>
  <c r="AE43" i="63229"/>
  <c r="T14" i="63236"/>
  <c r="AA14" i="63238"/>
  <c r="AC14" i="63229"/>
  <c r="R36" i="63236"/>
  <c r="Y36" i="63238"/>
  <c r="AA36" i="63229"/>
  <c r="AH34" i="63236"/>
  <c r="AO34" i="63238"/>
  <c r="AD29" i="63236"/>
  <c r="AK29" i="63229"/>
  <c r="AK29" i="63238"/>
  <c r="AO33" i="10541"/>
  <c r="R57" i="63236"/>
  <c r="Y57" i="63238"/>
  <c r="AA57" i="63229"/>
  <c r="AA43" i="63236"/>
  <c r="AH43" i="63238"/>
  <c r="AH43" i="63229"/>
  <c r="R59" i="63236"/>
  <c r="Y59" i="63238"/>
  <c r="AA59" i="63229"/>
  <c r="AL9" i="63236"/>
  <c r="AW9" i="63238"/>
  <c r="AL16" i="63238"/>
  <c r="AE16" i="63236"/>
  <c r="AL16" i="63229"/>
  <c r="O65" i="63230"/>
  <c r="H58" i="63236"/>
  <c r="I58" i="63238"/>
  <c r="R58" i="63229"/>
  <c r="S58" i="63229"/>
  <c r="U58" i="63229"/>
  <c r="Q58" i="63229"/>
  <c r="P58" i="63229"/>
  <c r="Z58" i="63229"/>
  <c r="T58" i="63229"/>
  <c r="R37" i="63204"/>
  <c r="U17" i="63236"/>
  <c r="AB17" i="63238"/>
  <c r="R17" i="63236"/>
  <c r="Y17" i="63238"/>
  <c r="AA17" i="63229"/>
  <c r="U44" i="63236"/>
  <c r="AB44" i="63238"/>
  <c r="AD59" i="63236"/>
  <c r="AK59" i="63238"/>
  <c r="AK59" i="63229"/>
  <c r="AO66" i="10541"/>
  <c r="Z52" i="63236"/>
  <c r="AG52" i="63238"/>
  <c r="AE52" i="63229"/>
  <c r="U7" i="63236"/>
  <c r="AB7" i="63238"/>
  <c r="Z7" i="63236"/>
  <c r="AG7" i="63238"/>
  <c r="AE7" i="63229"/>
  <c r="G40" i="63236"/>
  <c r="H40" i="63238"/>
  <c r="U41" i="63236"/>
  <c r="AB41" i="63238"/>
  <c r="AA39" i="63236"/>
  <c r="AH39" i="63238"/>
  <c r="AH39" i="63229"/>
  <c r="AB43" i="63236"/>
  <c r="AI43" i="63238"/>
  <c r="AI43" i="63229"/>
  <c r="AB35" i="63236"/>
  <c r="AI35" i="63238"/>
  <c r="AI35" i="63229"/>
  <c r="G50" i="63236"/>
  <c r="H50" i="63238"/>
  <c r="S7" i="63236"/>
  <c r="Z7" i="63238"/>
  <c r="AB7" i="63229"/>
  <c r="P32" i="63236"/>
  <c r="W32" i="63238"/>
  <c r="R60" i="63236"/>
  <c r="Y60" i="63238"/>
  <c r="AA60" i="63229"/>
  <c r="AC42" i="63236"/>
  <c r="AJ42" i="63238"/>
  <c r="AJ42" i="63229"/>
  <c r="AN46" i="10541"/>
  <c r="U52" i="63236"/>
  <c r="AB52" i="63238"/>
  <c r="AC34" i="63236"/>
  <c r="AJ34" i="63238"/>
  <c r="AJ34" i="63229"/>
  <c r="AN38" i="10541"/>
  <c r="AC30" i="63236"/>
  <c r="AJ30" i="63238"/>
  <c r="AJ30" i="63229"/>
  <c r="AN34" i="10541"/>
  <c r="S56" i="63236"/>
  <c r="Z56" i="63238"/>
  <c r="AB56" i="63229"/>
  <c r="AO31" i="63238"/>
  <c r="AH31" i="63236"/>
  <c r="AC41" i="63236"/>
  <c r="AJ41" i="63238"/>
  <c r="AJ41" i="63229"/>
  <c r="AN45" i="10541"/>
  <c r="AD40" i="63236"/>
  <c r="AK40" i="63238"/>
  <c r="AK40" i="63229"/>
  <c r="AO44" i="10541"/>
  <c r="AC49" i="63236"/>
  <c r="AJ49" i="63238"/>
  <c r="AJ49" i="63229"/>
  <c r="AN56" i="10541"/>
  <c r="T13" i="63236"/>
  <c r="AA13" i="63238"/>
  <c r="AC13" i="63229"/>
  <c r="AB51" i="63236"/>
  <c r="AI51" i="63238"/>
  <c r="AI51" i="63229"/>
  <c r="AK31" i="63236"/>
  <c r="AU31" i="63238"/>
  <c r="AN31" i="63229"/>
  <c r="AC53" i="63236"/>
  <c r="AJ53" i="63238"/>
  <c r="AJ53" i="63229"/>
  <c r="AN60" i="10541"/>
  <c r="U55" i="63236"/>
  <c r="AB55" i="63238"/>
  <c r="AL20" i="63238"/>
  <c r="AE20" i="63236"/>
  <c r="AL20" i="63229"/>
  <c r="U18" i="63236"/>
  <c r="AB18" i="63238"/>
  <c r="AD13" i="63236"/>
  <c r="AK13" i="63238"/>
  <c r="AO14" i="10541"/>
  <c r="AK13" i="63229"/>
  <c r="AE29" i="63236"/>
  <c r="AL29" i="63229"/>
  <c r="AL29" i="63238"/>
  <c r="AL30" i="63236"/>
  <c r="AW30" i="63238"/>
  <c r="AE56" i="63236"/>
  <c r="AL56" i="63238"/>
  <c r="AL56" i="63229"/>
  <c r="Z19" i="63236"/>
  <c r="AG19" i="63238"/>
  <c r="AE19" i="63229"/>
  <c r="AK30" i="63236"/>
  <c r="AU30" i="63238"/>
  <c r="AN30" i="63229"/>
  <c r="H6" i="63236"/>
  <c r="O13" i="63230"/>
  <c r="I6" i="63238"/>
  <c r="S6" i="63229"/>
  <c r="R6" i="63229"/>
  <c r="Q6" i="63229"/>
  <c r="P6" i="63229"/>
  <c r="Z6" i="63229"/>
  <c r="T27" i="63236"/>
  <c r="AA27" i="63238"/>
  <c r="AC27" i="63229"/>
  <c r="AE57" i="63236"/>
  <c r="AL57" i="63238"/>
  <c r="AL57" i="63229"/>
  <c r="Z62" i="63230"/>
  <c r="AA62" i="63230"/>
  <c r="W62" i="63230"/>
  <c r="X62" i="63230"/>
  <c r="AI62" i="63230"/>
  <c r="AJ62" i="63230"/>
  <c r="AF62" i="63230"/>
  <c r="AG62" i="63230"/>
  <c r="W43" i="63230"/>
  <c r="X43" i="63230"/>
  <c r="Z43" i="63230"/>
  <c r="AA43" i="63230"/>
  <c r="AI43" i="63230"/>
  <c r="AJ43" i="63230"/>
  <c r="AC43" i="63230"/>
  <c r="AD43" i="63230"/>
  <c r="AF43" i="63230"/>
  <c r="AG43" i="63230"/>
  <c r="W61" i="63230"/>
  <c r="X61" i="63230"/>
  <c r="Z61" i="63230"/>
  <c r="AA61" i="63230"/>
  <c r="AI61" i="63230"/>
  <c r="AJ61" i="63230"/>
  <c r="AF61" i="63230"/>
  <c r="AG61" i="63230"/>
  <c r="AC61" i="63230"/>
  <c r="AD61" i="63230"/>
  <c r="Z59" i="63230"/>
  <c r="AA59" i="63230"/>
  <c r="W59" i="63230"/>
  <c r="X59" i="63230"/>
  <c r="AF59" i="63230"/>
  <c r="AG59" i="63230"/>
  <c r="AI59" i="63230"/>
  <c r="AJ59" i="63230"/>
  <c r="W66" i="63230"/>
  <c r="X66" i="63230"/>
  <c r="Z66" i="63230"/>
  <c r="AA66" i="63230"/>
  <c r="AC66" i="63230"/>
  <c r="AD66" i="63230"/>
  <c r="AF66" i="63230"/>
  <c r="AG66" i="63230"/>
  <c r="AI13" i="63236"/>
  <c r="AQ13" i="63238"/>
  <c r="AH49" i="63236"/>
  <c r="AO49" i="63238"/>
  <c r="AH11" i="63236"/>
  <c r="AO11" i="63238"/>
  <c r="AI15" i="63236"/>
  <c r="AQ15" i="63238"/>
  <c r="AC59" i="63230"/>
  <c r="AD59" i="63230"/>
  <c r="Z48" i="63230"/>
  <c r="AA48" i="63230"/>
  <c r="W48" i="63230"/>
  <c r="X48" i="63230"/>
  <c r="AC48" i="63230"/>
  <c r="AD48" i="63230"/>
  <c r="AF48" i="63230"/>
  <c r="AG48" i="63230"/>
  <c r="AI48" i="63230"/>
  <c r="AJ48" i="63230"/>
  <c r="W55" i="63230"/>
  <c r="X55" i="63230"/>
  <c r="Z55" i="63230"/>
  <c r="AA55" i="63230"/>
  <c r="AJ55" i="63230"/>
  <c r="AF55" i="63230"/>
  <c r="AG55" i="63230"/>
  <c r="W51" i="63230"/>
  <c r="X51" i="63230"/>
  <c r="Z51" i="63230"/>
  <c r="AA51" i="63230"/>
  <c r="AI51" i="63230"/>
  <c r="AJ51" i="63230"/>
  <c r="AF51" i="63230"/>
  <c r="AG51" i="63230"/>
  <c r="Z35" i="63230"/>
  <c r="AA35" i="63230"/>
  <c r="W35" i="63230"/>
  <c r="X35" i="63230"/>
  <c r="AI35" i="63230"/>
  <c r="AJ35" i="63230"/>
  <c r="AC35" i="63230"/>
  <c r="AD35" i="63230"/>
  <c r="AF35" i="63230"/>
  <c r="AG35" i="63230"/>
  <c r="AC55" i="63230"/>
  <c r="AD55" i="63230"/>
  <c r="AC51" i="63230"/>
  <c r="AD51" i="63230"/>
  <c r="W57" i="63230"/>
  <c r="X57" i="63230"/>
  <c r="Z57" i="63230"/>
  <c r="AA57" i="63230"/>
  <c r="AF57" i="63230"/>
  <c r="AG57" i="63230"/>
  <c r="AI57" i="63230"/>
  <c r="AJ57" i="63230"/>
  <c r="AC57" i="63230"/>
  <c r="AD57" i="63230"/>
  <c r="AI11" i="63236"/>
  <c r="AQ11" i="63238"/>
  <c r="AO15" i="63238"/>
  <c r="AH15" i="63236"/>
  <c r="AH14" i="63236"/>
  <c r="AO14" i="63238"/>
  <c r="W47" i="63230"/>
  <c r="X47" i="63230"/>
  <c r="Z47" i="63230"/>
  <c r="AA47" i="63230"/>
  <c r="AC47" i="63230"/>
  <c r="AD47" i="63230"/>
  <c r="AF47" i="63230"/>
  <c r="AG47" i="63230"/>
  <c r="AI47" i="63230"/>
  <c r="AJ47" i="63230"/>
  <c r="Z39" i="63230"/>
  <c r="AA39" i="63230"/>
  <c r="W39" i="63230"/>
  <c r="X39" i="63230"/>
  <c r="AC39" i="63230"/>
  <c r="AD39" i="63230"/>
  <c r="AF39" i="63230"/>
  <c r="AG39" i="63230"/>
  <c r="AI39" i="63230"/>
  <c r="AJ39" i="63230"/>
  <c r="W49" i="63230"/>
  <c r="X49" i="63230"/>
  <c r="Z49" i="63230"/>
  <c r="AA49" i="63230"/>
  <c r="AC49" i="63230"/>
  <c r="AD49" i="63230"/>
  <c r="AF49" i="63230"/>
  <c r="AG49" i="63230"/>
  <c r="AI49" i="63230"/>
  <c r="AJ49" i="63230"/>
  <c r="AQ49" i="63238"/>
  <c r="AI49" i="63236"/>
  <c r="AC62" i="63230"/>
  <c r="AD62" i="63230"/>
  <c r="AI14" i="63236"/>
  <c r="AQ14" i="63238"/>
  <c r="AH13" i="63236"/>
  <c r="AO13" i="63238"/>
  <c r="AI66" i="63230"/>
  <c r="AJ66" i="63230"/>
  <c r="AZ8" i="63238"/>
  <c r="AN8" i="63236"/>
  <c r="Q6" i="63236"/>
  <c r="X6" i="63238"/>
  <c r="AD6" i="63229"/>
  <c r="AN31" i="63236"/>
  <c r="AZ31" i="63238"/>
  <c r="R58" i="63236"/>
  <c r="Y58" i="63238"/>
  <c r="AA58" i="63229"/>
  <c r="AJ29" i="63236"/>
  <c r="AS29" i="63238"/>
  <c r="AM29" i="63229"/>
  <c r="AB32" i="63236"/>
  <c r="AI32" i="63238"/>
  <c r="AI32" i="63229"/>
  <c r="AC55" i="63236"/>
  <c r="AJ55" i="63238"/>
  <c r="AJ55" i="63229"/>
  <c r="AN62" i="10541"/>
  <c r="AB50" i="63236"/>
  <c r="AI50" i="63238"/>
  <c r="AI50" i="63229"/>
  <c r="AM50" i="63229"/>
  <c r="AJ41" i="63236"/>
  <c r="AS41" i="63238"/>
  <c r="AH29" i="63236"/>
  <c r="AO29" i="63238"/>
  <c r="AJ33" i="63236"/>
  <c r="AS33" i="63238"/>
  <c r="AM33" i="63229"/>
  <c r="AA50" i="63236"/>
  <c r="AH50" i="63238"/>
  <c r="AH50" i="63229"/>
  <c r="AD57" i="63236"/>
  <c r="AK57" i="63238"/>
  <c r="AK57" i="63229"/>
  <c r="AO64" i="10541"/>
  <c r="AD54" i="63236"/>
  <c r="AK54" i="63238"/>
  <c r="AK54" i="63229"/>
  <c r="AO61" i="10541"/>
  <c r="AJ50" i="63236"/>
  <c r="AS50" i="63238"/>
  <c r="AA52" i="63236"/>
  <c r="AH52" i="63229"/>
  <c r="AH52" i="63238"/>
  <c r="AK14" i="63236"/>
  <c r="AU14" i="63238"/>
  <c r="AN14" i="63229"/>
  <c r="AE44" i="63236"/>
  <c r="AL44" i="63238"/>
  <c r="AL44" i="63229"/>
  <c r="AK39" i="63236"/>
  <c r="AU39" i="63238"/>
  <c r="AN39" i="63229"/>
  <c r="AH35" i="63236"/>
  <c r="AO35" i="63238"/>
  <c r="AE59" i="63236"/>
  <c r="AL59" i="63238"/>
  <c r="AL59" i="63229"/>
  <c r="AN53" i="63236"/>
  <c r="AZ53" i="63238"/>
  <c r="AH41" i="63238"/>
  <c r="AA41" i="63236"/>
  <c r="AH41" i="63229"/>
  <c r="AB44" i="63236"/>
  <c r="AI44" i="63238"/>
  <c r="AI44" i="63229"/>
  <c r="AC36" i="63236"/>
  <c r="AJ36" i="63238"/>
  <c r="AJ36" i="63229"/>
  <c r="AN40" i="10541"/>
  <c r="AK33" i="63236"/>
  <c r="AU33" i="63238"/>
  <c r="AN33" i="63229"/>
  <c r="AL10" i="63236"/>
  <c r="AW10" i="63238"/>
  <c r="AB18" i="63236"/>
  <c r="AI18" i="63238"/>
  <c r="AI18" i="63229"/>
  <c r="AC56" i="63236"/>
  <c r="AJ56" i="63238"/>
  <c r="AJ56" i="63229"/>
  <c r="AN63" i="10541"/>
  <c r="AA20" i="63236"/>
  <c r="AH20" i="63238"/>
  <c r="AH20" i="63229"/>
  <c r="AA54" i="63236"/>
  <c r="AH54" i="63238"/>
  <c r="AH54" i="63229"/>
  <c r="Q28" i="63236"/>
  <c r="X28" i="63238"/>
  <c r="AD28" i="63229"/>
  <c r="S28" i="63236"/>
  <c r="AB28" i="63229"/>
  <c r="Z28" i="63238"/>
  <c r="AU32" i="63238"/>
  <c r="AK32" i="63236"/>
  <c r="AN32" i="63229"/>
  <c r="AC19" i="63236"/>
  <c r="AJ19" i="63238"/>
  <c r="AJ19" i="63229"/>
  <c r="AN20" i="10541"/>
  <c r="AL56" i="63236"/>
  <c r="AW56" i="63238"/>
  <c r="AJ53" i="63236"/>
  <c r="AM53" i="63229"/>
  <c r="AS53" i="63238"/>
  <c r="AA17" i="63236"/>
  <c r="AH17" i="63238"/>
  <c r="AH17" i="63229"/>
  <c r="AL16" i="63236"/>
  <c r="AW16" i="63238"/>
  <c r="AA42" i="63236"/>
  <c r="AH42" i="63238"/>
  <c r="AH42" i="63229"/>
  <c r="P48" i="63236"/>
  <c r="W48" i="63238"/>
  <c r="AL51" i="63236"/>
  <c r="AW51" i="63238"/>
  <c r="AI31" i="63236"/>
  <c r="AQ31" i="63238"/>
  <c r="AL8" i="63236"/>
  <c r="AW8" i="63238"/>
  <c r="AK41" i="63236"/>
  <c r="AU41" i="63238"/>
  <c r="AH27" i="63236"/>
  <c r="AO27" i="63238"/>
  <c r="AN9" i="63236"/>
  <c r="AZ9" i="63238"/>
  <c r="AJ11" i="63236"/>
  <c r="AS11" i="63238"/>
  <c r="AM11" i="63229"/>
  <c r="AB52" i="63236"/>
  <c r="AI52" i="63238"/>
  <c r="AI52" i="63229"/>
  <c r="AH51" i="63236"/>
  <c r="AO51" i="63238"/>
  <c r="AJ10" i="63238"/>
  <c r="AC10" i="63236"/>
  <c r="AN11" i="10541"/>
  <c r="AJ10" i="63229"/>
  <c r="AL35" i="63236"/>
  <c r="AW35" i="63238"/>
  <c r="AC43" i="63236"/>
  <c r="AJ43" i="63238"/>
  <c r="AJ43" i="63229"/>
  <c r="AN47" i="10541"/>
  <c r="AE17" i="63236"/>
  <c r="AL17" i="63238"/>
  <c r="AL17" i="63229"/>
  <c r="R28" i="63236"/>
  <c r="Y28" i="63238"/>
  <c r="AA28" i="63229"/>
  <c r="R6" i="63236"/>
  <c r="Y6" i="63238"/>
  <c r="AA6" i="63229"/>
  <c r="AE19" i="63236"/>
  <c r="AL19" i="63238"/>
  <c r="AL19" i="63229"/>
  <c r="AH43" i="63236"/>
  <c r="AO43" i="63238"/>
  <c r="AE43" i="63236"/>
  <c r="AL43" i="63238"/>
  <c r="AL43" i="63229"/>
  <c r="AI37" i="63236"/>
  <c r="AQ37" i="63238"/>
  <c r="T48" i="63236"/>
  <c r="AA48" i="63238"/>
  <c r="AC48" i="63229"/>
  <c r="Q48" i="63236"/>
  <c r="X48" i="63238"/>
  <c r="AD48" i="63229"/>
  <c r="Z6" i="63236"/>
  <c r="AG6" i="63238"/>
  <c r="AE6" i="63229"/>
  <c r="S6" i="63236"/>
  <c r="Z6" i="63238"/>
  <c r="AB6" i="63229"/>
  <c r="AN30" i="63236"/>
  <c r="AZ30" i="63238"/>
  <c r="AK13" i="63236"/>
  <c r="AU13" i="63238"/>
  <c r="AN13" i="63229"/>
  <c r="AE52" i="63236"/>
  <c r="AL52" i="63238"/>
  <c r="AL52" i="63229"/>
  <c r="AK59" i="63236"/>
  <c r="AU59" i="63238"/>
  <c r="T58" i="63236"/>
  <c r="AC58" i="63229"/>
  <c r="AA58" i="63238"/>
  <c r="U58" i="63236"/>
  <c r="AB58" i="63238"/>
  <c r="AA59" i="63236"/>
  <c r="AH59" i="63238"/>
  <c r="AH59" i="63229"/>
  <c r="AK29" i="63236"/>
  <c r="AU29" i="63238"/>
  <c r="AN29" i="63229"/>
  <c r="AC14" i="63236"/>
  <c r="AJ14" i="63238"/>
  <c r="AJ14" i="63229"/>
  <c r="AN15" i="10541"/>
  <c r="AI27" i="63236"/>
  <c r="AQ27" i="63238"/>
  <c r="AC39" i="63236"/>
  <c r="AJ39" i="63238"/>
  <c r="AJ39" i="63229"/>
  <c r="AN43" i="10541"/>
  <c r="AJ38" i="63236"/>
  <c r="AS38" i="63238"/>
  <c r="AM38" i="63229"/>
  <c r="AC44" i="63236"/>
  <c r="AJ44" i="63238"/>
  <c r="AJ44" i="63229"/>
  <c r="AN48" i="10541"/>
  <c r="U48" i="63236"/>
  <c r="AB48" i="63238"/>
  <c r="S48" i="63236"/>
  <c r="AB48" i="63229"/>
  <c r="Z48" i="63238"/>
  <c r="AN11" i="63236"/>
  <c r="AZ11" i="63238"/>
  <c r="AC52" i="63236"/>
  <c r="AJ52" i="63238"/>
  <c r="AJ52" i="63229"/>
  <c r="AN59" i="10541"/>
  <c r="AK37" i="63236"/>
  <c r="AU37" i="63238"/>
  <c r="AN37" i="63229"/>
  <c r="AL39" i="63236"/>
  <c r="AW39" i="63238"/>
  <c r="AJ54" i="63236"/>
  <c r="AS54" i="63238"/>
  <c r="AN49" i="63236"/>
  <c r="AZ49" i="63238"/>
  <c r="AJ32" i="63236"/>
  <c r="AS32" i="63238"/>
  <c r="AM32" i="63229"/>
  <c r="AE38" i="63236"/>
  <c r="AL38" i="63238"/>
  <c r="AL38" i="63229"/>
  <c r="AL37" i="63236"/>
  <c r="AW37" i="63238"/>
  <c r="AD56" i="63236"/>
  <c r="AK56" i="63238"/>
  <c r="AK56" i="63229"/>
  <c r="AO63" i="10541"/>
  <c r="AK44" i="63236"/>
  <c r="AU44" i="63238"/>
  <c r="AN44" i="63229"/>
  <c r="AI8" i="63236"/>
  <c r="AQ8" i="63238"/>
  <c r="AC8" i="63236"/>
  <c r="AJ8" i="63238"/>
  <c r="AN9" i="10541"/>
  <c r="AJ8" i="63229"/>
  <c r="AK34" i="63236"/>
  <c r="AU34" i="63238"/>
  <c r="AN34" i="63229"/>
  <c r="AH33" i="63236"/>
  <c r="AO33" i="63238"/>
  <c r="AE55" i="63236"/>
  <c r="AL55" i="63238"/>
  <c r="AL55" i="63229"/>
  <c r="AA7" i="63236"/>
  <c r="AH7" i="63238"/>
  <c r="AH7" i="63229"/>
  <c r="AJ6" i="63238"/>
  <c r="AC6" i="63236"/>
  <c r="AJ6" i="63229"/>
  <c r="AN7" i="10541"/>
  <c r="G58" i="63236"/>
  <c r="H58" i="63238"/>
  <c r="AJ7" i="63236"/>
  <c r="AS7" i="63238"/>
  <c r="AL33" i="63236"/>
  <c r="AW33" i="63238"/>
  <c r="AJ16" i="63236"/>
  <c r="AS16" i="63238"/>
  <c r="AM16" i="63229"/>
  <c r="AJ9" i="63236"/>
  <c r="AS9" i="63238"/>
  <c r="AM9" i="63229"/>
  <c r="AD19" i="63236"/>
  <c r="AK19" i="63238"/>
  <c r="AK19" i="63229"/>
  <c r="AO20" i="10541"/>
  <c r="AE60" i="63236"/>
  <c r="AL60" i="63238"/>
  <c r="AL60" i="63229"/>
  <c r="AA44" i="63236"/>
  <c r="AH44" i="63229"/>
  <c r="AH44" i="63238"/>
  <c r="AK27" i="63236"/>
  <c r="AU27" i="63238"/>
  <c r="AN27" i="63229"/>
  <c r="AD52" i="63236"/>
  <c r="AK52" i="63238"/>
  <c r="AK52" i="63229"/>
  <c r="AO59" i="10541"/>
  <c r="Z42" i="63236"/>
  <c r="AG42" i="63238"/>
  <c r="AE42" i="63229"/>
  <c r="AH37" i="63236"/>
  <c r="AO37" i="63238"/>
  <c r="AI39" i="63236"/>
  <c r="AQ39" i="63238"/>
  <c r="U42" i="63236"/>
  <c r="AB42" i="63238"/>
  <c r="AJ59" i="63236"/>
  <c r="AS59" i="63238"/>
  <c r="P28" i="63236"/>
  <c r="W28" i="63238"/>
  <c r="AB42" i="63236"/>
  <c r="AI42" i="63238"/>
  <c r="AI42" i="63229"/>
  <c r="AA40" i="63236"/>
  <c r="AH40" i="63238"/>
  <c r="AH40" i="63229"/>
  <c r="AK40" i="63236"/>
  <c r="AU40" i="63238"/>
  <c r="AJ34" i="63236"/>
  <c r="AS34" i="63238"/>
  <c r="AM34" i="63229"/>
  <c r="AB7" i="63236"/>
  <c r="AI7" i="63238"/>
  <c r="AI7" i="63229"/>
  <c r="AM7" i="63229"/>
  <c r="P58" i="63236"/>
  <c r="W58" i="63238"/>
  <c r="AC17" i="63236"/>
  <c r="AJ17" i="63238"/>
  <c r="AJ17" i="63229"/>
  <c r="AN18" i="10541"/>
  <c r="AN10" i="63236"/>
  <c r="AZ10" i="63238"/>
  <c r="AC51" i="63236"/>
  <c r="AJ51" i="63238"/>
  <c r="AJ51" i="63229"/>
  <c r="AN58" i="10541"/>
  <c r="AA18" i="63236"/>
  <c r="AH18" i="63238"/>
  <c r="AH18" i="63229"/>
  <c r="AA56" i="63236"/>
  <c r="AH56" i="63238"/>
  <c r="AH56" i="63229"/>
  <c r="AC60" i="63236"/>
  <c r="AJ60" i="63238"/>
  <c r="AJ60" i="63229"/>
  <c r="AN67" i="10541"/>
  <c r="AK60" i="63236"/>
  <c r="AU60" i="63238"/>
  <c r="AL41" i="63236"/>
  <c r="AW41" i="63238"/>
  <c r="AL50" i="63236"/>
  <c r="AW50" i="63238"/>
  <c r="AI33" i="63236"/>
  <c r="AQ33" i="63238"/>
  <c r="Z28" i="63236"/>
  <c r="AG28" i="63238"/>
  <c r="AE28" i="63229"/>
  <c r="AL20" i="63236"/>
  <c r="AW20" i="63238"/>
  <c r="AI35" i="63236"/>
  <c r="AQ35" i="63238"/>
  <c r="AI43" i="63236"/>
  <c r="AQ43" i="63238"/>
  <c r="AH39" i="63236"/>
  <c r="AO39" i="63238"/>
  <c r="AE7" i="63236"/>
  <c r="AL7" i="63238"/>
  <c r="AL7" i="63229"/>
  <c r="Q58" i="63236"/>
  <c r="X58" i="63238"/>
  <c r="AD58" i="63229"/>
  <c r="AA57" i="63236"/>
  <c r="AH57" i="63238"/>
  <c r="AH57" i="63229"/>
  <c r="AA55" i="63236"/>
  <c r="AH55" i="63238"/>
  <c r="AH55" i="63229"/>
  <c r="R48" i="63236"/>
  <c r="Y48" i="63238"/>
  <c r="AA48" i="63229"/>
  <c r="AL57" i="63236"/>
  <c r="AW57" i="63238"/>
  <c r="AC27" i="63236"/>
  <c r="AJ27" i="63238"/>
  <c r="AJ27" i="63229"/>
  <c r="AN31" i="10541"/>
  <c r="P6" i="63236"/>
  <c r="W6" i="63238"/>
  <c r="AL29" i="63236"/>
  <c r="AW29" i="63238"/>
  <c r="AI51" i="63236"/>
  <c r="AQ51" i="63238"/>
  <c r="AC13" i="63236"/>
  <c r="AJ13" i="63238"/>
  <c r="AJ13" i="63229"/>
  <c r="AN14" i="10541"/>
  <c r="AJ49" i="63236"/>
  <c r="AM49" i="63229"/>
  <c r="AS49" i="63238"/>
  <c r="AB56" i="63236"/>
  <c r="AI56" i="63238"/>
  <c r="AI56" i="63229"/>
  <c r="AJ30" i="63236"/>
  <c r="AS30" i="63238"/>
  <c r="AM30" i="63229"/>
  <c r="AJ42" i="63236"/>
  <c r="AS42" i="63238"/>
  <c r="AA60" i="63236"/>
  <c r="AH60" i="63238"/>
  <c r="AH60" i="63229"/>
  <c r="Z58" i="63236"/>
  <c r="AG58" i="63238"/>
  <c r="AE58" i="63229"/>
  <c r="S58" i="63236"/>
  <c r="Z58" i="63238"/>
  <c r="AB58" i="63229"/>
  <c r="AA36" i="63236"/>
  <c r="AH36" i="63229"/>
  <c r="AH36" i="63238"/>
  <c r="AE32" i="63236"/>
  <c r="AL32" i="63238"/>
  <c r="AL32" i="63229"/>
  <c r="AJ40" i="63236"/>
  <c r="AS40" i="63238"/>
  <c r="AD36" i="63236"/>
  <c r="AK36" i="63238"/>
  <c r="AK36" i="63229"/>
  <c r="AO40" i="10541"/>
  <c r="AB40" i="63236"/>
  <c r="AI40" i="63238"/>
  <c r="AI40" i="63229"/>
  <c r="AH32" i="63238"/>
  <c r="AA32" i="63236"/>
  <c r="AH32" i="63229"/>
  <c r="AB41" i="63236"/>
  <c r="AI41" i="63238"/>
  <c r="AI41" i="63229"/>
  <c r="AN41" i="63229"/>
  <c r="AJ15" i="63236"/>
  <c r="AS15" i="63238"/>
  <c r="AM15" i="63229"/>
  <c r="AL40" i="63236"/>
  <c r="AW40" i="63238"/>
  <c r="Z48" i="63236"/>
  <c r="AG48" i="63238"/>
  <c r="AE48" i="63229"/>
  <c r="AK43" i="63236"/>
  <c r="AU43" i="63238"/>
  <c r="AN43" i="63229"/>
  <c r="AK50" i="63236"/>
  <c r="AU50" i="63238"/>
  <c r="AD17" i="63236"/>
  <c r="AK17" i="63238"/>
  <c r="AK17" i="63229"/>
  <c r="AO18" i="10541"/>
  <c r="AA19" i="63236"/>
  <c r="AH19" i="63238"/>
  <c r="AH19" i="63229"/>
  <c r="AK35" i="63236"/>
  <c r="AU35" i="63238"/>
  <c r="AN35" i="63229"/>
  <c r="AE18" i="63236"/>
  <c r="AL18" i="63238"/>
  <c r="AL18" i="63229"/>
  <c r="AK42" i="63236"/>
  <c r="AU42" i="63238"/>
  <c r="AN42" i="63229"/>
  <c r="AD7" i="63236"/>
  <c r="AK7" i="63238"/>
  <c r="AK7" i="63229"/>
  <c r="AO8" i="10541"/>
  <c r="AK55" i="63236"/>
  <c r="AU55" i="63238"/>
  <c r="AL36" i="63236"/>
  <c r="AW36" i="63238"/>
  <c r="AN16" i="63236"/>
  <c r="AZ16" i="63238"/>
  <c r="AB36" i="63236"/>
  <c r="AI36" i="63238"/>
  <c r="AI36" i="63229"/>
  <c r="AN15" i="63236"/>
  <c r="AZ15" i="63238"/>
  <c r="AK38" i="63236"/>
  <c r="AU38" i="63238"/>
  <c r="AN38" i="63229"/>
  <c r="AB55" i="63236"/>
  <c r="AI55" i="63229"/>
  <c r="AI55" i="63238"/>
  <c r="AL15" i="63236"/>
  <c r="AW15" i="63238"/>
  <c r="AB17" i="63236"/>
  <c r="AI17" i="63238"/>
  <c r="AI17" i="63229"/>
  <c r="AB20" i="63236"/>
  <c r="AI20" i="63238"/>
  <c r="AI20" i="63229"/>
  <c r="AJ57" i="63236"/>
  <c r="AS57" i="63238"/>
  <c r="AB59" i="63236"/>
  <c r="AI59" i="63238"/>
  <c r="AI59" i="63229"/>
  <c r="AN59" i="63229"/>
  <c r="AJ37" i="63236"/>
  <c r="AS37" i="63238"/>
  <c r="AM37" i="63229"/>
  <c r="AB57" i="63236"/>
  <c r="AI57" i="63238"/>
  <c r="AI57" i="63229"/>
  <c r="AE54" i="63236"/>
  <c r="AL54" i="63238"/>
  <c r="AL54" i="63229"/>
  <c r="AI19" i="63238"/>
  <c r="AB19" i="63236"/>
  <c r="AI19" i="63229"/>
  <c r="AC31" i="63236"/>
  <c r="AJ31" i="63238"/>
  <c r="AJ31" i="63229"/>
  <c r="AN35" i="10541"/>
  <c r="AE34" i="63236"/>
  <c r="AL34" i="63238"/>
  <c r="AL34" i="63229"/>
  <c r="AI29" i="63236"/>
  <c r="AQ29" i="63238"/>
  <c r="AL27" i="63236"/>
  <c r="AW27" i="63238"/>
  <c r="AK51" i="63236"/>
  <c r="AU51" i="63238"/>
  <c r="AN51" i="63229"/>
  <c r="AC35" i="63236"/>
  <c r="AJ35" i="63238"/>
  <c r="AJ35" i="63229"/>
  <c r="AN39" i="10541"/>
  <c r="AL31" i="63236"/>
  <c r="AW31" i="63238"/>
  <c r="AB60" i="63236"/>
  <c r="AI60" i="63238"/>
  <c r="AI60" i="63229"/>
  <c r="AL11" i="63236"/>
  <c r="AW11" i="63238"/>
  <c r="T28" i="63236"/>
  <c r="AA28" i="63238"/>
  <c r="AC28" i="63229"/>
  <c r="U28" i="63236"/>
  <c r="AB28" i="63238"/>
  <c r="AB54" i="63236"/>
  <c r="AI54" i="63238"/>
  <c r="AI54" i="63229"/>
  <c r="Z65" i="63230"/>
  <c r="AA65" i="63230"/>
  <c r="W65" i="63230"/>
  <c r="X65" i="63230"/>
  <c r="AF65" i="63230"/>
  <c r="AG65" i="63230"/>
  <c r="AI65" i="63230"/>
  <c r="AJ65" i="63230"/>
  <c r="AC65" i="63230"/>
  <c r="AD65" i="63230"/>
  <c r="AN50" i="63229"/>
  <c r="AC28" i="63236"/>
  <c r="AJ28" i="63238"/>
  <c r="AJ28" i="63229"/>
  <c r="AN32" i="10541"/>
  <c r="AJ35" i="63236"/>
  <c r="AS35" i="63238"/>
  <c r="AM35" i="63229"/>
  <c r="AN51" i="63236"/>
  <c r="AZ51" i="63238"/>
  <c r="AJ31" i="63236"/>
  <c r="AS31" i="63238"/>
  <c r="AM31" i="63229"/>
  <c r="AI19" i="63236"/>
  <c r="AQ19" i="63238"/>
  <c r="AL54" i="63236"/>
  <c r="AW54" i="63238"/>
  <c r="AI57" i="63236"/>
  <c r="AQ57" i="63238"/>
  <c r="AM37" i="63236"/>
  <c r="AY37" i="63238"/>
  <c r="AN38" i="63236"/>
  <c r="AZ38" i="63238"/>
  <c r="AL18" i="63236"/>
  <c r="AW18" i="63238"/>
  <c r="AN35" i="63236"/>
  <c r="AZ35" i="63238"/>
  <c r="AK17" i="63236"/>
  <c r="AU17" i="63238"/>
  <c r="AN17" i="63229"/>
  <c r="AN50" i="63236"/>
  <c r="AZ50" i="63238"/>
  <c r="AI60" i="63236"/>
  <c r="AQ60" i="63238"/>
  <c r="AI55" i="63236"/>
  <c r="AQ55" i="63238"/>
  <c r="AI36" i="63236"/>
  <c r="AQ36" i="63238"/>
  <c r="AN55" i="63229"/>
  <c r="AK7" i="63236"/>
  <c r="AU7" i="63238"/>
  <c r="AN7" i="63229"/>
  <c r="AN42" i="63236"/>
  <c r="AZ42" i="63238"/>
  <c r="AE58" i="63236"/>
  <c r="AL58" i="63238"/>
  <c r="AL58" i="63229"/>
  <c r="AJ27" i="63236"/>
  <c r="AS27" i="63238"/>
  <c r="AM27" i="63229"/>
  <c r="AL7" i="63236"/>
  <c r="AW7" i="63238"/>
  <c r="AE28" i="63236"/>
  <c r="AL28" i="63238"/>
  <c r="AL28" i="63229"/>
  <c r="AE42" i="63236"/>
  <c r="AL42" i="63238"/>
  <c r="AL42" i="63229"/>
  <c r="AK52" i="63236"/>
  <c r="AU52" i="63238"/>
  <c r="AN52" i="63229"/>
  <c r="AN27" i="63236"/>
  <c r="AZ27" i="63238"/>
  <c r="AO44" i="63238"/>
  <c r="AH44" i="63236"/>
  <c r="AK19" i="63236"/>
  <c r="AU19" i="63238"/>
  <c r="AN19" i="63229"/>
  <c r="AM9" i="63236"/>
  <c r="AY9" i="63238"/>
  <c r="AM7" i="63236"/>
  <c r="AY7" i="63238"/>
  <c r="AN34" i="63236"/>
  <c r="AZ34" i="63238"/>
  <c r="AL38" i="63236"/>
  <c r="AW38" i="63238"/>
  <c r="AM32" i="63236"/>
  <c r="AY32" i="63238"/>
  <c r="AH59" i="63236"/>
  <c r="AO59" i="63238"/>
  <c r="AL52" i="63236"/>
  <c r="AW52" i="63238"/>
  <c r="AN13" i="63236"/>
  <c r="AZ13" i="63238"/>
  <c r="AE6" i="63236"/>
  <c r="AL6" i="63238"/>
  <c r="AL6" i="63229"/>
  <c r="AA28" i="63236"/>
  <c r="AH28" i="63238"/>
  <c r="AH28" i="63229"/>
  <c r="AJ43" i="63236"/>
  <c r="AS43" i="63238"/>
  <c r="AM43" i="63229"/>
  <c r="AN41" i="63236"/>
  <c r="AZ41" i="63238"/>
  <c r="AH54" i="63236"/>
  <c r="AO54" i="63238"/>
  <c r="AH20" i="63236"/>
  <c r="AO20" i="63238"/>
  <c r="AI54" i="63236"/>
  <c r="AQ54" i="63238"/>
  <c r="AI20" i="63236"/>
  <c r="AQ20" i="63238"/>
  <c r="AI17" i="63236"/>
  <c r="AQ17" i="63238"/>
  <c r="AE48" i="63236"/>
  <c r="AL48" i="63238"/>
  <c r="AL48" i="63229"/>
  <c r="AI41" i="63236"/>
  <c r="AQ41" i="63238"/>
  <c r="AH32" i="63236"/>
  <c r="AO32" i="63238"/>
  <c r="AI40" i="63236"/>
  <c r="AQ40" i="63238"/>
  <c r="AL32" i="63236"/>
  <c r="AW32" i="63238"/>
  <c r="AB58" i="63236"/>
  <c r="AI58" i="63238"/>
  <c r="AI58" i="63229"/>
  <c r="AI56" i="63236"/>
  <c r="AQ56" i="63238"/>
  <c r="AJ13" i="63236"/>
  <c r="AS13" i="63238"/>
  <c r="AM13" i="63229"/>
  <c r="AH55" i="63236"/>
  <c r="AO55" i="63238"/>
  <c r="AH57" i="63236"/>
  <c r="AO57" i="63238"/>
  <c r="AD58" i="63236"/>
  <c r="AK58" i="63238"/>
  <c r="AK58" i="63229"/>
  <c r="AO65" i="10541"/>
  <c r="AN60" i="63229"/>
  <c r="AJ60" i="63236"/>
  <c r="AS60" i="63238"/>
  <c r="AM60" i="63229"/>
  <c r="AH56" i="63236"/>
  <c r="AO56" i="63238"/>
  <c r="AH18" i="63236"/>
  <c r="AO18" i="63238"/>
  <c r="AJ17" i="63236"/>
  <c r="AS17" i="63238"/>
  <c r="AM17" i="63229"/>
  <c r="AO40" i="63238"/>
  <c r="AH40" i="63236"/>
  <c r="AQ42" i="63238"/>
  <c r="AI42" i="63236"/>
  <c r="AM54" i="63229"/>
  <c r="AB48" i="63236"/>
  <c r="AI48" i="63238"/>
  <c r="AI48" i="63229"/>
  <c r="AJ14" i="63236"/>
  <c r="AS14" i="63238"/>
  <c r="AM14" i="63229"/>
  <c r="AN29" i="63236"/>
  <c r="AZ29" i="63238"/>
  <c r="AN59" i="63236"/>
  <c r="AZ59" i="63238"/>
  <c r="AB6" i="63236"/>
  <c r="AI6" i="63238"/>
  <c r="AI6" i="63229"/>
  <c r="AL19" i="63236"/>
  <c r="AW19" i="63238"/>
  <c r="AA6" i="63236"/>
  <c r="AH6" i="63238"/>
  <c r="AH6" i="63229"/>
  <c r="AI52" i="63236"/>
  <c r="AQ52" i="63238"/>
  <c r="AM11" i="63236"/>
  <c r="AY11" i="63238"/>
  <c r="AH17" i="63236"/>
  <c r="AO17" i="63238"/>
  <c r="AD28" i="63236"/>
  <c r="AK28" i="63238"/>
  <c r="AK28" i="63229"/>
  <c r="AO32" i="10541"/>
  <c r="AJ56" i="63236"/>
  <c r="AS56" i="63238"/>
  <c r="AM56" i="63229"/>
  <c r="AI18" i="63236"/>
  <c r="AQ18" i="63238"/>
  <c r="AL59" i="63236"/>
  <c r="AW59" i="63238"/>
  <c r="AM50" i="63236"/>
  <c r="AY50" i="63238"/>
  <c r="AK54" i="63236"/>
  <c r="AU54" i="63238"/>
  <c r="AN54" i="63229"/>
  <c r="AL34" i="63236"/>
  <c r="AW34" i="63238"/>
  <c r="AI59" i="63236"/>
  <c r="AQ59" i="63238"/>
  <c r="AM57" i="63229"/>
  <c r="AH19" i="63236"/>
  <c r="AO19" i="63238"/>
  <c r="AN43" i="63236"/>
  <c r="AZ43" i="63238"/>
  <c r="AM15" i="63236"/>
  <c r="AY15" i="63238"/>
  <c r="AK36" i="63236"/>
  <c r="AU36" i="63238"/>
  <c r="AN36" i="63229"/>
  <c r="AM40" i="63229"/>
  <c r="AO36" i="63238"/>
  <c r="AH36" i="63236"/>
  <c r="AM30" i="63236"/>
  <c r="AY30" i="63238"/>
  <c r="AM49" i="63236"/>
  <c r="AY49" i="63238"/>
  <c r="AA48" i="63236"/>
  <c r="AH48" i="63229"/>
  <c r="AH48" i="63238"/>
  <c r="AJ51" i="63236"/>
  <c r="AS51" i="63238"/>
  <c r="AM51" i="63229"/>
  <c r="AN40" i="63229"/>
  <c r="AJ6" i="63236"/>
  <c r="AS6" i="63238"/>
  <c r="AM6" i="63229"/>
  <c r="AH7" i="63236"/>
  <c r="AO7" i="63238"/>
  <c r="AL55" i="63236"/>
  <c r="AW55" i="63238"/>
  <c r="AN44" i="63236"/>
  <c r="AZ44" i="63238"/>
  <c r="AK56" i="63236"/>
  <c r="AU56" i="63238"/>
  <c r="AN56" i="63229"/>
  <c r="AN37" i="63236"/>
  <c r="AZ37" i="63238"/>
  <c r="AJ52" i="63236"/>
  <c r="AM52" i="63229"/>
  <c r="AS52" i="63238"/>
  <c r="AJ44" i="63236"/>
  <c r="AS44" i="63238"/>
  <c r="AM44" i="63229"/>
  <c r="AM38" i="63236"/>
  <c r="AY38" i="63238"/>
  <c r="AJ39" i="63236"/>
  <c r="AS39" i="63238"/>
  <c r="AM39" i="63229"/>
  <c r="AC48" i="63236"/>
  <c r="AJ48" i="63238"/>
  <c r="AJ48" i="63229"/>
  <c r="AN55" i="10541"/>
  <c r="AJ10" i="63236"/>
  <c r="AS10" i="63238"/>
  <c r="AM10" i="63229"/>
  <c r="AM53" i="63236"/>
  <c r="AY53" i="63238"/>
  <c r="AL44" i="63236"/>
  <c r="AW44" i="63238"/>
  <c r="AN14" i="63236"/>
  <c r="AZ14" i="63238"/>
  <c r="AH52" i="63236"/>
  <c r="AO52" i="63238"/>
  <c r="AK57" i="63236"/>
  <c r="AU57" i="63238"/>
  <c r="AN57" i="63229"/>
  <c r="AH50" i="63236"/>
  <c r="AO50" i="63238"/>
  <c r="AM33" i="63236"/>
  <c r="AY33" i="63238"/>
  <c r="AI50" i="63236"/>
  <c r="AQ50" i="63238"/>
  <c r="AA58" i="63236"/>
  <c r="AH58" i="63238"/>
  <c r="AH58" i="63229"/>
  <c r="AH60" i="63236"/>
  <c r="AO60" i="63238"/>
  <c r="AM42" i="63229"/>
  <c r="AI7" i="63236"/>
  <c r="AQ7" i="63238"/>
  <c r="AM34" i="63236"/>
  <c r="AY34" i="63238"/>
  <c r="AM59" i="63229"/>
  <c r="AL60" i="63236"/>
  <c r="AW60" i="63238"/>
  <c r="AM16" i="63236"/>
  <c r="AY16" i="63238"/>
  <c r="AJ8" i="63236"/>
  <c r="AS8" i="63238"/>
  <c r="AM8" i="63229"/>
  <c r="AC58" i="63236"/>
  <c r="AJ58" i="63238"/>
  <c r="AJ58" i="63229"/>
  <c r="AN65" i="10541"/>
  <c r="AD48" i="63236"/>
  <c r="AK48" i="63238"/>
  <c r="AK48" i="63229"/>
  <c r="AO55" i="10541"/>
  <c r="AL43" i="63236"/>
  <c r="AW43" i="63238"/>
  <c r="AL17" i="63236"/>
  <c r="AW17" i="63238"/>
  <c r="AH42" i="63236"/>
  <c r="AO42" i="63238"/>
  <c r="AJ19" i="63236"/>
  <c r="AS19" i="63238"/>
  <c r="AM19" i="63229"/>
  <c r="AN32" i="63236"/>
  <c r="AZ32" i="63238"/>
  <c r="AI28" i="63238"/>
  <c r="AB28" i="63236"/>
  <c r="AI28" i="63229"/>
  <c r="AN33" i="63236"/>
  <c r="AZ33" i="63238"/>
  <c r="AJ36" i="63236"/>
  <c r="AS36" i="63238"/>
  <c r="AM36" i="63229"/>
  <c r="AI44" i="63236"/>
  <c r="AQ44" i="63238"/>
  <c r="AH41" i="63236"/>
  <c r="AO41" i="63238"/>
  <c r="AN39" i="63236"/>
  <c r="AZ39" i="63238"/>
  <c r="AM41" i="63229"/>
  <c r="AJ55" i="63236"/>
  <c r="AS55" i="63238"/>
  <c r="AM55" i="63229"/>
  <c r="AI32" i="63236"/>
  <c r="AQ32" i="63238"/>
  <c r="AY29" i="63238"/>
  <c r="AM29" i="63236"/>
  <c r="AD6" i="63236"/>
  <c r="AK6" i="63238"/>
  <c r="AK6" i="63229"/>
  <c r="AO7" i="10541"/>
  <c r="AM36" i="63236"/>
  <c r="AY36" i="63238"/>
  <c r="AM6" i="63236"/>
  <c r="AY6" i="63238"/>
  <c r="AH48" i="63236"/>
  <c r="AO48" i="63238"/>
  <c r="AM54" i="63236"/>
  <c r="AY54" i="63238"/>
  <c r="AN52" i="63236"/>
  <c r="AZ52" i="63238"/>
  <c r="AY35" i="63238"/>
  <c r="AM35" i="63236"/>
  <c r="AI28" i="63236"/>
  <c r="AQ28" i="63238"/>
  <c r="AK48" i="63236"/>
  <c r="AU48" i="63238"/>
  <c r="AN48" i="63229"/>
  <c r="AM59" i="63236"/>
  <c r="AY59" i="63238"/>
  <c r="AH58" i="63236"/>
  <c r="AO58" i="63238"/>
  <c r="AM40" i="63236"/>
  <c r="AY40" i="63238"/>
  <c r="AM56" i="63236"/>
  <c r="AY56" i="63238"/>
  <c r="AM17" i="63236"/>
  <c r="AY17" i="63238"/>
  <c r="AM13" i="63236"/>
  <c r="AY13" i="63238"/>
  <c r="AM27" i="63236"/>
  <c r="AY27" i="63238"/>
  <c r="AM51" i="63236"/>
  <c r="AY51" i="63238"/>
  <c r="AN54" i="63236"/>
  <c r="AZ54" i="63238"/>
  <c r="AI48" i="63236"/>
  <c r="AQ48" i="63238"/>
  <c r="AM60" i="63236"/>
  <c r="AY60" i="63238"/>
  <c r="AL58" i="63236"/>
  <c r="AW58" i="63238"/>
  <c r="AJ28" i="63236"/>
  <c r="AS28" i="63238"/>
  <c r="AM28" i="63229"/>
  <c r="AM41" i="63236"/>
  <c r="AY41" i="63238"/>
  <c r="AK28" i="63236"/>
  <c r="AU28" i="63238"/>
  <c r="AN28" i="63229"/>
  <c r="AI6" i="63236"/>
  <c r="AQ6" i="63238"/>
  <c r="AM14" i="63236"/>
  <c r="AY14" i="63238"/>
  <c r="AK58" i="63236"/>
  <c r="AU58" i="63238"/>
  <c r="AN58" i="63229"/>
  <c r="AH28" i="63236"/>
  <c r="AO28" i="63238"/>
  <c r="AL6" i="63236"/>
  <c r="AW6" i="63238"/>
  <c r="AN19" i="63236"/>
  <c r="AZ19" i="63238"/>
  <c r="AN55" i="63236"/>
  <c r="AZ55" i="63238"/>
  <c r="AK6" i="63236"/>
  <c r="AU6" i="63238"/>
  <c r="AN6" i="63229"/>
  <c r="AM55" i="63236"/>
  <c r="AY55" i="63238"/>
  <c r="AJ58" i="63236"/>
  <c r="AS58" i="63238"/>
  <c r="AM58" i="63229"/>
  <c r="AM8" i="63236"/>
  <c r="AY8" i="63238"/>
  <c r="AM42" i="63236"/>
  <c r="AY42" i="63238"/>
  <c r="AM10" i="63236"/>
  <c r="AY10" i="63238"/>
  <c r="AJ48" i="63236"/>
  <c r="AS48" i="63238"/>
  <c r="AM48" i="63229"/>
  <c r="AY39" i="63238"/>
  <c r="AM39" i="63236"/>
  <c r="AN36" i="63236"/>
  <c r="AZ36" i="63238"/>
  <c r="AI58" i="63236"/>
  <c r="AQ58" i="63238"/>
  <c r="AL48" i="63236"/>
  <c r="AW48" i="63238"/>
  <c r="AY43" i="63238"/>
  <c r="AM43" i="63236"/>
  <c r="AN7" i="63236"/>
  <c r="AZ7" i="63238"/>
  <c r="AN17" i="63236"/>
  <c r="AZ17" i="63238"/>
  <c r="AM19" i="63236"/>
  <c r="AY19" i="63238"/>
  <c r="AN57" i="63236"/>
  <c r="AZ57" i="63238"/>
  <c r="AM44" i="63236"/>
  <c r="AY44" i="63238"/>
  <c r="AM52" i="63236"/>
  <c r="AY52" i="63238"/>
  <c r="AN56" i="63236"/>
  <c r="AZ56" i="63238"/>
  <c r="AN40" i="63236"/>
  <c r="AZ40" i="63238"/>
  <c r="AY57" i="63238"/>
  <c r="AM57" i="63236"/>
  <c r="AH6" i="63236"/>
  <c r="AO6" i="63238"/>
  <c r="AN60" i="63236"/>
  <c r="AZ60" i="63238"/>
  <c r="AL42" i="63236"/>
  <c r="AW42" i="63238"/>
  <c r="AL28" i="63236"/>
  <c r="AW28" i="63238"/>
  <c r="AM31" i="63236"/>
  <c r="AY31" i="63238"/>
  <c r="AM58" i="63236"/>
  <c r="AY58" i="63238"/>
  <c r="AN58" i="63236"/>
  <c r="AZ58" i="63238"/>
  <c r="AM28" i="63236"/>
  <c r="AY28" i="63238"/>
  <c r="AN6" i="63236"/>
  <c r="AZ6" i="63238"/>
  <c r="AY48" i="63238"/>
  <c r="AM48" i="63236"/>
  <c r="AN28" i="63236"/>
  <c r="AZ28" i="63238"/>
  <c r="AN48" i="63236"/>
  <c r="AZ48" i="6323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Diana Davies</author>
  </authors>
  <commentList>
    <comment ref="C69" authorId="0" shapeId="0" xr:uid="{00000000-0006-0000-0000-000001000000}">
      <text>
        <r>
          <rPr>
            <b/>
            <sz val="9"/>
            <color indexed="81"/>
            <rFont val="Calibri"/>
            <family val="2"/>
          </rPr>
          <t>Diana Davies:</t>
        </r>
        <r>
          <rPr>
            <sz val="9"/>
            <color indexed="81"/>
            <rFont val="Calibri"/>
            <family val="2"/>
          </rPr>
          <t xml:space="preserve">
IUPAC method and </t>
        </r>
      </text>
    </comment>
    <comment ref="C81" authorId="0" shapeId="0" xr:uid="{00000000-0006-0000-0000-000002000000}">
      <text>
        <r>
          <rPr>
            <b/>
            <sz val="9"/>
            <color indexed="81"/>
            <rFont val="Calibri"/>
            <family val="2"/>
          </rPr>
          <t>Diana Davies:</t>
        </r>
        <r>
          <rPr>
            <sz val="9"/>
            <color indexed="81"/>
            <rFont val="Calibri"/>
            <family val="2"/>
          </rPr>
          <t xml:space="preserve">
IUPAC method and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Davies, Di (CMAR, Hobart)</author>
  </authors>
  <commentList>
    <comment ref="D2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Davies, Di (CMAR, Hobart):</t>
        </r>
        <r>
          <rPr>
            <sz val="8"/>
            <color indexed="81"/>
            <rFont val="Tahoma"/>
            <family val="2"/>
          </rPr>
          <t xml:space="preserve">
Measured on Mettler balance only accurate to 0.01 mg. Formatted as ug to make consistent with rest of data</t>
        </r>
      </text>
    </comment>
  </commentList>
</comments>
</file>

<file path=xl/sharedStrings.xml><?xml version="1.0" encoding="utf-8"?>
<sst xmlns="http://schemas.openxmlformats.org/spreadsheetml/2006/main" count="7878" uniqueCount="3304">
  <si>
    <t>250 jars</t>
  </si>
  <si>
    <t>normalised</t>
  </si>
  <si>
    <t>UTC</t>
  </si>
  <si>
    <t>open</t>
  </si>
  <si>
    <t xml:space="preserve">date </t>
  </si>
  <si>
    <t>RH</t>
  </si>
  <si>
    <t>temp</t>
  </si>
  <si>
    <t>filt</t>
  </si>
  <si>
    <t>filt+sed</t>
  </si>
  <si>
    <t>dC</t>
  </si>
  <si>
    <t>frac</t>
  </si>
  <si>
    <t>start</t>
  </si>
  <si>
    <t>end</t>
  </si>
  <si>
    <t>weigh</t>
  </si>
  <si>
    <t>date</t>
  </si>
  <si>
    <t>cup</t>
  </si>
  <si>
    <t>&gt;1mm</t>
  </si>
  <si>
    <t>Trap</t>
  </si>
  <si>
    <t>sieved</t>
  </si>
  <si>
    <t>nuts</t>
  </si>
  <si>
    <t>10ml</t>
  </si>
  <si>
    <t># jars</t>
  </si>
  <si>
    <t>&lt;1mm</t>
  </si>
  <si>
    <t>dry</t>
  </si>
  <si>
    <t>#</t>
  </si>
  <si>
    <t>10/10</t>
  </si>
  <si>
    <t>filters</t>
  </si>
  <si>
    <t>powder</t>
  </si>
  <si>
    <t>jar of</t>
  </si>
  <si>
    <t>Height</t>
  </si>
  <si>
    <t>pH</t>
  </si>
  <si>
    <t>Sal</t>
  </si>
  <si>
    <t>Time</t>
  </si>
  <si>
    <t>Dates</t>
  </si>
  <si>
    <t>Comments</t>
  </si>
  <si>
    <t/>
  </si>
  <si>
    <t>pics</t>
  </si>
  <si>
    <t>stored filt</t>
  </si>
  <si>
    <t>=height / 0.5m2 / open_time</t>
  </si>
  <si>
    <t>Cup open</t>
  </si>
  <si>
    <t>Cup close</t>
  </si>
  <si>
    <t>midpoint</t>
  </si>
  <si>
    <t>mg</t>
  </si>
  <si>
    <t>mg/m2/day</t>
  </si>
  <si>
    <t>g/m2/yr</t>
  </si>
  <si>
    <t>%</t>
  </si>
  <si>
    <t>mm</t>
  </si>
  <si>
    <t>mm/m2/day</t>
  </si>
  <si>
    <t>psu</t>
  </si>
  <si>
    <t>days</t>
  </si>
  <si>
    <t>Deployment</t>
  </si>
  <si>
    <t>Filt</t>
  </si>
  <si>
    <t>mass</t>
  </si>
  <si>
    <t>mg/cup</t>
  </si>
  <si>
    <t>Position</t>
  </si>
  <si>
    <t>Cup</t>
  </si>
  <si>
    <t>sed mass</t>
  </si>
  <si>
    <t>Mass flux</t>
  </si>
  <si>
    <t>Pickup</t>
  </si>
  <si>
    <t>Year</t>
  </si>
  <si>
    <t>COUNT</t>
  </si>
  <si>
    <t>cup #</t>
  </si>
  <si>
    <t>trap</t>
  </si>
  <si>
    <t># total Sn cups</t>
  </si>
  <si>
    <t>sheet</t>
  </si>
  <si>
    <t>comments</t>
  </si>
  <si>
    <t>cup exist</t>
  </si>
  <si>
    <t>SUM from subtotals</t>
  </si>
  <si>
    <t>COUNT from data (as a check)</t>
  </si>
  <si>
    <t>= cup_mass/area/time_open</t>
  </si>
  <si>
    <t>comments2</t>
  </si>
  <si>
    <t>exist</t>
  </si>
  <si>
    <t>Analyst</t>
  </si>
  <si>
    <t>Comment</t>
  </si>
  <si>
    <t>sal</t>
  </si>
  <si>
    <t>Cup exist</t>
  </si>
  <si>
    <t>C%</t>
  </si>
  <si>
    <t>H%</t>
  </si>
  <si>
    <t>N%</t>
  </si>
  <si>
    <t>45_1050</t>
  </si>
  <si>
    <t>5mm diam</t>
  </si>
  <si>
    <t>%  BSi</t>
  </si>
  <si>
    <t>Amt Si</t>
  </si>
  <si>
    <t>CT vol</t>
  </si>
  <si>
    <t>Vol xfer</t>
  </si>
  <si>
    <t>DF</t>
  </si>
  <si>
    <t>Amt Si in</t>
  </si>
  <si>
    <t>Vol</t>
  </si>
  <si>
    <t xml:space="preserve">conc Si in </t>
  </si>
  <si>
    <t>in CT (5/5)</t>
  </si>
  <si>
    <t>(digest)</t>
  </si>
  <si>
    <t>from CT</t>
  </si>
  <si>
    <t>nut tube</t>
  </si>
  <si>
    <t>n=m/MM</t>
  </si>
  <si>
    <t>to nut tube</t>
  </si>
  <si>
    <t>n=conc*V</t>
  </si>
  <si>
    <t>conc=n/V</t>
  </si>
  <si>
    <t>umol</t>
  </si>
  <si>
    <t>mL</t>
  </si>
  <si>
    <t>uL REF only</t>
  </si>
  <si>
    <t>uM</t>
  </si>
  <si>
    <t># punches</t>
  </si>
  <si>
    <t>Look at conc from 1 punch and 4mL xfer</t>
  </si>
  <si>
    <t>silica into nut tubes. aim: 1mg will do, try 2-3 mg if enough</t>
  </si>
  <si>
    <t>test</t>
  </si>
  <si>
    <t>ALL samps</t>
  </si>
  <si>
    <t>BSi</t>
  </si>
  <si>
    <t>mass 1 punch</t>
  </si>
  <si>
    <t>Samples contain ~0.5% Hg, most probably as HgCl2, but potentially in other forms.</t>
  </si>
  <si>
    <t>47_2000</t>
  </si>
  <si>
    <t>47_3800</t>
  </si>
  <si>
    <t>47_1000</t>
  </si>
  <si>
    <t>McLane</t>
  </si>
  <si>
    <t>Filter used</t>
  </si>
  <si>
    <t>100ml</t>
  </si>
  <si>
    <t>47_1050_IRS</t>
  </si>
  <si>
    <t>replicate</t>
  </si>
  <si>
    <t>diff</t>
  </si>
  <si>
    <t>47_3900</t>
  </si>
  <si>
    <t>time unit</t>
  </si>
  <si>
    <t>SUM Mclane from subs</t>
  </si>
  <si>
    <t>TMF</t>
  </si>
  <si>
    <t>eg FSW batch</t>
  </si>
  <si>
    <t>cumulative</t>
  </si>
  <si>
    <t>at open event</t>
  </si>
  <si>
    <t>under funnel</t>
  </si>
  <si>
    <t>Filter</t>
  </si>
  <si>
    <t>Who</t>
  </si>
  <si>
    <t>sn</t>
  </si>
  <si>
    <t>sed</t>
  </si>
  <si>
    <t>at END event</t>
  </si>
  <si>
    <t>area</t>
  </si>
  <si>
    <t>m2</t>
  </si>
  <si>
    <t>good cups</t>
  </si>
  <si>
    <t>good</t>
  </si>
  <si>
    <t>mass/trap</t>
  </si>
  <si>
    <t>time open</t>
  </si>
  <si>
    <t>mass flux</t>
  </si>
  <si>
    <t>% of year</t>
  </si>
  <si>
    <t>days missing</t>
  </si>
  <si>
    <t>release triggered:</t>
  </si>
  <si>
    <t>local</t>
  </si>
  <si>
    <t>AEST = UTC +10</t>
  </si>
  <si>
    <t>AEDS = UTC + 11</t>
  </si>
  <si>
    <t>recovery op</t>
  </si>
  <si>
    <t>rec finish</t>
  </si>
  <si>
    <t>hours</t>
  </si>
  <si>
    <t>7/10</t>
  </si>
  <si>
    <t>raw</t>
  </si>
  <si>
    <t>jars</t>
  </si>
  <si>
    <t>digest date</t>
  </si>
  <si>
    <t>digest #</t>
  </si>
  <si>
    <t>yymmdd</t>
  </si>
  <si>
    <t>samp</t>
  </si>
  <si>
    <t>comment</t>
  </si>
  <si>
    <t>weighed</t>
  </si>
  <si>
    <t>who</t>
  </si>
  <si>
    <t>proportion</t>
  </si>
  <si>
    <t>BSiO2</t>
  </si>
  <si>
    <t>% w/w</t>
  </si>
  <si>
    <t>rep</t>
  </si>
  <si>
    <t>Sterilitech polycarb 0.4um 47mm</t>
  </si>
  <si>
    <t>pct0447100</t>
  </si>
  <si>
    <t>all 21 cups collected, 21 open on recovery</t>
  </si>
  <si>
    <t>A1</t>
  </si>
  <si>
    <t>two filters</t>
  </si>
  <si>
    <t>sed 10/10</t>
  </si>
  <si>
    <t>sed 1/10</t>
  </si>
  <si>
    <t>Sample</t>
  </si>
  <si>
    <t>type</t>
  </si>
  <si>
    <t>Sample Mass</t>
  </si>
  <si>
    <t>Sample ID</t>
  </si>
  <si>
    <t>Date weighed</t>
  </si>
  <si>
    <t>Person</t>
  </si>
  <si>
    <t>year</t>
  </si>
  <si>
    <t>47-1000</t>
  </si>
  <si>
    <t>Sn cups, Elemental Microanalysis PN D1008, 8x5mm supplied as preferred by CSL.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</si>
  <si>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</si>
  <si>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</si>
  <si>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</si>
  <si>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</si>
  <si>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</si>
  <si>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</si>
  <si>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</si>
  <si>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</si>
  <si>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</si>
  <si>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</si>
  <si>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</si>
  <si>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</si>
  <si>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</si>
  <si>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</si>
  <si>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</si>
  <si>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</si>
  <si>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</si>
  <si>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</si>
  <si>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</si>
  <si>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</si>
  <si>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</si>
  <si>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</si>
  <si>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</si>
  <si>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EA capsule only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</si>
  <si>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</si>
  <si>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</si>
  <si>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</si>
  <si>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</si>
  <si>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</si>
  <si>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</si>
  <si>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</si>
  <si>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</si>
  <si>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</si>
  <si>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</si>
  <si>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</si>
  <si>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</si>
  <si>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</si>
  <si>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</si>
  <si>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</si>
  <si>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</si>
  <si>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</si>
  <si>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</si>
  <si>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</si>
  <si>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</si>
  <si>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</si>
  <si>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</si>
  <si>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</si>
  <si>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</si>
  <si>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47-2000</t>
  </si>
  <si>
    <t>PACS-2</t>
  </si>
  <si>
    <t>E1</t>
  </si>
  <si>
    <t>E2</t>
  </si>
  <si>
    <t>E3</t>
  </si>
  <si>
    <t>E4</t>
  </si>
  <si>
    <t>E5</t>
  </si>
  <si>
    <t>E6</t>
  </si>
  <si>
    <t>E7</t>
  </si>
  <si>
    <t>E8</t>
  </si>
  <si>
    <t>96 well#</t>
  </si>
  <si>
    <t>sample</t>
  </si>
  <si>
    <t>UMX2 microbalance and antistatic:  aim for samples 2.5mg, (2.5 to 3mg) but not less due to low nitrogen</t>
  </si>
  <si>
    <t>Samples contain ~0.5% Hg w/w, originally as HgCl2, but potentially bound in other forms.</t>
  </si>
  <si>
    <t>47-3800</t>
  </si>
  <si>
    <t>Balance used :UMX2 ex Donna</t>
  </si>
  <si>
    <t>powder CRM</t>
  </si>
  <si>
    <t xml:space="preserve"> mean</t>
  </si>
  <si>
    <t>median</t>
  </si>
  <si>
    <t>filter in vial</t>
  </si>
  <si>
    <t>total</t>
  </si>
  <si>
    <t>&gt;1mm photos:</t>
  </si>
  <si>
    <t>when there are salp pellets, it seems better to take the photo before forcing them through the sieve, good record without duplication.</t>
  </si>
  <si>
    <t>Salp feacal pellet sinking velocity range 320 to 2238 m d-1 for three species. C/N 11.4.</t>
  </si>
  <si>
    <t>Madin, L.P. Mar. Biol. (1982) 67: 39. doi:10.1007/BF00397092</t>
  </si>
  <si>
    <t xml:space="preserve"> HEADER</t>
  </si>
  <si>
    <t xml:space="preserve"> ______</t>
  </si>
  <si>
    <t xml:space="preserve"> SCHEDULE</t>
  </si>
  <si>
    <t xml:space="preserve"> ________</t>
  </si>
  <si>
    <t xml:space="preserve"> DEPLOYMENT DATA</t>
  </si>
  <si>
    <t xml:space="preserve"> _______________</t>
  </si>
  <si>
    <t xml:space="preserve"> Event 01</t>
  </si>
  <si>
    <t xml:space="preserve"> Event 02</t>
  </si>
  <si>
    <t xml:space="preserve"> Event 03</t>
  </si>
  <si>
    <t xml:space="preserve"> Event 04</t>
  </si>
  <si>
    <t xml:space="preserve"> Event 05</t>
  </si>
  <si>
    <t xml:space="preserve"> Event 06</t>
  </si>
  <si>
    <t xml:space="preserve"> Event 07</t>
  </si>
  <si>
    <t xml:space="preserve"> Event 08</t>
  </si>
  <si>
    <t xml:space="preserve"> Event 09</t>
  </si>
  <si>
    <t xml:space="preserve"> Event 10</t>
  </si>
  <si>
    <t xml:space="preserve"> Event 11</t>
  </si>
  <si>
    <t xml:space="preserve"> Event 12</t>
  </si>
  <si>
    <t xml:space="preserve"> Event 13</t>
  </si>
  <si>
    <t xml:space="preserve"> Event 14</t>
  </si>
  <si>
    <t xml:space="preserve"> Event 15</t>
  </si>
  <si>
    <t xml:space="preserve"> Event 16</t>
  </si>
  <si>
    <t xml:space="preserve"> Event 17</t>
  </si>
  <si>
    <t xml:space="preserve"> Event 18</t>
  </si>
  <si>
    <t xml:space="preserve"> Event 19</t>
  </si>
  <si>
    <t xml:space="preserve"> Event 20</t>
  </si>
  <si>
    <t xml:space="preserve"> Event 21</t>
  </si>
  <si>
    <t>LOGS</t>
  </si>
  <si>
    <t xml:space="preserve">         Aligned  Battery  Temperature  Tilt  Heading</t>
  </si>
  <si>
    <t>LINKED</t>
  </si>
  <si>
    <t>NA</t>
  </si>
  <si>
    <t xml:space="preserve">The analysis for total nitrogen, carbon and hydrogen was determined by Dr Thomas Rodemann </t>
  </si>
  <si>
    <t>at the Central Science Laboratory, University of Tasmania, using a Thermo Finnigan EA 1112 Series Flash Elemental Analyser.</t>
  </si>
  <si>
    <t>PC</t>
  </si>
  <si>
    <t>PN</t>
  </si>
  <si>
    <t>%N</t>
  </si>
  <si>
    <t>%Si est</t>
  </si>
  <si>
    <t>depth</t>
  </si>
  <si>
    <t>mg Bsi</t>
  </si>
  <si>
    <t>umol/5mL</t>
  </si>
  <si>
    <t xml:space="preserve">aliquot </t>
  </si>
  <si>
    <t>1mL DT</t>
  </si>
  <si>
    <t>10mL NT</t>
  </si>
  <si>
    <t>uM Si</t>
  </si>
  <si>
    <t>aim 0.112mg</t>
  </si>
  <si>
    <t>digest</t>
  </si>
  <si>
    <t>aim</t>
  </si>
  <si>
    <t>transfer</t>
  </si>
  <si>
    <t>aliquot mL</t>
  </si>
  <si>
    <t xml:space="preserve">weighed </t>
  </si>
  <si>
    <t>tube #</t>
  </si>
  <si>
    <t>CMD-ID</t>
  </si>
  <si>
    <t>Triangulation result (1500 m/s)</t>
  </si>
  <si>
    <t>Depth</t>
  </si>
  <si>
    <t>mass/cup</t>
  </si>
  <si>
    <t>Total</t>
  </si>
  <si>
    <t>CaCO3</t>
  </si>
  <si>
    <t>PIC</t>
  </si>
  <si>
    <t>POC</t>
  </si>
  <si>
    <t>PC_mol_flux</t>
  </si>
  <si>
    <t>PN_mol_flux</t>
  </si>
  <si>
    <t>POC_mol_flux</t>
  </si>
  <si>
    <t>PIC_mol_flux</t>
  </si>
  <si>
    <t>BSi_mol_flux</t>
  </si>
  <si>
    <t>year start</t>
  </si>
  <si>
    <t>nominal</t>
  </si>
  <si>
    <t>cup open</t>
  </si>
  <si>
    <t>cup close</t>
  </si>
  <si>
    <t>1-Jan1900 time origin check</t>
  </si>
  <si>
    <t>cup duration</t>
  </si>
  <si>
    <t>sinking_flux_in_seawater_of_particulate_total_carbon_expressed_as_moles_of_carbon</t>
  </si>
  <si>
    <t>sinking_flux_in_seawater_of_particulate_nitrogen_expressed_as_moles_of_nitrogen</t>
  </si>
  <si>
    <t>sinking_flux_in_seawater_of_particulate_organic_carbon_expressed_as_moles_of_carbon</t>
  </si>
  <si>
    <t>sinking_flux_in_seawater_of_particulate_inorganic_carbon_expressed_as_moles_of_carbon</t>
  </si>
  <si>
    <t>sinking_flux_in_seawater_of_particulate_biogenic_silica_expressed_as_moles_of_silicon</t>
  </si>
  <si>
    <t>actual</t>
  </si>
  <si>
    <t>mol m-2 yr-1</t>
  </si>
  <si>
    <t>m</t>
  </si>
  <si>
    <t>cup mid-point</t>
  </si>
  <si>
    <t>deployment year start</t>
  </si>
  <si>
    <t>site</t>
  </si>
  <si>
    <t>depth_nominal</t>
  </si>
  <si>
    <t>metadata</t>
  </si>
  <si>
    <t>sample open</t>
  </si>
  <si>
    <t>sample close</t>
  </si>
  <si>
    <t>sample mid-point</t>
  </si>
  <si>
    <t>sample_duration</t>
  </si>
  <si>
    <t>mass_flux</t>
  </si>
  <si>
    <t>mass_flux_qc</t>
  </si>
  <si>
    <t>deployment</t>
  </si>
  <si>
    <t>long_name</t>
  </si>
  <si>
    <t>units</t>
  </si>
  <si>
    <t>yyyy:mm:dd hh:mm:ss UTC</t>
  </si>
  <si>
    <t>day</t>
  </si>
  <si>
    <t>comment_method</t>
  </si>
  <si>
    <t>dry wt 60C</t>
  </si>
  <si>
    <t>elemental analyser total carbon</t>
  </si>
  <si>
    <t>elemental analyser total nitrogen</t>
  </si>
  <si>
    <t>comment_sample</t>
  </si>
  <si>
    <t>netcdf QC flag</t>
  </si>
  <si>
    <t>probably good minor malfunction</t>
  </si>
  <si>
    <t>bad potentially correctable</t>
  </si>
  <si>
    <t>bad</t>
  </si>
  <si>
    <t>not used</t>
  </si>
  <si>
    <t>value changed by qc</t>
  </si>
  <si>
    <t>netcdf flag</t>
  </si>
  <si>
    <t>PIC analysis</t>
  </si>
  <si>
    <r>
      <rPr>
        <b/>
        <sz val="12"/>
        <color indexed="8"/>
        <rFont val="Calibri"/>
        <family val="2"/>
      </rPr>
      <t>SAZ18</t>
    </r>
    <r>
      <rPr>
        <sz val="10"/>
        <rFont val="Arial"/>
        <family val="2"/>
      </rPr>
      <t xml:space="preserve"> Refractometer salinity of initial sw=35</t>
    </r>
  </si>
  <si>
    <t>after salts addition refractometer salinity = 42, after 4% diln=</t>
  </si>
  <si>
    <t>required final concentration g/L</t>
  </si>
  <si>
    <t>g wt added to 12L</t>
  </si>
  <si>
    <t>g/L added</t>
  </si>
  <si>
    <t>take out 10mL and add 10mL sat HgCl2 to 250mL cup g/L ie 4% salts</t>
  </si>
  <si>
    <t>check 1L</t>
  </si>
  <si>
    <t>check 20L</t>
  </si>
  <si>
    <t>sodium chloride, NaCl</t>
  </si>
  <si>
    <t>sodium tetraborate,Na2B4O7.10H2O in addition to sw</t>
  </si>
  <si>
    <t>strontium chloride,  SrCl2.6H2O 10x sw</t>
  </si>
  <si>
    <t>mercury chloride,  HgCl2</t>
  </si>
  <si>
    <t>silicate, none due to slow kinetics, low in 47S water</t>
  </si>
  <si>
    <t>none, discussed with Tom</t>
  </si>
  <si>
    <t>assumed no solute increase in volume.</t>
  </si>
  <si>
    <t>Looking for 40g/L NaCl</t>
  </si>
  <si>
    <t>smb:”//fstas1-hba.nexus.csiro.au/CMAR-SHARE4/Groups/Marine Technology and
Equipment/Ocean
Engineering/Moorings/Deepwater/SAZ-18-2016/data/Traps/saz18_photos_1mm”
An individual photo file looks like this: saz18_2016_47_1000_001.jpg
(Deployment_year_lat_depth_cup).</t>
  </si>
  <si>
    <t>Connect to groups and burrow from there, otherwise there is a connection error.</t>
  </si>
  <si>
    <t>Cathryn</t>
  </si>
  <si>
    <t>Sn cups, Elemental Analysis PN D1008, BN236347 8x5mm ex CSL supplied</t>
  </si>
  <si>
    <t>saz18, 2016</t>
  </si>
  <si>
    <t xml:space="preserve"> saz18, 2016</t>
  </si>
  <si>
    <t>recovery IN2017_V02</t>
  </si>
  <si>
    <t>IN2016-V02</t>
  </si>
  <si>
    <t xml:space="preserve"> Event 01 of 22 @ 03/24/2016 00:00:00</t>
  </si>
  <si>
    <t xml:space="preserve"> Event 02 of 22 @ 04/10/2016 00:00:00</t>
  </si>
  <si>
    <t xml:space="preserve"> Event 03 of 22 @ 04/27/2016 00:00:00</t>
  </si>
  <si>
    <t xml:space="preserve"> Event 04 of 22 @ 05/14/2016 00:00:00</t>
  </si>
  <si>
    <t xml:space="preserve"> Event 05 of 22 @ 05/31/2016 00:00:00</t>
  </si>
  <si>
    <t xml:space="preserve"> Event 06 of 22 @ 06/17/2016 00:00:00</t>
  </si>
  <si>
    <t xml:space="preserve"> Event 07 of 22 @ 07/04/2016 00:00:00</t>
  </si>
  <si>
    <t xml:space="preserve"> Event 08 of 22 @ 07/21/2016 00:00:00</t>
  </si>
  <si>
    <t xml:space="preserve"> Event 09 of 22 @ 08/07/2016 00:00:00</t>
  </si>
  <si>
    <t xml:space="preserve"> Event 10 of 22 @ 08/24/2016 00:00:00</t>
  </si>
  <si>
    <t xml:space="preserve"> Event 11 of 22 @ 09/10/2016 00:00:00</t>
  </si>
  <si>
    <t xml:space="preserve"> Event 12 of 22 @ 09/27/2016 00:00:00</t>
  </si>
  <si>
    <t xml:space="preserve"> Event 13 of 22 @ 10/14/2016 00:00:00</t>
  </si>
  <si>
    <t xml:space="preserve"> Event 14 of 22 @ 10/31/2016 00:00:00</t>
  </si>
  <si>
    <t xml:space="preserve"> Event 15 of 22 @ 11/17/2016 00:00:00</t>
  </si>
  <si>
    <t xml:space="preserve"> Event 16 of 22 @ 12/04/2016 00:00:00</t>
  </si>
  <si>
    <t xml:space="preserve"> Event 17 of 22 @ 12/21/2016 00:00:00</t>
  </si>
  <si>
    <t xml:space="preserve"> Event 18 of 22 @ 01/07/2017 00:00:00</t>
  </si>
  <si>
    <t xml:space="preserve"> Event 19 of 22 @ 01/24/2017 00:00:00</t>
  </si>
  <si>
    <t xml:space="preserve"> Event 20 of 22 @ 02/10/2017 00:00:00</t>
  </si>
  <si>
    <t xml:space="preserve"> Event 21 of 22 @ 02/27/2017 00:00:00</t>
  </si>
  <si>
    <t xml:space="preserve"> Event 22 of 22 @ 03/16/2017 00:00:00</t>
  </si>
  <si>
    <t xml:space="preserve"> Scheduled start time:  03/24/2016 00:00:00</t>
  </si>
  <si>
    <t xml:space="preserve"> Event start time:      03/24/2016 00:00:00</t>
  </si>
  <si>
    <t xml:space="preserve"> Event stop time:       03/24/2016 00:00:28</t>
  </si>
  <si>
    <t xml:space="preserve"> Start:     Y       20.3        6.C       3.     97.</t>
  </si>
  <si>
    <t xml:space="preserve"> Stop:      Y       20.0        6.C       2.    100.</t>
  </si>
  <si>
    <t xml:space="preserve"> Scheduled start time:  04/10/2016 00:00:00</t>
  </si>
  <si>
    <t xml:space="preserve"> Event start time:      04/10/2016 00:00:00</t>
  </si>
  <si>
    <t xml:space="preserve"> Event stop time:       04/10/2016 00:00:28</t>
  </si>
  <si>
    <t xml:space="preserve"> Start:     Y       19.9        5.C       3.     55.</t>
  </si>
  <si>
    <t xml:space="preserve"> Stop:      Y       19.6        5.C       2.     51.</t>
  </si>
  <si>
    <t xml:space="preserve"> Scheduled start time:  04/27/2016 00:00:00</t>
  </si>
  <si>
    <t xml:space="preserve"> Event start time:      04/27/2016 00:00:00</t>
  </si>
  <si>
    <t xml:space="preserve"> Event stop time:       04/27/2016 00:00:28</t>
  </si>
  <si>
    <t xml:space="preserve"> Start:     Y       19.6        5.C       4.     54.</t>
  </si>
  <si>
    <t xml:space="preserve"> Stop:      Y       19.3        6.C       4.     52.</t>
  </si>
  <si>
    <t xml:space="preserve"> Scheduled start time:  05/14/2016 00:00:00</t>
  </si>
  <si>
    <t xml:space="preserve"> Event start time:      05/14/2016 00:00:00</t>
  </si>
  <si>
    <t xml:space="preserve"> Event stop time:       05/14/2016 00:00:28</t>
  </si>
  <si>
    <t xml:space="preserve"> Start:     Y       19.3        5.C       3.     77.</t>
  </si>
  <si>
    <t xml:space="preserve"> Stop:      Y       19.0        5.C       3.     91.</t>
  </si>
  <si>
    <t xml:space="preserve"> Scheduled start time:  05/31/2016 00:00:00</t>
  </si>
  <si>
    <t xml:space="preserve"> Event start time:      05/31/2016 00:00:00</t>
  </si>
  <si>
    <t xml:space="preserve"> Event stop time:       05/31/2016 00:00:28</t>
  </si>
  <si>
    <t xml:space="preserve"> Start:     Y       19.0        5.C       3.     92.</t>
  </si>
  <si>
    <t xml:space="preserve"> Stop:      Y       18.7        6.C       3.     93.</t>
  </si>
  <si>
    <t xml:space="preserve"> Scheduled start time:  06/17/2016 00:00:00</t>
  </si>
  <si>
    <t xml:space="preserve"> Event start time:      06/17/2016 00:00:00</t>
  </si>
  <si>
    <t xml:space="preserve"> Event stop time:       06/17/2016 00:00:28</t>
  </si>
  <si>
    <t xml:space="preserve"> Start:     Y       18.9        6.C       2.     11.</t>
  </si>
  <si>
    <t xml:space="preserve"> Stop:      Y       18.6        6.C       2.     13.</t>
  </si>
  <si>
    <t xml:space="preserve"> Scheduled start time:  07/04/2016 00:00:00</t>
  </si>
  <si>
    <t xml:space="preserve"> Event start time:      07/04/2016 00:00:00</t>
  </si>
  <si>
    <t xml:space="preserve"> Event stop time:       07/04/2016 00:00:28</t>
  </si>
  <si>
    <t xml:space="preserve"> Start:     Y       18.7        6.C       2.     67.</t>
  </si>
  <si>
    <t xml:space="preserve"> Stop:      Y       18.4        6.C       2.     62.</t>
  </si>
  <si>
    <t xml:space="preserve"> Scheduled start time:  07/21/2016 00:00:00</t>
  </si>
  <si>
    <t xml:space="preserve"> Event start time:      07/21/2016 00:00:00</t>
  </si>
  <si>
    <t xml:space="preserve"> Event stop time:       07/21/2016 00:00:28</t>
  </si>
  <si>
    <t xml:space="preserve"> Start:     Y       18.5        6.C       2.    324.</t>
  </si>
  <si>
    <t xml:space="preserve"> Stop:      Y       18.1        6.C       3.    328.</t>
  </si>
  <si>
    <t xml:space="preserve"> Scheduled start time:  08/07/2016 00:00:00</t>
  </si>
  <si>
    <t xml:space="preserve"> Event start time:      08/07/2016 00:00:00</t>
  </si>
  <si>
    <t xml:space="preserve"> Event stop time:       08/07/2016 00:00:28</t>
  </si>
  <si>
    <t xml:space="preserve"> Start:     Y       18.2        6.C       2.     20.</t>
  </si>
  <si>
    <t xml:space="preserve"> Stop:      Y       17.9        6.C       2.     18.</t>
  </si>
  <si>
    <t xml:space="preserve"> Scheduled start time:  08/24/2016 00:00:00</t>
  </si>
  <si>
    <t xml:space="preserve"> Event start time:      08/24/2016 00:00:00</t>
  </si>
  <si>
    <t xml:space="preserve"> Event stop time:       08/24/2016 00:00:28</t>
  </si>
  <si>
    <t xml:space="preserve"> Start:     Y       18.1        6.C       3.    104.</t>
  </si>
  <si>
    <t xml:space="preserve"> Stop:      Y       17.7        6.C       2.    109.</t>
  </si>
  <si>
    <t xml:space="preserve"> Scheduled start time:  09/10/2016 00:00:00</t>
  </si>
  <si>
    <t xml:space="preserve"> Event start time:      09/10/2016 00:00:00</t>
  </si>
  <si>
    <t xml:space="preserve"> Event stop time:       09/10/2016 00:00:28</t>
  </si>
  <si>
    <t xml:space="preserve"> Start:     Y       18.0        5.C       3.    321.</t>
  </si>
  <si>
    <t xml:space="preserve"> Stop:      Y       17.7        5.C       2.    326.</t>
  </si>
  <si>
    <t xml:space="preserve"> Scheduled start time:  09/27/2016 00:00:00</t>
  </si>
  <si>
    <t xml:space="preserve"> Event start time:      09/27/2016 00:00:00</t>
  </si>
  <si>
    <t xml:space="preserve"> Event stop time:       09/27/2016 00:00:28</t>
  </si>
  <si>
    <t xml:space="preserve"> Start:     Y       18.0        6.C       3.     65.</t>
  </si>
  <si>
    <t xml:space="preserve"> Stop:      Y       17.6        6.C       2.     67.</t>
  </si>
  <si>
    <t xml:space="preserve"> Scheduled start time:  10/14/2016 00:00:00</t>
  </si>
  <si>
    <t xml:space="preserve"> Event start time:      10/14/2016 00:00:00</t>
  </si>
  <si>
    <t xml:space="preserve"> Event stop time:       10/14/2016 00:00:28</t>
  </si>
  <si>
    <t xml:space="preserve"> Start:     Y       17.8        5.C       3.    201.</t>
  </si>
  <si>
    <t xml:space="preserve"> Stop:      Y       17.5        6.C       2.    203.</t>
  </si>
  <si>
    <t xml:space="preserve"> Scheduled start time:  10/31/2016 00:00:00</t>
  </si>
  <si>
    <t xml:space="preserve"> Event start time:      10/31/2016 00:00:00</t>
  </si>
  <si>
    <t xml:space="preserve"> Event stop time:       10/31/2016 00:00:28</t>
  </si>
  <si>
    <t xml:space="preserve"> Start:     Y       17.7        6.C       2.    346.</t>
  </si>
  <si>
    <t xml:space="preserve"> Stop:      Y       17.4        6.C       2.    347.</t>
  </si>
  <si>
    <t xml:space="preserve"> Scheduled start time:  11/17/2016 00:00:00</t>
  </si>
  <si>
    <t xml:space="preserve"> Event start time:      11/17/2016 00:00:00</t>
  </si>
  <si>
    <t xml:space="preserve"> Event stop time:       11/17/2016 00:00:28</t>
  </si>
  <si>
    <t xml:space="preserve"> Start:     Y       17.6        6.C       2.    302.</t>
  </si>
  <si>
    <t xml:space="preserve"> Stop:      Y       17.3        6.C       2.    301.</t>
  </si>
  <si>
    <t xml:space="preserve"> Scheduled start time:  12/04/2016 00:00:00</t>
  </si>
  <si>
    <t xml:space="preserve"> Event start time:      12/04/2016 00:00:00</t>
  </si>
  <si>
    <t xml:space="preserve"> Event stop time:       12/04/2016 00:00:28</t>
  </si>
  <si>
    <t xml:space="preserve"> Start:     Y       17.5        6.C       3.    327.</t>
  </si>
  <si>
    <t xml:space="preserve"> Stop:      Y       17.1        6.C       3.    325.</t>
  </si>
  <si>
    <t xml:space="preserve"> Scheduled start time:  12/21/2016 00:00:00</t>
  </si>
  <si>
    <t xml:space="preserve"> Event start time:      12/21/2016 00:00:00</t>
  </si>
  <si>
    <t xml:space="preserve"> Event stop time:       12/21/2016 00:00:28</t>
  </si>
  <si>
    <t xml:space="preserve"> Start:     Y       17.3        6.C       3.     82.</t>
  </si>
  <si>
    <t xml:space="preserve"> Stop:      Y       17.0        6.C       2.     87.</t>
  </si>
  <si>
    <t xml:space="preserve"> Scheduled start time:  01/07/2017 00:00:00</t>
  </si>
  <si>
    <t xml:space="preserve"> Event start time:      01/07/2017 00:00:00</t>
  </si>
  <si>
    <t xml:space="preserve"> Event stop time:       01/07/2017 00:00:28</t>
  </si>
  <si>
    <t xml:space="preserve"> Start:     Y       17.2        6.C       3.    291.</t>
  </si>
  <si>
    <t xml:space="preserve"> Stop:      Y       16.8        6.C       2.    294.</t>
  </si>
  <si>
    <t xml:space="preserve"> Scheduled start time:  01/24/2017 00:00:00</t>
  </si>
  <si>
    <t xml:space="preserve"> Event start time:      01/24/2017 00:00:00</t>
  </si>
  <si>
    <t xml:space="preserve"> Event stop time:       01/24/2017 00:00:28</t>
  </si>
  <si>
    <t xml:space="preserve"> Start:     Y       17.0        5.C       3.    270.</t>
  </si>
  <si>
    <t xml:space="preserve"> Stop:      Y       16.7        6.C       2.    275.</t>
  </si>
  <si>
    <t xml:space="preserve"> Scheduled start time:  02/10/2017 00:00:00</t>
  </si>
  <si>
    <t xml:space="preserve"> Event start time:      02/10/2017 00:00:00</t>
  </si>
  <si>
    <t xml:space="preserve"> Event stop time:       02/10/2017 00:00:28</t>
  </si>
  <si>
    <t xml:space="preserve"> Start:     Y       16.9        6.C       2.    307.</t>
  </si>
  <si>
    <t xml:space="preserve"> Stop:      Y       16.5        6.C       2.    307.</t>
  </si>
  <si>
    <t xml:space="preserve"> Scheduled start time:  02/27/2017 00:00:00</t>
  </si>
  <si>
    <t xml:space="preserve"> Event start time:      02/27/2017 00:00:00</t>
  </si>
  <si>
    <t xml:space="preserve"> Event stop time:       02/27/2017 00:00:28</t>
  </si>
  <si>
    <t xml:space="preserve"> Start:     Y       16.7        6.C       3.    310.</t>
  </si>
  <si>
    <t xml:space="preserve"> Stop:      Y       16.3        6.C       3.    315.</t>
  </si>
  <si>
    <t xml:space="preserve"> Event 22</t>
  </si>
  <si>
    <t xml:space="preserve"> Scheduled start time:  03/16/2017 00:00:00</t>
  </si>
  <si>
    <t xml:space="preserve"> Event start time:      03/16/2017 00:00:00</t>
  </si>
  <si>
    <t xml:space="preserve"> Event stop time:       03/16/2017 00:00:28</t>
  </si>
  <si>
    <t xml:space="preserve"> Start:     Y       16.5        6.C       3.    299.</t>
  </si>
  <si>
    <t xml:space="preserve"> Stop:      Y       16.2        6.C       3.    300.</t>
  </si>
  <si>
    <t xml:space="preserve"> TILT DATA</t>
  </si>
  <si>
    <t>1000m trap SAZ18</t>
  </si>
  <si>
    <t>Software version:  PST-21C5.c</t>
  </si>
  <si>
    <t>Electronics S/N:   ML12419-01</t>
  </si>
  <si>
    <t>Data recording start time: 03/16/16 23:00:19</t>
  </si>
  <si>
    <t>Data recording  stop time: 03/16/17 00:00:31</t>
  </si>
  <si>
    <t xml:space="preserve"> Inv2016_V2  SAZ_18 Deploy</t>
  </si>
  <si>
    <t>2000m trap SAZ18</t>
  </si>
  <si>
    <t xml:space="preserve">ParFlux 21-Cup Sediment Trap              </t>
  </si>
  <si>
    <t xml:space="preserve"> Compiled:         </t>
  </si>
  <si>
    <t xml:space="preserve"> Mar 13 2007 14:22:06</t>
  </si>
  <si>
    <t xml:space="preserve"> Electronics S/N:   ML12419-02</t>
  </si>
  <si>
    <t xml:space="preserve"> Data recording start time = 03/07/2016 02:48:09</t>
  </si>
  <si>
    <t xml:space="preserve"> Data recording stop time  = 03/16/2017 00:00:31</t>
  </si>
  <si>
    <t xml:space="preserve"> INV 2016 V2 SAZ18 Hbt time 7 Mar 2016 1:48pm</t>
  </si>
  <si>
    <t xml:space="preserve"> Start:     Y       20.1        3.C       3.    323.</t>
  </si>
  <si>
    <t xml:space="preserve"> Stop:      Y       19.8        3.C       3.    322.</t>
  </si>
  <si>
    <t xml:space="preserve"> Start:     Y       19.7        3.C       3.    273.</t>
  </si>
  <si>
    <t xml:space="preserve"> Stop:      Y       19.4        3.C       3.    269.</t>
  </si>
  <si>
    <t xml:space="preserve"> Start:     Y       19.4        3.C       1.    312.</t>
  </si>
  <si>
    <t xml:space="preserve"> Stop:      Y       19.0        3.C       2.    319.</t>
  </si>
  <si>
    <t xml:space="preserve"> Start:     Y       19.1        3.C       1.    316.</t>
  </si>
  <si>
    <t xml:space="preserve"> Stop:      Y       18.7        3.C       2.    328.</t>
  </si>
  <si>
    <t xml:space="preserve"> Start:     Y       18.8        3.C       2.    311.</t>
  </si>
  <si>
    <t xml:space="preserve"> Stop:      Y       18.4        3.C       2.    301.</t>
  </si>
  <si>
    <t xml:space="preserve"> Start:     Y       18.6        3.C       3.    270.</t>
  </si>
  <si>
    <t xml:space="preserve"> Stop:      Y       18.2        3.C       3.    265.</t>
  </si>
  <si>
    <t xml:space="preserve"> Start:     Y       18.4        3.C       3.    274.</t>
  </si>
  <si>
    <t xml:space="preserve"> Stop:      Y       18.1        3.C       4.    276.</t>
  </si>
  <si>
    <t xml:space="preserve"> Start:     Y       18.1        3.C       3.    204.</t>
  </si>
  <si>
    <t xml:space="preserve"> Stop:      Y       17.7        3.C       3.    209.</t>
  </si>
  <si>
    <t xml:space="preserve"> Start:     Y       17.7        3.C       4.    289.</t>
  </si>
  <si>
    <t xml:space="preserve"> Stop:      Y       17.2        3.C       4.    285.</t>
  </si>
  <si>
    <t xml:space="preserve"> Start:     Y       17.6        3.C       3.    271.</t>
  </si>
  <si>
    <t xml:space="preserve"> Stop:      Y       17.2        3.C       3.    274.</t>
  </si>
  <si>
    <t xml:space="preserve"> Start:     Y       17.6        3.C       3.    349.</t>
  </si>
  <si>
    <t xml:space="preserve"> Stop:      Y       17.3        3.C       3.    344.</t>
  </si>
  <si>
    <t xml:space="preserve"> Start:     Y       17.6        3.C       3.    277.</t>
  </si>
  <si>
    <t xml:space="preserve"> Stop:      Y       17.2        3.C       3.    275.</t>
  </si>
  <si>
    <t xml:space="preserve"> Start:     Y       17.5        3.C       4.    271.</t>
  </si>
  <si>
    <t xml:space="preserve"> Stop:      Y       17.2        3.C       4.    269.</t>
  </si>
  <si>
    <t xml:space="preserve"> Start:     Y       17.4        3.C       3.    203.</t>
  </si>
  <si>
    <t xml:space="preserve"> Stop:      Y       17.1        3.C       4.    199.</t>
  </si>
  <si>
    <t xml:space="preserve"> Start:     Y       17.3        3.C       3.    250.</t>
  </si>
  <si>
    <t xml:space="preserve"> Stop:      Y       16.9        3.C       3.    257.</t>
  </si>
  <si>
    <t xml:space="preserve"> Start:     Y       17.2        3.C       3.    350.</t>
  </si>
  <si>
    <t xml:space="preserve"> Stop:      Y       16.8        3.C       3.    348.</t>
  </si>
  <si>
    <t xml:space="preserve"> Start:     Y       17.0        3.C       3.    291.</t>
  </si>
  <si>
    <t xml:space="preserve"> Stop:      Y       16.7        3.C       3.    285.</t>
  </si>
  <si>
    <t xml:space="preserve"> Start:     Y       16.8        3.C       3.    214.</t>
  </si>
  <si>
    <t xml:space="preserve"> Stop:      Y       16.5        3.C       3.    213.</t>
  </si>
  <si>
    <t xml:space="preserve"> Start:     Y       16.7        3.C       3.     91.</t>
  </si>
  <si>
    <t xml:space="preserve"> Stop:      Y       16.4        3.C       3.     95.</t>
  </si>
  <si>
    <t xml:space="preserve"> Start:     Y       16.6        3.C       3.    167.</t>
  </si>
  <si>
    <t xml:space="preserve"> Stop:      Y       16.2        3.C       4.    162.</t>
  </si>
  <si>
    <t xml:space="preserve"> Start:     Y       16.4        3.C       3.    217.</t>
  </si>
  <si>
    <t xml:space="preserve"> Stop:      Y       16.0        3.C       3.    207.</t>
  </si>
  <si>
    <t xml:space="preserve"> Start:     Y       16.3        3.C       3.    250.</t>
  </si>
  <si>
    <t xml:space="preserve"> Stop:      Y       15.9        3.C       3.    250.</t>
  </si>
  <si>
    <t>3800m trap SAZ18</t>
  </si>
  <si>
    <t xml:space="preserve">ParFlux 13-Cup Sediment Trap with Compass and Tilt                           </t>
  </si>
  <si>
    <t>Software version:</t>
  </si>
  <si>
    <t xml:space="preserve">  PST-13C45.c</t>
  </si>
  <si>
    <t xml:space="preserve"> Electronics S/N:   ML12419-03</t>
  </si>
  <si>
    <t xml:space="preserve"> Mar 13 2007 14:21:35</t>
  </si>
  <si>
    <t xml:space="preserve"> Data recording start time = 03/07/2016 02:44:52</t>
  </si>
  <si>
    <t xml:space="preserve"> Data recording stop time  = 03/10/2017 00:00:43</t>
  </si>
  <si>
    <t xml:space="preserve"> Event 01 of 14 @ 03/24/2016 00:00:00</t>
  </si>
  <si>
    <t xml:space="preserve"> Event 02 of 14 @ 04/20/2016 00:00:00</t>
  </si>
  <si>
    <t xml:space="preserve"> Event 03 of 14 @ 05/17/2016 00:00:00</t>
  </si>
  <si>
    <t xml:space="preserve"> Event 04 of 14 @ 06/13/2016 00:00:00</t>
  </si>
  <si>
    <t xml:space="preserve"> Event 05 of 14 @ 07/10/2016 00:00:00</t>
  </si>
  <si>
    <t xml:space="preserve"> Event 06 of 14 @ 08/06/2016 00:00:00</t>
  </si>
  <si>
    <t xml:space="preserve"> Event 07 of 14 @ 09/02/2016 00:00:00</t>
  </si>
  <si>
    <t xml:space="preserve"> Event 08 of 14 @ 09/29/2016 00:00:00</t>
  </si>
  <si>
    <t xml:space="preserve"> Event 09 of 14 @ 10/26/2016 00:00:00</t>
  </si>
  <si>
    <t xml:space="preserve"> Event 10 of 14 @ 11/22/2016 00:00:00</t>
  </si>
  <si>
    <t xml:space="preserve"> Event 11 of 14 @ 12/19/2016 00:00:00</t>
  </si>
  <si>
    <t xml:space="preserve"> Event 12 of 14 @ 01/15/2017 00:00:00</t>
  </si>
  <si>
    <t xml:space="preserve"> Event 13 of 14 @ 02/11/2017 00:00:00</t>
  </si>
  <si>
    <t xml:space="preserve"> Event 14 of 14 @ 03/10/2017 00:00:00</t>
  </si>
  <si>
    <t xml:space="preserve"> Event stop time:       03/24/2016 00:00:40</t>
  </si>
  <si>
    <t xml:space="preserve"> Start:     Y       20.1        1.C       2.    304.</t>
  </si>
  <si>
    <t xml:space="preserve"> Stop:      Y       19.7        2.C       2.    302.</t>
  </si>
  <si>
    <t xml:space="preserve"> Scheduled start time:  04/20/2016 00:00:00</t>
  </si>
  <si>
    <t xml:space="preserve"> Event start time:      04/20/2016 00:00:00</t>
  </si>
  <si>
    <t xml:space="preserve"> Event stop time:       04/20/2016 00:00:40</t>
  </si>
  <si>
    <t xml:space="preserve"> Start:     Y       19.5        1.C       3.    341.</t>
  </si>
  <si>
    <t xml:space="preserve"> Stop:      Y       19.1        2.C       3.    340.</t>
  </si>
  <si>
    <t xml:space="preserve"> Scheduled start time:  05/17/2016 00:00:00</t>
  </si>
  <si>
    <t xml:space="preserve"> Event start time:      05/17/2016 00:00:00</t>
  </si>
  <si>
    <t xml:space="preserve"> Event stop time:       05/17/2016 00:00:40</t>
  </si>
  <si>
    <t xml:space="preserve"> Start:     Y       19.0        1.C       2.     31.</t>
  </si>
  <si>
    <t xml:space="preserve"> Stop:      Y       18.5        2.C       2.     30.</t>
  </si>
  <si>
    <t xml:space="preserve"> Scheduled start time:  06/13/2016 00:00:00</t>
  </si>
  <si>
    <t xml:space="preserve"> Event start time:      06/13/2016 00:00:00</t>
  </si>
  <si>
    <t xml:space="preserve"> Event stop time:       06/13/2016 00:00:40</t>
  </si>
  <si>
    <t xml:space="preserve"> Start:     Y       18.6        1.C       3.    350.</t>
  </si>
  <si>
    <t xml:space="preserve"> Stop:      Y       18.1        2.C       3.    349.</t>
  </si>
  <si>
    <t xml:space="preserve"> Scheduled start time:  07/10/2016 00:00:00</t>
  </si>
  <si>
    <t xml:space="preserve"> Event start time:      07/10/2016 00:00:00</t>
  </si>
  <si>
    <t xml:space="preserve"> Event stop time:       07/10/2016 00:00:40</t>
  </si>
  <si>
    <t xml:space="preserve"> Start:     Y       18.3        1.C       2.    281.</t>
  </si>
  <si>
    <t xml:space="preserve"> Stop:      Y       17.8        2.C       2.    280.</t>
  </si>
  <si>
    <t xml:space="preserve"> Scheduled start time:  08/06/2016 00:00:00</t>
  </si>
  <si>
    <t xml:space="preserve"> Event start time:      08/06/2016 00:00:00</t>
  </si>
  <si>
    <t xml:space="preserve"> Event stop time:       08/06/2016 00:00:40</t>
  </si>
  <si>
    <t xml:space="preserve"> Start:     Y       17.7        1.C       3.    360.</t>
  </si>
  <si>
    <t xml:space="preserve"> Stop:      Y       17.2        2.C       3.    360.</t>
  </si>
  <si>
    <t xml:space="preserve"> Scheduled start time:  09/02/2016 00:00:00</t>
  </si>
  <si>
    <t xml:space="preserve"> Event start time:      09/02/2016 00:00:00</t>
  </si>
  <si>
    <t xml:space="preserve"> Event stop time:       09/02/2016 00:00:40</t>
  </si>
  <si>
    <t xml:space="preserve"> Start:     Y       17.6        1.C       2.    219.</t>
  </si>
  <si>
    <t xml:space="preserve"> Stop:      Y       17.1        2.C       2.    217.</t>
  </si>
  <si>
    <t xml:space="preserve"> Scheduled start time:  09/29/2016 00:00:00</t>
  </si>
  <si>
    <t xml:space="preserve"> Event start time:      09/29/2016 00:00:00</t>
  </si>
  <si>
    <t xml:space="preserve"> Event stop time:       09/29/2016 00:00:40</t>
  </si>
  <si>
    <t xml:space="preserve"> Start:     Y       17.4        1.C       3.    254.</t>
  </si>
  <si>
    <t xml:space="preserve"> Stop:      Y       16.9        2.C       3.    245.</t>
  </si>
  <si>
    <t xml:space="preserve"> Scheduled start time:  10/26/2016 00:00:00</t>
  </si>
  <si>
    <t xml:space="preserve"> Event start time:      10/26/2016 00:00:00</t>
  </si>
  <si>
    <t xml:space="preserve"> Event stop time:       10/26/2016 00:00:40</t>
  </si>
  <si>
    <t xml:space="preserve"> Start:     Y       17.3        1.C       3.    264.</t>
  </si>
  <si>
    <t xml:space="preserve"> Stop:      Y       16.8        2.C       3.    264.</t>
  </si>
  <si>
    <t xml:space="preserve"> Scheduled start time:  11/22/2016 00:00:00</t>
  </si>
  <si>
    <t xml:space="preserve"> Event start time:      11/22/2016 00:00:00</t>
  </si>
  <si>
    <t xml:space="preserve"> Event stop time:       11/22/2016 00:00:40</t>
  </si>
  <si>
    <t xml:space="preserve"> Start:     Y       17.0        1.C       3.    304.</t>
  </si>
  <si>
    <t xml:space="preserve"> Stop:      Y       16.5        2.C       3.    301.</t>
  </si>
  <si>
    <t xml:space="preserve"> Scheduled start time:  12/19/2016 00:00:00</t>
  </si>
  <si>
    <t xml:space="preserve"> Event start time:      12/19/2016 00:00:00</t>
  </si>
  <si>
    <t xml:space="preserve"> Event stop time:       12/19/2016 00:00:40</t>
  </si>
  <si>
    <t xml:space="preserve"> Start:     Y       16.8        1.C       3.    316.</t>
  </si>
  <si>
    <t xml:space="preserve"> Stop:      Y       16.3        2.C       3.    313.</t>
  </si>
  <si>
    <t xml:space="preserve"> Scheduled start time:  01/15/2017 00:00:00</t>
  </si>
  <si>
    <t xml:space="preserve"> Event start time:      01/15/2017 00:00:00</t>
  </si>
  <si>
    <t xml:space="preserve"> Event stop time:       01/15/2017 00:00:40</t>
  </si>
  <si>
    <t xml:space="preserve"> Start:     Y       16.5        2.C       3.    282.</t>
  </si>
  <si>
    <t xml:space="preserve"> Stop:      Y       16.0        2.C       3.    280.</t>
  </si>
  <si>
    <t xml:space="preserve"> Scheduled start time:  02/11/2017 00:00:00</t>
  </si>
  <si>
    <t xml:space="preserve"> Event start time:      02/11/2017 00:00:00</t>
  </si>
  <si>
    <t xml:space="preserve"> Event stop time:       02/11/2017 00:00:40</t>
  </si>
  <si>
    <t xml:space="preserve"> Start:     Y       16.2        2.C       3.    327.</t>
  </si>
  <si>
    <t xml:space="preserve"> Stop:      Y       15.8        2.C       3.    327.</t>
  </si>
  <si>
    <t xml:space="preserve"> Scheduled start time:  03/10/2017 00:00:00</t>
  </si>
  <si>
    <t xml:space="preserve"> Event start time:      03/10/2017 00:00:00</t>
  </si>
  <si>
    <t xml:space="preserve"> Event stop time:       03/10/2017 00:00:40</t>
  </si>
  <si>
    <t xml:space="preserve"> Start:     Y       15.9        1.C       2.    242.</t>
  </si>
  <si>
    <t xml:space="preserve"> Stop:      Y       15.5        2.C       2.    238.</t>
  </si>
  <si>
    <t>Schedule saz18, 24 March 2016 UTC ML12419-02</t>
  </si>
  <si>
    <t>Schedule SAZ18 24 march 2016 ML12419-01</t>
  </si>
  <si>
    <t>Schedule saz18, 24 March 2016 UTC ML12419-03</t>
  </si>
  <si>
    <t>SAZ 18</t>
  </si>
  <si>
    <t>Compiled:          Mar 13 2007 14:22:06</t>
  </si>
  <si>
    <t>Deployment 24/03/2016 INV16_V2</t>
  </si>
  <si>
    <t>ParFlux 21-Cup Sediment Trap with Compass and Tilt</t>
  </si>
  <si>
    <t>2016 saz18</t>
  </si>
  <si>
    <t>11_1</t>
  </si>
  <si>
    <t>11_2</t>
  </si>
  <si>
    <t>12_1</t>
  </si>
  <si>
    <t>12_2</t>
  </si>
  <si>
    <t>CWE</t>
  </si>
  <si>
    <t>&lt;1</t>
  </si>
  <si>
    <r>
      <t xml:space="preserve">Deployment </t>
    </r>
    <r>
      <rPr>
        <sz val="10"/>
        <color rgb="FFFFC000"/>
        <rFont val="Arial"/>
        <family val="2"/>
      </rPr>
      <t>16</t>
    </r>
    <r>
      <rPr>
        <sz val="10"/>
        <rFont val="Arial"/>
        <family val="2"/>
      </rPr>
      <t>/03/2016 INV2016_02</t>
    </r>
  </si>
  <si>
    <t>Mclane sn 12419-01 Ti, R250x21</t>
  </si>
  <si>
    <r>
      <t>Mclane sn 12419-03 Ti, R</t>
    </r>
    <r>
      <rPr>
        <sz val="10"/>
        <color rgb="FFFFC000"/>
        <rFont val="Arial"/>
        <family val="2"/>
      </rPr>
      <t>500</t>
    </r>
    <r>
      <rPr>
        <sz val="10"/>
        <rFont val="Arial"/>
        <family val="2"/>
      </rPr>
      <t>x13</t>
    </r>
  </si>
  <si>
    <t>13_1</t>
  </si>
  <si>
    <t>13_2</t>
  </si>
  <si>
    <t>1_1</t>
  </si>
  <si>
    <t>1_2</t>
  </si>
  <si>
    <t>loss</t>
  </si>
  <si>
    <t>Mclane sn 12419-02 Ti, R250x21</t>
  </si>
  <si>
    <t>15_1</t>
  </si>
  <si>
    <t>15_2</t>
  </si>
  <si>
    <t>16_1</t>
  </si>
  <si>
    <t>16_2</t>
  </si>
  <si>
    <t>17_1</t>
  </si>
  <si>
    <t>17_2</t>
  </si>
  <si>
    <t>18_1</t>
  </si>
  <si>
    <t>18_2</t>
  </si>
  <si>
    <t>Some of the sample spilled past the filter during filtration. For that reason this weight is NOT representative of 4 fractions and the other 3 fractions were filtered onto a separate filter. Filter 1_2 is a true representation of 3 fractions and will serve as the basis for extrapolation to 10/10</t>
  </si>
  <si>
    <t>Temperature</t>
  </si>
  <si>
    <r>
      <t>[</t>
    </r>
    <r>
      <rPr>
        <sz val="10"/>
        <rFont val="Calibri"/>
        <family val="2"/>
      </rPr>
      <t>°</t>
    </r>
    <r>
      <rPr>
        <sz val="10"/>
        <rFont val="Arial"/>
        <family val="2"/>
      </rPr>
      <t>C]</t>
    </r>
  </si>
  <si>
    <t>Calibrations</t>
  </si>
  <si>
    <t>Manual temperature compensation</t>
  </si>
  <si>
    <t>adjusted to</t>
  </si>
  <si>
    <r>
      <t>@ 18.6</t>
    </r>
    <r>
      <rPr>
        <sz val="10"/>
        <rFont val="Calibri"/>
        <family val="2"/>
      </rPr>
      <t>°</t>
    </r>
    <r>
      <rPr>
        <sz val="10"/>
        <rFont val="Arial"/>
        <family val="2"/>
      </rPr>
      <t>C</t>
    </r>
  </si>
  <si>
    <t>pH check at the end of all measurements</t>
  </si>
  <si>
    <t>Salinity</t>
  </si>
  <si>
    <r>
      <t>1413</t>
    </r>
    <r>
      <rPr>
        <sz val="10"/>
        <rFont val="Calibri"/>
        <family val="2"/>
      </rPr>
      <t>µ</t>
    </r>
    <r>
      <rPr>
        <sz val="10"/>
        <rFont val="Arial"/>
        <family val="2"/>
      </rPr>
      <t>S</t>
    </r>
  </si>
  <si>
    <t>reading</t>
  </si>
  <si>
    <t>temperature</t>
  </si>
  <si>
    <t>IAPSO 34.988 psu standard</t>
  </si>
  <si>
    <r>
      <t>Calibrated with 1413</t>
    </r>
    <r>
      <rPr>
        <sz val="10"/>
        <rFont val="Calibri"/>
        <family val="2"/>
      </rPr>
      <t>µ</t>
    </r>
    <r>
      <rPr>
        <sz val="10"/>
        <rFont val="Arial"/>
        <family val="2"/>
      </rPr>
      <t>S standard</t>
    </r>
  </si>
  <si>
    <t>0.01N KCl</t>
  </si>
  <si>
    <t>µS</t>
  </si>
  <si>
    <t>Salinity check at the end of all measurements</t>
  </si>
  <si>
    <t>16_a</t>
  </si>
  <si>
    <t>16_b</t>
  </si>
  <si>
    <t>10_a</t>
  </si>
  <si>
    <t>10_b</t>
  </si>
  <si>
    <t>12_a</t>
  </si>
  <si>
    <t>12_b</t>
  </si>
  <si>
    <t>5_a</t>
  </si>
  <si>
    <t>5_b</t>
  </si>
  <si>
    <t>weighed (ug)</t>
  </si>
  <si>
    <t>filter only</t>
  </si>
  <si>
    <t>30% humidity, 21.6C</t>
  </si>
  <si>
    <t>30% humidity, 21.2C</t>
  </si>
  <si>
    <t>29% humidity, 21.9C</t>
  </si>
  <si>
    <t>All samples were dried again @ 60C over two nights prior to weighing</t>
  </si>
  <si>
    <t>Date Analysed</t>
  </si>
  <si>
    <t>Sample Number</t>
  </si>
  <si>
    <t>Sample Name</t>
  </si>
  <si>
    <t>ug</t>
  </si>
  <si>
    <t>UIC Reading Subtract Blank
(ug Carbon)</t>
  </si>
  <si>
    <t>Estimate (ug CaCO3)</t>
  </si>
  <si>
    <t>% CaCO3 Std curve</t>
  </si>
  <si>
    <t>%CaCO3 raw figures</t>
  </si>
  <si>
    <t>%CaCO3</t>
  </si>
  <si>
    <t>FLAG</t>
  </si>
  <si>
    <t>std curve</t>
  </si>
  <si>
    <t>Data is copied across from "PIC_SEDIMENT TRAP_RESULTS_CWE_2017"</t>
  </si>
  <si>
    <t>REPEATS</t>
  </si>
  <si>
    <t>REPEATS USE</t>
  </si>
  <si>
    <t>Samples dried in forced convection oven at 60dC over two nights without caps</t>
  </si>
  <si>
    <t>PACS-2 &amp; CaCO3 dried at 60dC over two nights without caps</t>
  </si>
  <si>
    <t xml:space="preserve">Scale used : </t>
  </si>
  <si>
    <t>vials: Labco 938W, batch 2027. 12 mL borosilicate vial, round bottom,Non - Evacuated, No Label, White Cap</t>
  </si>
  <si>
    <t>capsules: SC 1190, Sn 5.5x5 smooth wall flat base</t>
  </si>
  <si>
    <t>2016_47_2000_7</t>
  </si>
  <si>
    <t>2016_47_2000_8</t>
  </si>
  <si>
    <t>2016_47_2000_9</t>
  </si>
  <si>
    <t>2016_47_2000_10</t>
  </si>
  <si>
    <t>2016_47_2000_11</t>
  </si>
  <si>
    <t>2016_47_2000_12</t>
  </si>
  <si>
    <t>2016_47_2000_13</t>
  </si>
  <si>
    <t>2016_47_2000_14</t>
  </si>
  <si>
    <t>2016_47_2000_15</t>
  </si>
  <si>
    <t>2016_47_2000_16_a</t>
  </si>
  <si>
    <t>2016_47_2000_16_b</t>
  </si>
  <si>
    <t>2016_47_2000_17</t>
  </si>
  <si>
    <t>2016_47_2000_18</t>
  </si>
  <si>
    <t>2016_47_3800_1</t>
  </si>
  <si>
    <t>2016_47_3800_2</t>
  </si>
  <si>
    <t>2016_47_3800_3</t>
  </si>
  <si>
    <t>not enough material for CHN and PIC</t>
  </si>
  <si>
    <t>CRM PACS-2 dried at 60dC 3 to  4mg</t>
  </si>
  <si>
    <t>29-30%</t>
  </si>
  <si>
    <t>21.8-22.2dC</t>
  </si>
  <si>
    <t>2016_47_3800_9</t>
  </si>
  <si>
    <t>2016_47_3800_10_a</t>
  </si>
  <si>
    <t>2016_47_3800_4</t>
  </si>
  <si>
    <t>2016_47_3800_5</t>
  </si>
  <si>
    <t>2016_47_3800_6</t>
  </si>
  <si>
    <t>2016_47_3800_7</t>
  </si>
  <si>
    <t>2016_47_3800_8</t>
  </si>
  <si>
    <t>2016_47_3800_10_b</t>
  </si>
  <si>
    <t>2016_47_3800_11</t>
  </si>
  <si>
    <t>2016_47_3800_12_a</t>
  </si>
  <si>
    <t>2016_47_3800_12_b</t>
  </si>
  <si>
    <t>2016_47_3800_13</t>
  </si>
  <si>
    <t>2016_47_1000_6</t>
  </si>
  <si>
    <t>2016_47_1000_10</t>
  </si>
  <si>
    <t>2016_47_1000_12</t>
  </si>
  <si>
    <t>2016_47_1000_14</t>
  </si>
  <si>
    <t>2016_47_1000_5b</t>
  </si>
  <si>
    <t>2016_47_1000_5a</t>
  </si>
  <si>
    <t>2016_47_2000_5a</t>
  </si>
  <si>
    <t>2016_47_2000_5b</t>
  </si>
  <si>
    <t>2016_47_2000_4</t>
  </si>
  <si>
    <t>2016_47_2000_3</t>
  </si>
  <si>
    <t>2016_47_1000_1</t>
  </si>
  <si>
    <t>2016_47_1000_2</t>
  </si>
  <si>
    <t>2016_47_1000_3</t>
  </si>
  <si>
    <t>2016_47_1000_4</t>
  </si>
  <si>
    <t>2016_47_1000_8</t>
  </si>
  <si>
    <t>2016_47_1000_9</t>
  </si>
  <si>
    <t>2016_47_1000_11</t>
  </si>
  <si>
    <t>2016_47_2000_1</t>
  </si>
  <si>
    <t>2016_47_2000_2</t>
  </si>
  <si>
    <t>2016_47_2000_6</t>
  </si>
  <si>
    <t>PACS-2 #1</t>
  </si>
  <si>
    <t>PACS-2 #2</t>
  </si>
  <si>
    <t>22.1-22.2dC</t>
  </si>
  <si>
    <t>PACS-2 #3</t>
  </si>
  <si>
    <t>average</t>
  </si>
  <si>
    <t>not enough material</t>
  </si>
  <si>
    <t>28-29%</t>
  </si>
  <si>
    <t>22.3-22.4dC</t>
  </si>
  <si>
    <t>Thermo</t>
  </si>
  <si>
    <t>CWE sed traps SAZ18 SOTS</t>
  </si>
  <si>
    <t>filt after scraping sediment off</t>
  </si>
  <si>
    <t>submitted CSL EA 18th July 2017</t>
  </si>
  <si>
    <t>count</t>
  </si>
  <si>
    <t>filters only</t>
  </si>
  <si>
    <t>PN/PSiO2</t>
  </si>
  <si>
    <t>TPC/PSiO2</t>
  </si>
  <si>
    <t>sum</t>
  </si>
  <si>
    <t>QC</t>
  </si>
  <si>
    <t>mass ratio</t>
  </si>
  <si>
    <t>CaCO3+opal + (POM=2.79*POC) + litho 3.7%</t>
  </si>
  <si>
    <t>Redfield 2.79 POM opal is BSiO2*1.11</t>
  </si>
  <si>
    <t>w/w</t>
  </si>
  <si>
    <t>humidity</t>
  </si>
  <si>
    <t>Position_Depth</t>
  </si>
  <si>
    <t>mass [ug]</t>
  </si>
  <si>
    <t>22C</t>
  </si>
  <si>
    <t>_a</t>
  </si>
  <si>
    <t>_b</t>
  </si>
  <si>
    <t>new box of silver cup started</t>
  </si>
  <si>
    <t>INV_2017_V02, Carboy 1 (21L + 21g of Borate)</t>
  </si>
  <si>
    <t>INV_2017_V02, Carboy 2 (23L + 23g of Borate)</t>
  </si>
  <si>
    <t>Vial#</t>
  </si>
  <si>
    <t>note</t>
  </si>
  <si>
    <t>Samples weighed on microbalance into silver small cup: Sercon SC1109, 5.5 x 5, BN 220183 to 0.1ug</t>
  </si>
  <si>
    <t>22.5C</t>
  </si>
  <si>
    <t>blank</t>
  </si>
  <si>
    <t>#4</t>
  </si>
  <si>
    <t>#3</t>
  </si>
  <si>
    <t>#1</t>
  </si>
  <si>
    <t>#2</t>
  </si>
  <si>
    <t>Digestion steps:</t>
  </si>
  <si>
    <t>1. add 4ml 0.2M NaOH, vortex, losen cap, digest for 95 min in 95dC waterbath</t>
  </si>
  <si>
    <t>2. straight into ice slurry for 2min, then add 1ml 1M HCl, shake</t>
  </si>
  <si>
    <t>4. draw off 4ml into fresh nut. Tube, add 6ml MQ</t>
  </si>
  <si>
    <t>nutrient tube</t>
  </si>
  <si>
    <t>#5</t>
  </si>
  <si>
    <t>S%</t>
  </si>
  <si>
    <t>CWE-A1</t>
  </si>
  <si>
    <t>CWE-A2</t>
  </si>
  <si>
    <t>CWE-A3</t>
  </si>
  <si>
    <t>CWE-A4</t>
  </si>
  <si>
    <t>CWE-A5</t>
  </si>
  <si>
    <t>CWE-A6</t>
  </si>
  <si>
    <t>CWE-A7</t>
  </si>
  <si>
    <t>CWE-A8</t>
  </si>
  <si>
    <t>CWE-A9</t>
  </si>
  <si>
    <t>CWE-A10</t>
  </si>
  <si>
    <t>CWE-A11</t>
  </si>
  <si>
    <t>CWE-A12</t>
  </si>
  <si>
    <t>CWE-B1</t>
  </si>
  <si>
    <t>CWE-B2</t>
  </si>
  <si>
    <t>CWE-B3</t>
  </si>
  <si>
    <t>CWE-B4</t>
  </si>
  <si>
    <t>CWE-B5</t>
  </si>
  <si>
    <t>CWE-B6</t>
  </si>
  <si>
    <t>CWE-B7</t>
  </si>
  <si>
    <t>CWE-B8</t>
  </si>
  <si>
    <t>CWE-B9</t>
  </si>
  <si>
    <t>CWE-B10</t>
  </si>
  <si>
    <t>CWE-B11</t>
  </si>
  <si>
    <t>CWE-B12</t>
  </si>
  <si>
    <t>CWE-C1</t>
  </si>
  <si>
    <t>CWE-C2</t>
  </si>
  <si>
    <t>CWE-C3</t>
  </si>
  <si>
    <t>CWE-C4</t>
  </si>
  <si>
    <t>CWE-C5</t>
  </si>
  <si>
    <t>CWE-C6</t>
  </si>
  <si>
    <t>CWE-C7</t>
  </si>
  <si>
    <t>CWE-C8</t>
  </si>
  <si>
    <t>CWE-C9</t>
  </si>
  <si>
    <t>CWE-C10</t>
  </si>
  <si>
    <t>CWE-C11</t>
  </si>
  <si>
    <t>CWE-C12</t>
  </si>
  <si>
    <t>CWE-D1</t>
  </si>
  <si>
    <t>CWE-D2</t>
  </si>
  <si>
    <t>CWE-D3</t>
  </si>
  <si>
    <t>CWE-D4</t>
  </si>
  <si>
    <t>CWE-D5</t>
  </si>
  <si>
    <t>CWE-D6</t>
  </si>
  <si>
    <t>CWE-D7</t>
  </si>
  <si>
    <t>CWE-D8</t>
  </si>
  <si>
    <t>CWE-D9</t>
  </si>
  <si>
    <t>CWE-D10</t>
  </si>
  <si>
    <t>CWE-D11</t>
  </si>
  <si>
    <t>CWE-D12</t>
  </si>
  <si>
    <t>CWE-E1</t>
  </si>
  <si>
    <t>CWE-E2</t>
  </si>
  <si>
    <t>CWE-E3</t>
  </si>
  <si>
    <t>CWE-E4</t>
  </si>
  <si>
    <t>CWE-E5</t>
  </si>
  <si>
    <t>CWE-E6</t>
  </si>
  <si>
    <t>CWE-E7</t>
  </si>
  <si>
    <t>CWE-E8</t>
  </si>
  <si>
    <t>id CSL</t>
  </si>
  <si>
    <t>NaN</t>
  </si>
  <si>
    <t>standard</t>
  </si>
  <si>
    <t>CRM certified value</t>
  </si>
  <si>
    <t>338 40012 BN/159617</t>
  </si>
  <si>
    <t>Although we don’t have time stamps, Im assured these were all run on the same column, sequentially, with standards in the positions shown. Di 11/8/2017</t>
  </si>
  <si>
    <t>Di's workup</t>
  </si>
  <si>
    <t>dbar</t>
  </si>
  <si>
    <t>SAZ47-18-2016</t>
  </si>
  <si>
    <t>SAZ47-18 Depths</t>
  </si>
  <si>
    <t>Estimated depth</t>
  </si>
  <si>
    <t>pres-between points</t>
  </si>
  <si>
    <t>wire between points</t>
  </si>
  <si>
    <t>pickup float 200mm</t>
  </si>
  <si>
    <t xml:space="preserve">recovery line </t>
  </si>
  <si>
    <t>SB shackle 2.0t</t>
  </si>
  <si>
    <t>mast DOG</t>
  </si>
  <si>
    <t>glass floats 17"</t>
  </si>
  <si>
    <t>PC chain 16mm</t>
  </si>
  <si>
    <t>Plink 1/2"</t>
  </si>
  <si>
    <t>TBW 7mm</t>
  </si>
  <si>
    <t>PC chain 13mm</t>
  </si>
  <si>
    <t>316 Screw pin Shackle 16mm</t>
  </si>
  <si>
    <t>316 ring 16mm</t>
  </si>
  <si>
    <t>316 Screw Pin Shackle 16mm</t>
  </si>
  <si>
    <t xml:space="preserve">Sed Trap </t>
  </si>
  <si>
    <t>Star Mon</t>
  </si>
  <si>
    <t>Screw Pin Shackle 1.5t</t>
  </si>
  <si>
    <t>PC chain 10mm</t>
  </si>
  <si>
    <t>Swivel 2t</t>
  </si>
  <si>
    <t xml:space="preserve">OEG tension Frame </t>
  </si>
  <si>
    <t>AquaDOPP</t>
  </si>
  <si>
    <t xml:space="preserve">Dynex Spool </t>
  </si>
  <si>
    <t>Dynex 8mm</t>
  </si>
  <si>
    <t>TDR</t>
  </si>
  <si>
    <t>Plink 5/8"</t>
  </si>
  <si>
    <t>SB shackle 3.25t</t>
  </si>
  <si>
    <t>TBW 9mm</t>
  </si>
  <si>
    <t>SBE37</t>
  </si>
  <si>
    <t xml:space="preserve"> </t>
  </si>
  <si>
    <t xml:space="preserve">release adaptor </t>
  </si>
  <si>
    <t xml:space="preserve">dual release </t>
  </si>
  <si>
    <t xml:space="preserve">release link </t>
  </si>
  <si>
    <t>release chain 16mm</t>
  </si>
  <si>
    <t>big link ring 7/8"</t>
  </si>
  <si>
    <t>nylon web 8000kg</t>
  </si>
  <si>
    <t>Plink 3/4"</t>
  </si>
  <si>
    <t>tbw 9mm</t>
  </si>
  <si>
    <t>parra 15 foot</t>
  </si>
  <si>
    <t>SB shackle 4.75t</t>
  </si>
  <si>
    <t>Plink 7/8"</t>
  </si>
  <si>
    <t>shackle release 8.0 t</t>
  </si>
  <si>
    <t>anchor 1700 kg</t>
  </si>
  <si>
    <t>lat,lon -46.78361 141.84226 deg</t>
  </si>
  <si>
    <t>Some reason the triangulation is 100m out</t>
  </si>
  <si>
    <t xml:space="preserve">depth actual 983.3m </t>
  </si>
  <si>
    <t>depth actual 2010.7m</t>
  </si>
  <si>
    <t>depth actual 3851.6m</t>
  </si>
  <si>
    <t>Samples dried in gravity oven at 60dC for 3 days with caps loosened.</t>
  </si>
  <si>
    <t>Balance used : CRC's Mettler-Toledo, UMX2, SNR 1127231697 in ACE CRC Carbon lab</t>
  </si>
  <si>
    <t>3. centrifuge for 10min (3000rpm, 215 rotor)</t>
  </si>
  <si>
    <t>1. add 4ml 0.2M NaOH, vortex, loosen cap, digest for 95 min in 95dC waterbath</t>
  </si>
  <si>
    <t>final results SiO2-Si uM</t>
  </si>
  <si>
    <t>Lab #</t>
  </si>
  <si>
    <t>Nutrient</t>
  </si>
  <si>
    <t>Site ID</t>
  </si>
  <si>
    <t>Peak no.</t>
  </si>
  <si>
    <t>Data type</t>
  </si>
  <si>
    <t>Raw value</t>
  </si>
  <si>
    <t>Proc Value</t>
  </si>
  <si>
    <t>Status</t>
  </si>
  <si>
    <r>
      <t xml:space="preserve">Final SiO2-Si </t>
    </r>
    <r>
      <rPr>
        <sz val="11"/>
        <color theme="1"/>
        <rFont val="Calibri"/>
        <family val="2"/>
      </rPr>
      <t>µM</t>
    </r>
  </si>
  <si>
    <t>47_1000 1</t>
  </si>
  <si>
    <t>10586 1:5</t>
  </si>
  <si>
    <t>Silicate</t>
  </si>
  <si>
    <t>Good</t>
  </si>
  <si>
    <t>47_1000 2</t>
  </si>
  <si>
    <t>10587 1:5</t>
  </si>
  <si>
    <t>47_1000 3</t>
  </si>
  <si>
    <t>10588 1:5</t>
  </si>
  <si>
    <t>47_1000 4</t>
  </si>
  <si>
    <t>10589 1:5</t>
  </si>
  <si>
    <t>47_1000 5_a</t>
  </si>
  <si>
    <t>10590 1:5</t>
  </si>
  <si>
    <t>47_1000 5_b</t>
  </si>
  <si>
    <t>10591 1:5</t>
  </si>
  <si>
    <t>47_1000 6</t>
  </si>
  <si>
    <t>10592 1:5</t>
  </si>
  <si>
    <t>10593 1:5</t>
  </si>
  <si>
    <t>47_1000 8</t>
  </si>
  <si>
    <t>10594 1:5</t>
  </si>
  <si>
    <t>47_1000 9</t>
  </si>
  <si>
    <t>10595 1:5</t>
  </si>
  <si>
    <t>47_1000 10</t>
  </si>
  <si>
    <t>10596 1:5</t>
  </si>
  <si>
    <t>47_1000 11</t>
  </si>
  <si>
    <t>10597 1:5</t>
  </si>
  <si>
    <t>47_1000 12</t>
  </si>
  <si>
    <t>10598 1:5</t>
  </si>
  <si>
    <t>47_1000 13</t>
  </si>
  <si>
    <t>10599 1:5</t>
  </si>
  <si>
    <t>47_1000 14</t>
  </si>
  <si>
    <t>10600 1:5</t>
  </si>
  <si>
    <t>47_1000 15</t>
  </si>
  <si>
    <t>10601 1:5</t>
  </si>
  <si>
    <t>47_1000 7</t>
  </si>
  <si>
    <t>10602 1:5</t>
  </si>
  <si>
    <t>blank #3</t>
  </si>
  <si>
    <t>10603 1:5</t>
  </si>
  <si>
    <t>47_2000 1</t>
  </si>
  <si>
    <t>Bad</t>
  </si>
  <si>
    <t>10604 1:5</t>
  </si>
  <si>
    <t>47_2000 2</t>
  </si>
  <si>
    <t>10605 1:5</t>
  </si>
  <si>
    <t>47_2000 3</t>
  </si>
  <si>
    <t>10606 1:5</t>
  </si>
  <si>
    <t>47_2000 4</t>
  </si>
  <si>
    <t>10607 1:5</t>
  </si>
  <si>
    <t>47_2000 5_a</t>
  </si>
  <si>
    <t>10608  1:5</t>
  </si>
  <si>
    <t>47_2000 5_b</t>
  </si>
  <si>
    <t>10609 1:5</t>
  </si>
  <si>
    <t>47_2000 6</t>
  </si>
  <si>
    <t>10610 1:5</t>
  </si>
  <si>
    <t>47_2000 7</t>
  </si>
  <si>
    <t>10611 1:5</t>
  </si>
  <si>
    <t>47_2000 8</t>
  </si>
  <si>
    <t>10612 1:5</t>
  </si>
  <si>
    <t>47_2000 9</t>
  </si>
  <si>
    <t>10613 1:5</t>
  </si>
  <si>
    <t>47_2000 10</t>
  </si>
  <si>
    <t>10614 1:5</t>
  </si>
  <si>
    <t>47_2000 11</t>
  </si>
  <si>
    <t>10615 1:5</t>
  </si>
  <si>
    <t>47_2000 12</t>
  </si>
  <si>
    <t>10616 1:5</t>
  </si>
  <si>
    <t>47_2000 13</t>
  </si>
  <si>
    <t>10617 1:5</t>
  </si>
  <si>
    <t>47_2000 14</t>
  </si>
  <si>
    <t>10618 1:5</t>
  </si>
  <si>
    <t>47_2000 15</t>
  </si>
  <si>
    <t>10619 1:5</t>
  </si>
  <si>
    <t>47_2000 16_a</t>
  </si>
  <si>
    <t>10620 1:5</t>
  </si>
  <si>
    <t>47_2000 16_b</t>
  </si>
  <si>
    <t>10621 1:5</t>
  </si>
  <si>
    <t>47_2000 17</t>
  </si>
  <si>
    <t>10622 1:10</t>
  </si>
  <si>
    <t>10622 1:5</t>
  </si>
  <si>
    <t>47_2000 18</t>
  </si>
  <si>
    <t>10623 1:10</t>
  </si>
  <si>
    <t>10623 1:5</t>
  </si>
  <si>
    <t>Suspect</t>
  </si>
  <si>
    <t>47_3800 1</t>
  </si>
  <si>
    <t>10624 1:5</t>
  </si>
  <si>
    <t>47_3800 2</t>
  </si>
  <si>
    <t>10625 1:5</t>
  </si>
  <si>
    <t>47_3800 3</t>
  </si>
  <si>
    <t>10626 1:5</t>
  </si>
  <si>
    <t>47_3800 4</t>
  </si>
  <si>
    <t>10627 1:5</t>
  </si>
  <si>
    <t>47_3800 5</t>
  </si>
  <si>
    <t>10628 1:5</t>
  </si>
  <si>
    <t>47_3800 6</t>
  </si>
  <si>
    <t>10629 1:5</t>
  </si>
  <si>
    <t>47_3800 7</t>
  </si>
  <si>
    <t>10630 1:5</t>
  </si>
  <si>
    <t>47_3800 8</t>
  </si>
  <si>
    <t>10631 1:5</t>
  </si>
  <si>
    <t>47_3800 9</t>
  </si>
  <si>
    <t>10632 1:5</t>
  </si>
  <si>
    <t>47_3800 10_a</t>
  </si>
  <si>
    <t>10633 1:5</t>
  </si>
  <si>
    <t>47_3800 10_b</t>
  </si>
  <si>
    <t>10634 1:5</t>
  </si>
  <si>
    <t>47_3800 11</t>
  </si>
  <si>
    <t>10635 1:10</t>
  </si>
  <si>
    <t>10635 1:5</t>
  </si>
  <si>
    <t>47_3800 12_a</t>
  </si>
  <si>
    <t>10636  1:10</t>
  </si>
  <si>
    <t>10636 1:5</t>
  </si>
  <si>
    <t>47_3800 12_b</t>
  </si>
  <si>
    <t>10637 1:10</t>
  </si>
  <si>
    <t>10637 1:5</t>
  </si>
  <si>
    <t>47_3800 13</t>
  </si>
  <si>
    <t>10638 1:10</t>
  </si>
  <si>
    <t>10638 1:5</t>
  </si>
  <si>
    <t>10639 1:5</t>
  </si>
  <si>
    <t>10640 1:5</t>
  </si>
  <si>
    <t>PACS-2 #4</t>
  </si>
  <si>
    <t>10641 1:5</t>
  </si>
  <si>
    <t>PACS-2 #5</t>
  </si>
  <si>
    <t>10642 1:5</t>
  </si>
  <si>
    <t>47-1000 1</t>
  </si>
  <si>
    <t>10643 1:5</t>
  </si>
  <si>
    <t>47-1000 2</t>
  </si>
  <si>
    <t>10644 1:5</t>
  </si>
  <si>
    <t>47-1000 3</t>
  </si>
  <si>
    <t>10645 1:5</t>
  </si>
  <si>
    <t>47-1000 4</t>
  </si>
  <si>
    <t>10646 1:5</t>
  </si>
  <si>
    <t>47-1000 5</t>
  </si>
  <si>
    <t>10647 1:5</t>
  </si>
  <si>
    <t>47-1000 6</t>
  </si>
  <si>
    <t>10648 1:5</t>
  </si>
  <si>
    <t>47-1000 7</t>
  </si>
  <si>
    <t>10649 1:5</t>
  </si>
  <si>
    <t>47-1000 8</t>
  </si>
  <si>
    <t>10650 1:5</t>
  </si>
  <si>
    <t>47-1000 9</t>
  </si>
  <si>
    <t>10651 1:5</t>
  </si>
  <si>
    <t>47-1000 10</t>
  </si>
  <si>
    <t>10652 1:5</t>
  </si>
  <si>
    <t>10653 1:5</t>
  </si>
  <si>
    <t>10654 1:5</t>
  </si>
  <si>
    <t>47-1000 11</t>
  </si>
  <si>
    <t>10655 1:5</t>
  </si>
  <si>
    <t>47-1000 12</t>
  </si>
  <si>
    <t>10656 1:5</t>
  </si>
  <si>
    <t>47-1000 13</t>
  </si>
  <si>
    <t>10657 1:5</t>
  </si>
  <si>
    <t>47-1000 14</t>
  </si>
  <si>
    <t>10658 1:5</t>
  </si>
  <si>
    <t>47-1000 15</t>
  </si>
  <si>
    <t>10659 1:5</t>
  </si>
  <si>
    <t>47-1000 16</t>
  </si>
  <si>
    <t>10660 1:5</t>
  </si>
  <si>
    <t>47-1000 17</t>
  </si>
  <si>
    <t>10661 1:5</t>
  </si>
  <si>
    <t>47-1000 18</t>
  </si>
  <si>
    <t>10662 1:5</t>
  </si>
  <si>
    <t>47-1000 19</t>
  </si>
  <si>
    <t>10663 1:5</t>
  </si>
  <si>
    <t>47-1000 20</t>
  </si>
  <si>
    <t>10664 1:5</t>
  </si>
  <si>
    <t>47-1000 21</t>
  </si>
  <si>
    <t>10665 1:5</t>
  </si>
  <si>
    <t>10666 1:5</t>
  </si>
  <si>
    <t>10667 1:5</t>
  </si>
  <si>
    <t>47-1050 1</t>
  </si>
  <si>
    <t>10668 1:5</t>
  </si>
  <si>
    <t>47-1050 2</t>
  </si>
  <si>
    <t>10669  1:5</t>
  </si>
  <si>
    <t>47-1050 3</t>
  </si>
  <si>
    <t>10670 1:5</t>
  </si>
  <si>
    <t>47-1050 4</t>
  </si>
  <si>
    <t>10671 1:5</t>
  </si>
  <si>
    <t>47-1050 5</t>
  </si>
  <si>
    <t>10672 1:5</t>
  </si>
  <si>
    <t>47-1050 6</t>
  </si>
  <si>
    <t>10673 1:5</t>
  </si>
  <si>
    <t>47-1050 7</t>
  </si>
  <si>
    <t>10674 1:5</t>
  </si>
  <si>
    <t>47-1050 8</t>
  </si>
  <si>
    <t>10675 1:5</t>
  </si>
  <si>
    <t>47-1050 9</t>
  </si>
  <si>
    <t>10676 1:5</t>
  </si>
  <si>
    <t>47-1050 10</t>
  </si>
  <si>
    <t>10677 1:5</t>
  </si>
  <si>
    <t>10678 1:5</t>
  </si>
  <si>
    <t>PACS-2 #6</t>
  </si>
  <si>
    <t>10679 1:5</t>
  </si>
  <si>
    <t>47-1050 11</t>
  </si>
  <si>
    <t>10680 1:5</t>
  </si>
  <si>
    <t>47-1050 12</t>
  </si>
  <si>
    <t>10681 1:5</t>
  </si>
  <si>
    <t>47-1050 13</t>
  </si>
  <si>
    <t>10682 1:5</t>
  </si>
  <si>
    <t>47-1050 14</t>
  </si>
  <si>
    <t>10683 1:5</t>
  </si>
  <si>
    <t>47-1050 15</t>
  </si>
  <si>
    <t>10684 1:5</t>
  </si>
  <si>
    <t>47-2000 1a</t>
  </si>
  <si>
    <t>10685 1:5</t>
  </si>
  <si>
    <t>47-2000 1b</t>
  </si>
  <si>
    <t>10686 1:5</t>
  </si>
  <si>
    <t>47-2000 2</t>
  </si>
  <si>
    <t>10687 1:5</t>
  </si>
  <si>
    <t>47-2000 3</t>
  </si>
  <si>
    <t>10688 1:5</t>
  </si>
  <si>
    <t>47-2000 4</t>
  </si>
  <si>
    <t>10689 1:10</t>
  </si>
  <si>
    <t>10689 1:5</t>
  </si>
  <si>
    <t>47-2000 5</t>
  </si>
  <si>
    <t>10690 1:5</t>
  </si>
  <si>
    <t>47-2000 6</t>
  </si>
  <si>
    <t>10691 1:5</t>
  </si>
  <si>
    <t>47-2000 7</t>
  </si>
  <si>
    <t>10692 1:5</t>
  </si>
  <si>
    <t>47-2000 8</t>
  </si>
  <si>
    <t>10693 1:5</t>
  </si>
  <si>
    <t>47-2000 9</t>
  </si>
  <si>
    <t>10694 1:5</t>
  </si>
  <si>
    <t>47-2000 10</t>
  </si>
  <si>
    <t>10695 1:5</t>
  </si>
  <si>
    <t>47-2000 21a</t>
  </si>
  <si>
    <t>10696 1:5</t>
  </si>
  <si>
    <t>47-2000 21b</t>
  </si>
  <si>
    <t>10697 1:5</t>
  </si>
  <si>
    <t>47-3800 1a</t>
  </si>
  <si>
    <t>10698 1:5</t>
  </si>
  <si>
    <t>47-3800 1b</t>
  </si>
  <si>
    <t>10699 1:5</t>
  </si>
  <si>
    <t>47-3800 2</t>
  </si>
  <si>
    <t>10700 1:5</t>
  </si>
  <si>
    <t>47-3800 3</t>
  </si>
  <si>
    <t>10701 1:5</t>
  </si>
  <si>
    <t>47-3800 4</t>
  </si>
  <si>
    <t>10702 1:5</t>
  </si>
  <si>
    <t>47-3800 5</t>
  </si>
  <si>
    <t>10703 1:5</t>
  </si>
  <si>
    <t>47-3800 6</t>
  </si>
  <si>
    <t>10704 1:5</t>
  </si>
  <si>
    <t>47-3800 7</t>
  </si>
  <si>
    <t>10705 1:5</t>
  </si>
  <si>
    <t>47-3800 8</t>
  </si>
  <si>
    <t>10706 1:5</t>
  </si>
  <si>
    <t>47-3800 9</t>
  </si>
  <si>
    <t>10707 1:5</t>
  </si>
  <si>
    <t>47-3800 10</t>
  </si>
  <si>
    <t>10708 1:5</t>
  </si>
  <si>
    <t>47-3800 11</t>
  </si>
  <si>
    <t>10709 1:5</t>
  </si>
  <si>
    <t>47-3800 12</t>
  </si>
  <si>
    <t>10710 1:5</t>
  </si>
  <si>
    <t>47-3800 13</t>
  </si>
  <si>
    <t>10711 1:5</t>
  </si>
  <si>
    <t>47-3800 14</t>
  </si>
  <si>
    <t>10712 1:5</t>
  </si>
  <si>
    <t>47-3800 15</t>
  </si>
  <si>
    <t>10713 1:5</t>
  </si>
  <si>
    <t>47-3800 16</t>
  </si>
  <si>
    <t>10714 1:5</t>
  </si>
  <si>
    <t>47-3800 17</t>
  </si>
  <si>
    <t>10715 1:5</t>
  </si>
  <si>
    <t>47-3800 18</t>
  </si>
  <si>
    <t>10716 1:5</t>
  </si>
  <si>
    <t>47-3800 19</t>
  </si>
  <si>
    <t>10717 1:5</t>
  </si>
  <si>
    <t>47-3800 20</t>
  </si>
  <si>
    <t>10718 1:5</t>
  </si>
  <si>
    <t>47-3800 21</t>
  </si>
  <si>
    <t>10719 1:5</t>
  </si>
  <si>
    <t>47-2000 19</t>
  </si>
  <si>
    <t>10720 1:5</t>
  </si>
  <si>
    <t>47-2000 20</t>
  </si>
  <si>
    <t>10721 1:5</t>
  </si>
  <si>
    <t>blank #1</t>
  </si>
  <si>
    <t>blank #2</t>
  </si>
  <si>
    <t>blank #4</t>
  </si>
  <si>
    <t>blank #5</t>
  </si>
  <si>
    <t>Bsi ug</t>
  </si>
  <si>
    <t>BSiO2 ug</t>
  </si>
  <si>
    <t>Bsi %</t>
  </si>
  <si>
    <t>BsiO2 %</t>
  </si>
  <si>
    <t>10ml per nutrient tube</t>
  </si>
  <si>
    <t>SiO2-Si umol</t>
  </si>
  <si>
    <t>umol/L</t>
  </si>
  <si>
    <t>copied from original file "SAZ_18 &amp; 17_BSi Login Samples and Results"</t>
  </si>
  <si>
    <t>3. centrifuge for 10min (3000rpm, 215 rotor, 15.4cm radius)</t>
  </si>
  <si>
    <t>original digest volume 5ml, then 4ml taken off for anaysis</t>
  </si>
  <si>
    <t>extraction blank</t>
  </si>
  <si>
    <t>final results SiO2-Si uM minus extraction blank average</t>
  </si>
  <si>
    <t>POC/PN</t>
  </si>
  <si>
    <t>Mol/mol</t>
  </si>
  <si>
    <t>This sample was run twice with similar results</t>
  </si>
  <si>
    <t>PIC analysis on this sample was run twice with similar results</t>
  </si>
  <si>
    <t>QC threshold 5%</t>
  </si>
  <si>
    <t>CHN qc</t>
  </si>
  <si>
    <t>Last PACS-2 standard (out of 3 in total), run at the end of saz18_3800 samples, was outside of quality control range</t>
  </si>
  <si>
    <t>metallic looking lumps?</t>
  </si>
  <si>
    <t>barely any coverage</t>
  </si>
  <si>
    <t>very uneven coverage, fish!</t>
  </si>
  <si>
    <t>fish!</t>
  </si>
  <si>
    <t>barely any coverage, no &gt;1mm fraction</t>
  </si>
  <si>
    <t>2 interesting large invertebrates</t>
  </si>
  <si>
    <t>&lt;1mm fraction initially split across 2 jars</t>
  </si>
  <si>
    <t>even less than 19</t>
  </si>
  <si>
    <t>almost no particles, no &gt;1mm fraction</t>
  </si>
  <si>
    <t>lots of faecal pellets that couldn't be washed through the sieve</t>
  </si>
  <si>
    <t>fluffy material, clogged sieve, split across 2 jars</t>
  </si>
  <si>
    <t>large opaque worm, fluff materia, split across 2 jars</t>
  </si>
  <si>
    <t>lots of faecal pellets</t>
  </si>
  <si>
    <t>Dried material is optically indistinguishable from other samples, no anomalies during weighing, PIC analysis ran normal</t>
  </si>
  <si>
    <t>There is no explanation why this sample is so different. PIC as well as CHN analyses ran normally, no anomalies during weighing. Sample looks normal. %C low compared to %N, %Bsi low but no obvious problems during analysis</t>
  </si>
  <si>
    <t>particulate total carbon minus particulate inorganic carbon</t>
  </si>
  <si>
    <t>sample_qc</t>
  </si>
  <si>
    <t>http://cfconventions.org/Data/cf-standard-names/47/build/cf-standard-name-table.html</t>
  </si>
  <si>
    <t>the long names can be what ever we like.</t>
  </si>
  <si>
    <t>the standard name conventions are here.  It they are not then we have to apply for a standard name.</t>
  </si>
  <si>
    <t>carbonate only has volume as canonical unit.</t>
  </si>
  <si>
    <t>standard_name</t>
  </si>
  <si>
    <t>Pickup 22/03/2017 INV17_02</t>
  </si>
  <si>
    <t>does this mean the salinity was 39 - (39/100)*4 after dilution?</t>
  </si>
  <si>
    <t>1 interesting large invertebrate</t>
  </si>
  <si>
    <t>mmol m-2 yr-1</t>
  </si>
  <si>
    <r>
      <rPr>
        <b/>
        <sz val="10"/>
        <rFont val="Arial"/>
        <family val="2"/>
      </rPr>
      <t xml:space="preserve">O 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</si>
  <si>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X</t>
    </r>
    <r>
      <rPr>
        <sz val="10"/>
        <rFont val="Arial"/>
        <family val="2"/>
      </rPr>
      <t xml:space="preserve"> 1</t>
    </r>
  </si>
  <si>
    <r>
      <rPr>
        <b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 xml:space="preserve"> 1</t>
    </r>
  </si>
  <si>
    <t xml:space="preserve"> Tilt sample interval:  720 minutes            </t>
  </si>
  <si>
    <t xml:space="preserve"> Event  Tilt  Heading</t>
  </si>
  <si>
    <t xml:space="preserve">   01    2.T   119.H</t>
  </si>
  <si>
    <t xml:space="preserve">   01    2.T    64.H</t>
  </si>
  <si>
    <t xml:space="preserve">   01    2.T   103.H</t>
  </si>
  <si>
    <t xml:space="preserve">   01    2.T   217.H</t>
  </si>
  <si>
    <t xml:space="preserve">   01    2.T   347.H</t>
  </si>
  <si>
    <t xml:space="preserve">   01    3.T    75.H</t>
  </si>
  <si>
    <t xml:space="preserve">   01    3.T    83.H</t>
  </si>
  <si>
    <t xml:space="preserve">   01    3.T   103.H</t>
  </si>
  <si>
    <t xml:space="preserve">   01    2.T    93.H</t>
  </si>
  <si>
    <t xml:space="preserve">   01    3.T    57.H</t>
  </si>
  <si>
    <t xml:space="preserve">   01    3.T    72.H</t>
  </si>
  <si>
    <t xml:space="preserve">   01    2.T    41.H</t>
  </si>
  <si>
    <t xml:space="preserve">   01    3.T    68.H</t>
  </si>
  <si>
    <t xml:space="preserve">   01    2.T    60.H</t>
  </si>
  <si>
    <t xml:space="preserve">   01    3.T    77.H</t>
  </si>
  <si>
    <t xml:space="preserve">   01    3.T    86.H</t>
  </si>
  <si>
    <t xml:space="preserve">   01    3.T   100.H</t>
  </si>
  <si>
    <t xml:space="preserve">   01    3.T   177.H</t>
  </si>
  <si>
    <t xml:space="preserve">   01    2.T   299.H</t>
  </si>
  <si>
    <t xml:space="preserve">   01    3.T    73.H</t>
  </si>
  <si>
    <t xml:space="preserve">   01    3.T   149.H</t>
  </si>
  <si>
    <t xml:space="preserve">   01    3.T   254.H</t>
  </si>
  <si>
    <t xml:space="preserve">   01    2.T    14.H</t>
  </si>
  <si>
    <t xml:space="preserve">   01    3.T   104.H</t>
  </si>
  <si>
    <t xml:space="preserve">   01    2.T    24.H</t>
  </si>
  <si>
    <t xml:space="preserve">   01    3.T    55.H</t>
  </si>
  <si>
    <t xml:space="preserve">   01    2.T    90.H</t>
  </si>
  <si>
    <t xml:space="preserve">   01    3.T    45.H</t>
  </si>
  <si>
    <t xml:space="preserve">   01    4.T    58.H</t>
  </si>
  <si>
    <t xml:space="preserve">   01    4.T    70.H</t>
  </si>
  <si>
    <t xml:space="preserve">   01    3.T    94.H</t>
  </si>
  <si>
    <t xml:space="preserve">   02    3.T    34.H</t>
  </si>
  <si>
    <t xml:space="preserve">   02    3.T    24.H</t>
  </si>
  <si>
    <t xml:space="preserve">   02    3.T    19.H</t>
  </si>
  <si>
    <t xml:space="preserve">   02    3.T    16.H</t>
  </si>
  <si>
    <t xml:space="preserve">   02    3.T    23.H</t>
  </si>
  <si>
    <t xml:space="preserve">   02    3.T    25.H</t>
  </si>
  <si>
    <t xml:space="preserve">   02    4.T    24.H</t>
  </si>
  <si>
    <t xml:space="preserve">   02    3.T    44.H</t>
  </si>
  <si>
    <t xml:space="preserve">   02    3.T    29.H</t>
  </si>
  <si>
    <t xml:space="preserve">   02    4.T    14.H</t>
  </si>
  <si>
    <t xml:space="preserve">   02    3.T    60.H</t>
  </si>
  <si>
    <t xml:space="preserve">   02    4.T    36.H</t>
  </si>
  <si>
    <t xml:space="preserve">   02    3.T    53.H</t>
  </si>
  <si>
    <t xml:space="preserve">   02    3.T    41.H</t>
  </si>
  <si>
    <t xml:space="preserve">   02    4.T    32.H</t>
  </si>
  <si>
    <t xml:space="preserve">   02    4.T    39.H</t>
  </si>
  <si>
    <t xml:space="preserve">   02    3.T    39.H</t>
  </si>
  <si>
    <t xml:space="preserve">   02    4.T    25.H</t>
  </si>
  <si>
    <t xml:space="preserve">   02    4.T    37.H</t>
  </si>
  <si>
    <t xml:space="preserve">   02    3.T    62.H</t>
  </si>
  <si>
    <t xml:space="preserve">   02    3.T    37.H</t>
  </si>
  <si>
    <t xml:space="preserve">   02    3.T    38.H</t>
  </si>
  <si>
    <t xml:space="preserve">   02    4.T    48.H</t>
  </si>
  <si>
    <t xml:space="preserve">   02    5.T    35.H</t>
  </si>
  <si>
    <t xml:space="preserve">   02    5.T    47.H</t>
  </si>
  <si>
    <t xml:space="preserve">   02    4.T    41.H</t>
  </si>
  <si>
    <t xml:space="preserve">   02    4.T    26.H</t>
  </si>
  <si>
    <t xml:space="preserve">   02    6.T    47.H</t>
  </si>
  <si>
    <t xml:space="preserve">   03    3.T    33.H</t>
  </si>
  <si>
    <t xml:space="preserve">   03    5.T    42.H</t>
  </si>
  <si>
    <t xml:space="preserve">   03    6.T    38.H</t>
  </si>
  <si>
    <t xml:space="preserve">   03    5.T    49.H</t>
  </si>
  <si>
    <t xml:space="preserve">   03    4.T    45.H</t>
  </si>
  <si>
    <t xml:space="preserve">   03    4.T    41.H</t>
  </si>
  <si>
    <t xml:space="preserve">   03    6.T    36.H</t>
  </si>
  <si>
    <t xml:space="preserve">   03    4.T    46.H</t>
  </si>
  <si>
    <t xml:space="preserve">   03    4.T    49.H</t>
  </si>
  <si>
    <t xml:space="preserve">   03    5.T    44.H</t>
  </si>
  <si>
    <t xml:space="preserve">   03    6.T    63.H</t>
  </si>
  <si>
    <t xml:space="preserve">   03    4.T    55.H</t>
  </si>
  <si>
    <t xml:space="preserve">   03    4.T    54.H</t>
  </si>
  <si>
    <t xml:space="preserve">   03    5.T    54.H</t>
  </si>
  <si>
    <t xml:space="preserve">   03    4.T    57.H</t>
  </si>
  <si>
    <t xml:space="preserve">   03    5.T    56.H</t>
  </si>
  <si>
    <t xml:space="preserve">   03    4.T    67.H</t>
  </si>
  <si>
    <t xml:space="preserve">   03    4.T    56.H</t>
  </si>
  <si>
    <t xml:space="preserve">   03    4.T    65.H</t>
  </si>
  <si>
    <t xml:space="preserve">   03    5.T    59.H</t>
  </si>
  <si>
    <t xml:space="preserve">   03    4.T    72.H</t>
  </si>
  <si>
    <t xml:space="preserve">   03    4.T    70.H</t>
  </si>
  <si>
    <t xml:space="preserve">   03    3.T    78.H</t>
  </si>
  <si>
    <t xml:space="preserve">   03    5.T    62.H</t>
  </si>
  <si>
    <t xml:space="preserve">   03    4.T    74.H</t>
  </si>
  <si>
    <t xml:space="preserve">   03    3.T    77.H</t>
  </si>
  <si>
    <t xml:space="preserve">   03    3.T    80.H</t>
  </si>
  <si>
    <t xml:space="preserve">   03    4.T    69.H</t>
  </si>
  <si>
    <t xml:space="preserve">   03    4.T    71.H</t>
  </si>
  <si>
    <t xml:space="preserve">   03    4.T    81.H</t>
  </si>
  <si>
    <t xml:space="preserve">   04    4.T    60.H</t>
  </si>
  <si>
    <t xml:space="preserve">   04    5.T    74.H</t>
  </si>
  <si>
    <t xml:space="preserve">   04    5.T    80.H</t>
  </si>
  <si>
    <t xml:space="preserve">   04    3.T    76.H</t>
  </si>
  <si>
    <t xml:space="preserve">   04    5.T    61.H</t>
  </si>
  <si>
    <t xml:space="preserve">   04    4.T    81.H</t>
  </si>
  <si>
    <t xml:space="preserve">   04    4.T    79.H</t>
  </si>
  <si>
    <t xml:space="preserve">   04    3.T    83.H</t>
  </si>
  <si>
    <t xml:space="preserve">   04    4.T    71.H</t>
  </si>
  <si>
    <t xml:space="preserve">   04    5.T    81.H</t>
  </si>
  <si>
    <t xml:space="preserve">   04    4.T    74.H</t>
  </si>
  <si>
    <t xml:space="preserve">   04    4.T    65.H</t>
  </si>
  <si>
    <t xml:space="preserve">   04    5.T    77.H</t>
  </si>
  <si>
    <t xml:space="preserve">   04    4.T    78.H</t>
  </si>
  <si>
    <t xml:space="preserve">   04    3.T    93.H</t>
  </si>
  <si>
    <t xml:space="preserve">   04    3.T    68.H</t>
  </si>
  <si>
    <t xml:space="preserve">   04    4.T    80.H</t>
  </si>
  <si>
    <t xml:space="preserve">   04    3.T    89.H</t>
  </si>
  <si>
    <t xml:space="preserve">   04    3.T    70.H</t>
  </si>
  <si>
    <t xml:space="preserve">   04    3.T    67.H</t>
  </si>
  <si>
    <t xml:space="preserve">   04    4.T    68.H</t>
  </si>
  <si>
    <t xml:space="preserve">   04    3.T    81.H</t>
  </si>
  <si>
    <t xml:space="preserve">   04    4.T    84.H</t>
  </si>
  <si>
    <t xml:space="preserve">   04    3.T    79.H</t>
  </si>
  <si>
    <t xml:space="preserve">   04    4.T    93.H</t>
  </si>
  <si>
    <t xml:space="preserve">   04    3.T    84.H</t>
  </si>
  <si>
    <t xml:space="preserve">   04    3.T    85.H</t>
  </si>
  <si>
    <t xml:space="preserve">   04    3.T    75.H</t>
  </si>
  <si>
    <t xml:space="preserve">   04    3.T    94.H</t>
  </si>
  <si>
    <t xml:space="preserve">   05    3.T    94.H</t>
  </si>
  <si>
    <t xml:space="preserve">   05    3.T    81.H</t>
  </si>
  <si>
    <t xml:space="preserve">   05    4.T   100.H</t>
  </si>
  <si>
    <t xml:space="preserve">   05    3.T   104.H</t>
  </si>
  <si>
    <t xml:space="preserve">   05    3.T    98.H</t>
  </si>
  <si>
    <t xml:space="preserve">   05    3.T    87.H</t>
  </si>
  <si>
    <t xml:space="preserve">   05    3.T   111.H</t>
  </si>
  <si>
    <t xml:space="preserve">   05    3.T    79.H</t>
  </si>
  <si>
    <t xml:space="preserve">   05    3.T    89.H</t>
  </si>
  <si>
    <t xml:space="preserve">   05    3.T    85.H</t>
  </si>
  <si>
    <t xml:space="preserve">   05    3.T    52.H</t>
  </si>
  <si>
    <t xml:space="preserve">   05    3.T    75.H</t>
  </si>
  <si>
    <t xml:space="preserve">   05    3.T    78.H</t>
  </si>
  <si>
    <t xml:space="preserve">   05    3.T    73.H</t>
  </si>
  <si>
    <t xml:space="preserve">   05    3.T    66.H</t>
  </si>
  <si>
    <t xml:space="preserve">   05    3.T    71.H</t>
  </si>
  <si>
    <t xml:space="preserve">   05    3.T    76.H</t>
  </si>
  <si>
    <t xml:space="preserve">   05    3.T    58.H</t>
  </si>
  <si>
    <t xml:space="preserve">   05    3.T    62.H</t>
  </si>
  <si>
    <t xml:space="preserve">   05    3.T   127.H</t>
  </si>
  <si>
    <t xml:space="preserve">   05    3.T    64.H</t>
  </si>
  <si>
    <t xml:space="preserve">   05    3.T   106.H</t>
  </si>
  <si>
    <t xml:space="preserve">   05    3.T    99.H</t>
  </si>
  <si>
    <t xml:space="preserve">   05    2.T   169.H</t>
  </si>
  <si>
    <t xml:space="preserve">   05    3.T    88.H</t>
  </si>
  <si>
    <t xml:space="preserve">   05    3.T    68.H</t>
  </si>
  <si>
    <t xml:space="preserve">   05    3.T    92.H</t>
  </si>
  <si>
    <t xml:space="preserve">   05    2.T   114.H</t>
  </si>
  <si>
    <t xml:space="preserve">   05    2.T    32.H</t>
  </si>
  <si>
    <t xml:space="preserve">   06    2.T   327.H</t>
  </si>
  <si>
    <t xml:space="preserve">   06    2.T    34.H</t>
  </si>
  <si>
    <t xml:space="preserve">   06    2.T    52.H</t>
  </si>
  <si>
    <t xml:space="preserve">   06    3.T    51.H</t>
  </si>
  <si>
    <t xml:space="preserve">   06    3.T    22.H</t>
  </si>
  <si>
    <t xml:space="preserve">   06    3.T    72.H</t>
  </si>
  <si>
    <t xml:space="preserve">   06    2.T    38.H</t>
  </si>
  <si>
    <t xml:space="preserve">   06    2.T    33.H</t>
  </si>
  <si>
    <t xml:space="preserve">   06    3.T    82.H</t>
  </si>
  <si>
    <t xml:space="preserve">   06    2.T   123.H</t>
  </si>
  <si>
    <t xml:space="preserve">   06    3.T   114.H</t>
  </si>
  <si>
    <t xml:space="preserve">   06    2.T    79.H</t>
  </si>
  <si>
    <t xml:space="preserve">   06    3.T   138.H</t>
  </si>
  <si>
    <t xml:space="preserve">   06    2.T   160.H</t>
  </si>
  <si>
    <t xml:space="preserve">   06    2.T    31.H</t>
  </si>
  <si>
    <t xml:space="preserve">   06    2.T    74.H</t>
  </si>
  <si>
    <t xml:space="preserve">   06    2.T   266.H</t>
  </si>
  <si>
    <t xml:space="preserve">   06    2.T    56.H</t>
  </si>
  <si>
    <t xml:space="preserve">   06    3.T    88.H</t>
  </si>
  <si>
    <t xml:space="preserve">   06    3.T   108.H</t>
  </si>
  <si>
    <t xml:space="preserve">   06    2.T   230.H</t>
  </si>
  <si>
    <t xml:space="preserve">   06    2.T   104.H</t>
  </si>
  <si>
    <t xml:space="preserve">   06    2.T   302.H</t>
  </si>
  <si>
    <t xml:space="preserve">   06    2.T   115.H</t>
  </si>
  <si>
    <t xml:space="preserve">   06    2.T   195.H</t>
  </si>
  <si>
    <t xml:space="preserve">   06    3.T   254.H</t>
  </si>
  <si>
    <t xml:space="preserve">   06    3.T   263.H</t>
  </si>
  <si>
    <t xml:space="preserve">   06    2.T   333.H</t>
  </si>
  <si>
    <t xml:space="preserve">   06    3.T    89.H</t>
  </si>
  <si>
    <t xml:space="preserve">   06    3.T   174.H</t>
  </si>
  <si>
    <t xml:space="preserve">   06    3.T   283.H</t>
  </si>
  <si>
    <t xml:space="preserve">   06    2.T   339.H</t>
  </si>
  <si>
    <t xml:space="preserve">   07    2.T   117.H</t>
  </si>
  <si>
    <t xml:space="preserve">   07    2.T   354.H</t>
  </si>
  <si>
    <t xml:space="preserve">   07    3.T    25.H</t>
  </si>
  <si>
    <t xml:space="preserve">   07    2.T   144.H</t>
  </si>
  <si>
    <t xml:space="preserve">   07    3.T    57.H</t>
  </si>
  <si>
    <t xml:space="preserve">   07    2.T    56.H</t>
  </si>
  <si>
    <t xml:space="preserve">   07    3.T    29.H</t>
  </si>
  <si>
    <t xml:space="preserve">   07    3.T    70.H</t>
  </si>
  <si>
    <t xml:space="preserve">   07    3.T    27.H</t>
  </si>
  <si>
    <t xml:space="preserve">   07    3.T    18.H</t>
  </si>
  <si>
    <t xml:space="preserve">   07    3.T    35.H</t>
  </si>
  <si>
    <t xml:space="preserve">   07    3.T    80.H</t>
  </si>
  <si>
    <t xml:space="preserve">   07    3.T   103.H</t>
  </si>
  <si>
    <t xml:space="preserve">   07    3.T    55.H</t>
  </si>
  <si>
    <t xml:space="preserve">   07    3.T    56.H</t>
  </si>
  <si>
    <t xml:space="preserve">   07    3.T    95.H</t>
  </si>
  <si>
    <t xml:space="preserve">   07    3.T   140.H</t>
  </si>
  <si>
    <t xml:space="preserve">   07    3.T    46.H</t>
  </si>
  <si>
    <t xml:space="preserve">   07    3.T    81.H</t>
  </si>
  <si>
    <t xml:space="preserve">   07    3.T   124.H</t>
  </si>
  <si>
    <t xml:space="preserve">   07    2.T   229.H</t>
  </si>
  <si>
    <t xml:space="preserve">   07    2.T   295.H</t>
  </si>
  <si>
    <t xml:space="preserve">   07    2.T    78.H</t>
  </si>
  <si>
    <t xml:space="preserve">   07    2.T   116.H</t>
  </si>
  <si>
    <t xml:space="preserve">   07    3.T   227.H</t>
  </si>
  <si>
    <t xml:space="preserve">   07    2.T    89.H</t>
  </si>
  <si>
    <t xml:space="preserve">   07    3.T   127.H</t>
  </si>
  <si>
    <t xml:space="preserve">   07    3.T   243.H</t>
  </si>
  <si>
    <t xml:space="preserve">   07    3.T   345.H</t>
  </si>
  <si>
    <t xml:space="preserve">   07    2.T   353.H</t>
  </si>
  <si>
    <t xml:space="preserve">   07    3.T   154.H</t>
  </si>
  <si>
    <t xml:space="preserve">   07    3.T   258.H</t>
  </si>
  <si>
    <t xml:space="preserve">   08    2.T    17.H</t>
  </si>
  <si>
    <t xml:space="preserve">   08    3.T   204.H</t>
  </si>
  <si>
    <t xml:space="preserve">   08    3.T   318.H</t>
  </si>
  <si>
    <t xml:space="preserve">   08    3.T    78.H</t>
  </si>
  <si>
    <t xml:space="preserve">   08    3.T   242.H</t>
  </si>
  <si>
    <t xml:space="preserve">   08    3.T   337.H</t>
  </si>
  <si>
    <t xml:space="preserve">   08    3.T    31.H</t>
  </si>
  <si>
    <t xml:space="preserve">   08    2.T   131.H</t>
  </si>
  <si>
    <t xml:space="preserve">   08    3.T   214.H</t>
  </si>
  <si>
    <t xml:space="preserve">   08    2.T   300.H</t>
  </si>
  <si>
    <t xml:space="preserve">   08    3.T   360.H</t>
  </si>
  <si>
    <t xml:space="preserve">   08    3.T    80.H</t>
  </si>
  <si>
    <t xml:space="preserve">   08    2.T     5.H</t>
  </si>
  <si>
    <t xml:space="preserve">   08    3.T    12.H</t>
  </si>
  <si>
    <t xml:space="preserve">   08    3.T    96.H</t>
  </si>
  <si>
    <t xml:space="preserve">   08    3.T   269.H</t>
  </si>
  <si>
    <t xml:space="preserve">   08    3.T   273.H</t>
  </si>
  <si>
    <t xml:space="preserve">   08    3.T    14.H</t>
  </si>
  <si>
    <t xml:space="preserve">   08    3.T   296.H</t>
  </si>
  <si>
    <t xml:space="preserve">   08    3.T   255.H</t>
  </si>
  <si>
    <t xml:space="preserve">   08    2.T   322.H</t>
  </si>
  <si>
    <t xml:space="preserve">   08    3.T    16.H</t>
  </si>
  <si>
    <t xml:space="preserve">   08    3.T   212.H</t>
  </si>
  <si>
    <t xml:space="preserve">   08    3.T   310.H</t>
  </si>
  <si>
    <t xml:space="preserve">   08    3.T   355.H</t>
  </si>
  <si>
    <t xml:space="preserve">   08    2.T    66.H</t>
  </si>
  <si>
    <t xml:space="preserve">   08    3.T   150.H</t>
  </si>
  <si>
    <t xml:space="preserve">   08    3.T   284.H</t>
  </si>
  <si>
    <t xml:space="preserve">   08    3.T     5.H</t>
  </si>
  <si>
    <t xml:space="preserve">   08    2.T    18.H</t>
  </si>
  <si>
    <t xml:space="preserve">   08    3.T   274.H</t>
  </si>
  <si>
    <t xml:space="preserve">   08    3.T   312.H</t>
  </si>
  <si>
    <t xml:space="preserve">   09    2.T    80.H</t>
  </si>
  <si>
    <t xml:space="preserve">   09    3.T   276.H</t>
  </si>
  <si>
    <t xml:space="preserve">   09    2.T    66.H</t>
  </si>
  <si>
    <t xml:space="preserve">   09    3.T    72.H</t>
  </si>
  <si>
    <t xml:space="preserve">   09    3.T   127.H</t>
  </si>
  <si>
    <t xml:space="preserve">   09    3.T   283.H</t>
  </si>
  <si>
    <t xml:space="preserve">   09    2.T    17.H</t>
  </si>
  <si>
    <t xml:space="preserve">   09    3.T    74.H</t>
  </si>
  <si>
    <t xml:space="preserve">   09    3.T   181.H</t>
  </si>
  <si>
    <t xml:space="preserve">   09    3.T   257.H</t>
  </si>
  <si>
    <t xml:space="preserve">   09    3.T     4.H</t>
  </si>
  <si>
    <t xml:space="preserve">   09    3.T    81.H</t>
  </si>
  <si>
    <t xml:space="preserve">   09    3.T   163.H</t>
  </si>
  <si>
    <t xml:space="preserve">   09    3.T   258.H</t>
  </si>
  <si>
    <t xml:space="preserve">   09    2.T   162.H</t>
  </si>
  <si>
    <t xml:space="preserve">   09    3.T   123.H</t>
  </si>
  <si>
    <t xml:space="preserve">   09    3.T   190.H</t>
  </si>
  <si>
    <t xml:space="preserve">   09    3.T   245.H</t>
  </si>
  <si>
    <t xml:space="preserve">   09    3.T   243.H</t>
  </si>
  <si>
    <t xml:space="preserve">   09    3.T   195.H</t>
  </si>
  <si>
    <t xml:space="preserve">   09    3.T   227.H</t>
  </si>
  <si>
    <t xml:space="preserve">   09    3.T   244.H</t>
  </si>
  <si>
    <t xml:space="preserve">   09    3.T   277.H</t>
  </si>
  <si>
    <t xml:space="preserve">   09    2.T   346.H</t>
  </si>
  <si>
    <t xml:space="preserve">   09    2.T    40.H</t>
  </si>
  <si>
    <t xml:space="preserve">   09    3.T   180.H</t>
  </si>
  <si>
    <t xml:space="preserve">   09    2.T   236.H</t>
  </si>
  <si>
    <t xml:space="preserve">   09    3.T    53.H</t>
  </si>
  <si>
    <t xml:space="preserve">   09    3.T   102.H</t>
  </si>
  <si>
    <t xml:space="preserve">   09    3.T   140.H</t>
  </si>
  <si>
    <t xml:space="preserve">   09    3.T    86.H</t>
  </si>
  <si>
    <t xml:space="preserve">   09    3.T    94.H</t>
  </si>
  <si>
    <t xml:space="preserve">   10    3.T    81.H</t>
  </si>
  <si>
    <t xml:space="preserve">   10    3.T    77.H</t>
  </si>
  <si>
    <t xml:space="preserve">   10    3.T   118.H</t>
  </si>
  <si>
    <t xml:space="preserve">   10    3.T   235.H</t>
  </si>
  <si>
    <t xml:space="preserve">   10    2.T    38.H</t>
  </si>
  <si>
    <t xml:space="preserve">   10    3.T   122.H</t>
  </si>
  <si>
    <t xml:space="preserve">   10    3.T   214.H</t>
  </si>
  <si>
    <t xml:space="preserve">   10    3.T   286.H</t>
  </si>
  <si>
    <t xml:space="preserve">   10    2.T   353.H</t>
  </si>
  <si>
    <t xml:space="preserve">   10    3.T   207.H</t>
  </si>
  <si>
    <t xml:space="preserve">   10    3.T   256.H</t>
  </si>
  <si>
    <t xml:space="preserve">   10    3.T   309.H</t>
  </si>
  <si>
    <t xml:space="preserve">   10    3.T   264.H</t>
  </si>
  <si>
    <t xml:space="preserve">   10    3.T   305.H</t>
  </si>
  <si>
    <t xml:space="preserve">   10    3.T    35.H</t>
  </si>
  <si>
    <t xml:space="preserve">   10    3.T    90.H</t>
  </si>
  <si>
    <t xml:space="preserve">   10    3.T   262.H</t>
  </si>
  <si>
    <t xml:space="preserve">   10    3.T   339.H</t>
  </si>
  <si>
    <t xml:space="preserve">   10    3.T    19.H</t>
  </si>
  <si>
    <t xml:space="preserve">   10    3.T   344.H</t>
  </si>
  <si>
    <t xml:space="preserve">   10    3.T   307.H</t>
  </si>
  <si>
    <t xml:space="preserve">   10    3.T     3.H</t>
  </si>
  <si>
    <t xml:space="preserve">   10    2.T   306.H</t>
  </si>
  <si>
    <t xml:space="preserve">   10    3.T   334.H</t>
  </si>
  <si>
    <t xml:space="preserve">   10    3.T   317.H</t>
  </si>
  <si>
    <t xml:space="preserve">   10    2.T    11.H</t>
  </si>
  <si>
    <t xml:space="preserve">   10    3.T    30.H</t>
  </si>
  <si>
    <t xml:space="preserve">   10    3.T   354.H</t>
  </si>
  <si>
    <t xml:space="preserve">   10    3.T   349.H</t>
  </si>
  <si>
    <t xml:space="preserve">   10    3.T     1.H</t>
  </si>
  <si>
    <t xml:space="preserve">   10    3.T   266.H</t>
  </si>
  <si>
    <t xml:space="preserve">   10    3.T   296.H</t>
  </si>
  <si>
    <t xml:space="preserve">   11    3.T   251.H</t>
  </si>
  <si>
    <t xml:space="preserve">   11    3.T   283.H</t>
  </si>
  <si>
    <t xml:space="preserve">   11    3.T   304.H</t>
  </si>
  <si>
    <t xml:space="preserve">   11    3.T   321.H</t>
  </si>
  <si>
    <t xml:space="preserve">   11    3.T   293.H</t>
  </si>
  <si>
    <t xml:space="preserve">   11    3.T   298.H</t>
  </si>
  <si>
    <t xml:space="preserve">   11    3.T   295.H</t>
  </si>
  <si>
    <t xml:space="preserve">   11    3.T   268.H</t>
  </si>
  <si>
    <t xml:space="preserve">   11    3.T   267.H</t>
  </si>
  <si>
    <t xml:space="preserve">   11    3.T   291.H</t>
  </si>
  <si>
    <t xml:space="preserve">   11    2.T   326.H</t>
  </si>
  <si>
    <t xml:space="preserve">   11    3.T   263.H</t>
  </si>
  <si>
    <t xml:space="preserve">   11    3.T   305.H</t>
  </si>
  <si>
    <t xml:space="preserve">   11    3.T   246.H</t>
  </si>
  <si>
    <t xml:space="preserve">   11    3.T   303.H</t>
  </si>
  <si>
    <t xml:space="preserve">   11    2.T   349.H</t>
  </si>
  <si>
    <t xml:space="preserve">   11    3.T   218.H</t>
  </si>
  <si>
    <t xml:space="preserve">   11    2.T   257.H</t>
  </si>
  <si>
    <t xml:space="preserve">   11    2.T   256.H</t>
  </si>
  <si>
    <t xml:space="preserve">   11    3.T   156.H</t>
  </si>
  <si>
    <t xml:space="preserve">   11    3.T   250.H</t>
  </si>
  <si>
    <t xml:space="preserve">   11    3.T   120.H</t>
  </si>
  <si>
    <t xml:space="preserve">   11    3.T   122.H</t>
  </si>
  <si>
    <t xml:space="preserve">   11    3.T   148.H</t>
  </si>
  <si>
    <t xml:space="preserve">   11    3.T   113.H</t>
  </si>
  <si>
    <t xml:space="preserve">   11    3.T    87.H</t>
  </si>
  <si>
    <t xml:space="preserve">   11    3.T   124.H</t>
  </si>
  <si>
    <t xml:space="preserve">   11    2.T   201.H</t>
  </si>
  <si>
    <t xml:space="preserve">   12    3.T    55.H</t>
  </si>
  <si>
    <t xml:space="preserve">   12    3.T   303.H</t>
  </si>
  <si>
    <t xml:space="preserve">   12    2.T   304.H</t>
  </si>
  <si>
    <t xml:space="preserve">   12    2.T    87.H</t>
  </si>
  <si>
    <t xml:space="preserve">   12    3.T   324.H</t>
  </si>
  <si>
    <t xml:space="preserve">   12    3.T   330.H</t>
  </si>
  <si>
    <t xml:space="preserve">   12    3.T     5.H</t>
  </si>
  <si>
    <t xml:space="preserve">   12    3.T   359.H</t>
  </si>
  <si>
    <t xml:space="preserve">   12    3.T     4.H</t>
  </si>
  <si>
    <t xml:space="preserve">   12    4.T   349.H</t>
  </si>
  <si>
    <t xml:space="preserve">   12    4.T   350.H</t>
  </si>
  <si>
    <t xml:space="preserve">   12    3.T     3.H</t>
  </si>
  <si>
    <t xml:space="preserve">   12    3.T    10.H</t>
  </si>
  <si>
    <t xml:space="preserve">   12    3.T    15.H</t>
  </si>
  <si>
    <t xml:space="preserve">   12    3.T    17.H</t>
  </si>
  <si>
    <t xml:space="preserve">   12    3.T     1.H</t>
  </si>
  <si>
    <t xml:space="preserve">   12    3.T    24.H</t>
  </si>
  <si>
    <t xml:space="preserve">   12    3.T    47.H</t>
  </si>
  <si>
    <t xml:space="preserve">   12    3.T     2.H</t>
  </si>
  <si>
    <t xml:space="preserve">   12    3.T    11.H</t>
  </si>
  <si>
    <t xml:space="preserve">   12    3.T   335.H</t>
  </si>
  <si>
    <t xml:space="preserve">   12    2.T    74.H</t>
  </si>
  <si>
    <t xml:space="preserve">   12    3.T   305.H</t>
  </si>
  <si>
    <t xml:space="preserve">   12    3.T   338.H</t>
  </si>
  <si>
    <t xml:space="preserve">   12    2.T   331.H</t>
  </si>
  <si>
    <t xml:space="preserve">   12    3.T   273.H</t>
  </si>
  <si>
    <t xml:space="preserve">   12    3.T   284.H</t>
  </si>
  <si>
    <t xml:space="preserve">   12    3.T   325.H</t>
  </si>
  <si>
    <t xml:space="preserve">   12    3.T   234.H</t>
  </si>
  <si>
    <t xml:space="preserve">   12    3.T   205.H</t>
  </si>
  <si>
    <t xml:space="preserve">   12    3.T   259.H</t>
  </si>
  <si>
    <t xml:space="preserve">   13    3.T   257.H</t>
  </si>
  <si>
    <t xml:space="preserve">   13    3.T   293.H</t>
  </si>
  <si>
    <t xml:space="preserve">   13    2.T   344.H</t>
  </si>
  <si>
    <t xml:space="preserve">   13    3.T   118.H</t>
  </si>
  <si>
    <t xml:space="preserve">   13    3.T   203.H</t>
  </si>
  <si>
    <t xml:space="preserve">   13    3.T   310.H</t>
  </si>
  <si>
    <t xml:space="preserve">   13    3.T   334.H</t>
  </si>
  <si>
    <t xml:space="preserve">   13    3.T   135.H</t>
  </si>
  <si>
    <t xml:space="preserve">   13    3.T   273.H</t>
  </si>
  <si>
    <t xml:space="preserve">   13    3.T   336.H</t>
  </si>
  <si>
    <t xml:space="preserve">   13    3.T   211.H</t>
  </si>
  <si>
    <t xml:space="preserve">   13    3.T   223.H</t>
  </si>
  <si>
    <t xml:space="preserve">   13    3.T   311.H</t>
  </si>
  <si>
    <t xml:space="preserve">   13    2.T   352.H</t>
  </si>
  <si>
    <t xml:space="preserve">   13    3.T    93.H</t>
  </si>
  <si>
    <t xml:space="preserve">   13    3.T   185.H</t>
  </si>
  <si>
    <t xml:space="preserve">   13    3.T   294.H</t>
  </si>
  <si>
    <t xml:space="preserve">   13    3.T    13.H</t>
  </si>
  <si>
    <t xml:space="preserve">   13    3.T   105.H</t>
  </si>
  <si>
    <t xml:space="preserve">   13    3.T   164.H</t>
  </si>
  <si>
    <t xml:space="preserve">   13    3.T   268.H</t>
  </si>
  <si>
    <t xml:space="preserve">   13    3.T    18.H</t>
  </si>
  <si>
    <t xml:space="preserve">   13    3.T   107.H</t>
  </si>
  <si>
    <t xml:space="preserve">   13    3.T   242.H</t>
  </si>
  <si>
    <t xml:space="preserve">   13    3.T   315.H</t>
  </si>
  <si>
    <t xml:space="preserve">   13    2.T   299.H</t>
  </si>
  <si>
    <t xml:space="preserve">   13    3.T   231.H</t>
  </si>
  <si>
    <t xml:space="preserve">   13    3.T   340.H</t>
  </si>
  <si>
    <t xml:space="preserve">   13    2.T   327.H</t>
  </si>
  <si>
    <t xml:space="preserve">   13    3.T   279.H</t>
  </si>
  <si>
    <t xml:space="preserve">   13    3.T   238.H</t>
  </si>
  <si>
    <t xml:space="preserve">   13    3.T   314.H</t>
  </si>
  <si>
    <t xml:space="preserve">   14    3.T   252.H</t>
  </si>
  <si>
    <t xml:space="preserve">   14    3.T   313.H</t>
  </si>
  <si>
    <t xml:space="preserve">   14    2.T     7.H</t>
  </si>
  <si>
    <t xml:space="preserve">   14    2.T    13.H</t>
  </si>
  <si>
    <t xml:space="preserve">   14    3.T   119.H</t>
  </si>
  <si>
    <t xml:space="preserve">   14    3.T   295.H</t>
  </si>
  <si>
    <t xml:space="preserve">   14    2.T    69.H</t>
  </si>
  <si>
    <t xml:space="preserve">   14    3.T   196.H</t>
  </si>
  <si>
    <t xml:space="preserve">   14    3.T   124.H</t>
  </si>
  <si>
    <t xml:space="preserve">   14    3.T    84.H</t>
  </si>
  <si>
    <t xml:space="preserve">   14    2.T   125.H</t>
  </si>
  <si>
    <t xml:space="preserve">   14    3.T   262.H</t>
  </si>
  <si>
    <t xml:space="preserve">   14    2.T   292.H</t>
  </si>
  <si>
    <t xml:space="preserve">   14    2.T     6.H</t>
  </si>
  <si>
    <t xml:space="preserve">   14    2.T   315.H</t>
  </si>
  <si>
    <t xml:space="preserve">   14    2.T    91.H</t>
  </si>
  <si>
    <t xml:space="preserve">   14    2.T   339.H</t>
  </si>
  <si>
    <t xml:space="preserve">   14    2.T    78.H</t>
  </si>
  <si>
    <t xml:space="preserve">   14    2.T   115.H</t>
  </si>
  <si>
    <t xml:space="preserve">   14    3.T   285.H</t>
  </si>
  <si>
    <t xml:space="preserve">   14    2.T    63.H</t>
  </si>
  <si>
    <t xml:space="preserve">   14    2.T   149.H</t>
  </si>
  <si>
    <t xml:space="preserve">   14    2.T   281.H</t>
  </si>
  <si>
    <t xml:space="preserve">   14    2.T   322.H</t>
  </si>
  <si>
    <t xml:space="preserve">   14    2.T    47.H</t>
  </si>
  <si>
    <t xml:space="preserve">   14    2.T   139.H</t>
  </si>
  <si>
    <t xml:space="preserve">   14    3.T   265.H</t>
  </si>
  <si>
    <t xml:space="preserve">   14    3.T   318.H</t>
  </si>
  <si>
    <t xml:space="preserve">   14    3.T     9.H</t>
  </si>
  <si>
    <t xml:space="preserve">   14    2.T    25.H</t>
  </si>
  <si>
    <t xml:space="preserve">   14    3.T   311.H</t>
  </si>
  <si>
    <t xml:space="preserve">   14    2.T   272.H</t>
  </si>
  <si>
    <t xml:space="preserve">   15    3.T    12.H</t>
  </si>
  <si>
    <t xml:space="preserve">   15    2.T   248.H</t>
  </si>
  <si>
    <t xml:space="preserve">   15    2.T   290.H</t>
  </si>
  <si>
    <t xml:space="preserve">   15    3.T    40.H</t>
  </si>
  <si>
    <t xml:space="preserve">   15    3.T   337.H</t>
  </si>
  <si>
    <t xml:space="preserve">   15    3.T    15.H</t>
  </si>
  <si>
    <t xml:space="preserve">   15    3.T   330.H</t>
  </si>
  <si>
    <t xml:space="preserve">   15    3.T   358.H</t>
  </si>
  <si>
    <t xml:space="preserve">   15    3.T   342.H</t>
  </si>
  <si>
    <t xml:space="preserve">   15    3.T     9.H</t>
  </si>
  <si>
    <t xml:space="preserve">   15    2.T   331.H</t>
  </si>
  <si>
    <t xml:space="preserve">   15    2.T   245.H</t>
  </si>
  <si>
    <t xml:space="preserve">   15    3.T   308.H</t>
  </si>
  <si>
    <t xml:space="preserve">   15    2.T   217.H</t>
  </si>
  <si>
    <t xml:space="preserve">   15    2.T   159.H</t>
  </si>
  <si>
    <t xml:space="preserve">   15    3.T   304.H</t>
  </si>
  <si>
    <t xml:space="preserve">   15    2.T   213.H</t>
  </si>
  <si>
    <t xml:space="preserve">   15    3.T   257.H</t>
  </si>
  <si>
    <t xml:space="preserve">   15    3.T   181.H</t>
  </si>
  <si>
    <t xml:space="preserve">   15    3.T   289.H</t>
  </si>
  <si>
    <t xml:space="preserve">   15    2.T   257.H</t>
  </si>
  <si>
    <t xml:space="preserve">   15    3.T   275.H</t>
  </si>
  <si>
    <t xml:space="preserve">   15    3.T   284.H</t>
  </si>
  <si>
    <t xml:space="preserve">   15    3.T   321.H</t>
  </si>
  <si>
    <t xml:space="preserve">   15    3.T   331.H</t>
  </si>
  <si>
    <t xml:space="preserve">   15    3.T   235.H</t>
  </si>
  <si>
    <t xml:space="preserve">   15    3.T   310.H</t>
  </si>
  <si>
    <t xml:space="preserve">   15    2.T   349.H</t>
  </si>
  <si>
    <t xml:space="preserve">   15    3.T   240.H</t>
  </si>
  <si>
    <t xml:space="preserve">   15    3.T   295.H</t>
  </si>
  <si>
    <t xml:space="preserve">   15    3.T   351.H</t>
  </si>
  <si>
    <t xml:space="preserve">   15    2.T     5.H</t>
  </si>
  <si>
    <t xml:space="preserve">   15    3.T   323.H</t>
  </si>
  <si>
    <t xml:space="preserve">   16    3.T   329.H</t>
  </si>
  <si>
    <t xml:space="preserve">   16    2.T    82.H</t>
  </si>
  <si>
    <t xml:space="preserve">   16    3.T   163.H</t>
  </si>
  <si>
    <t xml:space="preserve">   16    3.T   140.H</t>
  </si>
  <si>
    <t xml:space="preserve">   16    2.T    41.H</t>
  </si>
  <si>
    <t xml:space="preserve">   16    3.T   130.H</t>
  </si>
  <si>
    <t xml:space="preserve">   16    2.T   311.H</t>
  </si>
  <si>
    <t xml:space="preserve">   16    3.T   302.H</t>
  </si>
  <si>
    <t xml:space="preserve">   16    3.T   338.H</t>
  </si>
  <si>
    <t xml:space="preserve">   16    3.T   217.H</t>
  </si>
  <si>
    <t xml:space="preserve">   16    3.T   284.H</t>
  </si>
  <si>
    <t xml:space="preserve">   16    3.T   294.H</t>
  </si>
  <si>
    <t xml:space="preserve">   16    2.T     1.H</t>
  </si>
  <si>
    <t xml:space="preserve">   16    3.T   225.H</t>
  </si>
  <si>
    <t xml:space="preserve">   16    3.T   255.H</t>
  </si>
  <si>
    <t xml:space="preserve">   16    3.T   296.H</t>
  </si>
  <si>
    <t xml:space="preserve">   16    3.T   324.H</t>
  </si>
  <si>
    <t xml:space="preserve">   16    3.T   331.H</t>
  </si>
  <si>
    <t xml:space="preserve">   16    3.T   275.H</t>
  </si>
  <si>
    <t xml:space="preserve">   16    3.T   265.H</t>
  </si>
  <si>
    <t xml:space="preserve">   16    3.T   349.H</t>
  </si>
  <si>
    <t xml:space="preserve">   16    3.T   339.H</t>
  </si>
  <si>
    <t xml:space="preserve">   16    3.T   341.H</t>
  </si>
  <si>
    <t xml:space="preserve">   16    3.T   346.H</t>
  </si>
  <si>
    <t xml:space="preserve">   16    3.T   352.H</t>
  </si>
  <si>
    <t xml:space="preserve">   16    2.T    54.H</t>
  </si>
  <si>
    <t xml:space="preserve">   16    2.T   273.H</t>
  </si>
  <si>
    <t xml:space="preserve">   16    2.T     5.H</t>
  </si>
  <si>
    <t xml:space="preserve">   16    2.T    49.H</t>
  </si>
  <si>
    <t xml:space="preserve">   16    3.T    56.H</t>
  </si>
  <si>
    <t xml:space="preserve">   16    3.T    74.H</t>
  </si>
  <si>
    <t xml:space="preserve">   16    3.T    98.H</t>
  </si>
  <si>
    <t xml:space="preserve">   16    2.T   349.H</t>
  </si>
  <si>
    <t xml:space="preserve">   17    2.T   110.H</t>
  </si>
  <si>
    <t xml:space="preserve">   17    3.T   133.H</t>
  </si>
  <si>
    <t xml:space="preserve">   17    3.T    85.H</t>
  </si>
  <si>
    <t xml:space="preserve">   17    2.T   105.H</t>
  </si>
  <si>
    <t xml:space="preserve">   17    3.T   146.H</t>
  </si>
  <si>
    <t xml:space="preserve">   17    3.T   154.H</t>
  </si>
  <si>
    <t xml:space="preserve">   17    2.T   149.H</t>
  </si>
  <si>
    <t xml:space="preserve">   17    2.T   347.H</t>
  </si>
  <si>
    <t xml:space="preserve">   17    2.T   226.H</t>
  </si>
  <si>
    <t xml:space="preserve">   17    2.T   332.H</t>
  </si>
  <si>
    <t xml:space="preserve">   17    3.T   288.H</t>
  </si>
  <si>
    <t xml:space="preserve">   17    3.T   123.H</t>
  </si>
  <si>
    <t xml:space="preserve">   17    3.T   160.H</t>
  </si>
  <si>
    <t xml:space="preserve">   17    3.T   263.H</t>
  </si>
  <si>
    <t xml:space="preserve">   17    3.T     3.H</t>
  </si>
  <si>
    <t xml:space="preserve">   17    2.T    44.H</t>
  </si>
  <si>
    <t xml:space="preserve">   17    2.T   223.H</t>
  </si>
  <si>
    <t xml:space="preserve">   17    3.T   314.H</t>
  </si>
  <si>
    <t xml:space="preserve">   17    3.T   340.H</t>
  </si>
  <si>
    <t xml:space="preserve">   17    2.T   276.H</t>
  </si>
  <si>
    <t xml:space="preserve">   17    3.T   302.H</t>
  </si>
  <si>
    <t xml:space="preserve">   17    3.T   337.H</t>
  </si>
  <si>
    <t xml:space="preserve">   17    3.T     2.H</t>
  </si>
  <si>
    <t xml:space="preserve">   17    2.T   159.H</t>
  </si>
  <si>
    <t xml:space="preserve">   17    3.T    11.H</t>
  </si>
  <si>
    <t xml:space="preserve">   17    2.T    38.H</t>
  </si>
  <si>
    <t xml:space="preserve">   17    3.T    30.H</t>
  </si>
  <si>
    <t xml:space="preserve">   17    2.T    21.H</t>
  </si>
  <si>
    <t xml:space="preserve">   17    3.T   335.H</t>
  </si>
  <si>
    <t xml:space="preserve">   17    2.T    39.H</t>
  </si>
  <si>
    <t xml:space="preserve">   17    2.T    12.H</t>
  </si>
  <si>
    <t xml:space="preserve">   18    3.T   290.H</t>
  </si>
  <si>
    <t xml:space="preserve">   18    3.T   317.H</t>
  </si>
  <si>
    <t xml:space="preserve">   18    3.T   284.H</t>
  </si>
  <si>
    <t xml:space="preserve">   18    3.T   276.H</t>
  </si>
  <si>
    <t xml:space="preserve">   18    3.T   310.H</t>
  </si>
  <si>
    <t xml:space="preserve">   18    3.T   233.H</t>
  </si>
  <si>
    <t xml:space="preserve">   18    3.T   227.H</t>
  </si>
  <si>
    <t xml:space="preserve">   18    3.T   285.H</t>
  </si>
  <si>
    <t xml:space="preserve">   18    3.T   291.H</t>
  </si>
  <si>
    <t xml:space="preserve">   18    3.T   263.H</t>
  </si>
  <si>
    <t xml:space="preserve">   18    3.T   299.H</t>
  </si>
  <si>
    <t xml:space="preserve">   18    3.T   259.H</t>
  </si>
  <si>
    <t xml:space="preserve">   18    3.T   314.H</t>
  </si>
  <si>
    <t xml:space="preserve">   18    3.T   336.H</t>
  </si>
  <si>
    <t xml:space="preserve">   18    3.T   349.H</t>
  </si>
  <si>
    <t xml:space="preserve">   18    3.T   351.H</t>
  </si>
  <si>
    <t xml:space="preserve">   18    3.T   355.H</t>
  </si>
  <si>
    <t xml:space="preserve">   18    2.T    68.H</t>
  </si>
  <si>
    <t xml:space="preserve">   18    2.T   155.H</t>
  </si>
  <si>
    <t xml:space="preserve">   18    2.T    29.H</t>
  </si>
  <si>
    <t xml:space="preserve">   18    3.T    25.H</t>
  </si>
  <si>
    <t xml:space="preserve">   18    2.T    91.H</t>
  </si>
  <si>
    <t xml:space="preserve">   18    2.T    71.H</t>
  </si>
  <si>
    <t xml:space="preserve">   18    2.T   294.H</t>
  </si>
  <si>
    <t xml:space="preserve">   18    3.T   268.H</t>
  </si>
  <si>
    <t xml:space="preserve">   18    2.T   175.H</t>
  </si>
  <si>
    <t xml:space="preserve">   18    3.T   248.H</t>
  </si>
  <si>
    <t xml:space="preserve">   18    3.T   224.H</t>
  </si>
  <si>
    <t xml:space="preserve">   18    3.T   155.H</t>
  </si>
  <si>
    <t xml:space="preserve">   18    3.T   251.H</t>
  </si>
  <si>
    <t xml:space="preserve">   18    3.T   240.H</t>
  </si>
  <si>
    <t xml:space="preserve">   18    3.T   231.H</t>
  </si>
  <si>
    <t xml:space="preserve">   19    3.T   290.H</t>
  </si>
  <si>
    <t xml:space="preserve">   19    3.T   280.H</t>
  </si>
  <si>
    <t xml:space="preserve">   19    3.T   151.H</t>
  </si>
  <si>
    <t xml:space="preserve">   19    3.T   242.H</t>
  </si>
  <si>
    <t xml:space="preserve">   19    3.T   251.H</t>
  </si>
  <si>
    <t xml:space="preserve">   19    3.T    85.H</t>
  </si>
  <si>
    <t xml:space="preserve">   19    3.T   117.H</t>
  </si>
  <si>
    <t xml:space="preserve">   19    3.T   153.H</t>
  </si>
  <si>
    <t xml:space="preserve">   19    2.T   312.H</t>
  </si>
  <si>
    <t xml:space="preserve">   19    3.T     2.H</t>
  </si>
  <si>
    <t xml:space="preserve">   19    2.T   238.H</t>
  </si>
  <si>
    <t xml:space="preserve">   19    3.T   310.H</t>
  </si>
  <si>
    <t xml:space="preserve">   19    2.T   355.H</t>
  </si>
  <si>
    <t xml:space="preserve">   19    2.T    56.H</t>
  </si>
  <si>
    <t xml:space="preserve">   19    3.T   342.H</t>
  </si>
  <si>
    <t xml:space="preserve">   19    2.T     7.H</t>
  </si>
  <si>
    <t xml:space="preserve">   19    3.T   307.H</t>
  </si>
  <si>
    <t xml:space="preserve">   19    2.T   316.H</t>
  </si>
  <si>
    <t xml:space="preserve">   19    2.T   102.H</t>
  </si>
  <si>
    <t xml:space="preserve">   19    3.T    57.H</t>
  </si>
  <si>
    <t xml:space="preserve">   19    3.T    67.H</t>
  </si>
  <si>
    <t xml:space="preserve">   19    2.T   112.H</t>
  </si>
  <si>
    <t xml:space="preserve">   19    3.T    61.H</t>
  </si>
  <si>
    <t xml:space="preserve">   19    3.T   230.H</t>
  </si>
  <si>
    <t xml:space="preserve">   19    2.T   266.H</t>
  </si>
  <si>
    <t xml:space="preserve">   19    2.T   145.H</t>
  </si>
  <si>
    <t xml:space="preserve">   19    3.T   121.H</t>
  </si>
  <si>
    <t xml:space="preserve">   19    3.T   157.H</t>
  </si>
  <si>
    <t xml:space="preserve">   19    3.T    94.H</t>
  </si>
  <si>
    <t xml:space="preserve">   19    3.T   124.H</t>
  </si>
  <si>
    <t xml:space="preserve">   19    3.T   211.H</t>
  </si>
  <si>
    <t xml:space="preserve">   19    3.T   270.H</t>
  </si>
  <si>
    <t xml:space="preserve">   19    2.T   348.H</t>
  </si>
  <si>
    <t xml:space="preserve">   20    2.T    20.H</t>
  </si>
  <si>
    <t xml:space="preserve">   20    2.T   101.H</t>
  </si>
  <si>
    <t xml:space="preserve">   20    2.T   137.H</t>
  </si>
  <si>
    <t xml:space="preserve">   20    3.T    49.H</t>
  </si>
  <si>
    <t xml:space="preserve">   20    3.T    37.H</t>
  </si>
  <si>
    <t xml:space="preserve">   20    3.T   113.H</t>
  </si>
  <si>
    <t xml:space="preserve">   20    3.T   163.H</t>
  </si>
  <si>
    <t xml:space="preserve">   20    2.T   112.H</t>
  </si>
  <si>
    <t xml:space="preserve">   20    3.T    23.H</t>
  </si>
  <si>
    <t xml:space="preserve">   20    3.T    57.H</t>
  </si>
  <si>
    <t xml:space="preserve">   20    2.T    72.H</t>
  </si>
  <si>
    <t xml:space="preserve">   20    2.T   348.H</t>
  </si>
  <si>
    <t xml:space="preserve">   20    3.T    93.H</t>
  </si>
  <si>
    <t xml:space="preserve">   20    3.T   115.H</t>
  </si>
  <si>
    <t xml:space="preserve">   20    3.T   230.H</t>
  </si>
  <si>
    <t xml:space="preserve">   20    2.T   118.H</t>
  </si>
  <si>
    <t xml:space="preserve">   20    3.T    25.H</t>
  </si>
  <si>
    <t xml:space="preserve">   20    3.T    64.H</t>
  </si>
  <si>
    <t xml:space="preserve">   20    2.T   273.H</t>
  </si>
  <si>
    <t xml:space="preserve">   20    3.T    13.H</t>
  </si>
  <si>
    <t xml:space="preserve">   20    3.T    52.H</t>
  </si>
  <si>
    <t xml:space="preserve">   20    2.T    55.H</t>
  </si>
  <si>
    <t xml:space="preserve">   20    3.T   222.H</t>
  </si>
  <si>
    <t xml:space="preserve">   20    3.T    20.H</t>
  </si>
  <si>
    <t xml:space="preserve">   20    3.T   248.H</t>
  </si>
  <si>
    <t xml:space="preserve">   20    3.T     7.H</t>
  </si>
  <si>
    <t xml:space="preserve">   20    3.T   293.H</t>
  </si>
  <si>
    <t xml:space="preserve">   20    3.T   292.H</t>
  </si>
  <si>
    <t xml:space="preserve">   20    3.T   353.H</t>
  </si>
  <si>
    <t xml:space="preserve">   20    3.T   322.H</t>
  </si>
  <si>
    <t xml:space="preserve">   20    2.T   274.H</t>
  </si>
  <si>
    <t xml:space="preserve">   20    3.T    19.H</t>
  </si>
  <si>
    <t xml:space="preserve">   20    3.T   288.H</t>
  </si>
  <si>
    <t xml:space="preserve">   21    3.T   336.H</t>
  </si>
  <si>
    <t xml:space="preserve">   21    3.T   220.H</t>
  </si>
  <si>
    <t xml:space="preserve">   21    3.T   257.H</t>
  </si>
  <si>
    <t xml:space="preserve">   21    3.T   341.H</t>
  </si>
  <si>
    <t xml:space="preserve">   21    2.T    17.H</t>
  </si>
  <si>
    <t xml:space="preserve">   21    2.T    59.H</t>
  </si>
  <si>
    <t xml:space="preserve">   21    3.T   335.H</t>
  </si>
  <si>
    <t xml:space="preserve">   21    3.T     3.H</t>
  </si>
  <si>
    <t xml:space="preserve">   21    3.T    37.H</t>
  </si>
  <si>
    <t xml:space="preserve">   21    3.T   347.H</t>
  </si>
  <si>
    <t xml:space="preserve">   21    2.T   336.H</t>
  </si>
  <si>
    <t xml:space="preserve">   21    3.T    33.H</t>
  </si>
  <si>
    <t xml:space="preserve">   21    2.T   111.H</t>
  </si>
  <si>
    <t xml:space="preserve">   21    2.T   119.H</t>
  </si>
  <si>
    <t xml:space="preserve">   21    3.T   349.H</t>
  </si>
  <si>
    <t xml:space="preserve">   21    2.T   353.H</t>
  </si>
  <si>
    <t xml:space="preserve">   21    3.T   346.H</t>
  </si>
  <si>
    <t xml:space="preserve">   21    3.T   338.H</t>
  </si>
  <si>
    <t xml:space="preserve">   21    2.T   346.H</t>
  </si>
  <si>
    <t xml:space="preserve">   21    3.T   334.H</t>
  </si>
  <si>
    <t xml:space="preserve">   21    3.T   327.H</t>
  </si>
  <si>
    <t xml:space="preserve">   21    3.T   353.H</t>
  </si>
  <si>
    <t xml:space="preserve">   21    3.T   311.H</t>
  </si>
  <si>
    <t xml:space="preserve">   21    3.T   330.H</t>
  </si>
  <si>
    <t xml:space="preserve">   21    3.T   339.H</t>
  </si>
  <si>
    <t xml:space="preserve">   21    2.T    28.H</t>
  </si>
  <si>
    <t xml:space="preserve">   21    3.T   318.H</t>
  </si>
  <si>
    <t xml:space="preserve">   21    3.T   345.H</t>
  </si>
  <si>
    <t xml:space="preserve">   21    3.T     8.H</t>
  </si>
  <si>
    <t xml:space="preserve">   21    3.T    32.H</t>
  </si>
  <si>
    <t xml:space="preserve"> Normal shutdown.</t>
  </si>
  <si>
    <t xml:space="preserve"> End of instrument data file.        </t>
  </si>
  <si>
    <t xml:space="preserve"> Terminate file logging operation now          </t>
  </si>
  <si>
    <t xml:space="preserve"> and press any key to continue.</t>
  </si>
  <si>
    <t xml:space="preserve">   01    3.T   328.H</t>
  </si>
  <si>
    <t xml:space="preserve">   01    3.T   180.H</t>
  </si>
  <si>
    <t xml:space="preserve">   01    3.T   285.H</t>
  </si>
  <si>
    <t xml:space="preserve">   01    3.T   294.H</t>
  </si>
  <si>
    <t xml:space="preserve">   01    3.T   288.H</t>
  </si>
  <si>
    <t xml:space="preserve">   01    3.T   262.H</t>
  </si>
  <si>
    <t xml:space="preserve">   01    3.T   284.H</t>
  </si>
  <si>
    <t xml:space="preserve">   01    3.T   298.H</t>
  </si>
  <si>
    <t xml:space="preserve">   01    3.T   293.H</t>
  </si>
  <si>
    <t xml:space="preserve">   01    3.T   260.H</t>
  </si>
  <si>
    <t xml:space="preserve">   01    3.T   283.H</t>
  </si>
  <si>
    <t xml:space="preserve">   01    3.T   280.H</t>
  </si>
  <si>
    <t xml:space="preserve">   01    3.T   264.H</t>
  </si>
  <si>
    <t xml:space="preserve">   01    3.T   277.H</t>
  </si>
  <si>
    <t xml:space="preserve">   01    3.T   301.H</t>
  </si>
  <si>
    <t xml:space="preserve">   01    3.T   308.H</t>
  </si>
  <si>
    <t xml:space="preserve">   01    3.T   289.H</t>
  </si>
  <si>
    <t xml:space="preserve">   01    3.T   287.H</t>
  </si>
  <si>
    <t xml:space="preserve">   01    3.T   304.H</t>
  </si>
  <si>
    <t xml:space="preserve">   01    3.T   324.H</t>
  </si>
  <si>
    <t xml:space="preserve">   01    4.T   268.H</t>
  </si>
  <si>
    <t xml:space="preserve">   01    3.T   278.H</t>
  </si>
  <si>
    <t xml:space="preserve">   01    4.T   349.H</t>
  </si>
  <si>
    <t xml:space="preserve">   01    3.T   235.H</t>
  </si>
  <si>
    <t xml:space="preserve">   01    3.T   266.H</t>
  </si>
  <si>
    <t xml:space="preserve">   01    3.T   286.H</t>
  </si>
  <si>
    <t xml:space="preserve">   01    3.T   282.H</t>
  </si>
  <si>
    <t xml:space="preserve">   02    3.T   249.H</t>
  </si>
  <si>
    <t xml:space="preserve">   02    3.T   268.H</t>
  </si>
  <si>
    <t xml:space="preserve">   02    3.T   278.H</t>
  </si>
  <si>
    <t xml:space="preserve">   02    3.T   282.H</t>
  </si>
  <si>
    <t xml:space="preserve">   02    3.T   279.H</t>
  </si>
  <si>
    <t xml:space="preserve">   02    3.T   272.H</t>
  </si>
  <si>
    <t xml:space="preserve">   02    2.T   289.H</t>
  </si>
  <si>
    <t xml:space="preserve">   02    3.T   270.H</t>
  </si>
  <si>
    <t xml:space="preserve">   02    3.T   280.H</t>
  </si>
  <si>
    <t xml:space="preserve">   02    3.T   269.H</t>
  </si>
  <si>
    <t xml:space="preserve">   02    2.T   269.H</t>
  </si>
  <si>
    <t xml:space="preserve">   02    3.T   303.H</t>
  </si>
  <si>
    <t xml:space="preserve">   02    2.T   296.H</t>
  </si>
  <si>
    <t xml:space="preserve">   02    2.T   259.H</t>
  </si>
  <si>
    <t xml:space="preserve">   02    3.T   299.H</t>
  </si>
  <si>
    <t xml:space="preserve">   02    3.T   301.H</t>
  </si>
  <si>
    <t xml:space="preserve">   02    2.T   306.H</t>
  </si>
  <si>
    <t xml:space="preserve">   02    2.T   283.H</t>
  </si>
  <si>
    <t xml:space="preserve">   02    3.T   291.H</t>
  </si>
  <si>
    <t xml:space="preserve">   02    3.T   296.H</t>
  </si>
  <si>
    <t xml:space="preserve">   02    2.T   297.H</t>
  </si>
  <si>
    <t xml:space="preserve">   02    3.T   302.H</t>
  </si>
  <si>
    <t xml:space="preserve">   02    2.T   280.H</t>
  </si>
  <si>
    <t xml:space="preserve">   02    2.T   292.H</t>
  </si>
  <si>
    <t xml:space="preserve">   02    2.T   290.H</t>
  </si>
  <si>
    <t xml:space="preserve">   02    2.T   316.H</t>
  </si>
  <si>
    <t xml:space="preserve">   02    1.T   330.H</t>
  </si>
  <si>
    <t xml:space="preserve">   02    1.T   324.H</t>
  </si>
  <si>
    <t xml:space="preserve">   02    2.T   317.H</t>
  </si>
  <si>
    <t xml:space="preserve">   02    1.T   325.H</t>
  </si>
  <si>
    <t xml:space="preserve">   02    1.T   317.H</t>
  </si>
  <si>
    <t xml:space="preserve">   02    2.T   359.H</t>
  </si>
  <si>
    <t xml:space="preserve">   03    2.T   332.H</t>
  </si>
  <si>
    <t xml:space="preserve">   03    2.T   341.H</t>
  </si>
  <si>
    <t xml:space="preserve">   03    3.T    11.H</t>
  </si>
  <si>
    <t xml:space="preserve">   03    2.T   336.H</t>
  </si>
  <si>
    <t xml:space="preserve">   03    2.T   325.H</t>
  </si>
  <si>
    <t xml:space="preserve">   03    1.T   317.H</t>
  </si>
  <si>
    <t xml:space="preserve">   03    2.T    14.H</t>
  </si>
  <si>
    <t xml:space="preserve">   03    2.T   351.H</t>
  </si>
  <si>
    <t xml:space="preserve">   03    2.T   333.H</t>
  </si>
  <si>
    <t xml:space="preserve">   03    2.T   338.H</t>
  </si>
  <si>
    <t xml:space="preserve">   03    2.T    27.H</t>
  </si>
  <si>
    <t xml:space="preserve">   03    1.T     6.H</t>
  </si>
  <si>
    <t xml:space="preserve">   03    2.T   320.H</t>
  </si>
  <si>
    <t xml:space="preserve">   03    1.T   309.H</t>
  </si>
  <si>
    <t xml:space="preserve">   03    1.T   326.H</t>
  </si>
  <si>
    <t xml:space="preserve">   03    2.T   317.H</t>
  </si>
  <si>
    <t xml:space="preserve">   03    1.T   302.H</t>
  </si>
  <si>
    <t xml:space="preserve">   03    2.T   347.H</t>
  </si>
  <si>
    <t xml:space="preserve">   03    1.T   314.H</t>
  </si>
  <si>
    <t xml:space="preserve">   03    2.T   307.H</t>
  </si>
  <si>
    <t xml:space="preserve">   03    2.T   287.H</t>
  </si>
  <si>
    <t xml:space="preserve">   03    1.T   357.H</t>
  </si>
  <si>
    <t xml:space="preserve">   03    2.T   331.H</t>
  </si>
  <si>
    <t xml:space="preserve">   03    2.T   319.H</t>
  </si>
  <si>
    <t xml:space="preserve">   03    2.T   302.H</t>
  </si>
  <si>
    <t xml:space="preserve">   03    1.T     5.H</t>
  </si>
  <si>
    <t xml:space="preserve">   03    2.T   329.H</t>
  </si>
  <si>
    <t xml:space="preserve">   03    2.T   303.H</t>
  </si>
  <si>
    <t xml:space="preserve">   03    2.T   357.H</t>
  </si>
  <si>
    <t xml:space="preserve">   04    1.T   306.H</t>
  </si>
  <si>
    <t xml:space="preserve">   04    1.T   336.H</t>
  </si>
  <si>
    <t xml:space="preserve">   04    1.T   354.H</t>
  </si>
  <si>
    <t xml:space="preserve">   04    2.T   327.H</t>
  </si>
  <si>
    <t xml:space="preserve">   04    1.T   357.H</t>
  </si>
  <si>
    <t xml:space="preserve">   04    2.T   325.H</t>
  </si>
  <si>
    <t xml:space="preserve">   04    2.T   319.H</t>
  </si>
  <si>
    <t xml:space="preserve">   04    2.T   308.H</t>
  </si>
  <si>
    <t xml:space="preserve">   04    2.T   328.H</t>
  </si>
  <si>
    <t xml:space="preserve">   04    1.T   338.H</t>
  </si>
  <si>
    <t xml:space="preserve">   04    2.T   331.H</t>
  </si>
  <si>
    <t xml:space="preserve">   04    2.T   309.H</t>
  </si>
  <si>
    <t xml:space="preserve">   04    1.T   321.H</t>
  </si>
  <si>
    <t xml:space="preserve">   04    1.T   308.H</t>
  </si>
  <si>
    <t xml:space="preserve">   04    2.T   305.H</t>
  </si>
  <si>
    <t xml:space="preserve">   04    2.T   290.H</t>
  </si>
  <si>
    <t xml:space="preserve">   04    2.T   326.H</t>
  </si>
  <si>
    <t xml:space="preserve">   04    2.T   295.H</t>
  </si>
  <si>
    <t xml:space="preserve">   04    2.T   298.H</t>
  </si>
  <si>
    <t xml:space="preserve">   04    2.T   313.H</t>
  </si>
  <si>
    <t xml:space="preserve">   04    2.T   307.H</t>
  </si>
  <si>
    <t xml:space="preserve">   04    2.T   300.H</t>
  </si>
  <si>
    <t xml:space="preserve">   04    2.T   302.H</t>
  </si>
  <si>
    <t xml:space="preserve">   04    2.T   321.H</t>
  </si>
  <si>
    <t xml:space="preserve">   04    2.T   292.H</t>
  </si>
  <si>
    <t xml:space="preserve">   04    2.T   316.H</t>
  </si>
  <si>
    <t xml:space="preserve">   04    2.T   310.H</t>
  </si>
  <si>
    <t xml:space="preserve">   05    3.T   296.H</t>
  </si>
  <si>
    <t xml:space="preserve">   05    2.T   315.H</t>
  </si>
  <si>
    <t xml:space="preserve">   05    2.T   320.H</t>
  </si>
  <si>
    <t xml:space="preserve">   05    3.T   288.H</t>
  </si>
  <si>
    <t xml:space="preserve">   05    3.T   278.H</t>
  </si>
  <si>
    <t xml:space="preserve">   05    3.T   295.H</t>
  </si>
  <si>
    <t xml:space="preserve">   05    3.T   291.H</t>
  </si>
  <si>
    <t xml:space="preserve">   05    3.T   287.H</t>
  </si>
  <si>
    <t xml:space="preserve">   05    3.T   286.H</t>
  </si>
  <si>
    <t xml:space="preserve">   05    3.T   252.H</t>
  </si>
  <si>
    <t xml:space="preserve">   05    3.T   275.H</t>
  </si>
  <si>
    <t xml:space="preserve">   05    3.T   281.H</t>
  </si>
  <si>
    <t xml:space="preserve">   05    3.T   260.H</t>
  </si>
  <si>
    <t xml:space="preserve">   05    3.T   309.H</t>
  </si>
  <si>
    <t xml:space="preserve">   05    3.T   311.H</t>
  </si>
  <si>
    <t xml:space="preserve">   05    3.T   301.H</t>
  </si>
  <si>
    <t xml:space="preserve">   05    3.T   289.H</t>
  </si>
  <si>
    <t xml:space="preserve">   05    3.T   300.H</t>
  </si>
  <si>
    <t xml:space="preserve">   05    3.T   307.H</t>
  </si>
  <si>
    <t xml:space="preserve">   05    3.T   305.H</t>
  </si>
  <si>
    <t xml:space="preserve">   05    3.T   290.H</t>
  </si>
  <si>
    <t xml:space="preserve">   05    3.T   303.H</t>
  </si>
  <si>
    <t xml:space="preserve">   05    3.T   318.H</t>
  </si>
  <si>
    <t xml:space="preserve">   05    3.T   308.H</t>
  </si>
  <si>
    <t xml:space="preserve">   05    3.T   293.H</t>
  </si>
  <si>
    <t xml:space="preserve">   05    3.T   298.H</t>
  </si>
  <si>
    <t xml:space="preserve">   05    3.T   292.H</t>
  </si>
  <si>
    <t xml:space="preserve">   05    3.T   282.H</t>
  </si>
  <si>
    <t xml:space="preserve">   05    3.T   273.H</t>
  </si>
  <si>
    <t xml:space="preserve">   06    3.T   234.H</t>
  </si>
  <si>
    <t xml:space="preserve">   06    3.T   216.H</t>
  </si>
  <si>
    <t xml:space="preserve">   06    3.T   241.H</t>
  </si>
  <si>
    <t xml:space="preserve">   06    3.T   255.H</t>
  </si>
  <si>
    <t xml:space="preserve">   06    3.T   224.H</t>
  </si>
  <si>
    <t xml:space="preserve">   06    3.T   235.H</t>
  </si>
  <si>
    <t xml:space="preserve">   06    3.T   227.H</t>
  </si>
  <si>
    <t xml:space="preserve">   06    3.T   246.H</t>
  </si>
  <si>
    <t xml:space="preserve">   06    3.T   260.H</t>
  </si>
  <si>
    <t xml:space="preserve">   06    3.T   256.H</t>
  </si>
  <si>
    <t xml:space="preserve">   06    3.T   285.H</t>
  </si>
  <si>
    <t xml:space="preserve">   06    3.T   250.H</t>
  </si>
  <si>
    <t xml:space="preserve">   06    3.T   267.H</t>
  </si>
  <si>
    <t xml:space="preserve">   06    3.T   230.H</t>
  </si>
  <si>
    <t xml:space="preserve">   06    3.T   251.H</t>
  </si>
  <si>
    <t xml:space="preserve">   06    3.T   261.H</t>
  </si>
  <si>
    <t xml:space="preserve">   06    3.T   248.H</t>
  </si>
  <si>
    <t xml:space="preserve">   06    3.T   282.H</t>
  </si>
  <si>
    <t xml:space="preserve">   06    3.T   301.H</t>
  </si>
  <si>
    <t xml:space="preserve">   06    3.T   243.H</t>
  </si>
  <si>
    <t xml:space="preserve">   06    3.T   278.H</t>
  </si>
  <si>
    <t xml:space="preserve">   06    3.T   306.H</t>
  </si>
  <si>
    <t xml:space="preserve">   06    3.T   327.H</t>
  </si>
  <si>
    <t xml:space="preserve">   06    3.T   328.H</t>
  </si>
  <si>
    <t xml:space="preserve">   06    3.T   240.H</t>
  </si>
  <si>
    <t xml:space="preserve">   06    3.T   340.H</t>
  </si>
  <si>
    <t xml:space="preserve">   06    3.T   349.H</t>
  </si>
  <si>
    <t xml:space="preserve">   06    3.T   274.H</t>
  </si>
  <si>
    <t xml:space="preserve">   07    3.T     7.H</t>
  </si>
  <si>
    <t xml:space="preserve">   07    3.T   169.H</t>
  </si>
  <si>
    <t xml:space="preserve">   07    3.T   218.H</t>
  </si>
  <si>
    <t xml:space="preserve">   07    3.T   106.H</t>
  </si>
  <si>
    <t xml:space="preserve">   07    3.T   269.H</t>
  </si>
  <si>
    <t xml:space="preserve">   07    3.T   210.H</t>
  </si>
  <si>
    <t xml:space="preserve">   07    3.T   308.H</t>
  </si>
  <si>
    <t xml:space="preserve">   07    4.T   312.H</t>
  </si>
  <si>
    <t xml:space="preserve">   07    3.T   266.H</t>
  </si>
  <si>
    <t xml:space="preserve">   07    3.T   233.H</t>
  </si>
  <si>
    <t xml:space="preserve">   07    3.T   245.H</t>
  </si>
  <si>
    <t xml:space="preserve">   07    3.T   262.H</t>
  </si>
  <si>
    <t xml:space="preserve">   07    3.T   272.H</t>
  </si>
  <si>
    <t xml:space="preserve">   07    3.T   253.H</t>
  </si>
  <si>
    <t xml:space="preserve">   07    3.T   300.H</t>
  </si>
  <si>
    <t xml:space="preserve">   07    3.T   309.H</t>
  </si>
  <si>
    <t xml:space="preserve">   07    3.T   325.H</t>
  </si>
  <si>
    <t xml:space="preserve">   07    3.T   344.H</t>
  </si>
  <si>
    <t xml:space="preserve">   07    3.T   249.H</t>
  </si>
  <si>
    <t xml:space="preserve">   07    3.T    23.H</t>
  </si>
  <si>
    <t xml:space="preserve">   07    4.T   199.H</t>
  </si>
  <si>
    <t xml:space="preserve">   07    3.T   291.H</t>
  </si>
  <si>
    <t xml:space="preserve">   07    3.T   179.H</t>
  </si>
  <si>
    <t xml:space="preserve">   07    3.T   226.H</t>
  </si>
  <si>
    <t xml:space="preserve">   07    3.T   223.H</t>
  </si>
  <si>
    <t xml:space="preserve">   07    3.T   202.H</t>
  </si>
  <si>
    <t xml:space="preserve">   07    3.T   213.H</t>
  </si>
  <si>
    <t xml:space="preserve">   07    3.T   350.H</t>
  </si>
  <si>
    <t xml:space="preserve">   07    3.T   155.H</t>
  </si>
  <si>
    <t xml:space="preserve">   08    4.T   247.H</t>
  </si>
  <si>
    <t xml:space="preserve">   08    3.T   343.H</t>
  </si>
  <si>
    <t xml:space="preserve">   08    3.T   349.H</t>
  </si>
  <si>
    <t xml:space="preserve">   08    3.T    27.H</t>
  </si>
  <si>
    <t xml:space="preserve">   08    3.T    25.H</t>
  </si>
  <si>
    <t xml:space="preserve">   08    3.T   352.H</t>
  </si>
  <si>
    <t xml:space="preserve">   08    3.T   332.H</t>
  </si>
  <si>
    <t xml:space="preserve">   08    3.T     1.H</t>
  </si>
  <si>
    <t xml:space="preserve">   08    3.T   208.H</t>
  </si>
  <si>
    <t xml:space="preserve">   08    3.T   308.H</t>
  </si>
  <si>
    <t xml:space="preserve">   08    3.T     0.H</t>
  </si>
  <si>
    <t xml:space="preserve">   08    3.T   311.H</t>
  </si>
  <si>
    <t xml:space="preserve">   08    3.T   267.H</t>
  </si>
  <si>
    <t xml:space="preserve">   08    3.T   342.H</t>
  </si>
  <si>
    <t xml:space="preserve">   08    3.T    59.H</t>
  </si>
  <si>
    <t xml:space="preserve">   08    3.T   139.H</t>
  </si>
  <si>
    <t xml:space="preserve">   08    4.T   219.H</t>
  </si>
  <si>
    <t xml:space="preserve">   08    4.T   224.H</t>
  </si>
  <si>
    <t xml:space="preserve">   08    4.T   248.H</t>
  </si>
  <si>
    <t xml:space="preserve">   08    3.T   357.H</t>
  </si>
  <si>
    <t xml:space="preserve">   08    3.T   222.H</t>
  </si>
  <si>
    <t xml:space="preserve">   08    3.T   235.H</t>
  </si>
  <si>
    <t xml:space="preserve">   08    4.T   270.H</t>
  </si>
  <si>
    <t xml:space="preserve">   08    3.T   252.H</t>
  </si>
  <si>
    <t xml:space="preserve">   08    3.T   238.H</t>
  </si>
  <si>
    <t xml:space="preserve">   08    3.T   249.H</t>
  </si>
  <si>
    <t xml:space="preserve">   08    3.T   295.H</t>
  </si>
  <si>
    <t xml:space="preserve">   08    3.T   294.H</t>
  </si>
  <si>
    <t xml:space="preserve">   08    3.T   237.H</t>
  </si>
  <si>
    <t xml:space="preserve">   09    4.T   299.H</t>
  </si>
  <si>
    <t xml:space="preserve">   09    3.T   290.H</t>
  </si>
  <si>
    <t xml:space="preserve">   09    3.T   343.H</t>
  </si>
  <si>
    <t xml:space="preserve">   09    3.T   339.H</t>
  </si>
  <si>
    <t xml:space="preserve">   09    3.T   316.H</t>
  </si>
  <si>
    <t xml:space="preserve">   09    3.T   319.H</t>
  </si>
  <si>
    <t xml:space="preserve">   09    3.T    40.H</t>
  </si>
  <si>
    <t xml:space="preserve">   09    3.T   315.H</t>
  </si>
  <si>
    <t xml:space="preserve">   09    3.T   358.H</t>
  </si>
  <si>
    <t xml:space="preserve">   09    3.T   359.H</t>
  </si>
  <si>
    <t xml:space="preserve">   09    3.T   183.H</t>
  </si>
  <si>
    <t xml:space="preserve">   09    3.T   309.H</t>
  </si>
  <si>
    <t xml:space="preserve">   09    3.T    42.H</t>
  </si>
  <si>
    <t xml:space="preserve">   09    3.T   202.H</t>
  </si>
  <si>
    <t xml:space="preserve">   09    3.T    70.H</t>
  </si>
  <si>
    <t xml:space="preserve">   09    3.T    26.H</t>
  </si>
  <si>
    <t xml:space="preserve">   09    3.T   139.H</t>
  </si>
  <si>
    <t xml:space="preserve">   09    3.T   186.H</t>
  </si>
  <si>
    <t xml:space="preserve">   09    3.T   109.H</t>
  </si>
  <si>
    <t xml:space="preserve">   09    3.T    96.H</t>
  </si>
  <si>
    <t xml:space="preserve">   09    3.T   194.H</t>
  </si>
  <si>
    <t xml:space="preserve">   09    4.T   226.H</t>
  </si>
  <si>
    <t xml:space="preserve">   09    3.T   215.H</t>
  </si>
  <si>
    <t xml:space="preserve">   09    3.T   154.H</t>
  </si>
  <si>
    <t xml:space="preserve">   09    3.T   203.H</t>
  </si>
  <si>
    <t xml:space="preserve">   09    3.T   156.H</t>
  </si>
  <si>
    <t xml:space="preserve">   09    3.T    21.H</t>
  </si>
  <si>
    <t xml:space="preserve">   09    3.T   100.H</t>
  </si>
  <si>
    <t xml:space="preserve">   09    3.T   287.H</t>
  </si>
  <si>
    <t xml:space="preserve">   09    3.T   301.H</t>
  </si>
  <si>
    <t xml:space="preserve">   09    3.T   303.H</t>
  </si>
  <si>
    <t xml:space="preserve">   09    3.T   267.H</t>
  </si>
  <si>
    <t xml:space="preserve">   10    3.T   290.H</t>
  </si>
  <si>
    <t xml:space="preserve">   10    3.T   293.H</t>
  </si>
  <si>
    <t xml:space="preserve">   10    3.T   267.H</t>
  </si>
  <si>
    <t xml:space="preserve">   10    3.T   341.H</t>
  </si>
  <si>
    <t xml:space="preserve">   10    3.T    94.H</t>
  </si>
  <si>
    <t xml:space="preserve">   10    4.T   162.H</t>
  </si>
  <si>
    <t xml:space="preserve">   10    3.T    52.H</t>
  </si>
  <si>
    <t xml:space="preserve">   10    3.T   316.H</t>
  </si>
  <si>
    <t xml:space="preserve">   10    3.T   193.H</t>
  </si>
  <si>
    <t xml:space="preserve">   10    4.T   249.H</t>
  </si>
  <si>
    <t xml:space="preserve">   10    3.T    24.H</t>
  </si>
  <si>
    <t xml:space="preserve">   10    3.T   213.H</t>
  </si>
  <si>
    <t xml:space="preserve">   10    3.T   137.H</t>
  </si>
  <si>
    <t xml:space="preserve">   10    3.T   203.H</t>
  </si>
  <si>
    <t xml:space="preserve">   10    3.T   223.H</t>
  </si>
  <si>
    <t xml:space="preserve">   10    3.T   218.H</t>
  </si>
  <si>
    <t xml:space="preserve">   10    3.T   217.H</t>
  </si>
  <si>
    <t xml:space="preserve">   10    3.T   211.H</t>
  </si>
  <si>
    <t xml:space="preserve">   10    3.T   229.H</t>
  </si>
  <si>
    <t xml:space="preserve">   10    3.T   232.H</t>
  </si>
  <si>
    <t xml:space="preserve">   10    3.T   185.H</t>
  </si>
  <si>
    <t xml:space="preserve">   10    3.T   194.H</t>
  </si>
  <si>
    <t xml:space="preserve">   10    3.T   212.H</t>
  </si>
  <si>
    <t xml:space="preserve">   10    4.T   281.H</t>
  </si>
  <si>
    <t xml:space="preserve">   10    3.T    97.H</t>
  </si>
  <si>
    <t xml:space="preserve">   10    3.T   112.H</t>
  </si>
  <si>
    <t xml:space="preserve">   10    3.T   117.H</t>
  </si>
  <si>
    <t xml:space="preserve">   11    3.T    38.H</t>
  </si>
  <si>
    <t xml:space="preserve">   11    3.T   107.H</t>
  </si>
  <si>
    <t xml:space="preserve">   11    3.T    81.H</t>
  </si>
  <si>
    <t xml:space="preserve">   11    3.T   105.H</t>
  </si>
  <si>
    <t xml:space="preserve">   11    3.T   115.H</t>
  </si>
  <si>
    <t xml:space="preserve">   11    3.T   106.H</t>
  </si>
  <si>
    <t xml:space="preserve">   11    3.T    33.H</t>
  </si>
  <si>
    <t xml:space="preserve">   11    3.T    61.H</t>
  </si>
  <si>
    <t xml:space="preserve">   11    3.T   100.H</t>
  </si>
  <si>
    <t xml:space="preserve">   11    3.T   117.H</t>
  </si>
  <si>
    <t xml:space="preserve">   11    3.T    31.H</t>
  </si>
  <si>
    <t xml:space="preserve">   11    3.T    42.H</t>
  </si>
  <si>
    <t xml:space="preserve">   11    3.T   119.H</t>
  </si>
  <si>
    <t xml:space="preserve">   11    3.T   141.H</t>
  </si>
  <si>
    <t xml:space="preserve">   11    3.T   126.H</t>
  </si>
  <si>
    <t xml:space="preserve">   11    3.T   232.H</t>
  </si>
  <si>
    <t xml:space="preserve">   11    3.T   346.H</t>
  </si>
  <si>
    <t xml:space="preserve">   11    3.T     6.H</t>
  </si>
  <si>
    <t xml:space="preserve">   11    3.T   262.H</t>
  </si>
  <si>
    <t xml:space="preserve">   11    3.T   348.H</t>
  </si>
  <si>
    <t xml:space="preserve">   11    3.T   238.H</t>
  </si>
  <si>
    <t xml:space="preserve">   11    3.T   264.H</t>
  </si>
  <si>
    <t xml:space="preserve">   11    3.T   300.H</t>
  </si>
  <si>
    <t xml:space="preserve">   11    3.T   237.H</t>
  </si>
  <si>
    <t xml:space="preserve">   11    3.T   214.H</t>
  </si>
  <si>
    <t xml:space="preserve">   11    3.T   302.H</t>
  </si>
  <si>
    <t xml:space="preserve">   11    3.T   319.H</t>
  </si>
  <si>
    <t xml:space="preserve">   11    3.T   223.H</t>
  </si>
  <si>
    <t xml:space="preserve">   12    3.T   102.H</t>
  </si>
  <si>
    <t xml:space="preserve">   12    3.T   238.H</t>
  </si>
  <si>
    <t xml:space="preserve">   12    3.T   227.H</t>
  </si>
  <si>
    <t xml:space="preserve">   12    3.T   219.H</t>
  </si>
  <si>
    <t xml:space="preserve">   12    3.T   243.H</t>
  </si>
  <si>
    <t xml:space="preserve">   12    3.T   242.H</t>
  </si>
  <si>
    <t xml:space="preserve">   12    3.T   248.H</t>
  </si>
  <si>
    <t xml:space="preserve">   12    2.T   251.H</t>
  </si>
  <si>
    <t xml:space="preserve">   12    3.T   246.H</t>
  </si>
  <si>
    <t xml:space="preserve">   12    3.T   253.H</t>
  </si>
  <si>
    <t xml:space="preserve">   12    3.T   245.H</t>
  </si>
  <si>
    <t xml:space="preserve">   12    3.T   244.H</t>
  </si>
  <si>
    <t xml:space="preserve">   12    2.T   249.H</t>
  </si>
  <si>
    <t xml:space="preserve">   12    3.T   247.H</t>
  </si>
  <si>
    <t xml:space="preserve">   12    3.T   249.H</t>
  </si>
  <si>
    <t xml:space="preserve">   12    3.T   233.H</t>
  </si>
  <si>
    <t xml:space="preserve">   12    3.T   254.H</t>
  </si>
  <si>
    <t xml:space="preserve">   12    3.T   209.H</t>
  </si>
  <si>
    <t xml:space="preserve">   12    3.T   269.H</t>
  </si>
  <si>
    <t xml:space="preserve">   12    3.T   281.H</t>
  </si>
  <si>
    <t xml:space="preserve">   12    4.T   294.H</t>
  </si>
  <si>
    <t xml:space="preserve">   12    3.T   154.H</t>
  </si>
  <si>
    <t xml:space="preserve">   12    3.T   261.H</t>
  </si>
  <si>
    <t xml:space="preserve">   12    3.T   274.H</t>
  </si>
  <si>
    <t xml:space="preserve">   12    3.T   329.H</t>
  </si>
  <si>
    <t xml:space="preserve">   12    3.T    66.H</t>
  </si>
  <si>
    <t xml:space="preserve">   13    3.T   322.H</t>
  </si>
  <si>
    <t xml:space="preserve">   13    3.T    10.H</t>
  </si>
  <si>
    <t xml:space="preserve">   13    3.T   330.H</t>
  </si>
  <si>
    <t xml:space="preserve">   13    3.T   321.H</t>
  </si>
  <si>
    <t xml:space="preserve">   13    3.T   170.H</t>
  </si>
  <si>
    <t xml:space="preserve">   13    4.T   229.H</t>
  </si>
  <si>
    <t xml:space="preserve">   13    3.T   213.H</t>
  </si>
  <si>
    <t xml:space="preserve">   13    3.T   308.H</t>
  </si>
  <si>
    <t xml:space="preserve">   13    4.T   265.H</t>
  </si>
  <si>
    <t xml:space="preserve">   13    3.T   303.H</t>
  </si>
  <si>
    <t xml:space="preserve">   13    3.T   333.H</t>
  </si>
  <si>
    <t xml:space="preserve">   13    3.T   149.H</t>
  </si>
  <si>
    <t xml:space="preserve">   13    4.T   286.H</t>
  </si>
  <si>
    <t xml:space="preserve">   13    4.T   298.H</t>
  </si>
  <si>
    <t xml:space="preserve">   13    3.T   324.H</t>
  </si>
  <si>
    <t xml:space="preserve">   13    4.T   283.H</t>
  </si>
  <si>
    <t xml:space="preserve">   13    3.T   270.H</t>
  </si>
  <si>
    <t xml:space="preserve">   13    3.T   300.H</t>
  </si>
  <si>
    <t xml:space="preserve">   13    3.T   245.H</t>
  </si>
  <si>
    <t xml:space="preserve">   13    3.T   281.H</t>
  </si>
  <si>
    <t xml:space="preserve">   13    3.T   301.H</t>
  </si>
  <si>
    <t xml:space="preserve">   13    3.T   116.H</t>
  </si>
  <si>
    <t xml:space="preserve">   13    3.T   243.H</t>
  </si>
  <si>
    <t xml:space="preserve">   13    3.T   289.H</t>
  </si>
  <si>
    <t xml:space="preserve">   13    3.T   343.H</t>
  </si>
  <si>
    <t xml:space="preserve">   13    3.T   179.H</t>
  </si>
  <si>
    <t xml:space="preserve">   13    3.T   251.H</t>
  </si>
  <si>
    <t xml:space="preserve">   13    3.T   228.H</t>
  </si>
  <si>
    <t xml:space="preserve">   13    3.T   215.H</t>
  </si>
  <si>
    <t xml:space="preserve">   13    3.T   234.H</t>
  </si>
  <si>
    <t xml:space="preserve">   14    3.T   219.H</t>
  </si>
  <si>
    <t xml:space="preserve">   14    3.T   251.H</t>
  </si>
  <si>
    <t xml:space="preserve">   14    3.T   307.H</t>
  </si>
  <si>
    <t xml:space="preserve">   14    4.T   226.H</t>
  </si>
  <si>
    <t xml:space="preserve">   14    3.T   249.H</t>
  </si>
  <si>
    <t xml:space="preserve">   14    3.T   269.H</t>
  </si>
  <si>
    <t xml:space="preserve">   14    3.T   298.H</t>
  </si>
  <si>
    <t xml:space="preserve">   14    3.T   299.H</t>
  </si>
  <si>
    <t xml:space="preserve">   14    3.T   230.H</t>
  </si>
  <si>
    <t xml:space="preserve">   14    3.T   259.H</t>
  </si>
  <si>
    <t xml:space="preserve">   14    3.T   263.H</t>
  </si>
  <si>
    <t xml:space="preserve">   14    3.T   274.H</t>
  </si>
  <si>
    <t xml:space="preserve">   14    3.T   254.H</t>
  </si>
  <si>
    <t xml:space="preserve">   14    3.T   276.H</t>
  </si>
  <si>
    <t xml:space="preserve">   14    3.T   286.H</t>
  </si>
  <si>
    <t xml:space="preserve">   14    3.T   294.H</t>
  </si>
  <si>
    <t xml:space="preserve">   14    3.T   281.H</t>
  </si>
  <si>
    <t xml:space="preserve">   14    3.T   301.H</t>
  </si>
  <si>
    <t xml:space="preserve">   14    3.T   346.H</t>
  </si>
  <si>
    <t xml:space="preserve">   14    3.T    50.H</t>
  </si>
  <si>
    <t xml:space="preserve">   14    3.T     7.H</t>
  </si>
  <si>
    <t xml:space="preserve">   14    3.T    33.H</t>
  </si>
  <si>
    <t xml:space="preserve">   14    3.T   156.H</t>
  </si>
  <si>
    <t xml:space="preserve">   14    3.T   182.H</t>
  </si>
  <si>
    <t xml:space="preserve">   14    3.T    56.H</t>
  </si>
  <si>
    <t xml:space="preserve">   14    3.T    29.H</t>
  </si>
  <si>
    <t xml:space="preserve">   14    3.T   179.H</t>
  </si>
  <si>
    <t xml:space="preserve">   14    3.T   260.H</t>
  </si>
  <si>
    <t xml:space="preserve">   14    4.T   327.H</t>
  </si>
  <si>
    <t xml:space="preserve">   14    3.T   191.H</t>
  </si>
  <si>
    <t xml:space="preserve">   14    3.T   214.H</t>
  </si>
  <si>
    <t xml:space="preserve">   15    3.T   357.H</t>
  </si>
  <si>
    <t xml:space="preserve">   15    3.T   271.H</t>
  </si>
  <si>
    <t xml:space="preserve">   15    3.T   320.H</t>
  </si>
  <si>
    <t xml:space="preserve">   15    3.T   311.H</t>
  </si>
  <si>
    <t xml:space="preserve">   15    3.T    95.H</t>
  </si>
  <si>
    <t xml:space="preserve">   15    3.T   233.H</t>
  </si>
  <si>
    <t xml:space="preserve">   15    3.T   208.H</t>
  </si>
  <si>
    <t xml:space="preserve">   15    3.T   326.H</t>
  </si>
  <si>
    <t xml:space="preserve">   15    3.T   166.H</t>
  </si>
  <si>
    <t xml:space="preserve">   15    3.T   243.H</t>
  </si>
  <si>
    <t xml:space="preserve">   15    3.T   260.H</t>
  </si>
  <si>
    <t xml:space="preserve">   15    3.T   348.H</t>
  </si>
  <si>
    <t xml:space="preserve">   15    3.T   186.H</t>
  </si>
  <si>
    <t xml:space="preserve">   15    3.T   192.H</t>
  </si>
  <si>
    <t xml:space="preserve">   15    3.T    25.H</t>
  </si>
  <si>
    <t xml:space="preserve">   15    3.T   335.H</t>
  </si>
  <si>
    <t xml:space="preserve">   15    3.T   355.H</t>
  </si>
  <si>
    <t xml:space="preserve">   15    3.T   118.H</t>
  </si>
  <si>
    <t xml:space="preserve">   15    4.T   276.H</t>
  </si>
  <si>
    <t xml:space="preserve">   15    3.T   341.H</t>
  </si>
  <si>
    <t xml:space="preserve">   15    3.T   143.H</t>
  </si>
  <si>
    <t xml:space="preserve">   15    3.T   178.H</t>
  </si>
  <si>
    <t xml:space="preserve">   15    3.T   185.H</t>
  </si>
  <si>
    <t xml:space="preserve">   15    3.T    26.H</t>
  </si>
  <si>
    <t xml:space="preserve">   15    3.T   161.H</t>
  </si>
  <si>
    <t xml:space="preserve">   15    4.T   288.H</t>
  </si>
  <si>
    <t xml:space="preserve">   15    3.T   356.H</t>
  </si>
  <si>
    <t xml:space="preserve">   15    3.T   163.H</t>
  </si>
  <si>
    <t xml:space="preserve">   15    3.T    16.H</t>
  </si>
  <si>
    <t xml:space="preserve">   16    3.T   109.H</t>
  </si>
  <si>
    <t xml:space="preserve">   16    3.T   350.H</t>
  </si>
  <si>
    <t xml:space="preserve">   16    3.T   172.H</t>
  </si>
  <si>
    <t xml:space="preserve">   16    3.T   292.H</t>
  </si>
  <si>
    <t xml:space="preserve">   16    3.T   311.H</t>
  </si>
  <si>
    <t xml:space="preserve">   16    3.T   299.H</t>
  </si>
  <si>
    <t xml:space="preserve">   16    4.T   283.H</t>
  </si>
  <si>
    <t xml:space="preserve">   16    3.T   234.H</t>
  </si>
  <si>
    <t xml:space="preserve">   16    3.T   223.H</t>
  </si>
  <si>
    <t xml:space="preserve">   16    3.T   205.H</t>
  </si>
  <si>
    <t xml:space="preserve">   16    3.T    51.H</t>
  </si>
  <si>
    <t xml:space="preserve">   16    3.T   128.H</t>
  </si>
  <si>
    <t xml:space="preserve">   16    3.T   176.H</t>
  </si>
  <si>
    <t xml:space="preserve">   16    3.T   120.H</t>
  </si>
  <si>
    <t xml:space="preserve">   16    3.T    59.H</t>
  </si>
  <si>
    <t xml:space="preserve">   16    3.T   170.H</t>
  </si>
  <si>
    <t xml:space="preserve">   16    3.T   208.H</t>
  </si>
  <si>
    <t xml:space="preserve">   16    3.T   183.H</t>
  </si>
  <si>
    <t xml:space="preserve">   16    3.T   204.H</t>
  </si>
  <si>
    <t xml:space="preserve">   16    3.T   267.H</t>
  </si>
  <si>
    <t xml:space="preserve">   16    3.T    19.H</t>
  </si>
  <si>
    <t xml:space="preserve">   16    3.T   220.H</t>
  </si>
  <si>
    <t xml:space="preserve">   16    3.T   226.H</t>
  </si>
  <si>
    <t xml:space="preserve">   16    3.T   254.H</t>
  </si>
  <si>
    <t xml:space="preserve">   16    3.T   244.H</t>
  </si>
  <si>
    <t xml:space="preserve">   16    3.T   266.H</t>
  </si>
  <si>
    <t xml:space="preserve">   16    3.T   272.H</t>
  </si>
  <si>
    <t xml:space="preserve">   16    3.T   285.H</t>
  </si>
  <si>
    <t xml:space="preserve">   17    3.T   297.H</t>
  </si>
  <si>
    <t xml:space="preserve">   17    3.T   282.H</t>
  </si>
  <si>
    <t xml:space="preserve">   17    3.T   278.H</t>
  </si>
  <si>
    <t xml:space="preserve">   17    3.T   336.H</t>
  </si>
  <si>
    <t xml:space="preserve">   17    3.T   328.H</t>
  </si>
  <si>
    <t xml:space="preserve">   17    3.T    57.H</t>
  </si>
  <si>
    <t xml:space="preserve">   17    3.T   292.H</t>
  </si>
  <si>
    <t xml:space="preserve">   17    3.T   318.H</t>
  </si>
  <si>
    <t xml:space="preserve">   17    3.T   184.H</t>
  </si>
  <si>
    <t xml:space="preserve">   17    3.T   242.H</t>
  </si>
  <si>
    <t xml:space="preserve">   17    3.T   257.H</t>
  </si>
  <si>
    <t xml:space="preserve">   17    3.T   210.H</t>
  </si>
  <si>
    <t xml:space="preserve">   17    3.T   223.H</t>
  </si>
  <si>
    <t xml:space="preserve">   17    3.T   249.H</t>
  </si>
  <si>
    <t xml:space="preserve">   17    3.T   217.H</t>
  </si>
  <si>
    <t xml:space="preserve">   17    3.T   239.H</t>
  </si>
  <si>
    <t xml:space="preserve">   17    3.T   244.H</t>
  </si>
  <si>
    <t xml:space="preserve">   17    3.T   290.H</t>
  </si>
  <si>
    <t xml:space="preserve">   17    3.T   256.H</t>
  </si>
  <si>
    <t xml:space="preserve">   17    3.T   353.H</t>
  </si>
  <si>
    <t xml:space="preserve">   17    3.T   260.H</t>
  </si>
  <si>
    <t xml:space="preserve">   17    3.T   295.H</t>
  </si>
  <si>
    <t xml:space="preserve">   17    3.T   265.H</t>
  </si>
  <si>
    <t xml:space="preserve">   17    3.T   281.H</t>
  </si>
  <si>
    <t xml:space="preserve">   17    3.T   299.H</t>
  </si>
  <si>
    <t xml:space="preserve">   17    3.T   279.H</t>
  </si>
  <si>
    <t xml:space="preserve">   17    3.T   298.H</t>
  </si>
  <si>
    <t xml:space="preserve">   17    3.T   307.H</t>
  </si>
  <si>
    <t xml:space="preserve">   17    3.T   170.H</t>
  </si>
  <si>
    <t xml:space="preserve">   18    4.T   233.H</t>
  </si>
  <si>
    <t xml:space="preserve">   18    3.T   212.H</t>
  </si>
  <si>
    <t xml:space="preserve">   18    3.T   194.H</t>
  </si>
  <si>
    <t xml:space="preserve">   18    3.T   208.H</t>
  </si>
  <si>
    <t xml:space="preserve">   18    3.T   215.H</t>
  </si>
  <si>
    <t xml:space="preserve">   18    3.T   174.H</t>
  </si>
  <si>
    <t xml:space="preserve">   18    3.T   148.H</t>
  </si>
  <si>
    <t xml:space="preserve">   18    4.T   230.H</t>
  </si>
  <si>
    <t xml:space="preserve">   18    3.T   320.H</t>
  </si>
  <si>
    <t xml:space="preserve">   18    3.T   164.H</t>
  </si>
  <si>
    <t xml:space="preserve">   18    3.T   179.H</t>
  </si>
  <si>
    <t xml:space="preserve">   18    3.T   188.H</t>
  </si>
  <si>
    <t xml:space="preserve">   18    3.T   216.H</t>
  </si>
  <si>
    <t xml:space="preserve">   18    3.T   217.H</t>
  </si>
  <si>
    <t xml:space="preserve">   18    3.T   229.H</t>
  </si>
  <si>
    <t xml:space="preserve">   18    3.T   260.H</t>
  </si>
  <si>
    <t xml:space="preserve">   18    3.T   272.H</t>
  </si>
  <si>
    <t xml:space="preserve">   18    3.T   257.H</t>
  </si>
  <si>
    <t xml:space="preserve">   18    3.T   312.H</t>
  </si>
  <si>
    <t xml:space="preserve">   18    3.T   338.H</t>
  </si>
  <si>
    <t xml:space="preserve">   18    3.T   296.H</t>
  </si>
  <si>
    <t xml:space="preserve">   18    3.T   128.H</t>
  </si>
  <si>
    <t xml:space="preserve">   18    3.T   315.H</t>
  </si>
  <si>
    <t xml:space="preserve">   18    3.T    22.H</t>
  </si>
  <si>
    <t xml:space="preserve">   18    3.T   151.H</t>
  </si>
  <si>
    <t xml:space="preserve">   18    3.T   156.H</t>
  </si>
  <si>
    <t xml:space="preserve">   18    3.T    68.H</t>
  </si>
  <si>
    <t xml:space="preserve">   18    3.T    71.H</t>
  </si>
  <si>
    <t xml:space="preserve">   18    3.T    76.H</t>
  </si>
  <si>
    <t xml:space="preserve">   18    3.T   178.H</t>
  </si>
  <si>
    <t xml:space="preserve">   18    3.T    65.H</t>
  </si>
  <si>
    <t xml:space="preserve">   18    3.T    49.H</t>
  </si>
  <si>
    <t xml:space="preserve">   19    3.T   166.H</t>
  </si>
  <si>
    <t xml:space="preserve">   19    3.T   160.H</t>
  </si>
  <si>
    <t xml:space="preserve">   19    3.T   137.H</t>
  </si>
  <si>
    <t xml:space="preserve">   19    3.T    88.H</t>
  </si>
  <si>
    <t xml:space="preserve">   19    3.T   184.H</t>
  </si>
  <si>
    <t xml:space="preserve">   19    3.T   205.H</t>
  </si>
  <si>
    <t xml:space="preserve">   19    3.T    64.H</t>
  </si>
  <si>
    <t xml:space="preserve">   19    3.T   154.H</t>
  </si>
  <si>
    <t xml:space="preserve">   19    3.T   207.H</t>
  </si>
  <si>
    <t xml:space="preserve">   19    3.T   208.H</t>
  </si>
  <si>
    <t xml:space="preserve">   19    3.T   123.H</t>
  </si>
  <si>
    <t xml:space="preserve">   19    3.T   161.H</t>
  </si>
  <si>
    <t xml:space="preserve">   19    3.T   247.H</t>
  </si>
  <si>
    <t xml:space="preserve">   19    3.T   114.H</t>
  </si>
  <si>
    <t xml:space="preserve">   19    3.T    28.H</t>
  </si>
  <si>
    <t xml:space="preserve">   19    3.T    70.H</t>
  </si>
  <si>
    <t xml:space="preserve">   19    3.T   120.H</t>
  </si>
  <si>
    <t xml:space="preserve">   19    3.T   329.H</t>
  </si>
  <si>
    <t xml:space="preserve">   19    3.T   357.H</t>
  </si>
  <si>
    <t xml:space="preserve">   19    3.T    11.H</t>
  </si>
  <si>
    <t xml:space="preserve">   19    3.T    26.H</t>
  </si>
  <si>
    <t xml:space="preserve">   19    3.T   339.H</t>
  </si>
  <si>
    <t xml:space="preserve">   19    3.T    14.H</t>
  </si>
  <si>
    <t xml:space="preserve">   19    3.T    17.H</t>
  </si>
  <si>
    <t xml:space="preserve">   19    3.T    15.H</t>
  </si>
  <si>
    <t xml:space="preserve">   19    3.T    71.H</t>
  </si>
  <si>
    <t xml:space="preserve">   19    3.T   100.H</t>
  </si>
  <si>
    <t xml:space="preserve">   19    4.T   196.H</t>
  </si>
  <si>
    <t xml:space="preserve">   19    3.T    31.H</t>
  </si>
  <si>
    <t xml:space="preserve">   19    3.T   200.H</t>
  </si>
  <si>
    <t xml:space="preserve">   19    3.T    90.H</t>
  </si>
  <si>
    <t xml:space="preserve">   20    3.T   183.H</t>
  </si>
  <si>
    <t xml:space="preserve">   20    3.T   342.H</t>
  </si>
  <si>
    <t xml:space="preserve">   20    3.T   174.H</t>
  </si>
  <si>
    <t xml:space="preserve">   20    3.T   226.H</t>
  </si>
  <si>
    <t xml:space="preserve">   20    3.T   317.H</t>
  </si>
  <si>
    <t xml:space="preserve">   20    3.T   330.H</t>
  </si>
  <si>
    <t xml:space="preserve">   20    3.T    72.H</t>
  </si>
  <si>
    <t xml:space="preserve">   20    3.T   280.H</t>
  </si>
  <si>
    <t xml:space="preserve">   20    3.T   294.H</t>
  </si>
  <si>
    <t xml:space="preserve">   20    3.T   311.H</t>
  </si>
  <si>
    <t xml:space="preserve">   20    3.T   286.H</t>
  </si>
  <si>
    <t xml:space="preserve">   20    3.T   312.H</t>
  </si>
  <si>
    <t xml:space="preserve">   20    3.T   301.H</t>
  </si>
  <si>
    <t xml:space="preserve">   20    3.T   279.H</t>
  </si>
  <si>
    <t xml:space="preserve">   20    3.T   267.H</t>
  </si>
  <si>
    <t xml:space="preserve">   20    3.T   240.H</t>
  </si>
  <si>
    <t xml:space="preserve">   20    3.T   259.H</t>
  </si>
  <si>
    <t xml:space="preserve">   20    3.T   225.H</t>
  </si>
  <si>
    <t xml:space="preserve">   20    3.T   234.H</t>
  </si>
  <si>
    <t xml:space="preserve">   20    3.T   238.H</t>
  </si>
  <si>
    <t xml:space="preserve">   20    3.T   223.H</t>
  </si>
  <si>
    <t xml:space="preserve">   20    3.T   204.H</t>
  </si>
  <si>
    <t xml:space="preserve">   20    3.T   232.H</t>
  </si>
  <si>
    <t xml:space="preserve">   20    3.T   212.H</t>
  </si>
  <si>
    <t xml:space="preserve">   20    3.T   218.H</t>
  </si>
  <si>
    <t xml:space="preserve">   20    3.T   217.H</t>
  </si>
  <si>
    <t xml:space="preserve">   20    3.T   219.H</t>
  </si>
  <si>
    <t xml:space="preserve">   20    3.T   203.H</t>
  </si>
  <si>
    <t xml:space="preserve">   21    3.T   222.H</t>
  </si>
  <si>
    <t xml:space="preserve">   21    3.T   216.H</t>
  </si>
  <si>
    <t xml:space="preserve">   21    3.T   196.H</t>
  </si>
  <si>
    <t xml:space="preserve">   21    3.T   221.H</t>
  </si>
  <si>
    <t xml:space="preserve">   21    3.T   226.H</t>
  </si>
  <si>
    <t xml:space="preserve">   21    3.T   208.H</t>
  </si>
  <si>
    <t xml:space="preserve">   21    3.T   223.H</t>
  </si>
  <si>
    <t xml:space="preserve">   21    3.T   240.H</t>
  </si>
  <si>
    <t xml:space="preserve">   21    3.T   213.H</t>
  </si>
  <si>
    <t xml:space="preserve">   21    3.T   214.H</t>
  </si>
  <si>
    <t xml:space="preserve">   21    3.T   224.H</t>
  </si>
  <si>
    <t xml:space="preserve">   21    3.T   219.H</t>
  </si>
  <si>
    <t xml:space="preserve">   21    3.T   203.H</t>
  </si>
  <si>
    <t xml:space="preserve">   21    3.T   210.H</t>
  </si>
  <si>
    <t xml:space="preserve">   21    3.T   215.H</t>
  </si>
  <si>
    <t xml:space="preserve">   21    3.T   207.H</t>
  </si>
  <si>
    <t xml:space="preserve">   21    3.T   225.H</t>
  </si>
  <si>
    <t xml:space="preserve">   21    3.T   217.H</t>
  </si>
  <si>
    <t xml:space="preserve">   21    3.T   204.H</t>
  </si>
  <si>
    <t xml:space="preserve">   21    3.T   212.H</t>
  </si>
  <si>
    <t xml:space="preserve">   21    3.T   229.H</t>
  </si>
  <si>
    <t xml:space="preserve">   21    3.T   242.H</t>
  </si>
  <si>
    <t>_______________________________________________________</t>
  </si>
  <si>
    <t xml:space="preserve">   01    2.T   301.H</t>
  </si>
  <si>
    <t xml:space="preserve">   01    3.T   295.H</t>
  </si>
  <si>
    <t xml:space="preserve">   01    2.T   294.H</t>
  </si>
  <si>
    <t xml:space="preserve">   01    2.T   283.H</t>
  </si>
  <si>
    <t xml:space="preserve">   01    2.T   287.H</t>
  </si>
  <si>
    <t xml:space="preserve">   01    2.T   314.H</t>
  </si>
  <si>
    <t xml:space="preserve">   01    2.T   303.H</t>
  </si>
  <si>
    <t xml:space="preserve">   01    2.T   295.H</t>
  </si>
  <si>
    <t xml:space="preserve">   01    3.T   309.H</t>
  </si>
  <si>
    <t xml:space="preserve">   01    2.T   316.H</t>
  </si>
  <si>
    <t xml:space="preserve">   01    2.T   305.H</t>
  </si>
  <si>
    <t xml:space="preserve">   01    2.T   307.H</t>
  </si>
  <si>
    <t xml:space="preserve">   01    2.T   290.H</t>
  </si>
  <si>
    <t xml:space="preserve">   01    2.T   300.H</t>
  </si>
  <si>
    <t xml:space="preserve">   01    2.T   296.H</t>
  </si>
  <si>
    <t xml:space="preserve">   01    2.T   319.H</t>
  </si>
  <si>
    <t xml:space="preserve">   01    3.T   265.H</t>
  </si>
  <si>
    <t xml:space="preserve">   01    2.T   274.H</t>
  </si>
  <si>
    <t xml:space="preserve">   01    2.T   284.H</t>
  </si>
  <si>
    <t xml:space="preserve">   01    2.T   336.H</t>
  </si>
  <si>
    <t xml:space="preserve">   01    3.T   299.H</t>
  </si>
  <si>
    <t xml:space="preserve">   01    3.T   302.H</t>
  </si>
  <si>
    <t xml:space="preserve">   01    3.T   317.H</t>
  </si>
  <si>
    <t xml:space="preserve">   01    3.T   274.H</t>
  </si>
  <si>
    <t xml:space="preserve">   01    3.T   300.H</t>
  </si>
  <si>
    <t xml:space="preserve">   01    2.T   309.H</t>
  </si>
  <si>
    <t xml:space="preserve">   01    2.T   310.H</t>
  </si>
  <si>
    <t xml:space="preserve">   01    2.T   285.H</t>
  </si>
  <si>
    <t xml:space="preserve">   01    2.T   311.H</t>
  </si>
  <si>
    <t xml:space="preserve">   01    2.T   329.H</t>
  </si>
  <si>
    <t xml:space="preserve">   01    2.T   306.H</t>
  </si>
  <si>
    <t xml:space="preserve">   01    2.T   325.H</t>
  </si>
  <si>
    <t xml:space="preserve">   01    3.T   350.H</t>
  </si>
  <si>
    <t xml:space="preserve">   01    2.T   324.H</t>
  </si>
  <si>
    <t xml:space="preserve">   01    2.T   337.H</t>
  </si>
  <si>
    <t xml:space="preserve">   01    2.T   320.H</t>
  </si>
  <si>
    <t xml:space="preserve">   01    2.T   330.H</t>
  </si>
  <si>
    <t xml:space="preserve">   01    2.T   331.H</t>
  </si>
  <si>
    <t xml:space="preserve">   01    2.T   326.H</t>
  </si>
  <si>
    <t xml:space="preserve">   02    2.T   345.H</t>
  </si>
  <si>
    <t xml:space="preserve">   02    2.T   331.H</t>
  </si>
  <si>
    <t xml:space="preserve">   02    2.T   334.H</t>
  </si>
  <si>
    <t xml:space="preserve">   02    2.T   328.H</t>
  </si>
  <si>
    <t xml:space="preserve">   02    2.T   335.H</t>
  </si>
  <si>
    <t xml:space="preserve">   02    2.T   330.H</t>
  </si>
  <si>
    <t xml:space="preserve">   02    2.T    10.H</t>
  </si>
  <si>
    <t xml:space="preserve">   02    3.T    10.H</t>
  </si>
  <si>
    <t xml:space="preserve">   02    3.T    30.H</t>
  </si>
  <si>
    <t xml:space="preserve">   02    3.T    11.H</t>
  </si>
  <si>
    <t xml:space="preserve">   02    2.T   360.H</t>
  </si>
  <si>
    <t xml:space="preserve">   02    4.T    21.H</t>
  </si>
  <si>
    <t xml:space="preserve">   02    2.T     2.H</t>
  </si>
  <si>
    <t xml:space="preserve">   02    2.T    12.H</t>
  </si>
  <si>
    <t xml:space="preserve">   02    2.T     8.H</t>
  </si>
  <si>
    <t xml:space="preserve">   02    3.T    31.H</t>
  </si>
  <si>
    <t xml:space="preserve">   02    3.T    17.H</t>
  </si>
  <si>
    <t xml:space="preserve">   02    2.T    20.H</t>
  </si>
  <si>
    <t xml:space="preserve">   02    3.T     5.H</t>
  </si>
  <si>
    <t xml:space="preserve">   02    3.T    33.H</t>
  </si>
  <si>
    <t xml:space="preserve">   02    3.T    22.H</t>
  </si>
  <si>
    <t xml:space="preserve">   02    2.T    28.H</t>
  </si>
  <si>
    <t xml:space="preserve">   02    3.T    26.H</t>
  </si>
  <si>
    <t xml:space="preserve">   02    2.T    22.H</t>
  </si>
  <si>
    <t xml:space="preserve">   02    2.T    15.H</t>
  </si>
  <si>
    <t xml:space="preserve">   02    2.T    16.H</t>
  </si>
  <si>
    <t xml:space="preserve">   02    2.T     9.H</t>
  </si>
  <si>
    <t xml:space="preserve">   02    2.T     6.H</t>
  </si>
  <si>
    <t xml:space="preserve">   02    2.T   354.H</t>
  </si>
  <si>
    <t xml:space="preserve">   02    2.T   348.H</t>
  </si>
  <si>
    <t xml:space="preserve">   02    2.T    13.H</t>
  </si>
  <si>
    <t xml:space="preserve">   02    2.T   355.H</t>
  </si>
  <si>
    <t xml:space="preserve">   02    2.T   356.H</t>
  </si>
  <si>
    <t xml:space="preserve">   02    2.T    21.H</t>
  </si>
  <si>
    <t xml:space="preserve">   02    2.T   350.H</t>
  </si>
  <si>
    <t xml:space="preserve">   02    2.T     7.H</t>
  </si>
  <si>
    <t xml:space="preserve">   02    2.T    33.H</t>
  </si>
  <si>
    <t xml:space="preserve">   02    2.T    14.H</t>
  </si>
  <si>
    <t xml:space="preserve">   02    2.T    32.H</t>
  </si>
  <si>
    <t xml:space="preserve">   03    2.T    18.H</t>
  </si>
  <si>
    <t xml:space="preserve">   03    2.T     5.H</t>
  </si>
  <si>
    <t xml:space="preserve">   03    2.T     8.H</t>
  </si>
  <si>
    <t xml:space="preserve">   03    2.T    23.H</t>
  </si>
  <si>
    <t xml:space="preserve">   03    2.T   353.H</t>
  </si>
  <si>
    <t xml:space="preserve">   03    2.T    21.H</t>
  </si>
  <si>
    <t xml:space="preserve">   03    2.T     6.H</t>
  </si>
  <si>
    <t xml:space="preserve">   03    2.T     4.H</t>
  </si>
  <si>
    <t xml:space="preserve">   03    2.T   356.H</t>
  </si>
  <si>
    <t xml:space="preserve">   03    2.T   322.H</t>
  </si>
  <si>
    <t xml:space="preserve">   03    2.T   352.H</t>
  </si>
  <si>
    <t xml:space="preserve">   03    2.T   343.H</t>
  </si>
  <si>
    <t xml:space="preserve">   03    2.T   323.H</t>
  </si>
  <si>
    <t xml:space="preserve">   03    2.T   345.H</t>
  </si>
  <si>
    <t xml:space="preserve">   03    2.T   315.H</t>
  </si>
  <si>
    <t xml:space="preserve">   03    2.T   326.H</t>
  </si>
  <si>
    <t xml:space="preserve">   03    2.T   296.H</t>
  </si>
  <si>
    <t xml:space="preserve">   03    2.T   324.H</t>
  </si>
  <si>
    <t xml:space="preserve">   03    2.T   310.H</t>
  </si>
  <si>
    <t xml:space="preserve">   03    2.T   281.H</t>
  </si>
  <si>
    <t xml:space="preserve">   03    3.T   338.H</t>
  </si>
  <si>
    <t xml:space="preserve">   03    2.T   327.H</t>
  </si>
  <si>
    <t xml:space="preserve">   03    2.T   311.H</t>
  </si>
  <si>
    <t xml:space="preserve">   03    3.T   308.H</t>
  </si>
  <si>
    <t xml:space="preserve">   03    2.T   301.H</t>
  </si>
  <si>
    <t xml:space="preserve">   03    2.T   321.H</t>
  </si>
  <si>
    <t xml:space="preserve">   03    2.T   300.H</t>
  </si>
  <si>
    <t xml:space="preserve">   03    2.T   316.H</t>
  </si>
  <si>
    <t xml:space="preserve">   03    2.T   313.H</t>
  </si>
  <si>
    <t xml:space="preserve">   03    2.T   305.H</t>
  </si>
  <si>
    <t xml:space="preserve">   03    3.T   305.H</t>
  </si>
  <si>
    <t xml:space="preserve">   03    3.T   282.H</t>
  </si>
  <si>
    <t xml:space="preserve">   03    2.T   299.H</t>
  </si>
  <si>
    <t xml:space="preserve">   04    3.T   348.H</t>
  </si>
  <si>
    <t xml:space="preserve">   04    3.T   315.H</t>
  </si>
  <si>
    <t xml:space="preserve">   04    3.T   317.H</t>
  </si>
  <si>
    <t xml:space="preserve">   04    3.T   329.H</t>
  </si>
  <si>
    <t xml:space="preserve">   04    3.T   330.H</t>
  </si>
  <si>
    <t xml:space="preserve">   04    3.T   311.H</t>
  </si>
  <si>
    <t xml:space="preserve">   04    3.T   302.H</t>
  </si>
  <si>
    <t xml:space="preserve">   04    3.T   303.H</t>
  </si>
  <si>
    <t xml:space="preserve">   04    3.T   272.H</t>
  </si>
  <si>
    <t xml:space="preserve">   04    3.T   276.H</t>
  </si>
  <si>
    <t xml:space="preserve">   04    3.T   275.H</t>
  </si>
  <si>
    <t xml:space="preserve">   04    3.T   263.H</t>
  </si>
  <si>
    <t xml:space="preserve">   04    3.T   270.H</t>
  </si>
  <si>
    <t xml:space="preserve">   04    3.T   254.H</t>
  </si>
  <si>
    <t xml:space="preserve">   04    3.T   282.H</t>
  </si>
  <si>
    <t xml:space="preserve">   04    3.T   251.H</t>
  </si>
  <si>
    <t xml:space="preserve">   04    3.T   271.H</t>
  </si>
  <si>
    <t xml:space="preserve">   04    3.T   266.H</t>
  </si>
  <si>
    <t xml:space="preserve">   04    3.T   328.H</t>
  </si>
  <si>
    <t xml:space="preserve">   04    3.T   253.H</t>
  </si>
  <si>
    <t xml:space="preserve">   04    3.T   221.H</t>
  </si>
  <si>
    <t xml:space="preserve">   04    3.T   295.H</t>
  </si>
  <si>
    <t xml:space="preserve">   04    3.T   299.H</t>
  </si>
  <si>
    <t xml:space="preserve">   04    3.T   294.H</t>
  </si>
  <si>
    <t xml:space="preserve">   04    3.T   273.H</t>
  </si>
  <si>
    <t xml:space="preserve">   04    3.T   304.H</t>
  </si>
  <si>
    <t xml:space="preserve">   04    3.T   212.H</t>
  </si>
  <si>
    <t xml:space="preserve">   04    3.T   284.H</t>
  </si>
  <si>
    <t xml:space="preserve">   04    3.T   336.H</t>
  </si>
  <si>
    <t xml:space="preserve">   04    3.T   350.H</t>
  </si>
  <si>
    <t xml:space="preserve">   04    3.T   298.H</t>
  </si>
  <si>
    <t xml:space="preserve">   04    3.T   342.H</t>
  </si>
  <si>
    <t xml:space="preserve">   04    3.T   353.H</t>
  </si>
  <si>
    <t xml:space="preserve">   04    3.T     5.H</t>
  </si>
  <si>
    <t xml:space="preserve">   04    3.T   352.H</t>
  </si>
  <si>
    <t xml:space="preserve">   04    3.T   307.H</t>
  </si>
  <si>
    <t xml:space="preserve">   04    3.T   305.H</t>
  </si>
  <si>
    <t xml:space="preserve">   04    3.T   296.H</t>
  </si>
  <si>
    <t xml:space="preserve">   04    3.T   290.H</t>
  </si>
  <si>
    <t xml:space="preserve">   04    3.T   306.H</t>
  </si>
  <si>
    <t xml:space="preserve">   04    3.T   301.H</t>
  </si>
  <si>
    <t xml:space="preserve">   04    3.T   264.H</t>
  </si>
  <si>
    <t xml:space="preserve">   04    3.T   281.H</t>
  </si>
  <si>
    <t xml:space="preserve">   05    2.T   291.H</t>
  </si>
  <si>
    <t xml:space="preserve">   05    3.T    20.H</t>
  </si>
  <si>
    <t xml:space="preserve">   05    3.T    13.H</t>
  </si>
  <si>
    <t xml:space="preserve">   05    3.T   352.H</t>
  </si>
  <si>
    <t xml:space="preserve">   05    3.T   358.H</t>
  </si>
  <si>
    <t xml:space="preserve">   05    3.T   263.H</t>
  </si>
  <si>
    <t xml:space="preserve">   05    3.T   266.H</t>
  </si>
  <si>
    <t xml:space="preserve">   05    3.T    27.H</t>
  </si>
  <si>
    <t xml:space="preserve">   05    3.T   129.H</t>
  </si>
  <si>
    <t xml:space="preserve">   05    3.T   265.H</t>
  </si>
  <si>
    <t xml:space="preserve">   05    3.T    40.H</t>
  </si>
  <si>
    <t xml:space="preserve">   05    3.T    30.H</t>
  </si>
  <si>
    <t xml:space="preserve">   05    3.T    42.H</t>
  </si>
  <si>
    <t xml:space="preserve">   05    3.T    31.H</t>
  </si>
  <si>
    <t xml:space="preserve">   05    3.T    56.H</t>
  </si>
  <si>
    <t xml:space="preserve">   05    3.T    41.H</t>
  </si>
  <si>
    <t xml:space="preserve">   05    2.T    66.H</t>
  </si>
  <si>
    <t xml:space="preserve">   05    3.T    51.H</t>
  </si>
  <si>
    <t xml:space="preserve">   05    2.T    92.H</t>
  </si>
  <si>
    <t xml:space="preserve">   05    3.T    63.H</t>
  </si>
  <si>
    <t xml:space="preserve">   05    3.T    60.H</t>
  </si>
  <si>
    <t xml:space="preserve">   05    2.T    54.H</t>
  </si>
  <si>
    <t xml:space="preserve">   05    3.T    38.H</t>
  </si>
  <si>
    <t xml:space="preserve">   05    2.T    39.H</t>
  </si>
  <si>
    <t xml:space="preserve">   05    3.T    10.H</t>
  </si>
  <si>
    <t xml:space="preserve">   05    3.T    43.H</t>
  </si>
  <si>
    <t xml:space="preserve">   05    3.T    21.H</t>
  </si>
  <si>
    <t xml:space="preserve">   05    3.T   316.H</t>
  </si>
  <si>
    <t xml:space="preserve">   05    3.T   351.H</t>
  </si>
  <si>
    <t xml:space="preserve">   05    3.T    11.H</t>
  </si>
  <si>
    <t xml:space="preserve">   05    3.T    33.H</t>
  </si>
  <si>
    <t xml:space="preserve">   05    2.T    33.H</t>
  </si>
  <si>
    <t xml:space="preserve">   05    3.T   249.H</t>
  </si>
  <si>
    <t xml:space="preserve">   05    3.T   257.H</t>
  </si>
  <si>
    <t xml:space="preserve">   05    3.T   239.H</t>
  </si>
  <si>
    <t xml:space="preserve">   05    3.T   264.H</t>
  </si>
  <si>
    <t xml:space="preserve">   05    3.T   253.H</t>
  </si>
  <si>
    <t xml:space="preserve">   05    3.T   170.H</t>
  </si>
  <si>
    <t xml:space="preserve">   05    3.T   279.H</t>
  </si>
  <si>
    <t xml:space="preserve">   05    3.T   294.H</t>
  </si>
  <si>
    <t xml:space="preserve">   05    3.T   174.H</t>
  </si>
  <si>
    <t xml:space="preserve">   06    3.T    26.H</t>
  </si>
  <si>
    <t xml:space="preserve">   06    3.T   347.H</t>
  </si>
  <si>
    <t xml:space="preserve">   06    3.T   335.H</t>
  </si>
  <si>
    <t xml:space="preserve">   06    3.T   229.H</t>
  </si>
  <si>
    <t xml:space="preserve">   06    3.T   244.H</t>
  </si>
  <si>
    <t xml:space="preserve">   06    3.T   281.H</t>
  </si>
  <si>
    <t xml:space="preserve">   06    3.T   291.H</t>
  </si>
  <si>
    <t xml:space="preserve">   06    3.T   265.H</t>
  </si>
  <si>
    <t xml:space="preserve">   06    3.T   266.H</t>
  </si>
  <si>
    <t xml:space="preserve">   06    3.T    21.H</t>
  </si>
  <si>
    <t xml:space="preserve">   06    3.T   276.H</t>
  </si>
  <si>
    <t xml:space="preserve">   06    3.T    12.H</t>
  </si>
  <si>
    <t xml:space="preserve">   06    3.T    29.H</t>
  </si>
  <si>
    <t xml:space="preserve">   06    3.T    28.H</t>
  </si>
  <si>
    <t xml:space="preserve">   06    3.T    23.H</t>
  </si>
  <si>
    <t xml:space="preserve">   06    2.T    62.H</t>
  </si>
  <si>
    <t xml:space="preserve">   06    3.T   102.H</t>
  </si>
  <si>
    <t xml:space="preserve">   06    3.T    71.H</t>
  </si>
  <si>
    <t xml:space="preserve">   06    3.T   176.H</t>
  </si>
  <si>
    <t xml:space="preserve">   06    3.T   139.H</t>
  </si>
  <si>
    <t xml:space="preserve">   06    3.T   178.H</t>
  </si>
  <si>
    <t xml:space="preserve">   06    3.T    78.H</t>
  </si>
  <si>
    <t xml:space="preserve">   06    3.T   109.H</t>
  </si>
  <si>
    <t xml:space="preserve">   06    3.T    33.H</t>
  </si>
  <si>
    <t xml:space="preserve">   06    3.T    32.H</t>
  </si>
  <si>
    <t xml:space="preserve">   06    3.T   271.H</t>
  </si>
  <si>
    <t xml:space="preserve">   06    3.T   286.H</t>
  </si>
  <si>
    <t xml:space="preserve">   06    3.T   292.H</t>
  </si>
  <si>
    <t xml:space="preserve">   06    3.T   289.H</t>
  </si>
  <si>
    <t xml:space="preserve">   06    3.T   309.H</t>
  </si>
  <si>
    <t xml:space="preserve">   06    3.T   307.H</t>
  </si>
  <si>
    <t xml:space="preserve">   06    3.T   330.H</t>
  </si>
  <si>
    <t xml:space="preserve">   06    3.T    14.H</t>
  </si>
  <si>
    <t xml:space="preserve">   06    2.T   312.H</t>
  </si>
  <si>
    <t xml:space="preserve">   06    2.T   337.H</t>
  </si>
  <si>
    <t xml:space="preserve">   06    3.T   117.H</t>
  </si>
  <si>
    <t xml:space="preserve">   06    3.T   193.H</t>
  </si>
  <si>
    <t xml:space="preserve">   06    3.T   213.H</t>
  </si>
  <si>
    <t xml:space="preserve">   06    3.T   136.H</t>
  </si>
  <si>
    <t xml:space="preserve">   06    3.T    92.H</t>
  </si>
  <si>
    <t xml:space="preserve">   06    2.T   207.H</t>
  </si>
  <si>
    <t xml:space="preserve">   06    3.T    66.H</t>
  </si>
  <si>
    <t xml:space="preserve">   06    3.T    64.H</t>
  </si>
  <si>
    <t xml:space="preserve">   06    3.T   161.H</t>
  </si>
  <si>
    <t xml:space="preserve">   07    2.T   238.H</t>
  </si>
  <si>
    <t xml:space="preserve">   07    2.T   214.H</t>
  </si>
  <si>
    <t xml:space="preserve">   07    3.T   219.H</t>
  </si>
  <si>
    <t xml:space="preserve">   07    2.T   216.H</t>
  </si>
  <si>
    <t xml:space="preserve">   07    2.T   213.H</t>
  </si>
  <si>
    <t xml:space="preserve">   07    2.T   217.H</t>
  </si>
  <si>
    <t xml:space="preserve">   07    3.T   220.H</t>
  </si>
  <si>
    <t xml:space="preserve">   07    2.T   210.H</t>
  </si>
  <si>
    <t xml:space="preserve">   07    2.T   196.H</t>
  </si>
  <si>
    <t xml:space="preserve">   07    3.T   201.H</t>
  </si>
  <si>
    <t xml:space="preserve">   07    3.T   208.H</t>
  </si>
  <si>
    <t xml:space="preserve">   07    3.T   205.H</t>
  </si>
  <si>
    <t xml:space="preserve">   07    2.T   197.H</t>
  </si>
  <si>
    <t xml:space="preserve">   07    3.T   209.H</t>
  </si>
  <si>
    <t xml:space="preserve">   07    3.T   173.H</t>
  </si>
  <si>
    <t xml:space="preserve">   07    3.T    50.H</t>
  </si>
  <si>
    <t xml:space="preserve">   07    2.T    93.H</t>
  </si>
  <si>
    <t xml:space="preserve">   07    3.T   113.H</t>
  </si>
  <si>
    <t xml:space="preserve">   07    2.T    73.H</t>
  </si>
  <si>
    <t xml:space="preserve">   07    2.T    98.H</t>
  </si>
  <si>
    <t xml:space="preserve">   07    2.T   111.H</t>
  </si>
  <si>
    <t xml:space="preserve">   07    3.T    72.H</t>
  </si>
  <si>
    <t xml:space="preserve">   07    2.T    61.H</t>
  </si>
  <si>
    <t xml:space="preserve">   07    2.T    76.H</t>
  </si>
  <si>
    <t xml:space="preserve">   07    2.T    79.H</t>
  </si>
  <si>
    <t xml:space="preserve">   07    2.T    58.H</t>
  </si>
  <si>
    <t xml:space="preserve">   07    3.T    47.H</t>
  </si>
  <si>
    <t xml:space="preserve">   07    2.T    54.H</t>
  </si>
  <si>
    <t xml:space="preserve">   07    2.T    57.H</t>
  </si>
  <si>
    <t xml:space="preserve">   07    3.T    28.H</t>
  </si>
  <si>
    <t xml:space="preserve">   07    3.T   334.H</t>
  </si>
  <si>
    <t xml:space="preserve">   07    2.T   336.H</t>
  </si>
  <si>
    <t xml:space="preserve">   07    3.T   294.H</t>
  </si>
  <si>
    <t xml:space="preserve">   07    3.T   267.H</t>
  </si>
  <si>
    <t xml:space="preserve">   07    3.T   283.H</t>
  </si>
  <si>
    <t xml:space="preserve">   07    2.T   284.H</t>
  </si>
  <si>
    <t xml:space="preserve">   07    3.T   304.H</t>
  </si>
  <si>
    <t xml:space="preserve">   07    3.T   279.H</t>
  </si>
  <si>
    <t xml:space="preserve">   07    3.T   273.H</t>
  </si>
  <si>
    <t xml:space="preserve">   07    2.T   242.H</t>
  </si>
  <si>
    <t xml:space="preserve">   07    3.T   247.H</t>
  </si>
  <si>
    <t xml:space="preserve">   07    3.T   275.H</t>
  </si>
  <si>
    <t xml:space="preserve">   07    3.T   301.H</t>
  </si>
  <si>
    <t xml:space="preserve">   07    3.T   232.H</t>
  </si>
  <si>
    <t xml:space="preserve">   07    3.T   319.H</t>
  </si>
  <si>
    <t xml:space="preserve">   07    3.T   236.H</t>
  </si>
  <si>
    <t xml:space="preserve">   07    3.T   270.H</t>
  </si>
  <si>
    <t xml:space="preserve">   07    3.T   265.H</t>
  </si>
  <si>
    <t xml:space="preserve">   08    3.T   250.H</t>
  </si>
  <si>
    <t xml:space="preserve">   08    2.T   263.H</t>
  </si>
  <si>
    <t xml:space="preserve">   08    2.T   274.H</t>
  </si>
  <si>
    <t xml:space="preserve">   08    3.T   280.H</t>
  </si>
  <si>
    <t xml:space="preserve">   08    2.T   276.H</t>
  </si>
  <si>
    <t xml:space="preserve">   08    2.T   278.H</t>
  </si>
  <si>
    <t xml:space="preserve">   08    3.T   301.H</t>
  </si>
  <si>
    <t xml:space="preserve">   08    3.T   288.H</t>
  </si>
  <si>
    <t xml:space="preserve">   08    3.T   300.H</t>
  </si>
  <si>
    <t xml:space="preserve">   08    3.T   298.H</t>
  </si>
  <si>
    <t xml:space="preserve">   08    2.T   282.H</t>
  </si>
  <si>
    <t xml:space="preserve">   08    2.T   266.H</t>
  </si>
  <si>
    <t xml:space="preserve">   08    3.T   291.H</t>
  </si>
  <si>
    <t xml:space="preserve">   08    3.T   289.H</t>
  </si>
  <si>
    <t xml:space="preserve">   08    2.T   299.H</t>
  </si>
  <si>
    <t xml:space="preserve">   08    3.T   293.H</t>
  </si>
  <si>
    <t xml:space="preserve">   08    3.T   297.H</t>
  </si>
  <si>
    <t xml:space="preserve">   08    3.T   287.H</t>
  </si>
  <si>
    <t xml:space="preserve">   08    3.T   314.H</t>
  </si>
  <si>
    <t xml:space="preserve">   08    3.T   286.H</t>
  </si>
  <si>
    <t xml:space="preserve">   08    3.T   268.H</t>
  </si>
  <si>
    <t xml:space="preserve">   08    3.T   275.H</t>
  </si>
  <si>
    <t xml:space="preserve">   08    3.T   346.H</t>
  </si>
  <si>
    <t xml:space="preserve">   08    3.T   283.H</t>
  </si>
  <si>
    <t xml:space="preserve">   08    3.T   279.H</t>
  </si>
  <si>
    <t xml:space="preserve">   08    3.T   276.H</t>
  </si>
  <si>
    <t xml:space="preserve">   08    2.T   281.H</t>
  </si>
  <si>
    <t xml:space="preserve">   08    3.T   259.H</t>
  </si>
  <si>
    <t xml:space="preserve">   08    3.T   292.H</t>
  </si>
  <si>
    <t xml:space="preserve">   08    3.T   254.H</t>
  </si>
  <si>
    <t xml:space="preserve">   08    2.T   293.H</t>
  </si>
  <si>
    <t xml:space="preserve">   08    2.T   264.H</t>
  </si>
  <si>
    <t xml:space="preserve">   08    3.T   302.H</t>
  </si>
  <si>
    <t xml:space="preserve">   09    3.T   293.H</t>
  </si>
  <si>
    <t xml:space="preserve">   09    3.T   274.H</t>
  </si>
  <si>
    <t xml:space="preserve">   09    3.T   275.H</t>
  </si>
  <si>
    <t xml:space="preserve">   09    3.T   289.H</t>
  </si>
  <si>
    <t xml:space="preserve">   09    3.T   263.H</t>
  </si>
  <si>
    <t xml:space="preserve">   09    3.T   264.H</t>
  </si>
  <si>
    <t xml:space="preserve">   09    3.T   286.H</t>
  </si>
  <si>
    <t xml:space="preserve">   09    3.T   288.H</t>
  </si>
  <si>
    <t xml:space="preserve">   09    3.T   250.H</t>
  </si>
  <si>
    <t xml:space="preserve">   09    3.T   333.H</t>
  </si>
  <si>
    <t xml:space="preserve">   09    3.T     3.H</t>
  </si>
  <si>
    <t xml:space="preserve">   09    3.T   307.H</t>
  </si>
  <si>
    <t xml:space="preserve">   09    3.T   325.H</t>
  </si>
  <si>
    <t xml:space="preserve">   09    3.T   103.H</t>
  </si>
  <si>
    <t xml:space="preserve">   09    3.T   338.H</t>
  </si>
  <si>
    <t xml:space="preserve">   09    3.T   345.H</t>
  </si>
  <si>
    <t xml:space="preserve">   09    3.T   337.H</t>
  </si>
  <si>
    <t xml:space="preserve">   09    3.T   348.H</t>
  </si>
  <si>
    <t xml:space="preserve">   09    3.T   329.H</t>
  </si>
  <si>
    <t xml:space="preserve">   09    3.T   296.H</t>
  </si>
  <si>
    <t xml:space="preserve">   09    3.T   327.H</t>
  </si>
  <si>
    <t xml:space="preserve">   09    3.T    33.H</t>
  </si>
  <si>
    <t xml:space="preserve">   09    3.T   334.H</t>
  </si>
  <si>
    <t xml:space="preserve">   09    3.T   347.H</t>
  </si>
  <si>
    <t xml:space="preserve">   09    3.T   326.H</t>
  </si>
  <si>
    <t xml:space="preserve">   09    3.T   297.H</t>
  </si>
  <si>
    <t xml:space="preserve">   09    3.T   318.H</t>
  </si>
  <si>
    <t xml:space="preserve">   09    3.T   308.H</t>
  </si>
  <si>
    <t xml:space="preserve">   09    3.T   255.H</t>
  </si>
  <si>
    <t xml:space="preserve">   09    3.T   261.H</t>
  </si>
  <si>
    <t xml:space="preserve">   09    3.T   292.H</t>
  </si>
  <si>
    <t xml:space="preserve">   09    3.T   262.H</t>
  </si>
  <si>
    <t xml:space="preserve">   09    3.T   295.H</t>
  </si>
  <si>
    <t xml:space="preserve">   09    3.T   323.H</t>
  </si>
  <si>
    <t xml:space="preserve">   09    3.T   270.H</t>
  </si>
  <si>
    <t xml:space="preserve">   09    3.T   331.H</t>
  </si>
  <si>
    <t xml:space="preserve">   09    3.T   310.H</t>
  </si>
  <si>
    <t xml:space="preserve">   10    3.T   322.H</t>
  </si>
  <si>
    <t xml:space="preserve">   10    3.T   281.H</t>
  </si>
  <si>
    <t xml:space="preserve">   10    3.T   270.H</t>
  </si>
  <si>
    <t xml:space="preserve">   10    3.T   301.H</t>
  </si>
  <si>
    <t xml:space="preserve">   10    3.T   279.H</t>
  </si>
  <si>
    <t xml:space="preserve">   10    3.T   114.H</t>
  </si>
  <si>
    <t xml:space="preserve">   10    3.T   191.H</t>
  </si>
  <si>
    <t xml:space="preserve">   10    3.T   216.H</t>
  </si>
  <si>
    <t xml:space="preserve">   10    3.T    79.H</t>
  </si>
  <si>
    <t xml:space="preserve">   10    3.T   196.H</t>
  </si>
  <si>
    <t xml:space="preserve">   10    3.T   219.H</t>
  </si>
  <si>
    <t xml:space="preserve">   10    3.T   170.H</t>
  </si>
  <si>
    <t xml:space="preserve">   10    3.T   197.H</t>
  </si>
  <si>
    <t xml:space="preserve">   10    3.T   208.H</t>
  </si>
  <si>
    <t xml:space="preserve">   10    3.T   275.H</t>
  </si>
  <si>
    <t xml:space="preserve">   10    3.T   258.H</t>
  </si>
  <si>
    <t xml:space="preserve">   10    3.T   297.H</t>
  </si>
  <si>
    <t xml:space="preserve">   10    3.T   285.H</t>
  </si>
  <si>
    <t xml:space="preserve">   10    3.T   327.H</t>
  </si>
  <si>
    <t xml:space="preserve">   10    3.T   271.H</t>
  </si>
  <si>
    <t xml:space="preserve">   10    3.T   326.H</t>
  </si>
  <si>
    <t xml:space="preserve">   10    3.T   298.H</t>
  </si>
  <si>
    <t xml:space="preserve">   10    3.T   318.H</t>
  </si>
  <si>
    <t xml:space="preserve">   10    3.T   308.H</t>
  </si>
  <si>
    <t xml:space="preserve">   10    3.T   304.H</t>
  </si>
  <si>
    <t xml:space="preserve">   10    3.T   295.H</t>
  </si>
  <si>
    <t xml:space="preserve">   10    3.T   315.H</t>
  </si>
  <si>
    <t xml:space="preserve">   10    3.T   342.H</t>
  </si>
  <si>
    <t xml:space="preserve">   10    3.T    71.H</t>
  </si>
  <si>
    <t xml:space="preserve">   10    3.T   228.H</t>
  </si>
  <si>
    <t xml:space="preserve">   10    3.T   274.H</t>
  </si>
  <si>
    <t xml:space="preserve">   10    3.T   181.H</t>
  </si>
  <si>
    <t xml:space="preserve">   10    3.T   230.H</t>
  </si>
  <si>
    <t xml:space="preserve">   10    3.T   276.H</t>
  </si>
  <si>
    <t xml:space="preserve">   10    3.T   280.H</t>
  </si>
  <si>
    <t xml:space="preserve">   10    3.T   288.H</t>
  </si>
  <si>
    <t xml:space="preserve">   10    3.T   254.H</t>
  </si>
  <si>
    <t xml:space="preserve">   10    2.T   251.H</t>
  </si>
  <si>
    <t xml:space="preserve">   11    2.T   249.H</t>
  </si>
  <si>
    <t xml:space="preserve">   11    2.T   274.H</t>
  </si>
  <si>
    <t xml:space="preserve">   11    3.T   313.H</t>
  </si>
  <si>
    <t xml:space="preserve">   11    3.T   327.H</t>
  </si>
  <si>
    <t xml:space="preserve">   11    3.T   325.H</t>
  </si>
  <si>
    <t xml:space="preserve">   11    3.T   329.H</t>
  </si>
  <si>
    <t xml:space="preserve">   11    3.T   210.H</t>
  </si>
  <si>
    <t xml:space="preserve">   11    3.T   257.H</t>
  </si>
  <si>
    <t xml:space="preserve">   11    3.T   345.H</t>
  </si>
  <si>
    <t xml:space="preserve">   11    3.T     9.H</t>
  </si>
  <si>
    <t xml:space="preserve">   11    3.T   323.H</t>
  </si>
  <si>
    <t xml:space="preserve">   11    3.T   338.H</t>
  </si>
  <si>
    <t xml:space="preserve">   11    3.T   334.H</t>
  </si>
  <si>
    <t xml:space="preserve">   11    3.T   328.H</t>
  </si>
  <si>
    <t xml:space="preserve">   11    3.T   307.H</t>
  </si>
  <si>
    <t xml:space="preserve">   11    3.T   227.H</t>
  </si>
  <si>
    <t xml:space="preserve">   11    3.T   258.H</t>
  </si>
  <si>
    <t xml:space="preserve">   11    3.T   259.H</t>
  </si>
  <si>
    <t xml:space="preserve">   11    3.T   286.H</t>
  </si>
  <si>
    <t xml:space="preserve">   11    3.T   236.H</t>
  </si>
  <si>
    <t xml:space="preserve">   11    3.T   270.H</t>
  </si>
  <si>
    <t xml:space="preserve">   11    3.T   245.H</t>
  </si>
  <si>
    <t xml:space="preserve">   11    3.T   273.H</t>
  </si>
  <si>
    <t xml:space="preserve">   11    3.T   275.H</t>
  </si>
  <si>
    <t xml:space="preserve">   11    3.T   318.H</t>
  </si>
  <si>
    <t xml:space="preserve">   11    3.T   289.H</t>
  </si>
  <si>
    <t xml:space="preserve">   11    3.T   315.H</t>
  </si>
  <si>
    <t xml:space="preserve">   11    3.T   332.H</t>
  </si>
  <si>
    <t xml:space="preserve">   11    3.T   306.H</t>
  </si>
  <si>
    <t xml:space="preserve">   11    3.T   322.H</t>
  </si>
  <si>
    <t xml:space="preserve">   11    3.T   314.H</t>
  </si>
  <si>
    <t xml:space="preserve">   11    3.T   221.H</t>
  </si>
  <si>
    <t xml:space="preserve">   11    3.T   187.H</t>
  </si>
  <si>
    <t xml:space="preserve">   11    3.T   229.H</t>
  </si>
  <si>
    <t xml:space="preserve">   11    3.T   167.H</t>
  </si>
  <si>
    <t xml:space="preserve">   11    3.T   101.H</t>
  </si>
  <si>
    <t xml:space="preserve">   11    3.T   179.H</t>
  </si>
  <si>
    <t xml:space="preserve">   11    3.T   138.H</t>
  </si>
  <si>
    <t xml:space="preserve">   11    3.T   177.H</t>
  </si>
  <si>
    <t xml:space="preserve">   11    3.T   192.H</t>
  </si>
  <si>
    <t xml:space="preserve">   11    3.T   217.H</t>
  </si>
  <si>
    <t xml:space="preserve">   11    3.T   216.H</t>
  </si>
  <si>
    <t xml:space="preserve">   11    3.T   254.H</t>
  </si>
  <si>
    <t xml:space="preserve">   12    3.T   251.H</t>
  </si>
  <si>
    <t xml:space="preserve">   12    3.T   294.H</t>
  </si>
  <si>
    <t xml:space="preserve">   12    3.T   293.H</t>
  </si>
  <si>
    <t xml:space="preserve">   12    3.T   306.H</t>
  </si>
  <si>
    <t xml:space="preserve">   12    3.T   332.H</t>
  </si>
  <si>
    <t xml:space="preserve">   12    3.T   297.H</t>
  </si>
  <si>
    <t xml:space="preserve">   12    3.T   343.H</t>
  </si>
  <si>
    <t xml:space="preserve">   12    3.T   342.H</t>
  </si>
  <si>
    <t xml:space="preserve">   12    3.T   286.H</t>
  </si>
  <si>
    <t xml:space="preserve">   12    3.T   222.H</t>
  </si>
  <si>
    <t xml:space="preserve">   12    3.T   196.H</t>
  </si>
  <si>
    <t xml:space="preserve">   12    3.T   101.H</t>
  </si>
  <si>
    <t xml:space="preserve">   12    3.T    97.H</t>
  </si>
  <si>
    <t xml:space="preserve">   12    3.T    56.H</t>
  </si>
  <si>
    <t xml:space="preserve">   12    3.T   105.H</t>
  </si>
  <si>
    <t xml:space="preserve">   12    3.T   161.H</t>
  </si>
  <si>
    <t xml:space="preserve">   12    3.T   177.H</t>
  </si>
  <si>
    <t xml:space="preserve">   12    3.T    98.H</t>
  </si>
  <si>
    <t xml:space="preserve">   12    3.T   113.H</t>
  </si>
  <si>
    <t xml:space="preserve">   12    3.T   181.H</t>
  </si>
  <si>
    <t xml:space="preserve">   12    3.T   175.H</t>
  </si>
  <si>
    <t xml:space="preserve">   12    3.T   130.H</t>
  </si>
  <si>
    <t xml:space="preserve">   12    3.T   128.H</t>
  </si>
  <si>
    <t xml:space="preserve">   12    3.T   198.H</t>
  </si>
  <si>
    <t xml:space="preserve">   12    3.T   200.H</t>
  </si>
  <si>
    <t xml:space="preserve">   12    3.T   194.H</t>
  </si>
  <si>
    <t xml:space="preserve">   12    3.T   202.H</t>
  </si>
  <si>
    <t xml:space="preserve">   12    3.T   172.H</t>
  </si>
  <si>
    <t xml:space="preserve">   12    3.T   228.H</t>
  </si>
  <si>
    <t xml:space="preserve">   12    3.T   140.H</t>
  </si>
  <si>
    <t xml:space="preserve">   12    3.T    36.H</t>
  </si>
  <si>
    <t xml:space="preserve">   12    3.T    51.H</t>
  </si>
  <si>
    <t xml:space="preserve">   12    3.T    27.H</t>
  </si>
  <si>
    <t xml:space="preserve">   12    3.T   353.H</t>
  </si>
  <si>
    <t xml:space="preserve">   12    3.T   348.H</t>
  </si>
  <si>
    <t xml:space="preserve">   12    3.T     6.H</t>
  </si>
  <si>
    <t xml:space="preserve">   12    3.T    40.H</t>
  </si>
  <si>
    <t xml:space="preserve">   12    3.T    86.H</t>
  </si>
  <si>
    <t xml:space="preserve">   12    3.T    13.H</t>
  </si>
  <si>
    <t xml:space="preserve">   12    3.T   171.H</t>
  </si>
  <si>
    <t xml:space="preserve">   12    3.T   346.H</t>
  </si>
  <si>
    <t xml:space="preserve">   12    3.T   230.H</t>
  </si>
  <si>
    <t xml:space="preserve">   12    3.T    48.H</t>
  </si>
  <si>
    <t xml:space="preserve">   12    3.T    95.H</t>
  </si>
  <si>
    <t xml:space="preserve">   12    3.T   132.H</t>
  </si>
  <si>
    <t xml:space="preserve">   12    3.T    85.H</t>
  </si>
  <si>
    <t xml:space="preserve">   12    3.T   182.H</t>
  </si>
  <si>
    <t xml:space="preserve">   13    3.T   320.H</t>
  </si>
  <si>
    <t xml:space="preserve">   13    3.T   269.H</t>
  </si>
  <si>
    <t xml:space="preserve">   13    3.T   307.H</t>
  </si>
  <si>
    <t xml:space="preserve">   13    3.T   302.H</t>
  </si>
  <si>
    <t xml:space="preserve">   13    3.T   285.H</t>
  </si>
  <si>
    <t xml:space="preserve">   13    3.T   318.H</t>
  </si>
  <si>
    <t xml:space="preserve">   13    3.T   319.H</t>
  </si>
  <si>
    <t xml:space="preserve">   13    3.T   272.H</t>
  </si>
  <si>
    <t xml:space="preserve">   13    3.T   290.H</t>
  </si>
  <si>
    <t xml:space="preserve">   13    3.T   261.H</t>
  </si>
  <si>
    <t xml:space="preserve">   13    3.T   255.H</t>
  </si>
  <si>
    <t xml:space="preserve">   13    3.T   259.H</t>
  </si>
  <si>
    <t xml:space="preserve">   13    3.T   266.H</t>
  </si>
  <si>
    <t xml:space="preserve">   13    3.T   256.H</t>
  </si>
  <si>
    <t xml:space="preserve">   13    3.T   249.H</t>
  </si>
  <si>
    <t xml:space="preserve">   13    3.T   236.H</t>
  </si>
  <si>
    <t xml:space="preserve">   13    3.T   247.H</t>
  </si>
  <si>
    <t xml:space="preserve">   13    3.T   235.H</t>
  </si>
  <si>
    <t xml:space="preserve">   13    3.T   239.H</t>
  </si>
  <si>
    <t xml:space="preserve">   13    3.T   237.H</t>
  </si>
  <si>
    <t xml:space="preserve">   13    3.T   241.H</t>
  </si>
  <si>
    <t xml:space="preserve">   13    3.T   246.H</t>
  </si>
  <si>
    <t xml:space="preserve">   13    3.T   220.H</t>
  </si>
  <si>
    <t xml:space="preserve">   13    3.T   209.H</t>
  </si>
  <si>
    <t xml:space="preserve">   13    2.T   232.H</t>
  </si>
  <si>
    <t xml:space="preserve">   13    3.T   232.H</t>
  </si>
  <si>
    <t xml:space="preserve">   13    3.T   217.H</t>
  </si>
  <si>
    <t xml:space="preserve">   13    2.T   228.H</t>
  </si>
  <si>
    <t xml:space="preserve">   13    3.T   221.H</t>
  </si>
  <si>
    <t xml:space="preserve">   13    2.T   222.H</t>
  </si>
  <si>
    <t xml:space="preserve">   13    2.T   236.H</t>
  </si>
  <si>
    <t xml:space="preserve">   13    2.T   239.H</t>
  </si>
  <si>
    <t xml:space="preserve">   13    2.T   243.H</t>
  </si>
  <si>
    <t xml:space="preserve">   13    2.T   233.H</t>
  </si>
  <si>
    <t xml:space="preserve">   13    2.T   242.H</t>
  </si>
  <si>
    <t xml:space="preserve">   13    2.T   237.H</t>
  </si>
  <si>
    <t>average PACS-2</t>
  </si>
  <si>
    <t>stdev.p</t>
  </si>
  <si>
    <t>average samples</t>
  </si>
  <si>
    <t>average 1000m</t>
  </si>
  <si>
    <t>average 2000m</t>
  </si>
  <si>
    <t>uM SiO2-Si</t>
  </si>
  <si>
    <t>average 3800m</t>
  </si>
  <si>
    <t>min</t>
  </si>
  <si>
    <t>max</t>
  </si>
  <si>
    <r>
      <t xml:space="preserve">copied from original file </t>
    </r>
    <r>
      <rPr>
        <i/>
        <sz val="10"/>
        <rFont val="Arial"/>
        <family val="2"/>
      </rPr>
      <t>Elemental Analysis CHN - August 2017</t>
    </r>
    <r>
      <rPr>
        <sz val="10"/>
        <rFont val="Arial"/>
        <family val="2"/>
      </rPr>
      <t xml:space="preserve"> in Dropbox folder</t>
    </r>
    <r>
      <rPr>
        <i/>
        <sz val="10"/>
        <rFont val="Arial"/>
        <family val="2"/>
      </rPr>
      <t xml:space="preserve"> RAW data - CHN</t>
    </r>
  </si>
  <si>
    <r>
      <t xml:space="preserve">copied from original file </t>
    </r>
    <r>
      <rPr>
        <b/>
        <i/>
        <sz val="10"/>
        <rFont val="Arial"/>
        <family val="2"/>
      </rPr>
      <t>saz19_CHN_results_August 2018</t>
    </r>
    <r>
      <rPr>
        <sz val="10"/>
        <rFont val="Arial"/>
        <family val="2"/>
      </rPr>
      <t xml:space="preserve"> in Dropbox folder</t>
    </r>
    <r>
      <rPr>
        <i/>
        <sz val="10"/>
        <rFont val="Arial"/>
        <family val="2"/>
      </rPr>
      <t xml:space="preserve"> RAW data - CHN</t>
    </r>
  </si>
  <si>
    <t>CWE-G1</t>
  </si>
  <si>
    <t>G1</t>
  </si>
  <si>
    <t>PACS-2 CRM 11.08 #1</t>
  </si>
  <si>
    <t>PACS-2 CRM 11.08 #2</t>
  </si>
  <si>
    <t>CWE-G2</t>
  </si>
  <si>
    <t>G2</t>
  </si>
  <si>
    <t>PACS-2 CRM 11.08 #3</t>
  </si>
  <si>
    <t>CWE-G3</t>
  </si>
  <si>
    <t>G3</t>
  </si>
  <si>
    <t>Acetanilide Thermo 33840012 6.15</t>
  </si>
  <si>
    <t>Sample mass</t>
  </si>
  <si>
    <t>mass correction</t>
  </si>
  <si>
    <t>Blank</t>
  </si>
  <si>
    <t>Calculation from Standard Curve</t>
  </si>
  <si>
    <t>Calculation direct from raw figures</t>
  </si>
  <si>
    <t>corrected ug</t>
  </si>
  <si>
    <t>CaCO3 mass (ug)</t>
  </si>
  <si>
    <t>UIC Reading
(ug Carbon)</t>
  </si>
  <si>
    <t>ug C</t>
  </si>
  <si>
    <t>% CaCO3</t>
  </si>
  <si>
    <t>Gas Flow Rate (ml/min)</t>
  </si>
  <si>
    <t>Heating Block Temperature (degrees C)</t>
  </si>
  <si>
    <t>Coulometer Cell Volume (mls)</t>
  </si>
  <si>
    <t>Sample Run Time</t>
  </si>
  <si>
    <t>Weighed by</t>
  </si>
  <si>
    <t>Analysed by</t>
  </si>
  <si>
    <t>Cell reached 115mA during initial titration</t>
  </si>
  <si>
    <t>ugC</t>
  </si>
  <si>
    <t>Blank 1</t>
  </si>
  <si>
    <t>Blank 2</t>
  </si>
  <si>
    <t>Blank 3</t>
  </si>
  <si>
    <t>CaCO3 Std.1  347.5</t>
  </si>
  <si>
    <t>CaCO3 Std.2  1068</t>
  </si>
  <si>
    <t>CaCO3 Std.3  1632.3</t>
  </si>
  <si>
    <t>CaCO3 Std.4  2475</t>
  </si>
  <si>
    <t>CaCO3 Std.5  3701.7</t>
  </si>
  <si>
    <t>Blank 4 (lid was a bit too easy to open)</t>
  </si>
  <si>
    <t>1999_54_1500_14a</t>
  </si>
  <si>
    <t>Blank 1 repeat (Blank 5 had a dodgy threaded lid)</t>
  </si>
  <si>
    <t>Blank 6</t>
  </si>
  <si>
    <t>Blank 7</t>
  </si>
  <si>
    <t>Cell reached 116mA during initial titration</t>
  </si>
  <si>
    <t>repeats to cross reference between the two setups</t>
  </si>
  <si>
    <t>CaCO3 Std.1  233.5</t>
  </si>
  <si>
    <t>CaCO3 Std.2  1039.5</t>
  </si>
  <si>
    <t>CaCO3 Std.3  1492.3</t>
  </si>
  <si>
    <t>CaCO3 Std.4  2674.1</t>
  </si>
  <si>
    <t>CaCO3 Std.5  3883.1</t>
  </si>
  <si>
    <t>Blank 4</t>
  </si>
  <si>
    <t>Blank 5</t>
  </si>
  <si>
    <t>2015_47_2000_3</t>
  </si>
  <si>
    <t>2015_47_2000_6</t>
  </si>
  <si>
    <t>2015_47_1050_10</t>
  </si>
  <si>
    <t>2015_47_1050_11</t>
  </si>
  <si>
    <t>2015_47_1000_13</t>
  </si>
  <si>
    <t>2015_47_1000_14</t>
  </si>
  <si>
    <t>These are repeats of the run that wasn't purged properly + 4 new samples</t>
  </si>
  <si>
    <t>Cell reached 119mA during initial titration</t>
  </si>
  <si>
    <t>CaCO3 Std.1  294.8</t>
  </si>
  <si>
    <t>CaCO3 Std.2  892.5</t>
  </si>
  <si>
    <t>CaCO3 Std.3  1747</t>
  </si>
  <si>
    <t>CaCO3 Std.4  2580.1</t>
  </si>
  <si>
    <t>CaCO3 Std.5  3975.2</t>
  </si>
  <si>
    <t>% difference between this run and then one that wasn't purged prior to anlaysis</t>
  </si>
  <si>
    <t>didn't run, since the needle got stuck before piercing the septum</t>
  </si>
  <si>
    <t>blank, non-purged, not properly sealed tube as spacer to see whether the system would sync again properly before moving on with the next sample</t>
  </si>
  <si>
    <t>compared to last run</t>
  </si>
  <si>
    <t>average sample values saz2016</t>
  </si>
  <si>
    <t>average blank value saz2016</t>
  </si>
  <si>
    <t>calibration std. Saz2016 samples</t>
  </si>
  <si>
    <t>average reference saz2016</t>
  </si>
  <si>
    <t>Cell reached 110mA during initial titration</t>
  </si>
  <si>
    <t>Needle got stuck again at position 22 during the purge cycle. I unjammed the needle and let it continue the purge and acidify macro. ~1h prior to analysis</t>
  </si>
  <si>
    <t>CaCO3 Std.1  288.2</t>
  </si>
  <si>
    <t>CaCO3 Std.2  893</t>
  </si>
  <si>
    <t>CaCO3 Std.3  1615.1</t>
  </si>
  <si>
    <t>CaCO3 Std.4  2537.6</t>
  </si>
  <si>
    <t>CaCO3 Std.5  3621.8</t>
  </si>
  <si>
    <t>2015_47_3800_6</t>
  </si>
  <si>
    <t>2015_47_3800_7</t>
  </si>
  <si>
    <t>2015_47_3800_8</t>
  </si>
  <si>
    <t>2015_47_3800_9</t>
  </si>
  <si>
    <t>2015_47_3800_10</t>
  </si>
  <si>
    <t>2015_47_3800_11</t>
  </si>
  <si>
    <t>2015_47_3800_12</t>
  </si>
  <si>
    <t>2015_47_2000_21_a</t>
  </si>
  <si>
    <t>2015_47_2000_21_b</t>
  </si>
  <si>
    <t>2015_47_2000_7</t>
  </si>
  <si>
    <t>2015_47_2000_10</t>
  </si>
  <si>
    <t>2015_47_2000_19</t>
  </si>
  <si>
    <t>2015_47_2000_20</t>
  </si>
  <si>
    <t>Analytical precision calculation / standard error of regression</t>
  </si>
  <si>
    <t>Estimate (ug C) from calibration curve</t>
  </si>
  <si>
    <t>standard deviation about the regression</t>
  </si>
  <si>
    <t>max precision ugC</t>
  </si>
  <si>
    <t>min precision ugC</t>
  </si>
  <si>
    <t>% average sample</t>
  </si>
  <si>
    <t>% of sample average</t>
  </si>
  <si>
    <t>ugCaCO3</t>
  </si>
  <si>
    <t>UIC ugC reading</t>
  </si>
  <si>
    <t>blanks</t>
  </si>
  <si>
    <t>n</t>
  </si>
  <si>
    <t>samples</t>
  </si>
  <si>
    <t>Samples dried in gravity convection oven at 60dC over three nights without caps.</t>
  </si>
  <si>
    <t>PIC/PN</t>
  </si>
  <si>
    <t>salts</t>
  </si>
  <si>
    <t>mol/mol</t>
  </si>
  <si>
    <t>salinity measured 39(psu) at 20.9C</t>
  </si>
  <si>
    <t>s</t>
  </si>
  <si>
    <t>Mass flux ratio</t>
  </si>
  <si>
    <t>between depths</t>
  </si>
  <si>
    <t>1000m : 2000m</t>
  </si>
  <si>
    <t>2000m : 3800m</t>
  </si>
  <si>
    <t>1000m : 3800m</t>
  </si>
  <si>
    <t>SAZ#</t>
  </si>
  <si>
    <t>Deployment year</t>
  </si>
  <si>
    <t>Lat_depth</t>
  </si>
  <si>
    <t>Cup#</t>
  </si>
  <si>
    <t>&gt;1mm fraction in 250ml plastic jar</t>
  </si>
  <si>
    <t>&lt;1mm fraction, split 1 in 50ml centrifuge tube</t>
  </si>
  <si>
    <t>&lt;1mm fraction, split 2 in 50ml centrifuge tube</t>
  </si>
  <si>
    <t>&lt;1mm fraction, split 3 in 50ml centrifuge tube</t>
  </si>
  <si>
    <t>7 splits of &lt;1mm filtered on 0.4um membrane filter, in 10ml scintillation vial</t>
  </si>
  <si>
    <t>duplicate pairs salts</t>
  </si>
  <si>
    <t>duplicate</t>
  </si>
  <si>
    <t>mean</t>
  </si>
  <si>
    <t>difference</t>
  </si>
  <si>
    <t>difference/mean</t>
  </si>
  <si>
    <t>std</t>
  </si>
  <si>
    <t>relative std. uncertainty</t>
  </si>
  <si>
    <t>best approx 95% ci from pairs</t>
  </si>
  <si>
    <t>n pair</t>
  </si>
  <si>
    <t>expanded uncertainty, coverage factor 2</t>
  </si>
  <si>
    <t>duplicate pairs pH</t>
  </si>
  <si>
    <t>Mass / Mass mg m-2 d-1</t>
  </si>
  <si>
    <t>fortnight</t>
  </si>
  <si>
    <t>%PC</t>
  </si>
  <si>
    <t>%PN</t>
  </si>
  <si>
    <t>%PIC</t>
  </si>
  <si>
    <t>%Bsi</t>
  </si>
  <si>
    <t>CaCO3+opal + (POM=2.2*POC) + litho 3.7%</t>
  </si>
  <si>
    <t>QC threshold 10%</t>
  </si>
  <si>
    <t>Mass QC</t>
  </si>
  <si>
    <t>PIC QC</t>
  </si>
  <si>
    <t>PC QC</t>
  </si>
  <si>
    <t>PN QC</t>
  </si>
  <si>
    <t>POC QC</t>
  </si>
  <si>
    <t>BSi QC</t>
  </si>
  <si>
    <t>salts QC</t>
  </si>
  <si>
    <t>pH QC</t>
  </si>
  <si>
    <t>PC mol QC</t>
  </si>
  <si>
    <t>PN mol QC</t>
  </si>
  <si>
    <t>POC mol QC</t>
  </si>
  <si>
    <t>PIC mol QC</t>
  </si>
  <si>
    <t>Bsi mol QC</t>
  </si>
  <si>
    <t>supernatant</t>
  </si>
  <si>
    <t>sampleQC</t>
  </si>
  <si>
    <t>relative_uncertainty</t>
  </si>
  <si>
    <t>valid_min</t>
  </si>
  <si>
    <t>valid_max</t>
  </si>
  <si>
    <t>sample number</t>
  </si>
  <si>
    <t>sample duration</t>
  </si>
  <si>
    <t>mass_flux_uncertainty</t>
  </si>
  <si>
    <t>particulate total mass flux</t>
  </si>
  <si>
    <t>mg m-2 d-1</t>
  </si>
  <si>
    <t>SAL_BRINE</t>
  </si>
  <si>
    <t>SAL_BRINE_uncertainty</t>
  </si>
  <si>
    <t>SAL_BRINE_qc</t>
  </si>
  <si>
    <t>pH_BRINE</t>
  </si>
  <si>
    <t>pH_BRINE_uncertainty</t>
  </si>
  <si>
    <t>pH_BRINE_qc</t>
  </si>
  <si>
    <t xml:space="preserve">sample supernatant practical salinity </t>
  </si>
  <si>
    <t>sample supernatant pH NBS scale</t>
  </si>
  <si>
    <t>Supernatant salinity measured as conductivity on recovery as indicator of brine washout</t>
  </si>
  <si>
    <t>Supernatant pH measured potentiometrically on recovery as indicator of brine washout</t>
  </si>
  <si>
    <t>PC_mass_flux</t>
  </si>
  <si>
    <t>PC_mass_flux_uncertainty</t>
  </si>
  <si>
    <t>PC_mass_flux_qc</t>
  </si>
  <si>
    <t>particulate total carbon mass flux</t>
  </si>
  <si>
    <t>PN_mass_flux</t>
  </si>
  <si>
    <t>PN_mass_flux_uncertainty</t>
  </si>
  <si>
    <t>PN_mass_flux_qc</t>
  </si>
  <si>
    <t>particulate total nitrogen mass flux</t>
  </si>
  <si>
    <t>POC_mass_flux</t>
  </si>
  <si>
    <t>POC_mass_flux_uncertainty</t>
  </si>
  <si>
    <t>POC_mass_flux_qc</t>
  </si>
  <si>
    <t>particulate organic carbon mass flux</t>
  </si>
  <si>
    <t>PIC_mass_flux</t>
  </si>
  <si>
    <t>PIC_mass_flux_uncertainty</t>
  </si>
  <si>
    <t>PIC_mass_flux_qc</t>
  </si>
  <si>
    <t>particulate inorganic carbon mass flux</t>
  </si>
  <si>
    <t>closed system acidification and coulometry of evolved carbon dioxide</t>
  </si>
  <si>
    <t>BSi_mass_flux</t>
  </si>
  <si>
    <t>BSi_mass_flux_uncertainty</t>
  </si>
  <si>
    <t>BSi_mass_flux_qc</t>
  </si>
  <si>
    <t>particulate biogenic silicon mass flux</t>
  </si>
  <si>
    <t>alkaline digest and segmented-flow spectrometry</t>
  </si>
  <si>
    <t>pressure_actual</t>
  </si>
  <si>
    <t>actual pressure</t>
  </si>
  <si>
    <t>pressure from nearest instrument on mooring, extrapolated to trap position</t>
  </si>
  <si>
    <t>uncertainty</t>
  </si>
  <si>
    <t>1</t>
  </si>
  <si>
    <t>McLane-PARFLUX-Mark78H-21 ; 12419-01, S250x21</t>
  </si>
  <si>
    <t>McLane-PARFLUX-Mark78H-21 ; 12419-02, O250x21</t>
  </si>
  <si>
    <t>McLane-PARFLUX-Mark78H-13 ; 12419-03, X500x13</t>
  </si>
  <si>
    <t>metadata_depth</t>
  </si>
  <si>
    <t>Removed by Chris T</t>
  </si>
  <si>
    <t>Chris Trail removed &lt;1mm dry matter for trace element analysis (2020)</t>
  </si>
  <si>
    <t xml:space="preserve"> INV 2016 V2 saz 18    Hbt time 7 Mar 2016 1:45pm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</si>
</sst>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.00_);_(* \(#,##0.00\);_(* &quot;-&quot;??_);_(@_)"/>
    <numFmt numFmtId="165" formatCode="0.0"/>
    <numFmt numFmtId="166" formatCode="d\-mmm\-yy\ hh:mm"/>
    <numFmt numFmtId="167" formatCode="0.0000"/>
    <numFmt numFmtId="168" formatCode="0.000"/>
    <numFmt numFmtId="169" formatCode="d\-mmm\-yyyy"/>
    <numFmt numFmtId="170" formatCode="hh:mm"/>
    <numFmt numFmtId="171" formatCode="d/m/yyyy;@"/>
    <numFmt numFmtId="172" formatCode="dd/mm/yyyy;@"/>
    <numFmt numFmtId="173" formatCode="mm/dd/yyyy"/>
    <numFmt numFmtId="174" formatCode="yyyy/mm/dd\ hh:mm:ss"/>
    <numFmt numFmtId="175" formatCode="d/mm/yyyy;@"/>
    <numFmt numFmtId="176" formatCode="[$-F400]h:mm:ss\ AM/PM"/>
    <numFmt numFmtId="177" formatCode="0.0000000000000000000000000000000000000"/>
    <numFmt numFmtId="178" formatCode="0.0%"/>
  </numFmts>
  <fonts count="6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11"/>
      <name val="Arial"/>
      <family val="2"/>
    </font>
    <font>
      <sz val="10"/>
      <name val="Verdana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54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0"/>
      <color indexed="8"/>
      <name val="MS Sans Serif"/>
    </font>
    <font>
      <sz val="11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Arial"/>
      <family val="2"/>
    </font>
    <font>
      <b/>
      <sz val="10"/>
      <color indexed="10"/>
      <name val="Arial"/>
      <family val="2"/>
    </font>
    <font>
      <sz val="10"/>
      <color rgb="FF008000"/>
      <name val="Arial"/>
      <family val="2"/>
    </font>
    <font>
      <sz val="10"/>
      <color rgb="FFFF0000"/>
      <name val="Arial"/>
      <family val="2"/>
    </font>
    <font>
      <sz val="10"/>
      <color theme="9"/>
      <name val="Arial"/>
      <family val="2"/>
    </font>
    <font>
      <b/>
      <sz val="10"/>
      <color theme="9"/>
      <name val="Arial"/>
      <family val="2"/>
    </font>
    <font>
      <sz val="12"/>
      <color theme="9"/>
      <name val="Arial"/>
      <family val="2"/>
    </font>
    <font>
      <sz val="10"/>
      <color theme="1"/>
      <name val="Arial"/>
      <family val="2"/>
    </font>
    <font>
      <b/>
      <sz val="10"/>
      <color theme="9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color rgb="FF363636"/>
      <name val="Arial"/>
      <family val="2"/>
    </font>
    <font>
      <sz val="10"/>
      <color theme="9"/>
      <name val="Arial"/>
      <family val="2"/>
    </font>
    <font>
      <sz val="10"/>
      <color rgb="FFFFC00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color rgb="FF002060"/>
      <name val="Arial"/>
      <family val="2"/>
    </font>
    <font>
      <sz val="10"/>
      <color theme="0" tint="-0.34998626667073579"/>
      <name val="Arial"/>
      <family val="2"/>
    </font>
    <font>
      <b/>
      <sz val="10"/>
      <color theme="0" tint="-0.34998626667073579"/>
      <name val="Arial"/>
      <family val="2"/>
    </font>
    <font>
      <b/>
      <sz val="11"/>
      <color theme="1"/>
      <name val="Calibri"/>
      <family val="2"/>
      <scheme val="minor"/>
    </font>
    <font>
      <sz val="8"/>
      <name val="MS Sans Serif"/>
      <family val="2"/>
    </font>
    <font>
      <i/>
      <sz val="10"/>
      <name val="Arial"/>
      <family val="2"/>
    </font>
    <font>
      <sz val="8"/>
      <color rgb="FFFF0000"/>
      <name val="MS Sans Serif"/>
    </font>
    <font>
      <b/>
      <sz val="8"/>
      <name val="MS Sans Serif"/>
      <family val="2"/>
    </font>
    <font>
      <sz val="10"/>
      <name val="MS Sans Serif"/>
    </font>
    <font>
      <sz val="11"/>
      <name val="Calibri"/>
      <family val="2"/>
      <scheme val="minor"/>
    </font>
    <font>
      <sz val="11"/>
      <color theme="1"/>
      <name val="Calibr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2"/>
      <color rgb="FFFF0000"/>
      <name val="Arial"/>
      <family val="2"/>
    </font>
    <font>
      <b/>
      <i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sz val="12"/>
      <name val="Calibri"/>
      <family val="2"/>
      <charset val="204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color rgb="FFFF0000"/>
      <name val="MS Sans Serif"/>
      <family val="2"/>
    </font>
    <font>
      <u/>
      <sz val="12"/>
      <color rgb="FFFF0000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0" fontId="18" fillId="0" borderId="0"/>
    <xf numFmtId="0" fontId="6" fillId="0" borderId="0"/>
    <xf numFmtId="0" fontId="9" fillId="0" borderId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9" fontId="64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591">
    <xf numFmtId="0" fontId="0" fillId="0" borderId="0" xfId="0"/>
    <xf numFmtId="1" fontId="2" fillId="0" borderId="0" xfId="0" applyNumberFormat="1" applyFon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  <xf numFmtId="165" fontId="0" fillId="0" borderId="0" xfId="0" quotePrefix="1" applyNumberFormat="1"/>
    <xf numFmtId="1" fontId="0" fillId="0" borderId="0" xfId="0" quotePrefix="1" applyNumberFormat="1"/>
    <xf numFmtId="0" fontId="0" fillId="0" borderId="0" xfId="0" quotePrefix="1"/>
    <xf numFmtId="16" fontId="0" fillId="0" borderId="0" xfId="0" applyNumberFormat="1"/>
    <xf numFmtId="0" fontId="3" fillId="0" borderId="0" xfId="0" applyFont="1"/>
    <xf numFmtId="15" fontId="0" fillId="0" borderId="0" xfId="0" applyNumberFormat="1"/>
    <xf numFmtId="17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applyFont="1"/>
    <xf numFmtId="2" fontId="2" fillId="0" borderId="0" xfId="0" applyNumberFormat="1" applyFon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 applyAlignment="1">
      <alignment vertical="center"/>
    </xf>
    <xf numFmtId="1" fontId="5" fillId="0" borderId="0" xfId="0" applyNumberFormat="1" applyFont="1" applyAlignment="1">
      <alignment vertical="center"/>
    </xf>
    <xf numFmtId="0" fontId="5" fillId="0" borderId="0" xfId="0" applyFont="1" applyAlignment="1">
      <alignment horizontal="left" vertical="center"/>
    </xf>
    <xf numFmtId="0" fontId="2" fillId="0" borderId="0" xfId="3" applyFont="1"/>
    <xf numFmtId="0" fontId="8" fillId="0" borderId="0" xfId="0" applyFont="1"/>
    <xf numFmtId="165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vertical="top"/>
    </xf>
    <xf numFmtId="168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8" fillId="0" borderId="0" xfId="0" applyNumberFormat="1" applyFont="1"/>
    <xf numFmtId="0" fontId="5" fillId="0" borderId="0" xfId="0" quotePrefix="1" applyFont="1" applyAlignment="1">
      <alignment vertical="center"/>
    </xf>
    <xf numFmtId="1" fontId="3" fillId="0" borderId="0" xfId="0" applyNumberFormat="1" applyFont="1"/>
    <xf numFmtId="15" fontId="8" fillId="0" borderId="0" xfId="0" applyNumberFormat="1" applyFont="1"/>
    <xf numFmtId="2" fontId="3" fillId="0" borderId="0" xfId="0" applyNumberFormat="1" applyFont="1"/>
    <xf numFmtId="0" fontId="10" fillId="0" borderId="0" xfId="0" applyFont="1"/>
    <xf numFmtId="1" fontId="10" fillId="0" borderId="0" xfId="0" applyNumberFormat="1" applyFont="1"/>
    <xf numFmtId="165" fontId="10" fillId="0" borderId="0" xfId="0" quotePrefix="1" applyNumberFormat="1" applyFont="1"/>
    <xf numFmtId="165" fontId="10" fillId="0" borderId="0" xfId="0" applyNumberFormat="1" applyFont="1"/>
    <xf numFmtId="166" fontId="10" fillId="0" borderId="0" xfId="0" applyNumberFormat="1" applyFont="1"/>
    <xf numFmtId="2" fontId="10" fillId="0" borderId="0" xfId="0" applyNumberFormat="1" applyFont="1"/>
    <xf numFmtId="0" fontId="10" fillId="0" borderId="0" xfId="0" applyFont="1" applyAlignment="1">
      <alignment wrapText="1"/>
    </xf>
    <xf numFmtId="2" fontId="0" fillId="0" borderId="0" xfId="0" quotePrefix="1" applyNumberFormat="1"/>
    <xf numFmtId="0" fontId="3" fillId="0" borderId="0" xfId="0" applyFont="1" applyAlignment="1">
      <alignment horizontal="right"/>
    </xf>
    <xf numFmtId="0" fontId="5" fillId="0" borderId="1" xfId="0" applyFont="1" applyBorder="1" applyAlignment="1">
      <alignment vertical="center"/>
    </xf>
    <xf numFmtId="1" fontId="5" fillId="0" borderId="2" xfId="0" applyNumberFormat="1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1" fontId="5" fillId="0" borderId="6" xfId="0" applyNumberFormat="1" applyFont="1" applyBorder="1" applyAlignment="1">
      <alignment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11" fillId="0" borderId="0" xfId="0" applyFont="1"/>
    <xf numFmtId="1" fontId="11" fillId="0" borderId="0" xfId="0" applyNumberFormat="1" applyFont="1"/>
    <xf numFmtId="165" fontId="11" fillId="0" borderId="0" xfId="0" applyNumberFormat="1" applyFont="1"/>
    <xf numFmtId="0" fontId="11" fillId="0" borderId="0" xfId="0" applyFont="1" applyAlignment="1">
      <alignment horizontal="left"/>
    </xf>
    <xf numFmtId="1" fontId="11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" fontId="4" fillId="0" borderId="0" xfId="0" applyNumberFormat="1" applyFont="1" applyAlignment="1">
      <alignment horizontal="left"/>
    </xf>
    <xf numFmtId="165" fontId="2" fillId="0" borderId="0" xfId="0" applyNumberFormat="1" applyFont="1"/>
    <xf numFmtId="15" fontId="2" fillId="0" borderId="0" xfId="0" applyNumberFormat="1" applyFont="1"/>
    <xf numFmtId="0" fontId="12" fillId="0" borderId="0" xfId="0" applyFont="1"/>
    <xf numFmtId="0" fontId="13" fillId="0" borderId="0" xfId="0" applyFont="1"/>
    <xf numFmtId="2" fontId="13" fillId="0" borderId="0" xfId="0" applyNumberFormat="1" applyFont="1"/>
    <xf numFmtId="165" fontId="13" fillId="0" borderId="0" xfId="0" applyNumberFormat="1" applyFont="1"/>
    <xf numFmtId="15" fontId="13" fillId="0" borderId="0" xfId="0" applyNumberFormat="1" applyFont="1"/>
    <xf numFmtId="0" fontId="13" fillId="0" borderId="0" xfId="0" quotePrefix="1" applyFont="1"/>
    <xf numFmtId="1" fontId="13" fillId="0" borderId="0" xfId="0" applyNumberFormat="1" applyFont="1"/>
    <xf numFmtId="2" fontId="2" fillId="0" borderId="0" xfId="0" quotePrefix="1" applyNumberFormat="1" applyFont="1"/>
    <xf numFmtId="167" fontId="0" fillId="0" borderId="0" xfId="0" applyNumberFormat="1"/>
    <xf numFmtId="0" fontId="14" fillId="0" borderId="8" xfId="4" applyFont="1" applyBorder="1" applyAlignment="1">
      <alignment horizontal="center"/>
    </xf>
    <xf numFmtId="0" fontId="14" fillId="0" borderId="9" xfId="4" applyFont="1" applyBorder="1" applyAlignment="1">
      <alignment horizontal="center"/>
    </xf>
    <xf numFmtId="0" fontId="15" fillId="0" borderId="0" xfId="0" applyFont="1"/>
    <xf numFmtId="1" fontId="16" fillId="0" borderId="0" xfId="0" applyNumberFormat="1" applyFont="1"/>
    <xf numFmtId="0" fontId="0" fillId="0" borderId="1" xfId="0" applyBorder="1"/>
    <xf numFmtId="0" fontId="0" fillId="0" borderId="2" xfId="0" applyBorder="1"/>
    <xf numFmtId="171" fontId="0" fillId="0" borderId="2" xfId="0" applyNumberFormat="1" applyBorder="1"/>
    <xf numFmtId="0" fontId="0" fillId="0" borderId="3" xfId="0" applyBorder="1"/>
    <xf numFmtId="0" fontId="0" fillId="0" borderId="10" xfId="0" applyBorder="1"/>
    <xf numFmtId="0" fontId="0" fillId="0" borderId="6" xfId="0" applyBorder="1"/>
    <xf numFmtId="171" fontId="0" fillId="0" borderId="6" xfId="0" applyNumberFormat="1" applyBorder="1"/>
    <xf numFmtId="0" fontId="0" fillId="0" borderId="7" xfId="0" applyBorder="1"/>
    <xf numFmtId="0" fontId="3" fillId="0" borderId="1" xfId="0" applyFont="1" applyBorder="1"/>
    <xf numFmtId="0" fontId="16" fillId="0" borderId="0" xfId="0" applyFont="1"/>
    <xf numFmtId="17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2" fontId="10" fillId="0" borderId="0" xfId="0" applyNumberFormat="1" applyFont="1" applyAlignment="1">
      <alignment horizontal="right"/>
    </xf>
    <xf numFmtId="173" fontId="0" fillId="0" borderId="0" xfId="0" applyNumberFormat="1"/>
    <xf numFmtId="165" fontId="3" fillId="0" borderId="0" xfId="0" applyNumberFormat="1" applyFont="1"/>
    <xf numFmtId="1" fontId="0" fillId="0" borderId="0" xfId="0" applyNumberFormat="1" applyAlignment="1">
      <alignment horizontal="right"/>
    </xf>
    <xf numFmtId="1" fontId="3" fillId="0" borderId="0" xfId="0" applyNumberFormat="1" applyFont="1" applyAlignment="1">
      <alignment horizontal="right"/>
    </xf>
    <xf numFmtId="0" fontId="0" fillId="2" borderId="0" xfId="0" applyFill="1"/>
    <xf numFmtId="0" fontId="0" fillId="0" borderId="4" xfId="0" applyBorder="1"/>
    <xf numFmtId="0" fontId="3" fillId="0" borderId="2" xfId="0" applyFont="1" applyBorder="1"/>
    <xf numFmtId="2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" fontId="0" fillId="0" borderId="2" xfId="0" applyNumberFormat="1" applyBorder="1"/>
    <xf numFmtId="165" fontId="0" fillId="0" borderId="2" xfId="0" applyNumberFormat="1" applyBorder="1"/>
    <xf numFmtId="168" fontId="0" fillId="0" borderId="2" xfId="0" applyNumberFormat="1" applyBorder="1"/>
    <xf numFmtId="2" fontId="0" fillId="0" borderId="2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1" fontId="0" fillId="0" borderId="5" xfId="0" applyNumberFormat="1" applyBorder="1"/>
    <xf numFmtId="1" fontId="0" fillId="0" borderId="6" xfId="0" applyNumberFormat="1" applyBorder="1"/>
    <xf numFmtId="165" fontId="0" fillId="0" borderId="6" xfId="0" applyNumberFormat="1" applyBorder="1"/>
    <xf numFmtId="2" fontId="0" fillId="0" borderId="6" xfId="0" applyNumberFormat="1" applyBorder="1"/>
    <xf numFmtId="1" fontId="0" fillId="0" borderId="7" xfId="0" applyNumberFormat="1" applyBorder="1"/>
    <xf numFmtId="0" fontId="0" fillId="0" borderId="11" xfId="0" applyBorder="1"/>
    <xf numFmtId="0" fontId="0" fillId="0" borderId="12" xfId="0" applyBorder="1"/>
    <xf numFmtId="1" fontId="0" fillId="0" borderId="12" xfId="0" applyNumberFormat="1" applyBorder="1"/>
    <xf numFmtId="165" fontId="0" fillId="0" borderId="12" xfId="0" applyNumberFormat="1" applyBorder="1"/>
    <xf numFmtId="2" fontId="0" fillId="0" borderId="12" xfId="0" applyNumberFormat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0" fillId="0" borderId="15" xfId="0" applyNumberFormat="1" applyBorder="1"/>
    <xf numFmtId="165" fontId="0" fillId="0" borderId="15" xfId="0" applyNumberFormat="1" applyBorder="1"/>
    <xf numFmtId="1" fontId="0" fillId="0" borderId="15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0" fontId="0" fillId="0" borderId="16" xfId="0" applyBorder="1"/>
    <xf numFmtId="0" fontId="23" fillId="0" borderId="0" xfId="0" applyFont="1"/>
    <xf numFmtId="0" fontId="23" fillId="0" borderId="0" xfId="0" applyFont="1" applyAlignment="1">
      <alignment horizontal="left"/>
    </xf>
    <xf numFmtId="14" fontId="23" fillId="0" borderId="0" xfId="0" applyNumberFormat="1" applyFont="1"/>
    <xf numFmtId="14" fontId="23" fillId="0" borderId="0" xfId="0" applyNumberFormat="1" applyFont="1" applyAlignment="1">
      <alignment horizontal="left"/>
    </xf>
    <xf numFmtId="1" fontId="23" fillId="0" borderId="0" xfId="0" applyNumberFormat="1" applyFont="1"/>
    <xf numFmtId="2" fontId="23" fillId="0" borderId="0" xfId="0" applyNumberFormat="1" applyFont="1"/>
    <xf numFmtId="168" fontId="23" fillId="0" borderId="0" xfId="0" applyNumberFormat="1" applyFont="1"/>
    <xf numFmtId="2" fontId="19" fillId="0" borderId="0" xfId="0" applyNumberFormat="1" applyFont="1"/>
    <xf numFmtId="168" fontId="19" fillId="0" borderId="0" xfId="0" applyNumberFormat="1" applyFont="1"/>
    <xf numFmtId="0" fontId="0" fillId="0" borderId="0" xfId="0" applyAlignment="1">
      <alignment horizontal="center" vertical="center"/>
    </xf>
    <xf numFmtId="174" fontId="0" fillId="0" borderId="0" xfId="0" applyNumberFormat="1" applyAlignment="1">
      <alignment horizontal="left"/>
    </xf>
    <xf numFmtId="174" fontId="0" fillId="0" borderId="0" xfId="0" applyNumberFormat="1"/>
    <xf numFmtId="0" fontId="19" fillId="0" borderId="0" xfId="0" applyFont="1"/>
    <xf numFmtId="0" fontId="24" fillId="0" borderId="0" xfId="0" applyFont="1" applyAlignment="1">
      <alignment horizontal="left" vertical="center"/>
    </xf>
    <xf numFmtId="0" fontId="19" fillId="0" borderId="0" xfId="0" applyFont="1" applyAlignment="1">
      <alignment horizontal="right"/>
    </xf>
    <xf numFmtId="0" fontId="24" fillId="0" borderId="0" xfId="0" applyFont="1"/>
    <xf numFmtId="15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4" fontId="8" fillId="0" borderId="0" xfId="0" applyNumberFormat="1" applyFont="1"/>
    <xf numFmtId="2" fontId="0" fillId="0" borderId="17" xfId="0" applyNumberFormat="1" applyBorder="1" applyAlignment="1">
      <alignment horizontal="center"/>
    </xf>
    <xf numFmtId="165" fontId="0" fillId="0" borderId="13" xfId="0" applyNumberFormat="1" applyBorder="1"/>
    <xf numFmtId="0" fontId="0" fillId="0" borderId="18" xfId="0" applyBorder="1"/>
    <xf numFmtId="165" fontId="0" fillId="0" borderId="16" xfId="0" applyNumberFormat="1" applyBorder="1"/>
    <xf numFmtId="1" fontId="0" fillId="0" borderId="11" xfId="0" applyNumberFormat="1" applyBorder="1"/>
    <xf numFmtId="0" fontId="0" fillId="0" borderId="13" xfId="0" applyBorder="1"/>
    <xf numFmtId="0" fontId="0" fillId="3" borderId="0" xfId="0" applyFill="1"/>
    <xf numFmtId="2" fontId="0" fillId="3" borderId="11" xfId="0" applyNumberFormat="1" applyFill="1" applyBorder="1" applyAlignment="1">
      <alignment horizontal="center"/>
    </xf>
    <xf numFmtId="2" fontId="0" fillId="3" borderId="14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2" fontId="0" fillId="0" borderId="1" xfId="0" applyNumberFormat="1" applyBorder="1"/>
    <xf numFmtId="2" fontId="0" fillId="0" borderId="3" xfId="0" applyNumberFormat="1" applyBorder="1"/>
    <xf numFmtId="2" fontId="0" fillId="2" borderId="0" xfId="0" applyNumberFormat="1" applyFill="1"/>
    <xf numFmtId="2" fontId="0" fillId="0" borderId="4" xfId="0" applyNumberFormat="1" applyBorder="1"/>
    <xf numFmtId="2" fontId="0" fillId="0" borderId="5" xfId="0" applyNumberFormat="1" applyBorder="1"/>
    <xf numFmtId="2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right"/>
    </xf>
    <xf numFmtId="2" fontId="0" fillId="0" borderId="10" xfId="0" applyNumberFormat="1" applyBorder="1"/>
    <xf numFmtId="2" fontId="0" fillId="0" borderId="7" xfId="0" applyNumberFormat="1" applyBorder="1"/>
    <xf numFmtId="2" fontId="8" fillId="0" borderId="0" xfId="1" applyNumberFormat="1" applyFont="1" applyFill="1"/>
    <xf numFmtId="1" fontId="0" fillId="0" borderId="2" xfId="0" applyNumberFormat="1" applyBorder="1" applyAlignment="1">
      <alignment horizontal="left"/>
    </xf>
    <xf numFmtId="2" fontId="8" fillId="0" borderId="2" xfId="1" applyNumberFormat="1" applyFont="1" applyFill="1" applyBorder="1"/>
    <xf numFmtId="0" fontId="25" fillId="0" borderId="0" xfId="0" applyFont="1"/>
    <xf numFmtId="2" fontId="25" fillId="0" borderId="0" xfId="0" applyNumberFormat="1" applyFont="1"/>
    <xf numFmtId="165" fontId="25" fillId="0" borderId="0" xfId="0" applyNumberFormat="1" applyFont="1"/>
    <xf numFmtId="167" fontId="25" fillId="0" borderId="0" xfId="0" applyNumberFormat="1" applyFont="1"/>
    <xf numFmtId="1" fontId="25" fillId="0" borderId="0" xfId="0" applyNumberFormat="1" applyFont="1"/>
    <xf numFmtId="2" fontId="25" fillId="0" borderId="19" xfId="2" applyNumberFormat="1" applyFont="1" applyBorder="1" applyAlignment="1">
      <alignment horizontal="center" vertical="top"/>
    </xf>
    <xf numFmtId="2" fontId="25" fillId="3" borderId="0" xfId="0" applyNumberFormat="1" applyFont="1" applyFill="1"/>
    <xf numFmtId="0" fontId="25" fillId="3" borderId="0" xfId="0" applyFont="1" applyFill="1"/>
    <xf numFmtId="1" fontId="25" fillId="3" borderId="0" xfId="0" applyNumberFormat="1" applyFont="1" applyFill="1"/>
    <xf numFmtId="0" fontId="25" fillId="0" borderId="2" xfId="0" applyFont="1" applyBorder="1"/>
    <xf numFmtId="0" fontId="25" fillId="0" borderId="6" xfId="0" applyFont="1" applyBorder="1"/>
    <xf numFmtId="0" fontId="25" fillId="0" borderId="0" xfId="3" applyFont="1"/>
    <xf numFmtId="15" fontId="25" fillId="0" borderId="0" xfId="0" applyNumberFormat="1" applyFont="1"/>
    <xf numFmtId="0" fontId="25" fillId="0" borderId="0" xfId="0" applyFont="1" applyAlignment="1">
      <alignment horizontal="left"/>
    </xf>
    <xf numFmtId="1" fontId="25" fillId="0" borderId="0" xfId="0" applyNumberFormat="1" applyFont="1" applyAlignment="1">
      <alignment horizontal="left"/>
    </xf>
    <xf numFmtId="1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165" fontId="25" fillId="0" borderId="0" xfId="0" applyNumberFormat="1" applyFont="1" applyAlignment="1">
      <alignment horizontal="center"/>
    </xf>
    <xf numFmtId="0" fontId="25" fillId="0" borderId="21" xfId="0" applyFont="1" applyBorder="1"/>
    <xf numFmtId="2" fontId="25" fillId="0" borderId="21" xfId="0" applyNumberFormat="1" applyFont="1" applyBorder="1"/>
    <xf numFmtId="165" fontId="25" fillId="0" borderId="21" xfId="0" applyNumberFormat="1" applyFont="1" applyBorder="1"/>
    <xf numFmtId="2" fontId="25" fillId="0" borderId="0" xfId="2" applyNumberFormat="1" applyFont="1" applyAlignment="1">
      <alignment horizontal="center" vertical="top"/>
    </xf>
    <xf numFmtId="2" fontId="25" fillId="3" borderId="0" xfId="0" applyNumberFormat="1" applyFont="1" applyFill="1" applyAlignment="1">
      <alignment horizontal="center"/>
    </xf>
    <xf numFmtId="165" fontId="25" fillId="3" borderId="0" xfId="0" applyNumberFormat="1" applyFont="1" applyFill="1"/>
    <xf numFmtId="172" fontId="25" fillId="3" borderId="0" xfId="0" applyNumberFormat="1" applyFont="1" applyFill="1" applyAlignment="1">
      <alignment horizontal="right"/>
    </xf>
    <xf numFmtId="15" fontId="25" fillId="3" borderId="0" xfId="0" applyNumberFormat="1" applyFont="1" applyFill="1"/>
    <xf numFmtId="169" fontId="25" fillId="3" borderId="0" xfId="0" applyNumberFormat="1" applyFont="1" applyFill="1"/>
    <xf numFmtId="2" fontId="25" fillId="0" borderId="0" xfId="0" applyNumberFormat="1" applyFont="1" applyAlignment="1">
      <alignment vertical="top"/>
    </xf>
    <xf numFmtId="172" fontId="25" fillId="0" borderId="0" xfId="0" applyNumberFormat="1" applyFont="1" applyAlignment="1">
      <alignment horizontal="right"/>
    </xf>
    <xf numFmtId="15" fontId="25" fillId="0" borderId="0" xfId="0" applyNumberFormat="1" applyFont="1" applyAlignment="1">
      <alignment wrapText="1"/>
    </xf>
    <xf numFmtId="0" fontId="25" fillId="0" borderId="0" xfId="0" applyFont="1" applyAlignment="1">
      <alignment wrapText="1"/>
    </xf>
    <xf numFmtId="0" fontId="25" fillId="3" borderId="0" xfId="0" applyFont="1" applyFill="1" applyAlignment="1">
      <alignment horizontal="left"/>
    </xf>
    <xf numFmtId="0" fontId="25" fillId="3" borderId="0" xfId="0" applyFont="1" applyFill="1" applyAlignment="1">
      <alignment wrapText="1"/>
    </xf>
    <xf numFmtId="169" fontId="25" fillId="0" borderId="0" xfId="0" applyNumberFormat="1" applyFont="1"/>
    <xf numFmtId="166" fontId="25" fillId="0" borderId="0" xfId="0" applyNumberFormat="1" applyFont="1"/>
    <xf numFmtId="172" fontId="25" fillId="0" borderId="0" xfId="0" quotePrefix="1" applyNumberFormat="1" applyFont="1" applyAlignment="1">
      <alignment horizontal="right"/>
    </xf>
    <xf numFmtId="170" fontId="25" fillId="0" borderId="0" xfId="0" applyNumberFormat="1" applyFont="1"/>
    <xf numFmtId="0" fontId="17" fillId="0" borderId="0" xfId="0" applyFont="1"/>
    <xf numFmtId="173" fontId="25" fillId="0" borderId="0" xfId="0" applyNumberFormat="1" applyFont="1"/>
    <xf numFmtId="172" fontId="25" fillId="0" borderId="2" xfId="0" applyNumberFormat="1" applyFont="1" applyBorder="1" applyAlignment="1">
      <alignment horizontal="right"/>
    </xf>
    <xf numFmtId="0" fontId="25" fillId="0" borderId="3" xfId="0" applyFont="1" applyBorder="1"/>
    <xf numFmtId="0" fontId="27" fillId="0" borderId="0" xfId="0" applyFont="1"/>
    <xf numFmtId="172" fontId="27" fillId="0" borderId="0" xfId="0" applyNumberFormat="1" applyFont="1" applyAlignment="1">
      <alignment horizontal="right"/>
    </xf>
    <xf numFmtId="0" fontId="27" fillId="0" borderId="5" xfId="0" applyFont="1" applyBorder="1"/>
    <xf numFmtId="0" fontId="25" fillId="0" borderId="4" xfId="0" applyFont="1" applyBorder="1"/>
    <xf numFmtId="0" fontId="25" fillId="0" borderId="5" xfId="0" applyFont="1" applyBorder="1"/>
    <xf numFmtId="2" fontId="25" fillId="0" borderId="0" xfId="0" applyNumberFormat="1" applyFont="1" applyAlignment="1">
      <alignment horizontal="right"/>
    </xf>
    <xf numFmtId="172" fontId="25" fillId="0" borderId="6" xfId="0" applyNumberFormat="1" applyFont="1" applyBorder="1" applyAlignment="1">
      <alignment horizontal="right"/>
    </xf>
    <xf numFmtId="0" fontId="25" fillId="0" borderId="7" xfId="0" applyFont="1" applyBorder="1"/>
    <xf numFmtId="0" fontId="26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173" fontId="29" fillId="0" borderId="0" xfId="0" applyNumberFormat="1" applyFont="1"/>
    <xf numFmtId="172" fontId="29" fillId="0" borderId="0" xfId="0" applyNumberFormat="1" applyFont="1" applyAlignment="1">
      <alignment horizontal="right"/>
    </xf>
    <xf numFmtId="173" fontId="32" fillId="4" borderId="0" xfId="0" applyNumberFormat="1" applyFont="1" applyFill="1"/>
    <xf numFmtId="0" fontId="33" fillId="0" borderId="0" xfId="0" applyFont="1"/>
    <xf numFmtId="172" fontId="33" fillId="0" borderId="0" xfId="0" applyNumberFormat="1" applyFont="1" applyAlignment="1">
      <alignment horizontal="right"/>
    </xf>
    <xf numFmtId="0" fontId="31" fillId="0" borderId="4" xfId="0" applyFont="1" applyBorder="1"/>
    <xf numFmtId="0" fontId="28" fillId="0" borderId="4" xfId="0" applyFont="1" applyBorder="1"/>
    <xf numFmtId="0" fontId="28" fillId="0" borderId="10" xfId="0" applyFont="1" applyBorder="1"/>
    <xf numFmtId="0" fontId="15" fillId="0" borderId="1" xfId="0" applyFont="1" applyBorder="1"/>
    <xf numFmtId="173" fontId="25" fillId="0" borderId="3" xfId="0" applyNumberFormat="1" applyFont="1" applyBorder="1"/>
    <xf numFmtId="173" fontId="27" fillId="0" borderId="5" xfId="0" applyNumberFormat="1" applyFont="1" applyBorder="1"/>
    <xf numFmtId="172" fontId="25" fillId="0" borderId="4" xfId="0" applyNumberFormat="1" applyFont="1" applyBorder="1" applyAlignment="1">
      <alignment horizontal="right"/>
    </xf>
    <xf numFmtId="172" fontId="25" fillId="0" borderId="10" xfId="0" applyNumberFormat="1" applyFont="1" applyBorder="1" applyAlignment="1">
      <alignment horizontal="right"/>
    </xf>
    <xf numFmtId="172" fontId="0" fillId="0" borderId="6" xfId="0" applyNumberFormat="1" applyBorder="1" applyAlignment="1">
      <alignment horizontal="right"/>
    </xf>
    <xf numFmtId="0" fontId="35" fillId="0" borderId="5" xfId="0" applyFont="1" applyBorder="1"/>
    <xf numFmtId="0" fontId="32" fillId="0" borderId="0" xfId="0" applyFont="1"/>
    <xf numFmtId="1" fontId="34" fillId="0" borderId="0" xfId="0" applyNumberFormat="1" applyFont="1"/>
    <xf numFmtId="0" fontId="33" fillId="3" borderId="0" xfId="0" applyFont="1" applyFill="1"/>
    <xf numFmtId="0" fontId="34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28" fillId="3" borderId="0" xfId="0" applyFont="1" applyFill="1"/>
    <xf numFmtId="0" fontId="28" fillId="4" borderId="0" xfId="0" applyFont="1" applyFill="1"/>
    <xf numFmtId="1" fontId="30" fillId="4" borderId="0" xfId="0" applyNumberFormat="1" applyFont="1" applyFill="1"/>
    <xf numFmtId="1" fontId="21" fillId="0" borderId="0" xfId="0" applyNumberFormat="1" applyFont="1" applyAlignment="1">
      <alignment horizontal="left"/>
    </xf>
    <xf numFmtId="165" fontId="22" fillId="0" borderId="0" xfId="0" applyNumberFormat="1" applyFont="1"/>
    <xf numFmtId="2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right"/>
    </xf>
    <xf numFmtId="166" fontId="3" fillId="0" borderId="0" xfId="0" applyNumberFormat="1" applyFont="1"/>
    <xf numFmtId="14" fontId="25" fillId="0" borderId="0" xfId="0" applyNumberFormat="1" applyFont="1"/>
    <xf numFmtId="14" fontId="36" fillId="0" borderId="0" xfId="0" applyNumberFormat="1" applyFont="1"/>
    <xf numFmtId="14" fontId="28" fillId="0" borderId="5" xfId="0" applyNumberFormat="1" applyFont="1" applyBorder="1"/>
    <xf numFmtId="14" fontId="28" fillId="0" borderId="7" xfId="0" applyNumberFormat="1" applyFont="1" applyBorder="1"/>
    <xf numFmtId="1" fontId="28" fillId="0" borderId="0" xfId="0" applyNumberFormat="1" applyFont="1"/>
    <xf numFmtId="0" fontId="28" fillId="0" borderId="0" xfId="0" applyFont="1" applyAlignment="1">
      <alignment horizontal="right"/>
    </xf>
    <xf numFmtId="165" fontId="28" fillId="0" borderId="0" xfId="0" applyNumberFormat="1" applyFont="1"/>
    <xf numFmtId="172" fontId="28" fillId="0" borderId="0" xfId="0" applyNumberFormat="1" applyFont="1" applyAlignment="1">
      <alignment horizontal="right"/>
    </xf>
    <xf numFmtId="15" fontId="34" fillId="0" borderId="0" xfId="0" applyNumberFormat="1" applyFont="1"/>
    <xf numFmtId="1" fontId="34" fillId="3" borderId="0" xfId="0" applyNumberFormat="1" applyFont="1" applyFill="1"/>
    <xf numFmtId="172" fontId="34" fillId="0" borderId="0" xfId="0" applyNumberFormat="1" applyFont="1" applyAlignment="1">
      <alignment horizontal="right"/>
    </xf>
    <xf numFmtId="173" fontId="34" fillId="0" borderId="0" xfId="0" applyNumberFormat="1" applyFont="1"/>
    <xf numFmtId="0" fontId="34" fillId="3" borderId="0" xfId="0" applyFont="1" applyFill="1"/>
    <xf numFmtId="0" fontId="25" fillId="4" borderId="0" xfId="0" applyFont="1" applyFill="1"/>
    <xf numFmtId="2" fontId="25" fillId="4" borderId="0" xfId="0" applyNumberFormat="1" applyFont="1" applyFill="1"/>
    <xf numFmtId="0" fontId="25" fillId="4" borderId="0" xfId="0" applyFont="1" applyFill="1" applyAlignment="1">
      <alignment horizontal="left"/>
    </xf>
    <xf numFmtId="1" fontId="25" fillId="4" borderId="0" xfId="0" applyNumberFormat="1" applyFont="1" applyFill="1"/>
    <xf numFmtId="0" fontId="34" fillId="0" borderId="0" xfId="0" applyFont="1" applyAlignment="1">
      <alignment horizontal="right"/>
    </xf>
    <xf numFmtId="0" fontId="34" fillId="0" borderId="0" xfId="0" applyFont="1"/>
    <xf numFmtId="0" fontId="34" fillId="4" borderId="0" xfId="0" applyFont="1" applyFill="1"/>
    <xf numFmtId="165" fontId="34" fillId="0" borderId="0" xfId="0" applyNumberFormat="1" applyFont="1"/>
    <xf numFmtId="14" fontId="35" fillId="0" borderId="5" xfId="0" applyNumberFormat="1" applyFont="1" applyBorder="1"/>
    <xf numFmtId="1" fontId="34" fillId="0" borderId="0" xfId="0" applyNumberFormat="1" applyFont="1" applyAlignment="1">
      <alignment horizontal="left"/>
    </xf>
    <xf numFmtId="1" fontId="34" fillId="0" borderId="0" xfId="0" applyNumberFormat="1" applyFont="1" applyAlignment="1">
      <alignment horizontal="right"/>
    </xf>
    <xf numFmtId="2" fontId="34" fillId="0" borderId="0" xfId="0" applyNumberFormat="1" applyFont="1"/>
    <xf numFmtId="15" fontId="28" fillId="0" borderId="0" xfId="0" applyNumberFormat="1" applyFont="1"/>
    <xf numFmtId="2" fontId="28" fillId="0" borderId="0" xfId="0" applyNumberFormat="1" applyFont="1"/>
    <xf numFmtId="1" fontId="28" fillId="0" borderId="0" xfId="0" applyNumberFormat="1" applyFont="1" applyAlignment="1">
      <alignment horizontal="left"/>
    </xf>
    <xf numFmtId="1" fontId="30" fillId="0" borderId="0" xfId="0" applyNumberFormat="1" applyFont="1"/>
    <xf numFmtId="2" fontId="30" fillId="0" borderId="0" xfId="0" applyNumberFormat="1" applyFont="1"/>
    <xf numFmtId="15" fontId="30" fillId="0" borderId="0" xfId="0" applyNumberFormat="1" applyFont="1"/>
    <xf numFmtId="0" fontId="30" fillId="0" borderId="0" xfId="0" applyFont="1" applyAlignment="1">
      <alignment horizontal="right"/>
    </xf>
    <xf numFmtId="2" fontId="28" fillId="5" borderId="0" xfId="0" applyNumberFormat="1" applyFont="1" applyFill="1"/>
    <xf numFmtId="0" fontId="30" fillId="0" borderId="0" xfId="0" applyFont="1" applyAlignment="1">
      <alignment horizontal="left"/>
    </xf>
    <xf numFmtId="14" fontId="28" fillId="0" borderId="0" xfId="0" applyNumberFormat="1" applyFont="1"/>
    <xf numFmtId="0" fontId="28" fillId="0" borderId="0" xfId="0" applyFont="1" applyAlignment="1">
      <alignment horizontal="center"/>
    </xf>
    <xf numFmtId="166" fontId="28" fillId="0" borderId="0" xfId="0" applyNumberFormat="1" applyFont="1"/>
    <xf numFmtId="165" fontId="2" fillId="0" borderId="0" xfId="0" applyNumberFormat="1" applyFont="1" applyAlignment="1">
      <alignment horizontal="center"/>
    </xf>
    <xf numFmtId="2" fontId="0" fillId="6" borderId="0" xfId="0" applyNumberFormat="1" applyFill="1"/>
    <xf numFmtId="14" fontId="28" fillId="0" borderId="6" xfId="0" applyNumberFormat="1" applyFont="1" applyBorder="1"/>
    <xf numFmtId="0" fontId="28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28" fillId="0" borderId="6" xfId="0" applyFont="1" applyBorder="1"/>
    <xf numFmtId="1" fontId="0" fillId="0" borderId="6" xfId="0" applyNumberFormat="1" applyBorder="1" applyAlignment="1">
      <alignment horizontal="left"/>
    </xf>
    <xf numFmtId="166" fontId="0" fillId="0" borderId="6" xfId="0" applyNumberFormat="1" applyBorder="1"/>
    <xf numFmtId="2" fontId="8" fillId="0" borderId="0" xfId="1" applyNumberFormat="1" applyFont="1" applyFill="1" applyBorder="1"/>
    <xf numFmtId="2" fontId="8" fillId="0" borderId="6" xfId="1" applyNumberFormat="1" applyFont="1" applyFill="1" applyBorder="1"/>
    <xf numFmtId="0" fontId="2" fillId="0" borderId="0" xfId="0" quotePrefix="1" applyFont="1"/>
    <xf numFmtId="0" fontId="38" fillId="0" borderId="0" xfId="0" applyFont="1"/>
    <xf numFmtId="1" fontId="26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175" fontId="0" fillId="0" borderId="6" xfId="0" applyNumberFormat="1" applyBorder="1" applyAlignment="1">
      <alignment vertical="top" wrapText="1"/>
    </xf>
    <xf numFmtId="1" fontId="0" fillId="0" borderId="6" xfId="0" applyNumberFormat="1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vertical="top"/>
    </xf>
    <xf numFmtId="2" fontId="0" fillId="0" borderId="6" xfId="0" applyNumberFormat="1" applyBorder="1" applyAlignment="1">
      <alignment vertical="top" wrapText="1"/>
    </xf>
    <xf numFmtId="2" fontId="0" fillId="0" borderId="10" xfId="0" applyNumberFormat="1" applyBorder="1" applyAlignment="1">
      <alignment vertical="top" wrapText="1"/>
    </xf>
    <xf numFmtId="2" fontId="3" fillId="0" borderId="7" xfId="0" applyNumberFormat="1" applyFont="1" applyBorder="1" applyAlignment="1">
      <alignment vertical="top" wrapText="1"/>
    </xf>
    <xf numFmtId="2" fontId="2" fillId="0" borderId="7" xfId="0" applyNumberFormat="1" applyFont="1" applyBorder="1" applyAlignment="1">
      <alignment vertical="top" wrapText="1"/>
    </xf>
    <xf numFmtId="0" fontId="0" fillId="7" borderId="0" xfId="0" applyFill="1"/>
    <xf numFmtId="2" fontId="0" fillId="7" borderId="0" xfId="0" applyNumberFormat="1" applyFill="1"/>
    <xf numFmtId="175" fontId="0" fillId="0" borderId="0" xfId="0" applyNumberFormat="1"/>
    <xf numFmtId="1" fontId="28" fillId="0" borderId="6" xfId="0" applyNumberFormat="1" applyFont="1" applyBorder="1"/>
    <xf numFmtId="0" fontId="3" fillId="0" borderId="6" xfId="0" applyFont="1" applyBorder="1"/>
    <xf numFmtId="0" fontId="2" fillId="0" borderId="6" xfId="0" applyFont="1" applyBorder="1"/>
    <xf numFmtId="171" fontId="28" fillId="0" borderId="0" xfId="0" applyNumberFormat="1" applyFont="1"/>
    <xf numFmtId="0" fontId="28" fillId="0" borderId="5" xfId="2" applyFont="1" applyBorder="1" applyAlignment="1">
      <alignment horizontal="center" vertical="top"/>
    </xf>
    <xf numFmtId="0" fontId="28" fillId="0" borderId="19" xfId="2" applyFont="1" applyBorder="1" applyAlignment="1">
      <alignment horizontal="center" vertical="top"/>
    </xf>
    <xf numFmtId="2" fontId="28" fillId="0" borderId="19" xfId="2" applyNumberFormat="1" applyFont="1" applyBorder="1" applyAlignment="1">
      <alignment horizontal="center" vertical="top"/>
    </xf>
    <xf numFmtId="2" fontId="28" fillId="0" borderId="4" xfId="2" applyNumberFormat="1" applyFont="1" applyBorder="1" applyAlignment="1">
      <alignment horizontal="center" vertical="top"/>
    </xf>
    <xf numFmtId="171" fontId="0" fillId="0" borderId="0" xfId="0" applyNumberFormat="1" applyAlignment="1">
      <alignment horizontal="right"/>
    </xf>
    <xf numFmtId="0" fontId="0" fillId="0" borderId="2" xfId="0" applyBorder="1" applyAlignment="1">
      <alignment horizontal="right"/>
    </xf>
    <xf numFmtId="0" fontId="0" fillId="0" borderId="6" xfId="0" applyBorder="1" applyAlignment="1">
      <alignment horizontal="right"/>
    </xf>
    <xf numFmtId="9" fontId="28" fillId="0" borderId="0" xfId="0" applyNumberFormat="1" applyFont="1" applyAlignment="1">
      <alignment horizontal="right"/>
    </xf>
    <xf numFmtId="171" fontId="25" fillId="0" borderId="0" xfId="0" applyNumberFormat="1" applyFont="1" applyAlignment="1">
      <alignment horizontal="right"/>
    </xf>
    <xf numFmtId="2" fontId="0" fillId="0" borderId="0" xfId="0" applyNumberFormat="1" applyAlignment="1">
      <alignment horizontal="left"/>
    </xf>
    <xf numFmtId="2" fontId="39" fillId="0" borderId="0" xfId="0" applyNumberFormat="1" applyFont="1" applyAlignment="1">
      <alignment horizontal="left"/>
    </xf>
    <xf numFmtId="0" fontId="40" fillId="0" borderId="0" xfId="0" applyFont="1"/>
    <xf numFmtId="1" fontId="24" fillId="0" borderId="0" xfId="0" applyNumberFormat="1" applyFont="1"/>
    <xf numFmtId="2" fontId="24" fillId="0" borderId="0" xfId="0" applyNumberFormat="1" applyFont="1"/>
    <xf numFmtId="15" fontId="24" fillId="0" borderId="0" xfId="0" applyNumberFormat="1" applyFont="1"/>
    <xf numFmtId="9" fontId="0" fillId="0" borderId="0" xfId="0" applyNumberFormat="1"/>
    <xf numFmtId="0" fontId="3" fillId="8" borderId="0" xfId="0" applyFont="1" applyFill="1"/>
    <xf numFmtId="0" fontId="0" fillId="8" borderId="0" xfId="0" applyFill="1"/>
    <xf numFmtId="14" fontId="2" fillId="0" borderId="0" xfId="0" applyNumberFormat="1" applyFont="1"/>
    <xf numFmtId="0" fontId="2" fillId="0" borderId="0" xfId="0" applyFont="1" applyAlignment="1">
      <alignment horizontal="center"/>
    </xf>
    <xf numFmtId="0" fontId="41" fillId="0" borderId="0" xfId="0" applyFont="1"/>
    <xf numFmtId="2" fontId="41" fillId="0" borderId="0" xfId="0" applyNumberFormat="1" applyFont="1"/>
    <xf numFmtId="165" fontId="41" fillId="0" borderId="0" xfId="0" applyNumberFormat="1" applyFont="1"/>
    <xf numFmtId="0" fontId="41" fillId="0" borderId="6" xfId="0" applyFont="1" applyBorder="1"/>
    <xf numFmtId="2" fontId="41" fillId="0" borderId="6" xfId="0" applyNumberFormat="1" applyFont="1" applyBorder="1"/>
    <xf numFmtId="165" fontId="41" fillId="0" borderId="6" xfId="0" applyNumberFormat="1" applyFont="1" applyBorder="1"/>
    <xf numFmtId="0" fontId="42" fillId="0" borderId="6" xfId="0" applyFont="1" applyBorder="1"/>
    <xf numFmtId="1" fontId="41" fillId="0" borderId="0" xfId="0" applyNumberFormat="1" applyFont="1"/>
    <xf numFmtId="0" fontId="43" fillId="0" borderId="7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44" fillId="0" borderId="5" xfId="2" applyFont="1" applyBorder="1" applyAlignment="1">
      <alignment horizontal="center" vertical="top"/>
    </xf>
    <xf numFmtId="2" fontId="44" fillId="0" borderId="19" xfId="2" applyNumberFormat="1" applyFont="1" applyBorder="1" applyAlignment="1">
      <alignment horizontal="center" vertical="top"/>
    </xf>
    <xf numFmtId="2" fontId="44" fillId="0" borderId="4" xfId="2" applyNumberFormat="1" applyFont="1" applyBorder="1" applyAlignment="1">
      <alignment horizontal="center" vertical="top"/>
    </xf>
    <xf numFmtId="0" fontId="2" fillId="8" borderId="0" xfId="0" applyFont="1" applyFill="1"/>
    <xf numFmtId="1" fontId="28" fillId="6" borderId="0" xfId="0" applyNumberFormat="1" applyFont="1" applyFill="1"/>
    <xf numFmtId="0" fontId="28" fillId="6" borderId="0" xfId="0" applyFont="1" applyFill="1"/>
    <xf numFmtId="165" fontId="28" fillId="6" borderId="0" xfId="0" applyNumberFormat="1" applyFont="1" applyFill="1"/>
    <xf numFmtId="171" fontId="28" fillId="6" borderId="0" xfId="0" applyNumberFormat="1" applyFont="1" applyFill="1"/>
    <xf numFmtId="9" fontId="28" fillId="6" borderId="0" xfId="0" applyNumberFormat="1" applyFont="1" applyFill="1" applyAlignment="1">
      <alignment horizontal="right"/>
    </xf>
    <xf numFmtId="0" fontId="44" fillId="6" borderId="5" xfId="2" applyFont="1" applyFill="1" applyBorder="1" applyAlignment="1">
      <alignment horizontal="center" vertical="top"/>
    </xf>
    <xf numFmtId="2" fontId="44" fillId="6" borderId="19" xfId="2" applyNumberFormat="1" applyFont="1" applyFill="1" applyBorder="1" applyAlignment="1">
      <alignment horizontal="center" vertical="top"/>
    </xf>
    <xf numFmtId="2" fontId="44" fillId="6" borderId="4" xfId="2" applyNumberFormat="1" applyFont="1" applyFill="1" applyBorder="1" applyAlignment="1">
      <alignment horizontal="center" vertical="top"/>
    </xf>
    <xf numFmtId="0" fontId="0" fillId="6" borderId="0" xfId="0" applyFill="1"/>
    <xf numFmtId="2" fontId="28" fillId="6" borderId="0" xfId="0" applyNumberFormat="1" applyFont="1" applyFill="1"/>
    <xf numFmtId="2" fontId="2" fillId="0" borderId="0" xfId="0" applyNumberFormat="1" applyFont="1" applyAlignment="1">
      <alignment vertical="top"/>
    </xf>
    <xf numFmtId="0" fontId="44" fillId="9" borderId="5" xfId="2" applyFont="1" applyFill="1" applyBorder="1" applyAlignment="1">
      <alignment horizontal="center" vertical="top"/>
    </xf>
    <xf numFmtId="2" fontId="44" fillId="9" borderId="19" xfId="2" applyNumberFormat="1" applyFont="1" applyFill="1" applyBorder="1" applyAlignment="1">
      <alignment horizontal="center" vertical="top"/>
    </xf>
    <xf numFmtId="2" fontId="44" fillId="9" borderId="4" xfId="2" applyNumberFormat="1" applyFont="1" applyFill="1" applyBorder="1" applyAlignment="1">
      <alignment horizontal="center" vertical="top"/>
    </xf>
    <xf numFmtId="0" fontId="28" fillId="9" borderId="0" xfId="0" applyFont="1" applyFill="1"/>
    <xf numFmtId="0" fontId="44" fillId="3" borderId="5" xfId="2" applyFont="1" applyFill="1" applyBorder="1" applyAlignment="1">
      <alignment horizontal="center" vertical="top"/>
    </xf>
    <xf numFmtId="2" fontId="44" fillId="3" borderId="19" xfId="2" applyNumberFormat="1" applyFont="1" applyFill="1" applyBorder="1" applyAlignment="1">
      <alignment horizontal="center" vertical="top"/>
    </xf>
    <xf numFmtId="2" fontId="44" fillId="3" borderId="4" xfId="2" applyNumberFormat="1" applyFont="1" applyFill="1" applyBorder="1" applyAlignment="1">
      <alignment horizontal="center" vertical="top"/>
    </xf>
    <xf numFmtId="0" fontId="46" fillId="10" borderId="5" xfId="2" applyFont="1" applyFill="1" applyBorder="1" applyAlignment="1">
      <alignment horizontal="center" vertical="top"/>
    </xf>
    <xf numFmtId="2" fontId="44" fillId="10" borderId="19" xfId="2" applyNumberFormat="1" applyFont="1" applyFill="1" applyBorder="1" applyAlignment="1">
      <alignment horizontal="center" vertical="top"/>
    </xf>
    <xf numFmtId="2" fontId="44" fillId="10" borderId="4" xfId="2" applyNumberFormat="1" applyFont="1" applyFill="1" applyBorder="1" applyAlignment="1">
      <alignment horizontal="center" vertical="top"/>
    </xf>
    <xf numFmtId="0" fontId="0" fillId="10" borderId="0" xfId="0" applyFill="1"/>
    <xf numFmtId="0" fontId="44" fillId="11" borderId="5" xfId="2" applyFont="1" applyFill="1" applyBorder="1" applyAlignment="1">
      <alignment horizontal="center" vertical="top"/>
    </xf>
    <xf numFmtId="2" fontId="44" fillId="11" borderId="19" xfId="2" applyNumberFormat="1" applyFont="1" applyFill="1" applyBorder="1" applyAlignment="1">
      <alignment horizontal="center" vertical="top"/>
    </xf>
    <xf numFmtId="2" fontId="44" fillId="11" borderId="4" xfId="2" applyNumberFormat="1" applyFont="1" applyFill="1" applyBorder="1" applyAlignment="1">
      <alignment horizontal="center" vertical="top"/>
    </xf>
    <xf numFmtId="0" fontId="28" fillId="11" borderId="0" xfId="0" applyFont="1" applyFill="1"/>
    <xf numFmtId="0" fontId="44" fillId="12" borderId="5" xfId="2" applyFont="1" applyFill="1" applyBorder="1" applyAlignment="1">
      <alignment horizontal="center" vertical="top"/>
    </xf>
    <xf numFmtId="2" fontId="44" fillId="12" borderId="19" xfId="2" applyNumberFormat="1" applyFont="1" applyFill="1" applyBorder="1" applyAlignment="1">
      <alignment horizontal="center" vertical="top"/>
    </xf>
    <xf numFmtId="2" fontId="44" fillId="12" borderId="4" xfId="2" applyNumberFormat="1" applyFont="1" applyFill="1" applyBorder="1" applyAlignment="1">
      <alignment horizontal="center" vertical="top"/>
    </xf>
    <xf numFmtId="0" fontId="28" fillId="12" borderId="0" xfId="0" applyFont="1" applyFill="1"/>
    <xf numFmtId="0" fontId="47" fillId="12" borderId="22" xfId="2" applyFont="1" applyFill="1" applyBorder="1" applyAlignment="1">
      <alignment horizontal="center" vertical="top"/>
    </xf>
    <xf numFmtId="2" fontId="47" fillId="12" borderId="8" xfId="2" applyNumberFormat="1" applyFont="1" applyFill="1" applyBorder="1" applyAlignment="1">
      <alignment horizontal="center" vertical="top"/>
    </xf>
    <xf numFmtId="0" fontId="30" fillId="12" borderId="8" xfId="0" applyFont="1" applyFill="1" applyBorder="1"/>
    <xf numFmtId="0" fontId="30" fillId="12" borderId="9" xfId="0" applyFont="1" applyFill="1" applyBorder="1"/>
    <xf numFmtId="0" fontId="43" fillId="0" borderId="0" xfId="0" applyFont="1"/>
    <xf numFmtId="2" fontId="44" fillId="12" borderId="0" xfId="2" applyNumberFormat="1" applyFont="1" applyFill="1" applyAlignment="1">
      <alignment horizontal="center" vertical="top"/>
    </xf>
    <xf numFmtId="0" fontId="48" fillId="8" borderId="5" xfId="2" applyFont="1" applyFill="1" applyBorder="1" applyAlignment="1">
      <alignment horizontal="left" vertical="top"/>
    </xf>
    <xf numFmtId="0" fontId="44" fillId="0" borderId="7" xfId="2" applyFont="1" applyBorder="1" applyAlignment="1">
      <alignment horizontal="center" vertical="top"/>
    </xf>
    <xf numFmtId="2" fontId="44" fillId="0" borderId="21" xfId="2" applyNumberFormat="1" applyFont="1" applyBorder="1" applyAlignment="1">
      <alignment horizontal="center" vertical="top"/>
    </xf>
    <xf numFmtId="2" fontId="44" fillId="0" borderId="10" xfId="2" applyNumberFormat="1" applyFont="1" applyBorder="1" applyAlignment="1">
      <alignment horizontal="center" vertical="top"/>
    </xf>
    <xf numFmtId="0" fontId="43" fillId="0" borderId="5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43" fillId="0" borderId="4" xfId="0" applyFont="1" applyBorder="1" applyAlignment="1">
      <alignment horizontal="center"/>
    </xf>
    <xf numFmtId="2" fontId="28" fillId="0" borderId="0" xfId="0" applyNumberFormat="1" applyFont="1" applyAlignment="1">
      <alignment horizontal="center"/>
    </xf>
    <xf numFmtId="2" fontId="28" fillId="0" borderId="0" xfId="0" applyNumberFormat="1" applyFont="1" applyAlignment="1">
      <alignment horizontal="left"/>
    </xf>
    <xf numFmtId="165" fontId="23" fillId="0" borderId="0" xfId="0" applyNumberFormat="1" applyFont="1"/>
    <xf numFmtId="165" fontId="19" fillId="0" borderId="0" xfId="0" applyNumberFormat="1" applyFont="1"/>
    <xf numFmtId="0" fontId="2" fillId="0" borderId="0" xfId="0" applyFont="1" applyAlignment="1">
      <alignment horizontal="center" vertical="center"/>
    </xf>
    <xf numFmtId="174" fontId="2" fillId="0" borderId="0" xfId="0" applyNumberFormat="1" applyFont="1"/>
    <xf numFmtId="168" fontId="2" fillId="0" borderId="0" xfId="0" applyNumberFormat="1" applyFont="1"/>
    <xf numFmtId="0" fontId="0" fillId="12" borderId="0" xfId="0" applyFill="1"/>
    <xf numFmtId="0" fontId="49" fillId="6" borderId="0" xfId="0" applyFont="1" applyFill="1"/>
    <xf numFmtId="0" fontId="0" fillId="13" borderId="0" xfId="0" applyFill="1"/>
    <xf numFmtId="0" fontId="0" fillId="14" borderId="0" xfId="0" applyFill="1"/>
    <xf numFmtId="1" fontId="2" fillId="3" borderId="0" xfId="0" applyNumberFormat="1" applyFont="1" applyFill="1"/>
    <xf numFmtId="2" fontId="2" fillId="6" borderId="0" xfId="0" applyNumberFormat="1" applyFont="1" applyFill="1"/>
    <xf numFmtId="1" fontId="0" fillId="6" borderId="0" xfId="0" applyNumberFormat="1" applyFill="1"/>
    <xf numFmtId="15" fontId="0" fillId="6" borderId="0" xfId="0" applyNumberFormat="1" applyFill="1"/>
    <xf numFmtId="9" fontId="0" fillId="6" borderId="0" xfId="0" applyNumberFormat="1" applyFill="1"/>
    <xf numFmtId="15" fontId="3" fillId="0" borderId="0" xfId="0" applyNumberFormat="1" applyFont="1"/>
    <xf numFmtId="0" fontId="3" fillId="0" borderId="0" xfId="0" applyFont="1" applyAlignment="1">
      <alignment wrapText="1"/>
    </xf>
    <xf numFmtId="0" fontId="3" fillId="6" borderId="0" xfId="0" applyFont="1" applyFill="1"/>
    <xf numFmtId="2" fontId="2" fillId="0" borderId="0" xfId="0" applyNumberFormat="1" applyFont="1" applyAlignment="1">
      <alignment horizontal="left"/>
    </xf>
    <xf numFmtId="0" fontId="2" fillId="3" borderId="0" xfId="0" applyFont="1" applyFill="1"/>
    <xf numFmtId="165" fontId="2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righ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left"/>
    </xf>
    <xf numFmtId="0" fontId="2" fillId="15" borderId="0" xfId="0" applyFont="1" applyFill="1"/>
    <xf numFmtId="0" fontId="40" fillId="15" borderId="0" xfId="0" applyFont="1" applyFill="1"/>
    <xf numFmtId="168" fontId="0" fillId="15" borderId="0" xfId="0" applyNumberFormat="1" applyFill="1"/>
    <xf numFmtId="2" fontId="28" fillId="15" borderId="0" xfId="0" applyNumberFormat="1" applyFont="1" applyFill="1"/>
    <xf numFmtId="2" fontId="2" fillId="15" borderId="0" xfId="0" applyNumberFormat="1" applyFont="1" applyFill="1" applyAlignment="1">
      <alignment vertical="top"/>
    </xf>
    <xf numFmtId="1" fontId="19" fillId="0" borderId="0" xfId="0" applyNumberFormat="1" applyFont="1"/>
    <xf numFmtId="0" fontId="50" fillId="0" borderId="0" xfId="0" applyFont="1" applyAlignment="1">
      <alignment horizontal="right"/>
    </xf>
    <xf numFmtId="1" fontId="28" fillId="0" borderId="0" xfId="0" applyNumberFormat="1" applyFont="1" applyAlignment="1">
      <alignment horizontal="right"/>
    </xf>
    <xf numFmtId="165" fontId="30" fillId="0" borderId="0" xfId="0" applyNumberFormat="1" applyFont="1"/>
    <xf numFmtId="165" fontId="28" fillId="3" borderId="0" xfId="0" applyNumberFormat="1" applyFont="1" applyFill="1"/>
    <xf numFmtId="165" fontId="2" fillId="0" borderId="0" xfId="0" applyNumberFormat="1" applyFont="1" applyAlignment="1">
      <alignment horizontal="right"/>
    </xf>
    <xf numFmtId="168" fontId="2" fillId="0" borderId="0" xfId="0" applyNumberFormat="1" applyFont="1" applyAlignment="1">
      <alignment horizontal="right"/>
    </xf>
    <xf numFmtId="0" fontId="2" fillId="2" borderId="0" xfId="0" applyFont="1" applyFill="1"/>
    <xf numFmtId="0" fontId="53" fillId="0" borderId="0" xfId="0" applyFont="1"/>
    <xf numFmtId="176" fontId="2" fillId="0" borderId="0" xfId="0" applyNumberFormat="1" applyFont="1"/>
    <xf numFmtId="176" fontId="2" fillId="0" borderId="0" xfId="0" applyNumberFormat="1" applyFont="1" applyAlignment="1">
      <alignment horizontal="left"/>
    </xf>
    <xf numFmtId="0" fontId="24" fillId="6" borderId="0" xfId="0" applyFont="1" applyFill="1"/>
    <xf numFmtId="1" fontId="28" fillId="4" borderId="0" xfId="0" applyNumberFormat="1" applyFont="1" applyFill="1" applyAlignment="1">
      <alignment horizontal="left"/>
    </xf>
    <xf numFmtId="0" fontId="28" fillId="4" borderId="0" xfId="0" applyFont="1" applyFill="1" applyAlignment="1">
      <alignment horizontal="left"/>
    </xf>
    <xf numFmtId="0" fontId="2" fillId="6" borderId="0" xfId="0" applyFont="1" applyFill="1"/>
    <xf numFmtId="0" fontId="25" fillId="6" borderId="0" xfId="0" applyFont="1" applyFill="1"/>
    <xf numFmtId="168" fontId="3" fillId="6" borderId="0" xfId="0" applyNumberFormat="1" applyFont="1" applyFill="1"/>
    <xf numFmtId="0" fontId="25" fillId="8" borderId="3" xfId="2" applyFont="1" applyFill="1" applyBorder="1" applyAlignment="1">
      <alignment horizontal="center" vertical="top"/>
    </xf>
    <xf numFmtId="0" fontId="25" fillId="8" borderId="2" xfId="0" applyFont="1" applyFill="1" applyBorder="1"/>
    <xf numFmtId="2" fontId="25" fillId="8" borderId="20" xfId="2" applyNumberFormat="1" applyFont="1" applyFill="1" applyBorder="1" applyAlignment="1">
      <alignment horizontal="center" vertical="top"/>
    </xf>
    <xf numFmtId="0" fontId="25" fillId="8" borderId="0" xfId="0" applyFont="1" applyFill="1"/>
    <xf numFmtId="0" fontId="47" fillId="0" borderId="5" xfId="2" applyFont="1" applyBorder="1" applyAlignment="1">
      <alignment horizontal="center" vertical="top"/>
    </xf>
    <xf numFmtId="2" fontId="47" fillId="0" borderId="19" xfId="2" applyNumberFormat="1" applyFont="1" applyBorder="1" applyAlignment="1">
      <alignment horizontal="center" vertical="top"/>
    </xf>
    <xf numFmtId="2" fontId="47" fillId="0" borderId="4" xfId="2" applyNumberFormat="1" applyFont="1" applyBorder="1" applyAlignment="1">
      <alignment horizontal="center" vertical="top"/>
    </xf>
    <xf numFmtId="2" fontId="47" fillId="6" borderId="19" xfId="2" applyNumberFormat="1" applyFont="1" applyFill="1" applyBorder="1" applyAlignment="1">
      <alignment horizontal="center" vertical="top"/>
    </xf>
    <xf numFmtId="2" fontId="47" fillId="6" borderId="4" xfId="2" applyNumberFormat="1" applyFont="1" applyFill="1" applyBorder="1" applyAlignment="1">
      <alignment horizontal="center" vertical="top"/>
    </xf>
    <xf numFmtId="0" fontId="0" fillId="6" borderId="8" xfId="0" applyFill="1" applyBorder="1"/>
    <xf numFmtId="0" fontId="0" fillId="6" borderId="2" xfId="0" applyFill="1" applyBorder="1"/>
    <xf numFmtId="1" fontId="0" fillId="0" borderId="0" xfId="0" applyNumberFormat="1" applyAlignment="1">
      <alignment vertical="top"/>
    </xf>
    <xf numFmtId="0" fontId="0" fillId="0" borderId="0" xfId="0" applyAlignment="1">
      <alignment vertical="top"/>
    </xf>
    <xf numFmtId="2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2" fontId="0" fillId="0" borderId="7" xfId="0" applyNumberFormat="1" applyBorder="1" applyAlignment="1">
      <alignment vertical="top" wrapText="1"/>
    </xf>
    <xf numFmtId="2" fontId="0" fillId="0" borderId="7" xfId="0" applyNumberFormat="1" applyBorder="1" applyAlignment="1">
      <alignment vertical="top"/>
    </xf>
    <xf numFmtId="14" fontId="3" fillId="8" borderId="0" xfId="0" applyNumberFormat="1" applyFont="1" applyFill="1"/>
    <xf numFmtId="14" fontId="0" fillId="0" borderId="0" xfId="0" applyNumberFormat="1" applyAlignment="1">
      <alignment vertical="top"/>
    </xf>
    <xf numFmtId="14" fontId="0" fillId="0" borderId="6" xfId="0" applyNumberFormat="1" applyBorder="1" applyAlignment="1">
      <alignment vertical="top" wrapText="1"/>
    </xf>
    <xf numFmtId="0" fontId="57" fillId="0" borderId="11" xfId="0" applyFont="1" applyBorder="1" applyAlignment="1">
      <alignment vertical="top"/>
    </xf>
    <xf numFmtId="0" fontId="0" fillId="0" borderId="12" xfId="0" applyBorder="1" applyAlignment="1">
      <alignment vertical="top"/>
    </xf>
    <xf numFmtId="0" fontId="57" fillId="0" borderId="23" xfId="0" applyFont="1" applyBorder="1" applyAlignment="1">
      <alignment vertical="top" wrapText="1"/>
    </xf>
    <xf numFmtId="2" fontId="43" fillId="0" borderId="4" xfId="0" applyNumberFormat="1" applyFont="1" applyBorder="1" applyAlignment="1">
      <alignment vertical="top" wrapText="1"/>
    </xf>
    <xf numFmtId="0" fontId="57" fillId="0" borderId="0" xfId="0" applyFont="1" applyAlignment="1">
      <alignment vertical="center" wrapText="1"/>
    </xf>
    <xf numFmtId="0" fontId="0" fillId="0" borderId="24" xfId="0" applyBorder="1"/>
    <xf numFmtId="0" fontId="0" fillId="0" borderId="23" xfId="0" applyBorder="1" applyAlignment="1">
      <alignment vertical="top"/>
    </xf>
    <xf numFmtId="0" fontId="57" fillId="0" borderId="0" xfId="0" applyFont="1"/>
    <xf numFmtId="2" fontId="57" fillId="0" borderId="0" xfId="0" applyNumberFormat="1" applyFont="1"/>
    <xf numFmtId="2" fontId="58" fillId="0" borderId="0" xfId="0" applyNumberFormat="1" applyFont="1"/>
    <xf numFmtId="2" fontId="58" fillId="0" borderId="0" xfId="0" applyNumberFormat="1" applyFont="1" applyAlignment="1">
      <alignment vertical="top"/>
    </xf>
    <xf numFmtId="2" fontId="58" fillId="0" borderId="15" xfId="0" applyNumberFormat="1" applyFont="1" applyBorder="1"/>
    <xf numFmtId="0" fontId="3" fillId="3" borderId="0" xfId="0" applyFont="1" applyFill="1"/>
    <xf numFmtId="0" fontId="59" fillId="0" borderId="1" xfId="0" applyFont="1" applyBorder="1"/>
    <xf numFmtId="0" fontId="58" fillId="0" borderId="2" xfId="0" applyFont="1" applyBorder="1"/>
    <xf numFmtId="0" fontId="60" fillId="0" borderId="2" xfId="0" applyFont="1" applyBorder="1"/>
    <xf numFmtId="0" fontId="61" fillId="0" borderId="2" xfId="0" applyFont="1" applyBorder="1"/>
    <xf numFmtId="0" fontId="61" fillId="0" borderId="3" xfId="0" applyFont="1" applyBorder="1"/>
    <xf numFmtId="0" fontId="59" fillId="0" borderId="4" xfId="0" applyFont="1" applyBorder="1"/>
    <xf numFmtId="0" fontId="60" fillId="0" borderId="0" xfId="0" applyFont="1"/>
    <xf numFmtId="2" fontId="61" fillId="0" borderId="0" xfId="0" applyNumberFormat="1" applyFont="1"/>
    <xf numFmtId="168" fontId="61" fillId="0" borderId="19" xfId="0" applyNumberFormat="1" applyFont="1" applyBorder="1"/>
    <xf numFmtId="0" fontId="61" fillId="0" borderId="0" xfId="0" applyFont="1"/>
    <xf numFmtId="0" fontId="59" fillId="0" borderId="0" xfId="0" applyFont="1"/>
    <xf numFmtId="167" fontId="61" fillId="0" borderId="19" xfId="0" applyNumberFormat="1" applyFont="1" applyBorder="1"/>
    <xf numFmtId="0" fontId="61" fillId="0" borderId="4" xfId="0" applyFont="1" applyBorder="1"/>
    <xf numFmtId="168" fontId="59" fillId="0" borderId="19" xfId="0" applyNumberFormat="1" applyFont="1" applyBorder="1"/>
    <xf numFmtId="177" fontId="59" fillId="0" borderId="0" xfId="0" applyNumberFormat="1" applyFont="1"/>
    <xf numFmtId="0" fontId="59" fillId="0" borderId="19" xfId="0" applyFont="1" applyBorder="1"/>
    <xf numFmtId="0" fontId="61" fillId="3" borderId="4" xfId="0" applyFont="1" applyFill="1" applyBorder="1"/>
    <xf numFmtId="0" fontId="61" fillId="3" borderId="0" xfId="0" applyFont="1" applyFill="1"/>
    <xf numFmtId="168" fontId="61" fillId="3" borderId="0" xfId="0" applyNumberFormat="1" applyFont="1" applyFill="1"/>
    <xf numFmtId="0" fontId="59" fillId="0" borderId="2" xfId="0" applyFont="1" applyBorder="1"/>
    <xf numFmtId="168" fontId="61" fillId="0" borderId="0" xfId="0" applyNumberFormat="1" applyFont="1"/>
    <xf numFmtId="168" fontId="61" fillId="0" borderId="5" xfId="0" applyNumberFormat="1" applyFont="1" applyBorder="1"/>
    <xf numFmtId="177" fontId="61" fillId="0" borderId="0" xfId="0" applyNumberFormat="1" applyFont="1"/>
    <xf numFmtId="0" fontId="61" fillId="0" borderId="5" xfId="0" applyFont="1" applyBorder="1"/>
    <xf numFmtId="2" fontId="60" fillId="0" borderId="0" xfId="0" applyNumberFormat="1" applyFont="1"/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left"/>
    </xf>
    <xf numFmtId="14" fontId="0" fillId="0" borderId="6" xfId="0" applyNumberFormat="1" applyBorder="1"/>
    <xf numFmtId="2" fontId="28" fillId="0" borderId="0" xfId="0" applyNumberFormat="1" applyFont="1" applyAlignment="1">
      <alignment horizontal="right"/>
    </xf>
    <xf numFmtId="0" fontId="0" fillId="16" borderId="0" xfId="0" applyFill="1"/>
    <xf numFmtId="0" fontId="0" fillId="16" borderId="6" xfId="0" applyFill="1" applyBorder="1"/>
    <xf numFmtId="49" fontId="0" fillId="0" borderId="26" xfId="0" applyNumberFormat="1" applyBorder="1"/>
    <xf numFmtId="49" fontId="0" fillId="16" borderId="25" xfId="0" applyNumberFormat="1" applyFill="1" applyBorder="1"/>
    <xf numFmtId="0" fontId="0" fillId="6" borderId="6" xfId="0" applyFill="1" applyBorder="1"/>
    <xf numFmtId="0" fontId="2" fillId="0" borderId="0" xfId="0" applyFont="1" applyAlignment="1">
      <alignment horizontal="left"/>
    </xf>
    <xf numFmtId="0" fontId="60" fillId="6" borderId="0" xfId="0" applyFont="1" applyFill="1" applyAlignment="1">
      <alignment horizontal="left"/>
    </xf>
    <xf numFmtId="165" fontId="2" fillId="0" borderId="26" xfId="0" applyNumberFormat="1" applyFont="1" applyBorder="1" applyAlignment="1">
      <alignment horizontal="right"/>
    </xf>
    <xf numFmtId="14" fontId="28" fillId="0" borderId="0" xfId="0" applyNumberFormat="1" applyFont="1" applyAlignment="1">
      <alignment horizontal="left"/>
    </xf>
    <xf numFmtId="165" fontId="19" fillId="0" borderId="0" xfId="0" applyNumberFormat="1" applyFont="1" applyAlignment="1">
      <alignment horizontal="left"/>
    </xf>
    <xf numFmtId="0" fontId="50" fillId="0" borderId="0" xfId="0" applyFont="1" applyAlignment="1">
      <alignment horizontal="left"/>
    </xf>
    <xf numFmtId="10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left"/>
    </xf>
    <xf numFmtId="165" fontId="19" fillId="0" borderId="0" xfId="0" applyNumberFormat="1" applyFont="1" applyAlignment="1">
      <alignment horizontal="right"/>
    </xf>
    <xf numFmtId="2" fontId="19" fillId="0" borderId="0" xfId="0" applyNumberFormat="1" applyFont="1" applyAlignment="1">
      <alignment horizontal="right"/>
    </xf>
    <xf numFmtId="0" fontId="50" fillId="0" borderId="26" xfId="0" applyFont="1" applyBorder="1" applyAlignment="1">
      <alignment horizontal="right"/>
    </xf>
    <xf numFmtId="2" fontId="28" fillId="0" borderId="26" xfId="0" applyNumberFormat="1" applyFont="1" applyBorder="1" applyAlignment="1">
      <alignment horizontal="right"/>
    </xf>
    <xf numFmtId="1" fontId="28" fillId="0" borderId="26" xfId="0" applyNumberFormat="1" applyFont="1" applyBorder="1" applyAlignment="1">
      <alignment horizontal="right"/>
    </xf>
    <xf numFmtId="14" fontId="2" fillId="0" borderId="0" xfId="0" applyNumberFormat="1" applyFont="1" applyAlignment="1">
      <alignment horizontal="left"/>
    </xf>
    <xf numFmtId="0" fontId="60" fillId="0" borderId="0" xfId="0" applyFont="1" applyAlignment="1">
      <alignment horizontal="left"/>
    </xf>
    <xf numFmtId="178" fontId="19" fillId="0" borderId="0" xfId="9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0" fontId="1" fillId="0" borderId="0" xfId="0" applyFont="1"/>
    <xf numFmtId="165" fontId="60" fillId="6" borderId="0" xfId="0" applyNumberFormat="1" applyFont="1" applyFill="1"/>
    <xf numFmtId="0" fontId="19" fillId="0" borderId="26" xfId="0" applyFont="1" applyBorder="1" applyAlignment="1">
      <alignment horizontal="right"/>
    </xf>
    <xf numFmtId="0" fontId="19" fillId="0" borderId="26" xfId="0" applyFont="1" applyBorder="1"/>
    <xf numFmtId="168" fontId="2" fillId="0" borderId="26" xfId="0" applyNumberFormat="1" applyFont="1" applyBorder="1" applyAlignment="1">
      <alignment horizontal="right"/>
    </xf>
    <xf numFmtId="168" fontId="2" fillId="0" borderId="26" xfId="0" applyNumberFormat="1" applyFont="1" applyBorder="1"/>
    <xf numFmtId="1" fontId="19" fillId="0" borderId="0" xfId="0" applyNumberFormat="1" applyFont="1" applyAlignment="1">
      <alignment horizontal="left"/>
    </xf>
    <xf numFmtId="178" fontId="19" fillId="0" borderId="0" xfId="0" applyNumberFormat="1" applyFont="1" applyAlignment="1">
      <alignment horizontal="left"/>
    </xf>
    <xf numFmtId="165" fontId="0" fillId="6" borderId="0" xfId="0" applyNumberFormat="1" applyFill="1"/>
    <xf numFmtId="0" fontId="61" fillId="0" borderId="0" xfId="10" applyFont="1"/>
    <xf numFmtId="0" fontId="66" fillId="0" borderId="0" xfId="2" applyFont="1" applyAlignment="1">
      <alignment horizontal="left"/>
    </xf>
    <xf numFmtId="0" fontId="65" fillId="0" borderId="0" xfId="0" applyFont="1" applyAlignment="1">
      <alignment horizontal="left"/>
    </xf>
    <xf numFmtId="0" fontId="67" fillId="0" borderId="0" xfId="10" applyFont="1"/>
    <xf numFmtId="1" fontId="0" fillId="6" borderId="0" xfId="0" applyNumberFormat="1" applyFill="1" applyAlignment="1">
      <alignment horizontal="left"/>
    </xf>
    <xf numFmtId="0" fontId="19" fillId="0" borderId="0" xfId="0" quotePrefix="1" applyFont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26" xfId="0" applyBorder="1"/>
    <xf numFmtId="1" fontId="2" fillId="0" borderId="26" xfId="0" applyNumberFormat="1" applyFont="1" applyBorder="1"/>
    <xf numFmtId="2" fontId="41" fillId="6" borderId="0" xfId="0" applyNumberFormat="1" applyFont="1" applyFill="1"/>
    <xf numFmtId="2" fontId="41" fillId="6" borderId="6" xfId="0" applyNumberFormat="1" applyFont="1" applyFill="1" applyBorder="1"/>
    <xf numFmtId="2" fontId="0" fillId="0" borderId="4" xfId="0" applyNumberFormat="1" applyBorder="1" applyAlignment="1">
      <alignment horizontal="center" vertical="top" wrapText="1"/>
    </xf>
    <xf numFmtId="2" fontId="0" fillId="0" borderId="0" xfId="0" applyNumberFormat="1" applyAlignment="1">
      <alignment horizontal="center" vertical="top" wrapText="1"/>
    </xf>
    <xf numFmtId="2" fontId="0" fillId="0" borderId="5" xfId="0" applyNumberFormat="1" applyBorder="1" applyAlignment="1">
      <alignment horizontal="center" vertical="top" wrapText="1"/>
    </xf>
    <xf numFmtId="0" fontId="57" fillId="0" borderId="14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wrapText="1"/>
    </xf>
    <xf numFmtId="1" fontId="28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0" fontId="2" fillId="17" borderId="0" xfId="0" applyFont="1" applyFill="1"/>
    <xf numFmtId="1" fontId="2" fillId="17" borderId="0" xfId="0" applyNumberFormat="1" applyFont="1" applyFill="1"/>
    <xf numFmtId="1" fontId="2" fillId="17" borderId="26" xfId="0" applyNumberFormat="1" applyFont="1" applyFill="1" applyBorder="1"/>
    <xf numFmtId="0" fontId="2" fillId="17" borderId="0" xfId="0" applyFont="1" applyFill="1" applyAlignment="1">
      <alignment horizontal="center" vertical="center"/>
    </xf>
    <xf numFmtId="165" fontId="2" fillId="17" borderId="0" xfId="0" applyNumberFormat="1" applyFont="1" applyFill="1" applyAlignment="1">
      <alignment horizontal="right"/>
    </xf>
    <xf numFmtId="165" fontId="2" fillId="17" borderId="26" xfId="0" applyNumberFormat="1" applyFont="1" applyFill="1" applyBorder="1" applyAlignment="1">
      <alignment horizontal="right"/>
    </xf>
    <xf numFmtId="1" fontId="28" fillId="17" borderId="0" xfId="0" applyNumberFormat="1" applyFont="1" applyFill="1" applyAlignment="1">
      <alignment horizontal="right"/>
    </xf>
    <xf numFmtId="2" fontId="28" fillId="17" borderId="0" xfId="0" applyNumberFormat="1" applyFont="1" applyFill="1" applyAlignment="1">
      <alignment horizontal="right"/>
    </xf>
    <xf numFmtId="2" fontId="28" fillId="17" borderId="26" xfId="0" applyNumberFormat="1" applyFont="1" applyFill="1" applyBorder="1" applyAlignment="1">
      <alignment horizontal="right"/>
    </xf>
    <xf numFmtId="165" fontId="0" fillId="17" borderId="0" xfId="0" applyNumberFormat="1" applyFill="1"/>
    <xf numFmtId="1" fontId="0" fillId="17" borderId="0" xfId="0" applyNumberFormat="1" applyFill="1"/>
    <xf numFmtId="0" fontId="0" fillId="17" borderId="0" xfId="0" applyFill="1"/>
    <xf numFmtId="165" fontId="2" fillId="17" borderId="0" xfId="0" applyNumberFormat="1" applyFont="1" applyFill="1"/>
    <xf numFmtId="0" fontId="2" fillId="17" borderId="6" xfId="0" applyFont="1" applyFill="1" applyBorder="1"/>
    <xf numFmtId="1" fontId="2" fillId="17" borderId="6" xfId="0" applyNumberFormat="1" applyFont="1" applyFill="1" applyBorder="1"/>
    <xf numFmtId="0" fontId="2" fillId="17" borderId="6" xfId="0" applyFont="1" applyFill="1" applyBorder="1" applyAlignment="1">
      <alignment horizontal="center" vertical="center"/>
    </xf>
    <xf numFmtId="165" fontId="2" fillId="17" borderId="6" xfId="0" applyNumberFormat="1" applyFont="1" applyFill="1" applyBorder="1" applyAlignment="1">
      <alignment horizontal="right"/>
    </xf>
    <xf numFmtId="1" fontId="28" fillId="17" borderId="6" xfId="0" applyNumberFormat="1" applyFont="1" applyFill="1" applyBorder="1" applyAlignment="1">
      <alignment horizontal="right"/>
    </xf>
    <xf numFmtId="2" fontId="28" fillId="17" borderId="6" xfId="0" applyNumberFormat="1" applyFont="1" applyFill="1" applyBorder="1" applyAlignment="1">
      <alignment horizontal="right"/>
    </xf>
    <xf numFmtId="165" fontId="2" fillId="17" borderId="6" xfId="0" applyNumberFormat="1" applyFont="1" applyFill="1" applyBorder="1"/>
    <xf numFmtId="0" fontId="0" fillId="17" borderId="6" xfId="0" applyFill="1" applyBorder="1"/>
    <xf numFmtId="14" fontId="2" fillId="17" borderId="0" xfId="0" applyNumberFormat="1" applyFont="1" applyFill="1"/>
    <xf numFmtId="14" fontId="2" fillId="0" borderId="0" xfId="0" applyNumberFormat="1" applyFont="1" applyFill="1"/>
    <xf numFmtId="1" fontId="2" fillId="0" borderId="0" xfId="0" applyNumberFormat="1" applyFont="1" applyFill="1"/>
    <xf numFmtId="0" fontId="2" fillId="0" borderId="0" xfId="0" applyFont="1" applyFill="1"/>
    <xf numFmtId="1" fontId="2" fillId="0" borderId="26" xfId="0" applyNumberFormat="1" applyFont="1" applyFill="1" applyBorder="1"/>
    <xf numFmtId="0" fontId="2" fillId="0" borderId="0" xfId="0" applyFont="1" applyFill="1" applyAlignment="1">
      <alignment horizontal="center" vertical="center"/>
    </xf>
    <xf numFmtId="165" fontId="2" fillId="0" borderId="0" xfId="0" applyNumberFormat="1" applyFont="1" applyFill="1" applyAlignment="1">
      <alignment horizontal="right"/>
    </xf>
    <xf numFmtId="165" fontId="2" fillId="0" borderId="26" xfId="0" applyNumberFormat="1" applyFont="1" applyFill="1" applyBorder="1" applyAlignment="1">
      <alignment horizontal="right"/>
    </xf>
    <xf numFmtId="1" fontId="28" fillId="0" borderId="0" xfId="0" applyNumberFormat="1" applyFont="1" applyFill="1" applyAlignment="1">
      <alignment horizontal="right"/>
    </xf>
    <xf numFmtId="2" fontId="28" fillId="0" borderId="0" xfId="0" applyNumberFormat="1" applyFont="1" applyFill="1" applyAlignment="1">
      <alignment horizontal="right"/>
    </xf>
    <xf numFmtId="2" fontId="28" fillId="0" borderId="26" xfId="0" applyNumberFormat="1" applyFont="1" applyFill="1" applyBorder="1" applyAlignment="1">
      <alignment horizontal="right"/>
    </xf>
    <xf numFmtId="165" fontId="0" fillId="0" borderId="0" xfId="0" applyNumberFormat="1" applyFill="1"/>
    <xf numFmtId="0" fontId="0" fillId="0" borderId="0" xfId="0" applyFill="1"/>
    <xf numFmtId="165" fontId="2" fillId="0" borderId="0" xfId="0" applyNumberFormat="1" applyFont="1" applyFill="1"/>
  </cellXfs>
  <cellStyles count="11">
    <cellStyle name="Comma" xfId="1" builtinId="3"/>
    <cellStyle name="Followed Hyperlink" xfId="6" builtinId="9" hidden="1"/>
    <cellStyle name="Followed Hyperlink" xfId="8" builtinId="9" hidden="1"/>
    <cellStyle name="Hyperlink" xfId="5" builtinId="8" hidden="1"/>
    <cellStyle name="Hyperlink" xfId="7" builtinId="8" hidden="1"/>
    <cellStyle name="Hyperlink" xfId="10" builtinId="8"/>
    <cellStyle name="Normal" xfId="0" builtinId="0"/>
    <cellStyle name="Normal 2" xfId="2" xr:uid="{00000000-0005-0000-0000-000006000000}"/>
    <cellStyle name="Normal_CHN_saz_2004_2005_results2008" xfId="3" xr:uid="{00000000-0005-0000-0000-000007000000}"/>
    <cellStyle name="Normal_samp_list (2)" xfId="4" xr:uid="{00000000-0005-0000-0000-000008000000}"/>
    <cellStyle name="Percent" xfId="9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SAZ18</a:t>
            </a:r>
            <a:r>
              <a:rPr lang="en-AU" baseline="0"/>
              <a:t> </a:t>
            </a:r>
            <a:r>
              <a:rPr lang="en-AU"/>
              <a:t>%BSi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77683945668299"/>
          <c:y val="0.148508508508508"/>
          <c:w val="0.83592673949093299"/>
          <c:h val="0.67370047212566897"/>
        </c:manualLayout>
      </c:layout>
      <c:scatterChart>
        <c:scatterStyle val="lineMarker"/>
        <c:varyColors val="0"/>
        <c:ser>
          <c:idx val="0"/>
          <c:order val="0"/>
          <c:tx>
            <c:strRef>
              <c:f>BSi_results!$C$14</c:f>
              <c:strCache>
                <c:ptCount val="1"/>
                <c:pt idx="0">
                  <c:v>47_1000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(BSi_results!$T$14:$T$17,BSi_results!$V$18,BSi_results!$T$20:$T$35)</c:f>
              <c:numCache>
                <c:formatCode>0.00</c:formatCode>
                <c:ptCount val="21"/>
                <c:pt idx="0">
                  <c:v>4.2735492084299702</c:v>
                </c:pt>
                <c:pt idx="1">
                  <c:v>1.2346026068987441</c:v>
                </c:pt>
                <c:pt idx="2">
                  <c:v>0.75642819466422351</c:v>
                </c:pt>
                <c:pt idx="3">
                  <c:v>1.7973557446373152</c:v>
                </c:pt>
                <c:pt idx="4">
                  <c:v>4.1786102977837167</c:v>
                </c:pt>
                <c:pt idx="5">
                  <c:v>3.4394797833128559</c:v>
                </c:pt>
                <c:pt idx="6">
                  <c:v>1.7535571260306242</c:v>
                </c:pt>
                <c:pt idx="7">
                  <c:v>4.1045175470137716</c:v>
                </c:pt>
                <c:pt idx="8">
                  <c:v>4.6360487197724041</c:v>
                </c:pt>
                <c:pt idx="9">
                  <c:v>4.2417019784438219</c:v>
                </c:pt>
                <c:pt idx="10">
                  <c:v>4.1981018125844249</c:v>
                </c:pt>
                <c:pt idx="11">
                  <c:v>4.2072196112429276</c:v>
                </c:pt>
                <c:pt idx="12">
                  <c:v>3.889708083832335</c:v>
                </c:pt>
                <c:pt idx="13">
                  <c:v>2.5490511049723756</c:v>
                </c:pt>
                <c:pt idx="14">
                  <c:v>3.4687657891237857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9-4301-95D8-5AB82052570E}"/>
            </c:ext>
          </c:extLst>
        </c:ser>
        <c:ser>
          <c:idx val="1"/>
          <c:order val="1"/>
          <c:tx>
            <c:strRef>
              <c:f>BSi_results!$C$36</c:f>
              <c:strCache>
                <c:ptCount val="1"/>
                <c:pt idx="0">
                  <c:v>47_2000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(BSi_results!$T$36:$T$39,BSi_results!$V$40,BSi_results!$T$42:$T$51,BSi_results!$V$52,BSi_results!$T$54:$T$58)</c:f>
              <c:numCache>
                <c:formatCode>0.00</c:formatCode>
                <c:ptCount val="21"/>
                <c:pt idx="0">
                  <c:v>1.6202174824972513</c:v>
                </c:pt>
                <c:pt idx="1">
                  <c:v>4.0355532687258933</c:v>
                </c:pt>
                <c:pt idx="2">
                  <c:v>3.173122252162814</c:v>
                </c:pt>
                <c:pt idx="3">
                  <c:v>4.7190671992481201</c:v>
                </c:pt>
                <c:pt idx="4">
                  <c:v>5.5425373840690799</c:v>
                </c:pt>
                <c:pt idx="5">
                  <c:v>6.7522031505424298</c:v>
                </c:pt>
                <c:pt idx="6">
                  <c:v>5.6432789776817858</c:v>
                </c:pt>
                <c:pt idx="7">
                  <c:v>5.3411537441763572</c:v>
                </c:pt>
                <c:pt idx="8">
                  <c:v>5.5311882387134288</c:v>
                </c:pt>
                <c:pt idx="9">
                  <c:v>5.9981946343945811</c:v>
                </c:pt>
                <c:pt idx="10">
                  <c:v>5.369221874188522</c:v>
                </c:pt>
                <c:pt idx="11">
                  <c:v>5.1729584077233355</c:v>
                </c:pt>
                <c:pt idx="12">
                  <c:v>5.0736257992051152</c:v>
                </c:pt>
                <c:pt idx="13">
                  <c:v>5.5341526452030418</c:v>
                </c:pt>
                <c:pt idx="14">
                  <c:v>7.093779127948534</c:v>
                </c:pt>
                <c:pt idx="15">
                  <c:v>9.0522385974647506</c:v>
                </c:pt>
                <c:pt idx="16">
                  <c:v>12.526804529392866</c:v>
                </c:pt>
                <c:pt idx="17">
                  <c:v>9.9699347465570725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09-4301-95D8-5AB82052570E}"/>
            </c:ext>
          </c:extLst>
        </c:ser>
        <c:ser>
          <c:idx val="2"/>
          <c:order val="2"/>
          <c:tx>
            <c:strRef>
              <c:f>BSi_results!$C$59</c:f>
              <c:strCache>
                <c:ptCount val="1"/>
                <c:pt idx="0">
                  <c:v>47_3800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(BSi_results!$T$59:$T$67,BSi_results!$V$68,BSi_results!$T$70,BSi_results!$V$71,BSi_results!$T$73)</c:f>
              <c:numCache>
                <c:formatCode>0.00</c:formatCode>
                <c:ptCount val="13"/>
                <c:pt idx="0">
                  <c:v>4.0644737090086709</c:v>
                </c:pt>
                <c:pt idx="1">
                  <c:v>3.4585493265941376</c:v>
                </c:pt>
                <c:pt idx="2">
                  <c:v>4.6425417148172148</c:v>
                </c:pt>
                <c:pt idx="3">
                  <c:v>5.4876691351917604</c:v>
                </c:pt>
                <c:pt idx="4">
                  <c:v>4.8761123826192323</c:v>
                </c:pt>
                <c:pt idx="5">
                  <c:v>4.4863428943937418</c:v>
                </c:pt>
                <c:pt idx="6">
                  <c:v>4.5666921783010936</c:v>
                </c:pt>
                <c:pt idx="7">
                  <c:v>4.2328067591536813</c:v>
                </c:pt>
                <c:pt idx="8">
                  <c:v>4.8063167090680476</c:v>
                </c:pt>
                <c:pt idx="9">
                  <c:v>6.8094656510835989</c:v>
                </c:pt>
                <c:pt idx="10">
                  <c:v>10.657373406950796</c:v>
                </c:pt>
                <c:pt idx="11">
                  <c:v>9.0173174623934376</c:v>
                </c:pt>
                <c:pt idx="12">
                  <c:v>7.0630665910621264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09-4301-95D8-5AB82052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1601160"/>
        <c:axId val="-2141452824"/>
      </c:scatterChart>
      <c:valAx>
        <c:axId val="-2141601160"/>
        <c:scaling>
          <c:orientation val="minMax"/>
          <c:min val="424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midpoint</a:t>
                </a:r>
                <a:r>
                  <a:rPr lang="en-AU" baseline="0"/>
                  <a:t> time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52824"/>
        <c:crosses val="autoZero"/>
        <c:crossBetween val="midCat"/>
        <c:majorUnit val="75"/>
      </c:valAx>
      <c:valAx>
        <c:axId val="-214145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01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54111671270105"/>
          <c:y val="2.0971207427900401E-2"/>
          <c:w val="0.13413094880145601"/>
          <c:h val="0.20270412144427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SAZ18 %BSi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46_1000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main!$AB$7:$AB$27</c:f>
              <c:numCache>
                <c:formatCode>0.00</c:formatCode>
                <c:ptCount val="21"/>
                <c:pt idx="0">
                  <c:v>4.2735492084299702</c:v>
                </c:pt>
                <c:pt idx="1">
                  <c:v>1.2346026068987441</c:v>
                </c:pt>
                <c:pt idx="2">
                  <c:v>0.75642819466422351</c:v>
                </c:pt>
                <c:pt idx="3">
                  <c:v>1.7973557446373152</c:v>
                </c:pt>
                <c:pt idx="4">
                  <c:v>4.1786102977837167</c:v>
                </c:pt>
                <c:pt idx="5">
                  <c:v>3.4394797833128559</c:v>
                </c:pt>
                <c:pt idx="6">
                  <c:v>1.7535571260306242</c:v>
                </c:pt>
                <c:pt idx="7">
                  <c:v>4.1045175470137716</c:v>
                </c:pt>
                <c:pt idx="8">
                  <c:v>4.6360487197724041</c:v>
                </c:pt>
                <c:pt idx="9">
                  <c:v>4.2417019784438219</c:v>
                </c:pt>
                <c:pt idx="10">
                  <c:v>4.1981018125844249</c:v>
                </c:pt>
                <c:pt idx="11">
                  <c:v>4.2072196112429276</c:v>
                </c:pt>
                <c:pt idx="12">
                  <c:v>3.889708083832335</c:v>
                </c:pt>
                <c:pt idx="13">
                  <c:v>2.5490511049723756</c:v>
                </c:pt>
                <c:pt idx="14">
                  <c:v>3.4687657891237857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1-4AC4-925D-FA436A78E4A6}"/>
            </c:ext>
          </c:extLst>
        </c:ser>
        <c:ser>
          <c:idx val="1"/>
          <c:order val="1"/>
          <c:tx>
            <c:v>46_2000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main!$AB$31:$AB$51</c:f>
              <c:numCache>
                <c:formatCode>0.00</c:formatCode>
                <c:ptCount val="21"/>
                <c:pt idx="0">
                  <c:v>1.6202174824972513</c:v>
                </c:pt>
                <c:pt idx="1">
                  <c:v>4.0355532687258933</c:v>
                </c:pt>
                <c:pt idx="2">
                  <c:v>3.173122252162814</c:v>
                </c:pt>
                <c:pt idx="3">
                  <c:v>4.7190671992481201</c:v>
                </c:pt>
                <c:pt idx="4">
                  <c:v>5.5425373840690799</c:v>
                </c:pt>
                <c:pt idx="5">
                  <c:v>6.7522031505424298</c:v>
                </c:pt>
                <c:pt idx="6">
                  <c:v>5.6432789776817858</c:v>
                </c:pt>
                <c:pt idx="7">
                  <c:v>5.3411537441763572</c:v>
                </c:pt>
                <c:pt idx="8">
                  <c:v>5.5311882387134288</c:v>
                </c:pt>
                <c:pt idx="9">
                  <c:v>5.9981946343945811</c:v>
                </c:pt>
                <c:pt idx="10">
                  <c:v>5.369221874188522</c:v>
                </c:pt>
                <c:pt idx="11">
                  <c:v>5.1729584077233355</c:v>
                </c:pt>
                <c:pt idx="12">
                  <c:v>5.0736257992051152</c:v>
                </c:pt>
                <c:pt idx="13">
                  <c:v>5.5341526452030418</c:v>
                </c:pt>
                <c:pt idx="14">
                  <c:v>7.093779127948534</c:v>
                </c:pt>
                <c:pt idx="15">
                  <c:v>9.0522385974647506</c:v>
                </c:pt>
                <c:pt idx="16">
                  <c:v>12.526804529392866</c:v>
                </c:pt>
                <c:pt idx="17">
                  <c:v>9.9699347465570725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1-4AC4-925D-FA436A78E4A6}"/>
            </c:ext>
          </c:extLst>
        </c:ser>
        <c:ser>
          <c:idx val="3"/>
          <c:order val="2"/>
          <c:tx>
            <c:v>46_3800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8064A2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main!$AB$55:$AB$67</c:f>
              <c:numCache>
                <c:formatCode>0.00</c:formatCode>
                <c:ptCount val="13"/>
                <c:pt idx="0">
                  <c:v>4.0644737090086709</c:v>
                </c:pt>
                <c:pt idx="1">
                  <c:v>3.4585493265941376</c:v>
                </c:pt>
                <c:pt idx="2">
                  <c:v>4.6425417148172148</c:v>
                </c:pt>
                <c:pt idx="3">
                  <c:v>5.4876691351917604</c:v>
                </c:pt>
                <c:pt idx="4">
                  <c:v>4.8761123826192323</c:v>
                </c:pt>
                <c:pt idx="5">
                  <c:v>4.4863428943937418</c:v>
                </c:pt>
                <c:pt idx="6">
                  <c:v>4.5666921783010936</c:v>
                </c:pt>
                <c:pt idx="7">
                  <c:v>4.2328067591536813</c:v>
                </c:pt>
                <c:pt idx="8">
                  <c:v>4.8063167090680476</c:v>
                </c:pt>
                <c:pt idx="9">
                  <c:v>6.8094656510835989</c:v>
                </c:pt>
                <c:pt idx="10">
                  <c:v>10.657373406950796</c:v>
                </c:pt>
                <c:pt idx="11">
                  <c:v>9.0173174623934376</c:v>
                </c:pt>
                <c:pt idx="12">
                  <c:v>7.0630665910621264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1-4AC4-925D-FA436A78E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3501842955551095"/>
          <c:y val="0.54778677140881904"/>
          <c:w val="5.0541516245487403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47_1000 Mass flux &lt;1mm</a:t>
            </a:r>
          </a:p>
        </c:rich>
      </c:tx>
      <c:layout>
        <c:manualLayout>
          <c:xMode val="edge"/>
          <c:yMode val="edge"/>
          <c:x val="0.41842423952325097"/>
          <c:y val="2.45099996303278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67133072199E-2"/>
          <c:y val="0.10784287912913799"/>
          <c:w val="0.91463658118938296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47_1000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cat>
          <c:val>
            <c:numRef>
              <c:f>main!$I$7:$I$27</c:f>
              <c:numCache>
                <c:formatCode>0.00</c:formatCode>
                <c:ptCount val="21"/>
                <c:pt idx="0">
                  <c:v>22.781778151260507</c:v>
                </c:pt>
                <c:pt idx="1">
                  <c:v>9.1054676470588216</c:v>
                </c:pt>
                <c:pt idx="2">
                  <c:v>7.531516386554622</c:v>
                </c:pt>
                <c:pt idx="3">
                  <c:v>9.6008571428571425</c:v>
                </c:pt>
                <c:pt idx="4">
                  <c:v>14.610613865546224</c:v>
                </c:pt>
                <c:pt idx="5">
                  <c:v>2.8514054621848746</c:v>
                </c:pt>
                <c:pt idx="6">
                  <c:v>0.60711302521008403</c:v>
                </c:pt>
                <c:pt idx="7">
                  <c:v>7.7304088235294142</c:v>
                </c:pt>
                <c:pt idx="8">
                  <c:v>5.3486105042016803</c:v>
                </c:pt>
                <c:pt idx="9">
                  <c:v>2.6021760504201676</c:v>
                </c:pt>
                <c:pt idx="10">
                  <c:v>6.3314092436974789</c:v>
                </c:pt>
                <c:pt idx="11">
                  <c:v>0.76671806722689129</c:v>
                </c:pt>
                <c:pt idx="12">
                  <c:v>0.61877647058823515</c:v>
                </c:pt>
                <c:pt idx="13">
                  <c:v>1.3271773109243696</c:v>
                </c:pt>
                <c:pt idx="14">
                  <c:v>0.58746932773109251</c:v>
                </c:pt>
                <c:pt idx="15">
                  <c:v>0.30877436974789924</c:v>
                </c:pt>
                <c:pt idx="16">
                  <c:v>0.23142731092436997</c:v>
                </c:pt>
                <c:pt idx="17">
                  <c:v>0.12584243697479019</c:v>
                </c:pt>
                <c:pt idx="18">
                  <c:v>0.16451596638655505</c:v>
                </c:pt>
                <c:pt idx="19">
                  <c:v>9.514915966386539E-2</c:v>
                </c:pt>
                <c:pt idx="20">
                  <c:v>6.5683613445378167E-2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9-4C01-8928-7463C844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642024"/>
        <c:axId val="-2140860120"/>
      </c:lineChart>
      <c:dateAx>
        <c:axId val="-2142642024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168728908886399"/>
              <c:y val="0.9068603748475100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60120"/>
        <c:crosses val="autoZero"/>
        <c:auto val="0"/>
        <c:lblOffset val="100"/>
        <c:baseTimeUnit val="days"/>
      </c:dateAx>
      <c:valAx>
        <c:axId val="-2140860120"/>
        <c:scaling>
          <c:orientation val="minMax"/>
          <c:max val="7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22320801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2642024"/>
        <c:crosses val="autoZero"/>
        <c:crossBetween val="between"/>
        <c:majorUnit val="2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688842397656602"/>
          <c:y val="0.25605579594202099"/>
          <c:w val="8.6337800908092399E-2"/>
          <c:h val="8.304512300822310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verticalDpi="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47_2000 Mass flux &lt;1mm</a:t>
            </a:r>
          </a:p>
        </c:rich>
      </c:tx>
      <c:layout>
        <c:manualLayout>
          <c:xMode val="edge"/>
          <c:yMode val="edge"/>
          <c:x val="0.41842416079569"/>
          <c:y val="2.45097967405236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439536682599798E-2"/>
          <c:y val="0.11244689027131299"/>
          <c:w val="0.868384853205171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47_2000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cat>
          <c:val>
            <c:numRef>
              <c:f>main!$I$31:$I$51</c:f>
              <c:numCache>
                <c:formatCode>0.00</c:formatCode>
                <c:ptCount val="21"/>
                <c:pt idx="0">
                  <c:v>11.211026470588235</c:v>
                </c:pt>
                <c:pt idx="1">
                  <c:v>11.227600840336136</c:v>
                </c:pt>
                <c:pt idx="2">
                  <c:v>14.092511344537815</c:v>
                </c:pt>
                <c:pt idx="3">
                  <c:v>16.929797899159666</c:v>
                </c:pt>
                <c:pt idx="4">
                  <c:v>22.99847268907563</c:v>
                </c:pt>
                <c:pt idx="5">
                  <c:v>16.554726050420168</c:v>
                </c:pt>
                <c:pt idx="6">
                  <c:v>11.444295378151258</c:v>
                </c:pt>
                <c:pt idx="7">
                  <c:v>15.232459663865548</c:v>
                </c:pt>
                <c:pt idx="8">
                  <c:v>10.231297058823532</c:v>
                </c:pt>
                <c:pt idx="9">
                  <c:v>14.953150840336132</c:v>
                </c:pt>
                <c:pt idx="10">
                  <c:v>13.28036722689076</c:v>
                </c:pt>
                <c:pt idx="11">
                  <c:v>15.640066386554622</c:v>
                </c:pt>
                <c:pt idx="12">
                  <c:v>22.257536974789918</c:v>
                </c:pt>
                <c:pt idx="13">
                  <c:v>31.147537815126057</c:v>
                </c:pt>
                <c:pt idx="14">
                  <c:v>52.022649579831935</c:v>
                </c:pt>
                <c:pt idx="15">
                  <c:v>58.678179831932766</c:v>
                </c:pt>
                <c:pt idx="16">
                  <c:v>68.067867226890755</c:v>
                </c:pt>
                <c:pt idx="17">
                  <c:v>30.66688109243697</c:v>
                </c:pt>
                <c:pt idx="18">
                  <c:v>0.27992268907563045</c:v>
                </c:pt>
                <c:pt idx="19">
                  <c:v>9.6376890756302555E-2</c:v>
                </c:pt>
                <c:pt idx="20">
                  <c:v>6.5069747899159813E-2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F-4DA2-9809-55B8324C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42024"/>
        <c:axId val="-2140838376"/>
      </c:lineChart>
      <c:dateAx>
        <c:axId val="-2140842024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7835759428097802"/>
              <c:y val="0.90686064823292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38376"/>
        <c:crosses val="autoZero"/>
        <c:auto val="0"/>
        <c:lblOffset val="100"/>
        <c:baseTimeUnit val="days"/>
      </c:dateAx>
      <c:valAx>
        <c:axId val="-2140838376"/>
        <c:scaling>
          <c:orientation val="minMax"/>
          <c:max val="9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348736013301E-2"/>
              <c:y val="0.15686247939937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42024"/>
        <c:crosses val="autoZero"/>
        <c:crossBetween val="between"/>
        <c:majorUnit val="25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47_3800 Mass flux &lt;1mm</a:t>
            </a:r>
          </a:p>
        </c:rich>
      </c:tx>
      <c:layout>
        <c:manualLayout>
          <c:xMode val="edge"/>
          <c:yMode val="edge"/>
          <c:x val="0.41842423952325097"/>
          <c:y val="2.450952976672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574697882016105E-2"/>
          <c:y val="0.10784275127373801"/>
          <c:w val="0.91342530211798401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47_3800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cat>
          <c:val>
            <c:numRef>
              <c:f>main!$I$55:$I$67</c:f>
              <c:numCache>
                <c:formatCode>0.00</c:formatCode>
                <c:ptCount val="13"/>
                <c:pt idx="0">
                  <c:v>12.210172222222225</c:v>
                </c:pt>
                <c:pt idx="1">
                  <c:v>15.002692063492063</c:v>
                </c:pt>
                <c:pt idx="2">
                  <c:v>19.213309523809524</c:v>
                </c:pt>
                <c:pt idx="3">
                  <c:v>17.36928015873016</c:v>
                </c:pt>
                <c:pt idx="4">
                  <c:v>14.624300793650791</c:v>
                </c:pt>
                <c:pt idx="5">
                  <c:v>11.812069047619048</c:v>
                </c:pt>
                <c:pt idx="6">
                  <c:v>11.674858730158727</c:v>
                </c:pt>
                <c:pt idx="7">
                  <c:v>13.326407142857143</c:v>
                </c:pt>
                <c:pt idx="8">
                  <c:v>15.194786507936509</c:v>
                </c:pt>
                <c:pt idx="9">
                  <c:v>40.969841269841268</c:v>
                </c:pt>
                <c:pt idx="10">
                  <c:v>46.654213492063491</c:v>
                </c:pt>
                <c:pt idx="11">
                  <c:v>37.232696031746023</c:v>
                </c:pt>
                <c:pt idx="12">
                  <c:v>25.170942857142855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0-4B23-88E0-EA31DB3E1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24520"/>
        <c:axId val="-2140821224"/>
      </c:lineChart>
      <c:dateAx>
        <c:axId val="-2140824520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057745973242699"/>
              <c:y val="0.90686032820663698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21224"/>
        <c:crosses val="autoZero"/>
        <c:auto val="0"/>
        <c:lblOffset val="100"/>
        <c:baseTimeUnit val="days"/>
      </c:dateAx>
      <c:valAx>
        <c:axId val="-2140821224"/>
        <c:scaling>
          <c:orientation val="minMax"/>
          <c:max val="9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5358746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24520"/>
        <c:crosses val="autoZero"/>
        <c:crossBetween val="between"/>
        <c:majorUnit val="2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214458876183604"/>
          <c:y val="0.25951600940069702"/>
          <c:w val="8.6337800908092399E-2"/>
          <c:h val="8.304512300822310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47S Mass flux &lt;1mm</a:t>
            </a:r>
          </a:p>
        </c:rich>
      </c:tx>
      <c:layout>
        <c:manualLayout>
          <c:xMode val="edge"/>
          <c:yMode val="edge"/>
          <c:x val="0.43285269128593001"/>
          <c:y val="2.45094951366373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67133072199E-2"/>
          <c:y val="0.10784287912913799"/>
          <c:w val="0.88901269044198405"/>
          <c:h val="0.691174816236749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main!$B$7</c:f>
              <c:strCache>
                <c:ptCount val="1"/>
                <c:pt idx="0">
                  <c:v>47_1000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main!$I$7:$I$27</c:f>
              <c:numCache>
                <c:formatCode>0.00</c:formatCode>
                <c:ptCount val="21"/>
                <c:pt idx="0">
                  <c:v>22.781778151260507</c:v>
                </c:pt>
                <c:pt idx="1">
                  <c:v>9.1054676470588216</c:v>
                </c:pt>
                <c:pt idx="2">
                  <c:v>7.531516386554622</c:v>
                </c:pt>
                <c:pt idx="3">
                  <c:v>9.6008571428571425</c:v>
                </c:pt>
                <c:pt idx="4">
                  <c:v>14.610613865546224</c:v>
                </c:pt>
                <c:pt idx="5">
                  <c:v>2.8514054621848746</c:v>
                </c:pt>
                <c:pt idx="6">
                  <c:v>0.60711302521008403</c:v>
                </c:pt>
                <c:pt idx="7">
                  <c:v>7.7304088235294142</c:v>
                </c:pt>
                <c:pt idx="8">
                  <c:v>5.3486105042016803</c:v>
                </c:pt>
                <c:pt idx="9">
                  <c:v>2.6021760504201676</c:v>
                </c:pt>
                <c:pt idx="10">
                  <c:v>6.3314092436974789</c:v>
                </c:pt>
                <c:pt idx="11">
                  <c:v>0.76671806722689129</c:v>
                </c:pt>
                <c:pt idx="12">
                  <c:v>0.61877647058823515</c:v>
                </c:pt>
                <c:pt idx="13">
                  <c:v>1.3271773109243696</c:v>
                </c:pt>
                <c:pt idx="14">
                  <c:v>0.58746932773109251</c:v>
                </c:pt>
                <c:pt idx="15">
                  <c:v>0.30877436974789924</c:v>
                </c:pt>
                <c:pt idx="16">
                  <c:v>0.23142731092436997</c:v>
                </c:pt>
                <c:pt idx="17">
                  <c:v>0.12584243697479019</c:v>
                </c:pt>
                <c:pt idx="18">
                  <c:v>0.16451596638655505</c:v>
                </c:pt>
                <c:pt idx="19">
                  <c:v>9.514915966386539E-2</c:v>
                </c:pt>
                <c:pt idx="20">
                  <c:v>6.5683613445378167E-2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DE-421F-AF91-7D9DC5EA84E3}"/>
            </c:ext>
          </c:extLst>
        </c:ser>
        <c:ser>
          <c:idx val="1"/>
          <c:order val="1"/>
          <c:tx>
            <c:strRef>
              <c:f>main!$B$31</c:f>
              <c:strCache>
                <c:ptCount val="1"/>
                <c:pt idx="0">
                  <c:v>47_2000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main!$I$31:$I$51</c:f>
              <c:numCache>
                <c:formatCode>0.00</c:formatCode>
                <c:ptCount val="21"/>
                <c:pt idx="0">
                  <c:v>11.211026470588235</c:v>
                </c:pt>
                <c:pt idx="1">
                  <c:v>11.227600840336136</c:v>
                </c:pt>
                <c:pt idx="2">
                  <c:v>14.092511344537815</c:v>
                </c:pt>
                <c:pt idx="3">
                  <c:v>16.929797899159666</c:v>
                </c:pt>
                <c:pt idx="4">
                  <c:v>22.99847268907563</c:v>
                </c:pt>
                <c:pt idx="5">
                  <c:v>16.554726050420168</c:v>
                </c:pt>
                <c:pt idx="6">
                  <c:v>11.444295378151258</c:v>
                </c:pt>
                <c:pt idx="7">
                  <c:v>15.232459663865548</c:v>
                </c:pt>
                <c:pt idx="8">
                  <c:v>10.231297058823532</c:v>
                </c:pt>
                <c:pt idx="9">
                  <c:v>14.953150840336132</c:v>
                </c:pt>
                <c:pt idx="10">
                  <c:v>13.28036722689076</c:v>
                </c:pt>
                <c:pt idx="11">
                  <c:v>15.640066386554622</c:v>
                </c:pt>
                <c:pt idx="12">
                  <c:v>22.257536974789918</c:v>
                </c:pt>
                <c:pt idx="13">
                  <c:v>31.147537815126057</c:v>
                </c:pt>
                <c:pt idx="14">
                  <c:v>52.022649579831935</c:v>
                </c:pt>
                <c:pt idx="15">
                  <c:v>58.678179831932766</c:v>
                </c:pt>
                <c:pt idx="16">
                  <c:v>68.067867226890755</c:v>
                </c:pt>
                <c:pt idx="17">
                  <c:v>30.66688109243697</c:v>
                </c:pt>
                <c:pt idx="18">
                  <c:v>0.27992268907563045</c:v>
                </c:pt>
                <c:pt idx="19">
                  <c:v>9.6376890756302555E-2</c:v>
                </c:pt>
                <c:pt idx="20">
                  <c:v>6.5069747899159813E-2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DE-421F-AF91-7D9DC5EA84E3}"/>
            </c:ext>
          </c:extLst>
        </c:ser>
        <c:ser>
          <c:idx val="2"/>
          <c:order val="2"/>
          <c:tx>
            <c:strRef>
              <c:f>main!$B$55</c:f>
              <c:strCache>
                <c:ptCount val="1"/>
                <c:pt idx="0">
                  <c:v>47_3800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main!$I$55:$I$67</c:f>
              <c:numCache>
                <c:formatCode>0.00</c:formatCode>
                <c:ptCount val="13"/>
                <c:pt idx="0">
                  <c:v>12.210172222222225</c:v>
                </c:pt>
                <c:pt idx="1">
                  <c:v>15.002692063492063</c:v>
                </c:pt>
                <c:pt idx="2">
                  <c:v>19.213309523809524</c:v>
                </c:pt>
                <c:pt idx="3">
                  <c:v>17.36928015873016</c:v>
                </c:pt>
                <c:pt idx="4">
                  <c:v>14.624300793650791</c:v>
                </c:pt>
                <c:pt idx="5">
                  <c:v>11.812069047619048</c:v>
                </c:pt>
                <c:pt idx="6">
                  <c:v>11.674858730158727</c:v>
                </c:pt>
                <c:pt idx="7">
                  <c:v>13.326407142857143</c:v>
                </c:pt>
                <c:pt idx="8">
                  <c:v>15.194786507936509</c:v>
                </c:pt>
                <c:pt idx="9">
                  <c:v>40.969841269841268</c:v>
                </c:pt>
                <c:pt idx="10">
                  <c:v>46.654213492063491</c:v>
                </c:pt>
                <c:pt idx="11">
                  <c:v>37.232696031746023</c:v>
                </c:pt>
                <c:pt idx="12">
                  <c:v>25.170942857142855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7-4138-B627-394F26C6F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785640"/>
        <c:axId val="-2140779000"/>
      </c:scatterChart>
      <c:valAx>
        <c:axId val="-21407856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168728908886399"/>
              <c:y val="0.90686058360351995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779000"/>
        <c:crosses val="autoZero"/>
        <c:crossBetween val="midCat"/>
      </c:valAx>
      <c:valAx>
        <c:axId val="-2140779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6215840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7856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389033865146302"/>
          <c:y val="0.16263003255777"/>
          <c:w val="6.4174514950337103E-2"/>
          <c:h val="0.227420318945604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Footer>&amp;L&amp;F, &amp;A</c:oddFooter>
    </c:headerFooter>
    <c:pageMargins b="0.71" l="0.75" r="0.75" t="0.56000000000000005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47_1000 POC/PN Mol/mol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262901543299"/>
          <c:y val="0.159321305841924"/>
          <c:w val="0.86757620643954203"/>
          <c:h val="0.564032186054063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main!$AM$1:$AM$2</c:f>
              <c:strCache>
                <c:ptCount val="2"/>
                <c:pt idx="0">
                  <c:v>POC/PN</c:v>
                </c:pt>
                <c:pt idx="1">
                  <c:v>Mol/mol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7-4B44-91F8-6AF7369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741288"/>
        <c:axId val="-2140732056"/>
      </c:scatterChart>
      <c:valAx>
        <c:axId val="-2140741288"/>
        <c:scaling>
          <c:orientation val="minMax"/>
          <c:max val="42804"/>
          <c:min val="424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4143584774675398"/>
              <c:y val="0.896026463186947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32056"/>
        <c:crosses val="autoZero"/>
        <c:crossBetween val="midCat"/>
        <c:majorUnit val="30"/>
      </c:valAx>
      <c:valAx>
        <c:axId val="-214073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mol / mol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41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47_2000 POC/PN Mol/mol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262901543299"/>
          <c:y val="0.159321305841924"/>
          <c:w val="0.86757620643954203"/>
          <c:h val="0.564032186054063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main!$AM$1:$AM$2</c:f>
              <c:strCache>
                <c:ptCount val="2"/>
                <c:pt idx="0">
                  <c:v>POC/PN</c:v>
                </c:pt>
                <c:pt idx="1">
                  <c:v>Mol/mol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F-41BB-9854-B40C6E65E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696696"/>
        <c:axId val="-2140687512"/>
      </c:scatterChart>
      <c:valAx>
        <c:axId val="-2140696696"/>
        <c:scaling>
          <c:orientation val="minMax"/>
          <c:max val="42804"/>
          <c:min val="424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4143584774675398"/>
              <c:y val="0.896026463186947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87512"/>
        <c:crosses val="autoZero"/>
        <c:crossBetween val="midCat"/>
        <c:majorUnit val="30"/>
      </c:valAx>
      <c:valAx>
        <c:axId val="-214068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mol / mol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9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SAZ18 %PIC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47_1000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main!$AG$7:$AG$27</c:f>
              <c:numCache>
                <c:formatCode>General</c:formatCode>
                <c:ptCount val="21"/>
                <c:pt idx="0">
                  <c:v>6.1941570379529267</c:v>
                </c:pt>
                <c:pt idx="1">
                  <c:v>7.5000942600435305</c:v>
                </c:pt>
                <c:pt idx="2">
                  <c:v>10.193225049195879</c:v>
                </c:pt>
                <c:pt idx="3">
                  <c:v>9.378420028747156</c:v>
                </c:pt>
                <c:pt idx="4">
                  <c:v>8.1093543227727896</c:v>
                </c:pt>
                <c:pt idx="5">
                  <c:v>7.1332930202666169</c:v>
                </c:pt>
                <c:pt idx="6">
                  <c:v>0</c:v>
                </c:pt>
                <c:pt idx="7">
                  <c:v>7.3929898723190055</c:v>
                </c:pt>
                <c:pt idx="8">
                  <c:v>7.34526567819929</c:v>
                </c:pt>
                <c:pt idx="9">
                  <c:v>6.9833866957133459</c:v>
                </c:pt>
                <c:pt idx="10">
                  <c:v>7.1410073976288295</c:v>
                </c:pt>
                <c:pt idx="11">
                  <c:v>7.7436021043894101</c:v>
                </c:pt>
                <c:pt idx="12">
                  <c:v>0</c:v>
                </c:pt>
                <c:pt idx="13">
                  <c:v>4.714252073838531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D-43DC-A609-404431BACB49}"/>
            </c:ext>
          </c:extLst>
        </c:ser>
        <c:ser>
          <c:idx val="1"/>
          <c:order val="1"/>
          <c:tx>
            <c:v>47_2000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main!$AG$31:$AG$51</c:f>
              <c:numCache>
                <c:formatCode>General</c:formatCode>
                <c:ptCount val="21"/>
                <c:pt idx="0">
                  <c:v>8.0919200758577201</c:v>
                </c:pt>
                <c:pt idx="1">
                  <c:v>8.9434565178595324</c:v>
                </c:pt>
                <c:pt idx="2">
                  <c:v>9.0760108448170431</c:v>
                </c:pt>
                <c:pt idx="3">
                  <c:v>9.2952513578105922</c:v>
                </c:pt>
                <c:pt idx="4">
                  <c:v>8.7136191687505224</c:v>
                </c:pt>
                <c:pt idx="5">
                  <c:v>8.05525789408828</c:v>
                </c:pt>
                <c:pt idx="6">
                  <c:v>7.9817066942475448</c:v>
                </c:pt>
                <c:pt idx="7">
                  <c:v>7.6774270862199625</c:v>
                </c:pt>
                <c:pt idx="8">
                  <c:v>7.951819209748237</c:v>
                </c:pt>
                <c:pt idx="9">
                  <c:v>7.6436647163790772</c:v>
                </c:pt>
                <c:pt idx="10">
                  <c:v>7.2441736088154505</c:v>
                </c:pt>
                <c:pt idx="11">
                  <c:v>8.1032905168320433</c:v>
                </c:pt>
                <c:pt idx="12">
                  <c:v>8.4359890983656207</c:v>
                </c:pt>
                <c:pt idx="13">
                  <c:v>8.1537260120753849</c:v>
                </c:pt>
                <c:pt idx="14">
                  <c:v>8.1113236279480319</c:v>
                </c:pt>
                <c:pt idx="15">
                  <c:v>7.5628171173307823</c:v>
                </c:pt>
                <c:pt idx="16">
                  <c:v>6.0232474713156234</c:v>
                </c:pt>
                <c:pt idx="17">
                  <c:v>5.1768731315022984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D-43DC-A609-404431BACB49}"/>
            </c:ext>
          </c:extLst>
        </c:ser>
        <c:ser>
          <c:idx val="3"/>
          <c:order val="2"/>
          <c:tx>
            <c:v>47_3800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8064A2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main!$AG$55:$AG$67</c:f>
              <c:numCache>
                <c:formatCode>General</c:formatCode>
                <c:ptCount val="13"/>
                <c:pt idx="0">
                  <c:v>8.845477884671423</c:v>
                </c:pt>
                <c:pt idx="1">
                  <c:v>9.3467898441847179</c:v>
                </c:pt>
                <c:pt idx="2">
                  <c:v>9.1712445836116814</c:v>
                </c:pt>
                <c:pt idx="3">
                  <c:v>8.5810815138472858</c:v>
                </c:pt>
                <c:pt idx="4">
                  <c:v>8.603062804858272</c:v>
                </c:pt>
                <c:pt idx="5">
                  <c:v>8.1325960704875779</c:v>
                </c:pt>
                <c:pt idx="6">
                  <c:v>8.5355567693643621</c:v>
                </c:pt>
                <c:pt idx="7">
                  <c:v>8.7531906917375544</c:v>
                </c:pt>
                <c:pt idx="8">
                  <c:v>8.4572202106069891</c:v>
                </c:pt>
                <c:pt idx="9">
                  <c:v>8.1666329963192883</c:v>
                </c:pt>
                <c:pt idx="10">
                  <c:v>6.508312582459685</c:v>
                </c:pt>
                <c:pt idx="11">
                  <c:v>6.4481400191060469</c:v>
                </c:pt>
                <c:pt idx="12">
                  <c:v>7.5706086904097711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D-43DC-A609-404431BAC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3501842955551095"/>
          <c:y val="0.54778677140881904"/>
          <c:w val="5.0541516245487403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19556484010895E-2"/>
          <c:y val="2.4242424242424201E-2"/>
          <c:w val="0.87720700626707404"/>
          <c:h val="0.90980486757337198"/>
        </c:manualLayout>
      </c:layout>
      <c:scatterChart>
        <c:scatterStyle val="lineMarker"/>
        <c:varyColors val="0"/>
        <c:ser>
          <c:idx val="0"/>
          <c:order val="0"/>
          <c:tx>
            <c:v>1000m</c:v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</c:spPr>
          </c:marker>
          <c:dLbls>
            <c:dLbl>
              <c:idx val="14"/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fld id="{F0805B1C-05A8-4AF5-87C1-2AFB4DF79665}" type="YVALUE">
                      <a:rPr lang="en-US"/>
                      <a:pPr>
                        <a:defRPr/>
                      </a:pPr>
                      <a:t>[Y VALUE]</a:t>
                    </a:fld>
                    <a:r>
                      <a:rPr lang="en-US"/>
                      <a:t> re-ran this sample 2018, results similar</a:t>
                    </a:r>
                    <a:r>
                      <a:rPr lang="en-US" baseline="0"/>
                      <a:t> (see left)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170-4C36-ACF6-A0BDDC6080E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CHN!$AJ$12:$AJ$27</c:f>
              <c:numCache>
                <c:formatCode>0.00</c:formatCode>
                <c:ptCount val="16"/>
                <c:pt idx="0">
                  <c:v>1.8958081007003784</c:v>
                </c:pt>
                <c:pt idx="1">
                  <c:v>1.5006539821624756</c:v>
                </c:pt>
                <c:pt idx="2">
                  <c:v>0.76707053184509277</c:v>
                </c:pt>
                <c:pt idx="3">
                  <c:v>1.3400105237960815</c:v>
                </c:pt>
                <c:pt idx="4">
                  <c:v>1.246174693107605</c:v>
                </c:pt>
                <c:pt idx="5">
                  <c:v>1.2516299486160278</c:v>
                </c:pt>
                <c:pt idx="6">
                  <c:v>1.9629404544830322</c:v>
                </c:pt>
                <c:pt idx="7">
                  <c:v>1.2208572626113892</c:v>
                </c:pt>
                <c:pt idx="8">
                  <c:v>1.3967040777206421</c:v>
                </c:pt>
                <c:pt idx="9">
                  <c:v>1.340276837348938</c:v>
                </c:pt>
                <c:pt idx="10">
                  <c:v>1.5248348712921143</c:v>
                </c:pt>
                <c:pt idx="11">
                  <c:v>1.5179711580276489</c:v>
                </c:pt>
                <c:pt idx="12">
                  <c:v>1.2897419929504395</c:v>
                </c:pt>
                <c:pt idx="13">
                  <c:v>1.5639532804489136</c:v>
                </c:pt>
                <c:pt idx="14">
                  <c:v>0.79616892337799072</c:v>
                </c:pt>
                <c:pt idx="15">
                  <c:v>1.1134974956512451</c:v>
                </c:pt>
              </c:numCache>
            </c:numRef>
          </c:xVal>
          <c:yVal>
            <c:numRef>
              <c:f>CHN!$AK$12:$AK$27</c:f>
              <c:numCache>
                <c:formatCode>0.00</c:formatCode>
                <c:ptCount val="16"/>
                <c:pt idx="0">
                  <c:v>17.179433822631836</c:v>
                </c:pt>
                <c:pt idx="1">
                  <c:v>18.903266906738281</c:v>
                </c:pt>
                <c:pt idx="2">
                  <c:v>15.506331443786621</c:v>
                </c:pt>
                <c:pt idx="3">
                  <c:v>15.687155723571777</c:v>
                </c:pt>
                <c:pt idx="4">
                  <c:v>15.687994003295898</c:v>
                </c:pt>
                <c:pt idx="5">
                  <c:v>15.725634574890137</c:v>
                </c:pt>
                <c:pt idx="6">
                  <c:v>17.796354293823242</c:v>
                </c:pt>
                <c:pt idx="7">
                  <c:v>16.213146209716797</c:v>
                </c:pt>
                <c:pt idx="8">
                  <c:v>16.828649520874023</c:v>
                </c:pt>
                <c:pt idx="9">
                  <c:v>16.612297058105469</c:v>
                </c:pt>
                <c:pt idx="10">
                  <c:v>17.559654235839844</c:v>
                </c:pt>
                <c:pt idx="11">
                  <c:v>17.148048400878906</c:v>
                </c:pt>
                <c:pt idx="12">
                  <c:v>15.905805587768555</c:v>
                </c:pt>
                <c:pt idx="13">
                  <c:v>16.917732238769531</c:v>
                </c:pt>
                <c:pt idx="14">
                  <c:v>10.444699287414551</c:v>
                </c:pt>
                <c:pt idx="15">
                  <c:v>14.620884895324707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1-43E0-81A8-4E3ABA985E28}"/>
            </c:ext>
          </c:extLst>
        </c:ser>
        <c:ser>
          <c:idx val="1"/>
          <c:order val="1"/>
          <c:tx>
            <c:v>2000m</c:v>
          </c:tx>
          <c:spPr>
            <a:ln w="47625">
              <a:noFill/>
            </a:ln>
          </c:spPr>
          <c:marker>
            <c:spPr>
              <a:noFill/>
            </c:spPr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CHN!$AJ$30:$AJ$49</c:f>
              <c:numCache>
                <c:formatCode>0.00</c:formatCode>
                <c:ptCount val="20"/>
                <c:pt idx="0">
                  <c:v>1.0680783987045288</c:v>
                </c:pt>
                <c:pt idx="1">
                  <c:v>0.59522348642349243</c:v>
                </c:pt>
                <c:pt idx="2">
                  <c:v>0.58427214622497559</c:v>
                </c:pt>
                <c:pt idx="3">
                  <c:v>0.59569233655929565</c:v>
                </c:pt>
                <c:pt idx="4">
                  <c:v>0.72053265571594238</c:v>
                </c:pt>
                <c:pt idx="5">
                  <c:v>0.7311137318611145</c:v>
                </c:pt>
                <c:pt idx="6">
                  <c:v>1.0817877054214478</c:v>
                </c:pt>
                <c:pt idx="7">
                  <c:v>0.84581220149993896</c:v>
                </c:pt>
                <c:pt idx="8">
                  <c:v>0.97243547439575195</c:v>
                </c:pt>
                <c:pt idx="9">
                  <c:v>1.2336673736572266</c:v>
                </c:pt>
                <c:pt idx="10">
                  <c:v>0.87225109338760376</c:v>
                </c:pt>
                <c:pt idx="11">
                  <c:v>0.72510433197021484</c:v>
                </c:pt>
                <c:pt idx="12">
                  <c:v>0.72930639982223511</c:v>
                </c:pt>
                <c:pt idx="13">
                  <c:v>0.6531527042388916</c:v>
                </c:pt>
                <c:pt idx="14">
                  <c:v>0.64945542812347412</c:v>
                </c:pt>
                <c:pt idx="15">
                  <c:v>0.6686515212059021</c:v>
                </c:pt>
                <c:pt idx="16">
                  <c:v>0.86473464965820313</c:v>
                </c:pt>
                <c:pt idx="17">
                  <c:v>1.5863571166992188</c:v>
                </c:pt>
                <c:pt idx="18">
                  <c:v>0.60060226917266846</c:v>
                </c:pt>
                <c:pt idx="19">
                  <c:v>0.52493429183959961</c:v>
                </c:pt>
              </c:numCache>
            </c:numRef>
          </c:xVal>
          <c:yVal>
            <c:numRef>
              <c:f>CHN!$AK$30:$AK$49</c:f>
              <c:numCache>
                <c:formatCode>0.00</c:formatCode>
                <c:ptCount val="20"/>
                <c:pt idx="0">
                  <c:v>14.735773086547852</c:v>
                </c:pt>
                <c:pt idx="1">
                  <c:v>13.06618595123291</c:v>
                </c:pt>
                <c:pt idx="2">
                  <c:v>12.677654266357422</c:v>
                </c:pt>
                <c:pt idx="3">
                  <c:v>12.597004890441895</c:v>
                </c:pt>
                <c:pt idx="4">
                  <c:v>12.680932998657227</c:v>
                </c:pt>
                <c:pt idx="5">
                  <c:v>13.081178665161133</c:v>
                </c:pt>
                <c:pt idx="6">
                  <c:v>14.204557418823242</c:v>
                </c:pt>
                <c:pt idx="7">
                  <c:v>13.625788688659668</c:v>
                </c:pt>
                <c:pt idx="8">
                  <c:v>14.010750770568848</c:v>
                </c:pt>
                <c:pt idx="9">
                  <c:v>14.762297630310059</c:v>
                </c:pt>
                <c:pt idx="10">
                  <c:v>13.743739128112793</c:v>
                </c:pt>
                <c:pt idx="11">
                  <c:v>13.271342277526855</c:v>
                </c:pt>
                <c:pt idx="12">
                  <c:v>13.242328643798828</c:v>
                </c:pt>
                <c:pt idx="13">
                  <c:v>12.697575569152832</c:v>
                </c:pt>
                <c:pt idx="14">
                  <c:v>12.235356330871582</c:v>
                </c:pt>
                <c:pt idx="15">
                  <c:v>12.274404525756836</c:v>
                </c:pt>
                <c:pt idx="16">
                  <c:v>12.420710563659668</c:v>
                </c:pt>
                <c:pt idx="17">
                  <c:v>16.616935729980469</c:v>
                </c:pt>
                <c:pt idx="18">
                  <c:v>12.980376243591309</c:v>
                </c:pt>
                <c:pt idx="19">
                  <c:v>13.032732009887695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31-43E0-81A8-4E3ABA985E28}"/>
            </c:ext>
          </c:extLst>
        </c:ser>
        <c:ser>
          <c:idx val="2"/>
          <c:order val="2"/>
          <c:tx>
            <c:v>3800m</c:v>
          </c:tx>
          <c:spPr>
            <a:ln w="47625">
              <a:noFill/>
            </a:ln>
          </c:spPr>
          <c:marker>
            <c:spPr>
              <a:noFill/>
            </c:spPr>
          </c:marke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CHN!$AJ$48:$AJ$62</c:f>
              <c:numCache>
                <c:formatCode>0.00</c:formatCode>
                <c:ptCount val="15"/>
                <c:pt idx="0">
                  <c:v>0.60060226917266846</c:v>
                </c:pt>
                <c:pt idx="1">
                  <c:v>0.52493429183959961</c:v>
                </c:pt>
                <c:pt idx="2">
                  <c:v>0.49015811085700989</c:v>
                </c:pt>
                <c:pt idx="3">
                  <c:v>0.61628139019012451</c:v>
                </c:pt>
                <c:pt idx="4">
                  <c:v>0.67587047815322876</c:v>
                </c:pt>
                <c:pt idx="5">
                  <c:v>0.96280694007873535</c:v>
                </c:pt>
                <c:pt idx="6">
                  <c:v>0.65928089618682861</c:v>
                </c:pt>
                <c:pt idx="7">
                  <c:v>0.61065512895584106</c:v>
                </c:pt>
                <c:pt idx="8">
                  <c:v>0.65892082452774048</c:v>
                </c:pt>
                <c:pt idx="9">
                  <c:v>0.56372594833374023</c:v>
                </c:pt>
                <c:pt idx="10">
                  <c:v>0.5700376033782959</c:v>
                </c:pt>
                <c:pt idx="11">
                  <c:v>0.88784945011138916</c:v>
                </c:pt>
                <c:pt idx="12">
                  <c:v>1.0242087841033936</c:v>
                </c:pt>
                <c:pt idx="13">
                  <c:v>1.0313628911972046</c:v>
                </c:pt>
                <c:pt idx="14">
                  <c:v>0.83917605876922607</c:v>
                </c:pt>
              </c:numCache>
            </c:numRef>
          </c:xVal>
          <c:yVal>
            <c:numRef>
              <c:f>CHN!$AK$48:$AK$62</c:f>
              <c:numCache>
                <c:formatCode>0.00</c:formatCode>
                <c:ptCount val="15"/>
                <c:pt idx="0">
                  <c:v>12.980376243591309</c:v>
                </c:pt>
                <c:pt idx="1">
                  <c:v>13.032732009887695</c:v>
                </c:pt>
                <c:pt idx="2">
                  <c:v>12.301823616027832</c:v>
                </c:pt>
                <c:pt idx="3">
                  <c:v>12.628866195678711</c:v>
                </c:pt>
                <c:pt idx="4">
                  <c:v>13.008883476257324</c:v>
                </c:pt>
                <c:pt idx="5">
                  <c:v>14.258779525756836</c:v>
                </c:pt>
                <c:pt idx="6">
                  <c:v>13.006121635437012</c:v>
                </c:pt>
                <c:pt idx="7">
                  <c:v>13.050162315368652</c:v>
                </c:pt>
                <c:pt idx="8">
                  <c:v>13.106785774230957</c:v>
                </c:pt>
                <c:pt idx="9">
                  <c:v>12.306897163391113</c:v>
                </c:pt>
                <c:pt idx="10">
                  <c:v>12.26313304901123</c:v>
                </c:pt>
                <c:pt idx="11">
                  <c:v>12.907769203186035</c:v>
                </c:pt>
                <c:pt idx="12">
                  <c:v>13.801863670349121</c:v>
                </c:pt>
                <c:pt idx="13">
                  <c:v>13.84058952331543</c:v>
                </c:pt>
                <c:pt idx="14">
                  <c:v>13.673782348632813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31-43E0-81A8-4E3ABA985E28}"/>
            </c:ext>
          </c:extLst>
        </c:ser>
        <c:ser>
          <c:idx val="3"/>
          <c:order val="3"/>
          <c:tx>
            <c:v>PACS-2</c:v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</c:spPr>
          </c:marker>
          <c:xVal>
            <c:numRef>
              <c:f>CHN!$AJ$63:$AJ$65</c:f>
              <c:numCache>
                <c:formatCode>0.00</c:formatCode>
                <c:ptCount val="3"/>
                <c:pt idx="0">
                  <c:v>0.26687914133071899</c:v>
                </c:pt>
                <c:pt idx="1">
                  <c:v>0.25823551416397095</c:v>
                </c:pt>
                <c:pt idx="2">
                  <c:v>0.24366627633571625</c:v>
                </c:pt>
              </c:numCache>
            </c:numRef>
          </c:xVal>
          <c:yVal>
            <c:numRef>
              <c:f>CHN!$AK$63:$AK$65</c:f>
              <c:numCache>
                <c:formatCode>0.00</c:formatCode>
                <c:ptCount val="3"/>
                <c:pt idx="0">
                  <c:v>3.1761651039123535</c:v>
                </c:pt>
                <c:pt idx="1">
                  <c:v>3.2470822334289551</c:v>
                </c:pt>
                <c:pt idx="2">
                  <c:v>3.0546546936035099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31-43E0-81A8-4E3ABA985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34600"/>
        <c:axId val="-2144106504"/>
      </c:scatterChart>
      <c:valAx>
        <c:axId val="2045734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%N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-2144106504"/>
        <c:crosses val="autoZero"/>
        <c:crossBetween val="midCat"/>
      </c:valAx>
      <c:valAx>
        <c:axId val="-2144106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%C</a:t>
                </a:r>
              </a:p>
            </c:rich>
          </c:tx>
          <c:layout>
            <c:manualLayout>
              <c:xMode val="edge"/>
              <c:yMode val="edge"/>
              <c:x val="0"/>
              <c:y val="0.4103766642806009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045734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783806915439904"/>
          <c:y val="0.304478948395913"/>
          <c:w val="0.135640191715166"/>
          <c:h val="0.285256849092211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%C</c:v>
          </c:tx>
          <c:spPr>
            <a:ln w="12700"/>
          </c:spPr>
          <c:marker>
            <c:spPr>
              <a:noFill/>
            </c:spPr>
          </c:marker>
          <c:cat>
            <c:strRef>
              <c:f>CHN!$AN$12:$AN$65</c:f>
              <c:strCache>
                <c:ptCount val="54"/>
                <c:pt idx="0">
                  <c:v>47_1000</c:v>
                </c:pt>
                <c:pt idx="1">
                  <c:v>47_1000</c:v>
                </c:pt>
                <c:pt idx="2">
                  <c:v>47_1000</c:v>
                </c:pt>
                <c:pt idx="3">
                  <c:v>47_1000</c:v>
                </c:pt>
                <c:pt idx="4">
                  <c:v>47_1000</c:v>
                </c:pt>
                <c:pt idx="5">
                  <c:v>47_1000</c:v>
                </c:pt>
                <c:pt idx="6">
                  <c:v>47_1000</c:v>
                </c:pt>
                <c:pt idx="7">
                  <c:v>47_1000</c:v>
                </c:pt>
                <c:pt idx="8">
                  <c:v>47_1000</c:v>
                </c:pt>
                <c:pt idx="9">
                  <c:v>47_1000</c:v>
                </c:pt>
                <c:pt idx="10">
                  <c:v>47_1000</c:v>
                </c:pt>
                <c:pt idx="11">
                  <c:v>47_1000</c:v>
                </c:pt>
                <c:pt idx="12">
                  <c:v>47_1000</c:v>
                </c:pt>
                <c:pt idx="13">
                  <c:v>47_1000</c:v>
                </c:pt>
                <c:pt idx="14">
                  <c:v>47_1000</c:v>
                </c:pt>
                <c:pt idx="15">
                  <c:v>47_1000</c:v>
                </c:pt>
                <c:pt idx="16">
                  <c:v>47_2000</c:v>
                </c:pt>
                <c:pt idx="17">
                  <c:v>47_2000</c:v>
                </c:pt>
                <c:pt idx="18">
                  <c:v>47_2000</c:v>
                </c:pt>
                <c:pt idx="19">
                  <c:v>47_2000</c:v>
                </c:pt>
                <c:pt idx="20">
                  <c:v>47_2000</c:v>
                </c:pt>
                <c:pt idx="21">
                  <c:v>47_2000</c:v>
                </c:pt>
                <c:pt idx="22">
                  <c:v>47_2000</c:v>
                </c:pt>
                <c:pt idx="23">
                  <c:v>47_2000</c:v>
                </c:pt>
                <c:pt idx="24">
                  <c:v>47_2000</c:v>
                </c:pt>
                <c:pt idx="25">
                  <c:v>47_2000</c:v>
                </c:pt>
                <c:pt idx="26">
                  <c:v>47_2000</c:v>
                </c:pt>
                <c:pt idx="27">
                  <c:v>47_2000</c:v>
                </c:pt>
                <c:pt idx="28">
                  <c:v>47_2000</c:v>
                </c:pt>
                <c:pt idx="29">
                  <c:v>47_2000</c:v>
                </c:pt>
                <c:pt idx="30">
                  <c:v>47_2000</c:v>
                </c:pt>
                <c:pt idx="31">
                  <c:v>47_2000</c:v>
                </c:pt>
                <c:pt idx="32">
                  <c:v>47_2000</c:v>
                </c:pt>
                <c:pt idx="33">
                  <c:v>47_2000</c:v>
                </c:pt>
                <c:pt idx="34">
                  <c:v>47_2000</c:v>
                </c:pt>
                <c:pt idx="35">
                  <c:v>47_2000</c:v>
                </c:pt>
                <c:pt idx="36">
                  <c:v>47_3800</c:v>
                </c:pt>
                <c:pt idx="37">
                  <c:v>47_3800</c:v>
                </c:pt>
                <c:pt idx="38">
                  <c:v>47_3800</c:v>
                </c:pt>
                <c:pt idx="39">
                  <c:v>47_3800</c:v>
                </c:pt>
                <c:pt idx="40">
                  <c:v>47_3800</c:v>
                </c:pt>
                <c:pt idx="41">
                  <c:v>47_3800</c:v>
                </c:pt>
                <c:pt idx="42">
                  <c:v>47_3800</c:v>
                </c:pt>
                <c:pt idx="43">
                  <c:v>47_3800</c:v>
                </c:pt>
                <c:pt idx="44">
                  <c:v>47_3800</c:v>
                </c:pt>
                <c:pt idx="45">
                  <c:v>47_3800</c:v>
                </c:pt>
                <c:pt idx="46">
                  <c:v>47_3800</c:v>
                </c:pt>
                <c:pt idx="47">
                  <c:v>47_3800</c:v>
                </c:pt>
                <c:pt idx="48">
                  <c:v>47_3800</c:v>
                </c:pt>
                <c:pt idx="49">
                  <c:v>47_3800</c:v>
                </c:pt>
                <c:pt idx="50">
                  <c:v>47_3800</c:v>
                </c:pt>
                <c:pt idx="51">
                  <c:v>PACS-2 #1</c:v>
                </c:pt>
                <c:pt idx="52">
                  <c:v>PACS-2 #2</c:v>
                </c:pt>
                <c:pt idx="53">
                  <c:v>PACS-2 #3</c:v>
                </c:pt>
              </c:strCache>
            </c:strRef>
          </c:cat>
          <c:val>
            <c:numRef>
              <c:f>CHN!$AK$12:$AK$65</c:f>
              <c:numCache>
                <c:formatCode>0.00</c:formatCode>
                <c:ptCount val="54"/>
                <c:pt idx="0">
                  <c:v>17.179433822631836</c:v>
                </c:pt>
                <c:pt idx="1">
                  <c:v>18.903266906738281</c:v>
                </c:pt>
                <c:pt idx="2">
                  <c:v>15.506331443786621</c:v>
                </c:pt>
                <c:pt idx="3">
                  <c:v>15.687155723571777</c:v>
                </c:pt>
                <c:pt idx="4">
                  <c:v>15.687994003295898</c:v>
                </c:pt>
                <c:pt idx="5">
                  <c:v>15.725634574890137</c:v>
                </c:pt>
                <c:pt idx="6">
                  <c:v>17.796354293823242</c:v>
                </c:pt>
                <c:pt idx="7">
                  <c:v>16.213146209716797</c:v>
                </c:pt>
                <c:pt idx="8">
                  <c:v>16.828649520874023</c:v>
                </c:pt>
                <c:pt idx="9">
                  <c:v>16.612297058105469</c:v>
                </c:pt>
                <c:pt idx="10">
                  <c:v>17.559654235839844</c:v>
                </c:pt>
                <c:pt idx="11">
                  <c:v>17.148048400878906</c:v>
                </c:pt>
                <c:pt idx="12">
                  <c:v>15.905805587768555</c:v>
                </c:pt>
                <c:pt idx="13">
                  <c:v>16.917732238769531</c:v>
                </c:pt>
                <c:pt idx="14">
                  <c:v>10.444699287414551</c:v>
                </c:pt>
                <c:pt idx="15">
                  <c:v>14.620884895324707</c:v>
                </c:pt>
                <c:pt idx="16">
                  <c:v>14.302079200744629</c:v>
                </c:pt>
                <c:pt idx="17">
                  <c:v>13.531609535217285</c:v>
                </c:pt>
                <c:pt idx="18">
                  <c:v>14.735773086547852</c:v>
                </c:pt>
                <c:pt idx="19">
                  <c:v>13.06618595123291</c:v>
                </c:pt>
                <c:pt idx="20">
                  <c:v>12.677654266357422</c:v>
                </c:pt>
                <c:pt idx="21">
                  <c:v>12.597004890441895</c:v>
                </c:pt>
                <c:pt idx="22">
                  <c:v>12.680932998657227</c:v>
                </c:pt>
                <c:pt idx="23">
                  <c:v>13.081178665161133</c:v>
                </c:pt>
                <c:pt idx="24">
                  <c:v>14.204557418823242</c:v>
                </c:pt>
                <c:pt idx="25">
                  <c:v>13.625788688659668</c:v>
                </c:pt>
                <c:pt idx="26">
                  <c:v>14.010750770568848</c:v>
                </c:pt>
                <c:pt idx="27">
                  <c:v>14.762297630310059</c:v>
                </c:pt>
                <c:pt idx="28">
                  <c:v>13.743739128112793</c:v>
                </c:pt>
                <c:pt idx="29">
                  <c:v>13.271342277526855</c:v>
                </c:pt>
                <c:pt idx="30">
                  <c:v>13.242328643798828</c:v>
                </c:pt>
                <c:pt idx="31">
                  <c:v>12.697575569152832</c:v>
                </c:pt>
                <c:pt idx="32">
                  <c:v>12.235356330871582</c:v>
                </c:pt>
                <c:pt idx="33">
                  <c:v>12.274404525756836</c:v>
                </c:pt>
                <c:pt idx="34">
                  <c:v>12.420710563659668</c:v>
                </c:pt>
                <c:pt idx="35">
                  <c:v>16.616935729980469</c:v>
                </c:pt>
                <c:pt idx="36">
                  <c:v>12.980376243591309</c:v>
                </c:pt>
                <c:pt idx="37">
                  <c:v>13.032732009887695</c:v>
                </c:pt>
                <c:pt idx="38">
                  <c:v>12.301823616027832</c:v>
                </c:pt>
                <c:pt idx="39">
                  <c:v>12.628866195678711</c:v>
                </c:pt>
                <c:pt idx="40">
                  <c:v>13.008883476257324</c:v>
                </c:pt>
                <c:pt idx="41">
                  <c:v>14.258779525756836</c:v>
                </c:pt>
                <c:pt idx="42">
                  <c:v>13.006121635437012</c:v>
                </c:pt>
                <c:pt idx="43">
                  <c:v>13.050162315368652</c:v>
                </c:pt>
                <c:pt idx="44">
                  <c:v>13.106785774230957</c:v>
                </c:pt>
                <c:pt idx="45">
                  <c:v>12.306897163391113</c:v>
                </c:pt>
                <c:pt idx="46">
                  <c:v>12.26313304901123</c:v>
                </c:pt>
                <c:pt idx="47">
                  <c:v>12.907769203186035</c:v>
                </c:pt>
                <c:pt idx="48">
                  <c:v>13.801863670349121</c:v>
                </c:pt>
                <c:pt idx="49">
                  <c:v>13.84058952331543</c:v>
                </c:pt>
                <c:pt idx="50">
                  <c:v>13.673782348632813</c:v>
                </c:pt>
                <c:pt idx="51">
                  <c:v>3.1761651039123535</c:v>
                </c:pt>
                <c:pt idx="52">
                  <c:v>3.2470822334289551</c:v>
                </c:pt>
                <c:pt idx="53">
                  <c:v>3.0546546936035099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A-45E9-AEA4-92CAAF7B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7213736"/>
        <c:axId val="-2141526888"/>
      </c:lineChart>
      <c:lineChart>
        <c:grouping val="standard"/>
        <c:varyColors val="0"/>
        <c:ser>
          <c:idx val="1"/>
          <c:order val="1"/>
          <c:tx>
            <c:v>%N</c:v>
          </c:tx>
          <c:spPr>
            <a:ln w="12700"/>
          </c:spPr>
          <c:marker>
            <c:symbol val="circle"/>
            <c:size val="9"/>
            <c:spPr>
              <a:noFill/>
            </c:spPr>
          </c:marker>
          <c:cat>
            <c:strRef>
              <c:f>CHN!$AN$12:$AN$65</c:f>
              <c:strCache>
                <c:ptCount val="54"/>
                <c:pt idx="0">
                  <c:v>47_1000</c:v>
                </c:pt>
                <c:pt idx="1">
                  <c:v>47_1000</c:v>
                </c:pt>
                <c:pt idx="2">
                  <c:v>47_1000</c:v>
                </c:pt>
                <c:pt idx="3">
                  <c:v>47_1000</c:v>
                </c:pt>
                <c:pt idx="4">
                  <c:v>47_1000</c:v>
                </c:pt>
                <c:pt idx="5">
                  <c:v>47_1000</c:v>
                </c:pt>
                <c:pt idx="6">
                  <c:v>47_1000</c:v>
                </c:pt>
                <c:pt idx="7">
                  <c:v>47_1000</c:v>
                </c:pt>
                <c:pt idx="8">
                  <c:v>47_1000</c:v>
                </c:pt>
                <c:pt idx="9">
                  <c:v>47_1000</c:v>
                </c:pt>
                <c:pt idx="10">
                  <c:v>47_1000</c:v>
                </c:pt>
                <c:pt idx="11">
                  <c:v>47_1000</c:v>
                </c:pt>
                <c:pt idx="12">
                  <c:v>47_1000</c:v>
                </c:pt>
                <c:pt idx="13">
                  <c:v>47_1000</c:v>
                </c:pt>
                <c:pt idx="14">
                  <c:v>47_1000</c:v>
                </c:pt>
                <c:pt idx="15">
                  <c:v>47_1000</c:v>
                </c:pt>
                <c:pt idx="16">
                  <c:v>47_2000</c:v>
                </c:pt>
                <c:pt idx="17">
                  <c:v>47_2000</c:v>
                </c:pt>
                <c:pt idx="18">
                  <c:v>47_2000</c:v>
                </c:pt>
                <c:pt idx="19">
                  <c:v>47_2000</c:v>
                </c:pt>
                <c:pt idx="20">
                  <c:v>47_2000</c:v>
                </c:pt>
                <c:pt idx="21">
                  <c:v>47_2000</c:v>
                </c:pt>
                <c:pt idx="22">
                  <c:v>47_2000</c:v>
                </c:pt>
                <c:pt idx="23">
                  <c:v>47_2000</c:v>
                </c:pt>
                <c:pt idx="24">
                  <c:v>47_2000</c:v>
                </c:pt>
                <c:pt idx="25">
                  <c:v>47_2000</c:v>
                </c:pt>
                <c:pt idx="26">
                  <c:v>47_2000</c:v>
                </c:pt>
                <c:pt idx="27">
                  <c:v>47_2000</c:v>
                </c:pt>
                <c:pt idx="28">
                  <c:v>47_2000</c:v>
                </c:pt>
                <c:pt idx="29">
                  <c:v>47_2000</c:v>
                </c:pt>
                <c:pt idx="30">
                  <c:v>47_2000</c:v>
                </c:pt>
                <c:pt idx="31">
                  <c:v>47_2000</c:v>
                </c:pt>
                <c:pt idx="32">
                  <c:v>47_2000</c:v>
                </c:pt>
                <c:pt idx="33">
                  <c:v>47_2000</c:v>
                </c:pt>
                <c:pt idx="34">
                  <c:v>47_2000</c:v>
                </c:pt>
                <c:pt idx="35">
                  <c:v>47_2000</c:v>
                </c:pt>
                <c:pt idx="36">
                  <c:v>47_3800</c:v>
                </c:pt>
                <c:pt idx="37">
                  <c:v>47_3800</c:v>
                </c:pt>
                <c:pt idx="38">
                  <c:v>47_3800</c:v>
                </c:pt>
                <c:pt idx="39">
                  <c:v>47_3800</c:v>
                </c:pt>
                <c:pt idx="40">
                  <c:v>47_3800</c:v>
                </c:pt>
                <c:pt idx="41">
                  <c:v>47_3800</c:v>
                </c:pt>
                <c:pt idx="42">
                  <c:v>47_3800</c:v>
                </c:pt>
                <c:pt idx="43">
                  <c:v>47_3800</c:v>
                </c:pt>
                <c:pt idx="44">
                  <c:v>47_3800</c:v>
                </c:pt>
                <c:pt idx="45">
                  <c:v>47_3800</c:v>
                </c:pt>
                <c:pt idx="46">
                  <c:v>47_3800</c:v>
                </c:pt>
                <c:pt idx="47">
                  <c:v>47_3800</c:v>
                </c:pt>
                <c:pt idx="48">
                  <c:v>47_3800</c:v>
                </c:pt>
                <c:pt idx="49">
                  <c:v>47_3800</c:v>
                </c:pt>
                <c:pt idx="50">
                  <c:v>47_3800</c:v>
                </c:pt>
                <c:pt idx="51">
                  <c:v>PACS-2 #1</c:v>
                </c:pt>
                <c:pt idx="52">
                  <c:v>PACS-2 #2</c:v>
                </c:pt>
                <c:pt idx="53">
                  <c:v>PACS-2 #3</c:v>
                </c:pt>
              </c:strCache>
            </c:strRef>
          </c:cat>
          <c:val>
            <c:numRef>
              <c:f>CHN!$AJ$12:$AJ$65</c:f>
              <c:numCache>
                <c:formatCode>0.00</c:formatCode>
                <c:ptCount val="54"/>
                <c:pt idx="0">
                  <c:v>1.8958081007003784</c:v>
                </c:pt>
                <c:pt idx="1">
                  <c:v>1.5006539821624756</c:v>
                </c:pt>
                <c:pt idx="2">
                  <c:v>0.76707053184509277</c:v>
                </c:pt>
                <c:pt idx="3">
                  <c:v>1.3400105237960815</c:v>
                </c:pt>
                <c:pt idx="4">
                  <c:v>1.246174693107605</c:v>
                </c:pt>
                <c:pt idx="5">
                  <c:v>1.2516299486160278</c:v>
                </c:pt>
                <c:pt idx="6">
                  <c:v>1.9629404544830322</c:v>
                </c:pt>
                <c:pt idx="7">
                  <c:v>1.2208572626113892</c:v>
                </c:pt>
                <c:pt idx="8">
                  <c:v>1.3967040777206421</c:v>
                </c:pt>
                <c:pt idx="9">
                  <c:v>1.340276837348938</c:v>
                </c:pt>
                <c:pt idx="10">
                  <c:v>1.5248348712921143</c:v>
                </c:pt>
                <c:pt idx="11">
                  <c:v>1.5179711580276489</c:v>
                </c:pt>
                <c:pt idx="12">
                  <c:v>1.2897419929504395</c:v>
                </c:pt>
                <c:pt idx="13">
                  <c:v>1.5639532804489136</c:v>
                </c:pt>
                <c:pt idx="14">
                  <c:v>0.79616892337799072</c:v>
                </c:pt>
                <c:pt idx="15">
                  <c:v>1.1134974956512451</c:v>
                </c:pt>
                <c:pt idx="16">
                  <c:v>0.94686996936798096</c:v>
                </c:pt>
                <c:pt idx="17">
                  <c:v>0.72954195737838745</c:v>
                </c:pt>
                <c:pt idx="18">
                  <c:v>1.0680783987045288</c:v>
                </c:pt>
                <c:pt idx="19">
                  <c:v>0.59522348642349243</c:v>
                </c:pt>
                <c:pt idx="20">
                  <c:v>0.58427214622497559</c:v>
                </c:pt>
                <c:pt idx="21">
                  <c:v>0.59569233655929565</c:v>
                </c:pt>
                <c:pt idx="22">
                  <c:v>0.72053265571594238</c:v>
                </c:pt>
                <c:pt idx="23">
                  <c:v>0.7311137318611145</c:v>
                </c:pt>
                <c:pt idx="24">
                  <c:v>1.0817877054214478</c:v>
                </c:pt>
                <c:pt idx="25">
                  <c:v>0.84581220149993896</c:v>
                </c:pt>
                <c:pt idx="26">
                  <c:v>0.97243547439575195</c:v>
                </c:pt>
                <c:pt idx="27">
                  <c:v>1.2336673736572266</c:v>
                </c:pt>
                <c:pt idx="28">
                  <c:v>0.87225109338760376</c:v>
                </c:pt>
                <c:pt idx="29">
                  <c:v>0.72510433197021484</c:v>
                </c:pt>
                <c:pt idx="30">
                  <c:v>0.72930639982223511</c:v>
                </c:pt>
                <c:pt idx="31">
                  <c:v>0.6531527042388916</c:v>
                </c:pt>
                <c:pt idx="32">
                  <c:v>0.64945542812347412</c:v>
                </c:pt>
                <c:pt idx="33">
                  <c:v>0.6686515212059021</c:v>
                </c:pt>
                <c:pt idx="34">
                  <c:v>0.86473464965820313</c:v>
                </c:pt>
                <c:pt idx="35">
                  <c:v>1.5863571166992188</c:v>
                </c:pt>
                <c:pt idx="36">
                  <c:v>0.60060226917266846</c:v>
                </c:pt>
                <c:pt idx="37">
                  <c:v>0.52493429183959961</c:v>
                </c:pt>
                <c:pt idx="38">
                  <c:v>0.49015811085700989</c:v>
                </c:pt>
                <c:pt idx="39">
                  <c:v>0.61628139019012451</c:v>
                </c:pt>
                <c:pt idx="40">
                  <c:v>0.67587047815322876</c:v>
                </c:pt>
                <c:pt idx="41">
                  <c:v>0.96280694007873535</c:v>
                </c:pt>
                <c:pt idx="42">
                  <c:v>0.65928089618682861</c:v>
                </c:pt>
                <c:pt idx="43">
                  <c:v>0.61065512895584106</c:v>
                </c:pt>
                <c:pt idx="44">
                  <c:v>0.65892082452774048</c:v>
                </c:pt>
                <c:pt idx="45">
                  <c:v>0.56372594833374023</c:v>
                </c:pt>
                <c:pt idx="46">
                  <c:v>0.5700376033782959</c:v>
                </c:pt>
                <c:pt idx="47">
                  <c:v>0.88784945011138916</c:v>
                </c:pt>
                <c:pt idx="48">
                  <c:v>1.0242087841033936</c:v>
                </c:pt>
                <c:pt idx="49">
                  <c:v>1.0313628911972046</c:v>
                </c:pt>
                <c:pt idx="50">
                  <c:v>0.83917605876922607</c:v>
                </c:pt>
                <c:pt idx="51">
                  <c:v>0.26687914133071899</c:v>
                </c:pt>
                <c:pt idx="52">
                  <c:v>0.25823551416397095</c:v>
                </c:pt>
                <c:pt idx="53">
                  <c:v>0.24366627633571625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A-45E9-AEA4-92CAAF7B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910776"/>
        <c:axId val="-2145010440"/>
      </c:lineChart>
      <c:catAx>
        <c:axId val="-214721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41526888"/>
        <c:crosses val="autoZero"/>
        <c:auto val="1"/>
        <c:lblAlgn val="ctr"/>
        <c:lblOffset val="100"/>
        <c:noMultiLvlLbl val="0"/>
      </c:catAx>
      <c:valAx>
        <c:axId val="-21415268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147213736"/>
        <c:crosses val="autoZero"/>
        <c:crossBetween val="between"/>
      </c:valAx>
      <c:valAx>
        <c:axId val="-2145010440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-2144910776"/>
        <c:crosses val="max"/>
        <c:crossBetween val="between"/>
      </c:valAx>
      <c:catAx>
        <c:axId val="-2144910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4501044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report!$AB$6:$AB$20</c:f>
              <c:numCache>
                <c:formatCode>General</c:formatCode>
                <c:ptCount val="15"/>
                <c:pt idx="0">
                  <c:v>3.0827894052475779E-2</c:v>
                </c:pt>
                <c:pt idx="1">
                  <c:v>9.753145099222274E-3</c:v>
                </c:pt>
                <c:pt idx="2">
                  <c:v>4.12362903656994E-3</c:v>
                </c:pt>
                <c:pt idx="3">
                  <c:v>9.1829047886447888E-3</c:v>
                </c:pt>
                <c:pt idx="4">
                  <c:v>1.1713835125107588E-2</c:v>
                </c:pt>
                <c:pt idx="5">
                  <c:v>3.9951028792695065E-3</c:v>
                </c:pt>
                <c:pt idx="6">
                  <c:v>5.2904949754011596E-4</c:v>
                </c:pt>
                <c:pt idx="7">
                  <c:v>7.7067048724276692E-3</c:v>
                </c:pt>
                <c:pt idx="8">
                  <c:v>5.1167871311796837E-3</c:v>
                </c:pt>
                <c:pt idx="9">
                  <c:v>2.8321832854545743E-3</c:v>
                </c:pt>
                <c:pt idx="10">
                  <c:v>6.8600261396162907E-3</c:v>
                </c:pt>
                <c:pt idx="11">
                  <c:v>7.0583046970472505E-4</c:v>
                </c:pt>
                <c:pt idx="12">
                  <c:v>6.9074767383374099E-4</c:v>
                </c:pt>
                <c:pt idx="13">
                  <c:v>7.5421651018583319E-4</c:v>
                </c:pt>
                <c:pt idx="14">
                  <c:v>4.6691336559635409E-4</c:v>
                </c:pt>
              </c:numCache>
            </c:numRef>
          </c:xVal>
          <c:yVal>
            <c:numRef>
              <c:f>report!$AE$6:$AE$20</c:f>
              <c:numCache>
                <c:formatCode>General</c:formatCode>
                <c:ptCount val="15"/>
                <c:pt idx="0">
                  <c:v>3.4659683155908338E-2</c:v>
                </c:pt>
                <c:pt idx="1">
                  <c:v>4.0020057294734767E-3</c:v>
                </c:pt>
                <c:pt idx="2">
                  <c:v>2.0281421656694657E-3</c:v>
                </c:pt>
                <c:pt idx="3">
                  <c:v>6.1431668704722267E-3</c:v>
                </c:pt>
                <c:pt idx="4">
                  <c:v>2.1734446975974726E-2</c:v>
                </c:pt>
                <c:pt idx="5">
                  <c:v>3.4914031474591401E-3</c:v>
                </c:pt>
                <c:pt idx="6">
                  <c:v>3.7899870831724917E-4</c:v>
                </c:pt>
                <c:pt idx="7">
                  <c:v>1.1295691940821135E-2</c:v>
                </c:pt>
                <c:pt idx="8">
                  <c:v>8.8274898115220466E-3</c:v>
                </c:pt>
                <c:pt idx="9">
                  <c:v>3.9293895697139038E-3</c:v>
                </c:pt>
                <c:pt idx="10">
                  <c:v>9.4624067718690526E-3</c:v>
                </c:pt>
                <c:pt idx="11">
                  <c:v>1.1483628653368638E-3</c:v>
                </c:pt>
                <c:pt idx="12">
                  <c:v>8.5683867558999623E-4</c:v>
                </c:pt>
                <c:pt idx="13">
                  <c:v>1.2043584161288824E-3</c:v>
                </c:pt>
                <c:pt idx="14">
                  <c:v>7.2545158639842039E-4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1-4079-A151-B1C6F8D5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597544"/>
        <c:axId val="-2140594680"/>
      </c:scatterChart>
      <c:valAx>
        <c:axId val="-214059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594680"/>
        <c:crosses val="autoZero"/>
        <c:crossBetween val="midCat"/>
      </c:valAx>
      <c:valAx>
        <c:axId val="-2140594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0597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report!$AB$6:$AB$19</c:f>
              <c:numCache>
                <c:formatCode>General</c:formatCode>
                <c:ptCount val="14"/>
                <c:pt idx="0">
                  <c:v>3.0827894052475779E-2</c:v>
                </c:pt>
                <c:pt idx="1">
                  <c:v>9.753145099222274E-3</c:v>
                </c:pt>
                <c:pt idx="2">
                  <c:v>4.12362903656994E-3</c:v>
                </c:pt>
                <c:pt idx="3">
                  <c:v>9.1829047886447888E-3</c:v>
                </c:pt>
                <c:pt idx="4">
                  <c:v>1.1713835125107588E-2</c:v>
                </c:pt>
                <c:pt idx="5">
                  <c:v>3.9951028792695065E-3</c:v>
                </c:pt>
                <c:pt idx="6">
                  <c:v>5.2904949754011596E-4</c:v>
                </c:pt>
                <c:pt idx="7">
                  <c:v>7.7067048724276692E-3</c:v>
                </c:pt>
                <c:pt idx="8">
                  <c:v>5.1167871311796837E-3</c:v>
                </c:pt>
                <c:pt idx="9">
                  <c:v>2.8321832854545743E-3</c:v>
                </c:pt>
                <c:pt idx="10">
                  <c:v>6.8600261396162907E-3</c:v>
                </c:pt>
                <c:pt idx="11">
                  <c:v>7.0583046970472505E-4</c:v>
                </c:pt>
                <c:pt idx="12">
                  <c:v>6.9074767383374099E-4</c:v>
                </c:pt>
                <c:pt idx="13">
                  <c:v>7.5421651018583319E-4</c:v>
                </c:pt>
              </c:numCache>
            </c:numRef>
          </c:xVal>
          <c:yVal>
            <c:numRef>
              <c:f>report!$AC$6:$AC$19</c:f>
              <c:numCache>
                <c:formatCode>General</c:formatCode>
                <c:ptCount val="14"/>
                <c:pt idx="0">
                  <c:v>0.20837979903309511</c:v>
                </c:pt>
                <c:pt idx="1">
                  <c:v>8.6453971364117546E-2</c:v>
                </c:pt>
                <c:pt idx="2">
                  <c:v>3.3318690986151804E-2</c:v>
                </c:pt>
                <c:pt idx="3">
                  <c:v>5.0432364827689251E-2</c:v>
                </c:pt>
                <c:pt idx="4">
                  <c:v>9.2425939989051339E-2</c:v>
                </c:pt>
                <c:pt idx="5">
                  <c:v>2.5316162497111879E-2</c:v>
                </c:pt>
                <c:pt idx="6">
                  <c:v>0</c:v>
                </c:pt>
                <c:pt idx="7">
                  <c:v>6.0733977188184976E-2</c:v>
                </c:pt>
                <c:pt idx="8">
                  <c:v>4.1270392490701739E-2</c:v>
                </c:pt>
                <c:pt idx="9">
                  <c:v>2.2915328972317562E-2</c:v>
                </c:pt>
                <c:pt idx="10">
                  <c:v>5.2754930816017676E-2</c:v>
                </c:pt>
                <c:pt idx="11">
                  <c:v>5.210748442205709E-3</c:v>
                </c:pt>
                <c:pt idx="12">
                  <c:v>0</c:v>
                </c:pt>
                <c:pt idx="13">
                  <c:v>6.3324891950939793E-3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A-4A1D-BBD7-19B373923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565384"/>
        <c:axId val="-2140562520"/>
      </c:scatterChart>
      <c:valAx>
        <c:axId val="-214056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562520"/>
        <c:crosses val="autoZero"/>
        <c:crossBetween val="midCat"/>
      </c:valAx>
      <c:valAx>
        <c:axId val="-214056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0565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main!$S$7:$S$27</c:f>
              <c:numCache>
                <c:formatCode>0.00</c:formatCode>
                <c:ptCount val="21"/>
                <c:pt idx="0">
                  <c:v>8.33</c:v>
                </c:pt>
                <c:pt idx="1">
                  <c:v>8.44</c:v>
                </c:pt>
                <c:pt idx="2">
                  <c:v>7.99</c:v>
                </c:pt>
                <c:pt idx="3">
                  <c:v>8.33</c:v>
                </c:pt>
                <c:pt idx="4">
                  <c:v>8.39</c:v>
                </c:pt>
                <c:pt idx="5">
                  <c:v>8.5</c:v>
                </c:pt>
                <c:pt idx="6">
                  <c:v>8.61</c:v>
                </c:pt>
                <c:pt idx="7">
                  <c:v>8.58</c:v>
                </c:pt>
                <c:pt idx="8">
                  <c:v>8.58</c:v>
                </c:pt>
                <c:pt idx="9">
                  <c:v>8.59</c:v>
                </c:pt>
                <c:pt idx="10">
                  <c:v>8.6</c:v>
                </c:pt>
                <c:pt idx="11">
                  <c:v>8.65</c:v>
                </c:pt>
                <c:pt idx="12">
                  <c:v>8.6</c:v>
                </c:pt>
                <c:pt idx="13">
                  <c:v>8.4700000000000006</c:v>
                </c:pt>
                <c:pt idx="14">
                  <c:v>8.5399999999999991</c:v>
                </c:pt>
                <c:pt idx="15">
                  <c:v>8.57</c:v>
                </c:pt>
                <c:pt idx="16">
                  <c:v>8.6300000000000008</c:v>
                </c:pt>
                <c:pt idx="17">
                  <c:v>8.66</c:v>
                </c:pt>
                <c:pt idx="18">
                  <c:v>8.6300000000000008</c:v>
                </c:pt>
                <c:pt idx="19">
                  <c:v>8.65</c:v>
                </c:pt>
                <c:pt idx="20">
                  <c:v>8.6199999999999992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05-4B99-9E15-12A871FB0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xVal>
          <c:yVal>
            <c:numRef>
              <c:f>main!$S$31:$S$51</c:f>
              <c:numCache>
                <c:formatCode>0.00</c:formatCode>
                <c:ptCount val="21"/>
                <c:pt idx="0">
                  <c:v>8.5500000000000007</c:v>
                </c:pt>
                <c:pt idx="1">
                  <c:v>8.51</c:v>
                </c:pt>
                <c:pt idx="2">
                  <c:v>8.4499999999999993</c:v>
                </c:pt>
                <c:pt idx="3">
                  <c:v>8.5299999999999994</c:v>
                </c:pt>
                <c:pt idx="4">
                  <c:v>8.5399999999999991</c:v>
                </c:pt>
                <c:pt idx="5">
                  <c:v>8.5500000000000007</c:v>
                </c:pt>
                <c:pt idx="6">
                  <c:v>8.48</c:v>
                </c:pt>
                <c:pt idx="7">
                  <c:v>8.52</c:v>
                </c:pt>
                <c:pt idx="8">
                  <c:v>8.6</c:v>
                </c:pt>
                <c:pt idx="9">
                  <c:v>8.49</c:v>
                </c:pt>
                <c:pt idx="10">
                  <c:v>8.36</c:v>
                </c:pt>
                <c:pt idx="11">
                  <c:v>8.57</c:v>
                </c:pt>
                <c:pt idx="12">
                  <c:v>8.52</c:v>
                </c:pt>
                <c:pt idx="13">
                  <c:v>8.5</c:v>
                </c:pt>
                <c:pt idx="14">
                  <c:v>8.51</c:v>
                </c:pt>
                <c:pt idx="15">
                  <c:v>8.42</c:v>
                </c:pt>
                <c:pt idx="16">
                  <c:v>8.42</c:v>
                </c:pt>
                <c:pt idx="17">
                  <c:v>8.49</c:v>
                </c:pt>
                <c:pt idx="18">
                  <c:v>8.65</c:v>
                </c:pt>
                <c:pt idx="19">
                  <c:v>8.6</c:v>
                </c:pt>
                <c:pt idx="20">
                  <c:v>8.57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0F-4B07-909A-5BF630E3B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main!$AM$55:$AM$67</c:f>
              <c:numCache>
                <c:formatCode>0.000</c:formatCode>
                <c:ptCount val="13"/>
                <c:pt idx="0">
                  <c:v>8.0310623514457635</c:v>
                </c:pt>
                <c:pt idx="1">
                  <c:v>8.1910334620455885</c:v>
                </c:pt>
                <c:pt idx="2">
                  <c:v>7.4504689058206832</c:v>
                </c:pt>
                <c:pt idx="3">
                  <c:v>7.6618470281352282</c:v>
                </c:pt>
                <c:pt idx="4">
                  <c:v>7.6042864316936409</c:v>
                </c:pt>
                <c:pt idx="5">
                  <c:v>7.4224266395591805</c:v>
                </c:pt>
                <c:pt idx="6">
                  <c:v>7.9101922197195682</c:v>
                </c:pt>
                <c:pt idx="7">
                  <c:v>8.2084584547419883</c:v>
                </c:pt>
                <c:pt idx="8">
                  <c:v>8.2314106951313804</c:v>
                </c:pt>
                <c:pt idx="9">
                  <c:v>7.6784201606145999</c:v>
                </c:pt>
                <c:pt idx="10">
                  <c:v>8.4081199238066251</c:v>
                </c:pt>
                <c:pt idx="11">
                  <c:v>7.0929831507041943</c:v>
                </c:pt>
                <c:pt idx="12">
                  <c:v>8.4839435495315332</c:v>
                </c:pt>
              </c:numCache>
            </c:numRef>
          </c:xVal>
          <c:yVal>
            <c:numRef>
              <c:f>main!$S$55:$S$67</c:f>
              <c:numCache>
                <c:formatCode>0.00</c:formatCode>
                <c:ptCount val="13"/>
                <c:pt idx="0">
                  <c:v>8.5299999999999994</c:v>
                </c:pt>
                <c:pt idx="1">
                  <c:v>8.3699999999999992</c:v>
                </c:pt>
                <c:pt idx="2">
                  <c:v>8.4600000000000009</c:v>
                </c:pt>
                <c:pt idx="3">
                  <c:v>8.5500000000000007</c:v>
                </c:pt>
                <c:pt idx="4">
                  <c:v>8.57</c:v>
                </c:pt>
                <c:pt idx="5">
                  <c:v>8.42</c:v>
                </c:pt>
                <c:pt idx="6">
                  <c:v>8.5399999999999991</c:v>
                </c:pt>
                <c:pt idx="7">
                  <c:v>8.25</c:v>
                </c:pt>
                <c:pt idx="8">
                  <c:v>8.56</c:v>
                </c:pt>
                <c:pt idx="9">
                  <c:v>8.4600000000000009</c:v>
                </c:pt>
                <c:pt idx="10">
                  <c:v>8.51</c:v>
                </c:pt>
                <c:pt idx="11">
                  <c:v>8.5299999999999994</c:v>
                </c:pt>
                <c:pt idx="12">
                  <c:v>8.5299999999999994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21-4F12-9D74-F438644B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CA-4589-AB3C-F56EC45FD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D1-4039-98C8-931DA7AD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32434768022418248"/>
                  <c:y val="-0.3524245223537002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F1-477C-9ECF-2FE5DA94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 1000m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32376788427762321"/>
                  <c:y val="0.10147128257012566"/>
                </c:manualLayout>
              </c:layout>
              <c:numFmt formatCode="General" sourceLinked="0"/>
            </c:trendlineLbl>
          </c:trendline>
          <c:xVal>
            <c:numRef>
              <c:f>main!$AN$7:$AN$27</c:f>
              <c:numCache>
                <c:formatCode>General</c:formatCode>
                <c:ptCount val="21"/>
                <c:pt idx="0">
                  <c:v>208.37979903309511</c:v>
                </c:pt>
                <c:pt idx="1">
                  <c:v>86.45397136411755</c:v>
                </c:pt>
                <c:pt idx="2">
                  <c:v>33.318690986151807</c:v>
                </c:pt>
                <c:pt idx="3">
                  <c:v>50.432364827689248</c:v>
                </c:pt>
                <c:pt idx="4">
                  <c:v>92.425939989051344</c:v>
                </c:pt>
                <c:pt idx="5">
                  <c:v>25.316162497111879</c:v>
                </c:pt>
                <c:pt idx="7">
                  <c:v>60.733977188184973</c:v>
                </c:pt>
                <c:pt idx="8">
                  <c:v>41.270392490701738</c:v>
                </c:pt>
                <c:pt idx="9">
                  <c:v>22.91532897231756</c:v>
                </c:pt>
                <c:pt idx="10">
                  <c:v>52.754930816017676</c:v>
                </c:pt>
                <c:pt idx="11">
                  <c:v>5.2107484422057091</c:v>
                </c:pt>
                <c:pt idx="13">
                  <c:v>6.332489195093979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CD-4DD0-93F5-EE051AB7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psu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857202060268777"/>
          <c:y val="6.7983401516151218E-2"/>
          <c:w val="0.28142797939731218"/>
          <c:h val="0.22469889587823869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main!$AN$31:$AN$51</c:f>
              <c:numCache>
                <c:formatCode>General</c:formatCode>
                <c:ptCount val="21"/>
                <c:pt idx="0">
                  <c:v>57.970240079660449</c:v>
                </c:pt>
                <c:pt idx="1">
                  <c:v>42.892548437366088</c:v>
                </c:pt>
                <c:pt idx="2">
                  <c:v>66.411543379665446</c:v>
                </c:pt>
                <c:pt idx="3">
                  <c:v>53.156669906402712</c:v>
                </c:pt>
                <c:pt idx="4">
                  <c:v>75.13684154550991</c:v>
                </c:pt>
                <c:pt idx="5">
                  <c:v>63.760852751363522</c:v>
                </c:pt>
                <c:pt idx="6">
                  <c:v>48.592725651738768</c:v>
                </c:pt>
                <c:pt idx="7">
                  <c:v>82.784554131700901</c:v>
                </c:pt>
                <c:pt idx="8">
                  <c:v>48.336442332590359</c:v>
                </c:pt>
                <c:pt idx="9">
                  <c:v>79.273936870691287</c:v>
                </c:pt>
                <c:pt idx="10">
                  <c:v>83.133595222945175</c:v>
                </c:pt>
                <c:pt idx="11">
                  <c:v>73.452948151857413</c:v>
                </c:pt>
                <c:pt idx="12">
                  <c:v>89.611200808783664</c:v>
                </c:pt>
                <c:pt idx="13">
                  <c:v>131.97122639280263</c:v>
                </c:pt>
                <c:pt idx="14">
                  <c:v>198.65859918577962</c:v>
                </c:pt>
                <c:pt idx="15">
                  <c:v>229.24374250183132</c:v>
                </c:pt>
                <c:pt idx="16">
                  <c:v>362.58257148926589</c:v>
                </c:pt>
                <c:pt idx="17">
                  <c:v>292.11576968989641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4-4921-BA57-F7A315A6F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main!$AN$55:$AN$67</c:f>
              <c:numCache>
                <c:formatCode>General</c:formatCode>
                <c:ptCount val="13"/>
                <c:pt idx="0">
                  <c:v>42.038152442794214</c:v>
                </c:pt>
                <c:pt idx="1">
                  <c:v>46.044175916638473</c:v>
                </c:pt>
                <c:pt idx="2">
                  <c:v>50.082251405961387</c:v>
                </c:pt>
                <c:pt idx="3">
                  <c:v>58.540471407948758</c:v>
                </c:pt>
                <c:pt idx="4">
                  <c:v>53.648665063633828</c:v>
                </c:pt>
                <c:pt idx="5">
                  <c:v>60.25220813657112</c:v>
                </c:pt>
                <c:pt idx="6">
                  <c:v>43.458129271781146</c:v>
                </c:pt>
                <c:pt idx="7">
                  <c:v>47.679594785855059</c:v>
                </c:pt>
                <c:pt idx="8">
                  <c:v>58.825275681864838</c:v>
                </c:pt>
                <c:pt idx="9">
                  <c:v>140.49080876803893</c:v>
                </c:pt>
                <c:pt idx="10">
                  <c:v>248.59418436017179</c:v>
                </c:pt>
                <c:pt idx="11">
                  <c:v>228.57609605680869</c:v>
                </c:pt>
                <c:pt idx="12">
                  <c:v>127.91226927423122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F-447F-A346-29D0E47E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 1000m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main!$AO$7:$AO$27</c:f>
              <c:numCache>
                <c:formatCode>General</c:formatCode>
                <c:ptCount val="21"/>
                <c:pt idx="0">
                  <c:v>117.49701205055163</c:v>
                </c:pt>
                <c:pt idx="1">
                  <c:v>56.862502610089869</c:v>
                </c:pt>
                <c:pt idx="2">
                  <c:v>63.92209949197153</c:v>
                </c:pt>
                <c:pt idx="3">
                  <c:v>74.971582782440976</c:v>
                </c:pt>
                <c:pt idx="4">
                  <c:v>98.653326152315842</c:v>
                </c:pt>
                <c:pt idx="5">
                  <c:v>16.935812390802226</c:v>
                </c:pt>
                <c:pt idx="7">
                  <c:v>47.586040084295121</c:v>
                </c:pt>
                <c:pt idx="8">
                  <c:v>32.711877737359536</c:v>
                </c:pt>
                <c:pt idx="9">
                  <c:v>15.130725737225729</c:v>
                </c:pt>
                <c:pt idx="10">
                  <c:v>37.645828681647998</c:v>
                </c:pt>
                <c:pt idx="11">
                  <c:v>4.9435134378447438</c:v>
                </c:pt>
                <c:pt idx="13">
                  <c:v>5.209532381662493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9-4BA2-B9D6-844D57A23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main!$AO$31:$AO$51</c:f>
              <c:numCache>
                <c:formatCode>General</c:formatCode>
                <c:ptCount val="21"/>
                <c:pt idx="0">
                  <c:v>75.535995144317454</c:v>
                </c:pt>
                <c:pt idx="1">
                  <c:v>83.608293018675596</c:v>
                </c:pt>
                <c:pt idx="2">
                  <c:v>106.49774004473974</c:v>
                </c:pt>
                <c:pt idx="3">
                  <c:v>131.02974763498983</c:v>
                </c:pt>
                <c:pt idx="4">
                  <c:v>166.86089298544113</c:v>
                </c:pt>
                <c:pt idx="5">
                  <c:v>111.03462756212819</c:v>
                </c:pt>
                <c:pt idx="6">
                  <c:v>76.057459642577967</c:v>
                </c:pt>
                <c:pt idx="7">
                  <c:v>97.373937063375834</c:v>
                </c:pt>
                <c:pt idx="8">
                  <c:v>67.741402575348545</c:v>
                </c:pt>
                <c:pt idx="9">
                  <c:v>95.168086159010343</c:v>
                </c:pt>
                <c:pt idx="10">
                  <c:v>80.104317885445198</c:v>
                </c:pt>
                <c:pt idx="11">
                  <c:v>105.52539686327366</c:v>
                </c:pt>
                <c:pt idx="12">
                  <c:v>156.33999939700038</c:v>
                </c:pt>
                <c:pt idx="13">
                  <c:v>211.4641875897544</c:v>
                </c:pt>
                <c:pt idx="14">
                  <c:v>351.35099644075899</c:v>
                </c:pt>
                <c:pt idx="15">
                  <c:v>369.50236706640709</c:v>
                </c:pt>
                <c:pt idx="16">
                  <c:v>341.3735296854432</c:v>
                </c:pt>
                <c:pt idx="17">
                  <c:v>132.18863676470673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CB-407B-A7F3-65B58C85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main!$AO$55:$AO$67</c:f>
              <c:numCache>
                <c:formatCode>General</c:formatCode>
                <c:ptCount val="13"/>
                <c:pt idx="0">
                  <c:v>89.929066078014998</c:v>
                </c:pt>
                <c:pt idx="1">
                  <c:v>116.75854272645985</c:v>
                </c:pt>
                <c:pt idx="2">
                  <c:v>146.7193679462888</c:v>
                </c:pt>
                <c:pt idx="3">
                  <c:v>124.10258857528213</c:v>
                </c:pt>
                <c:pt idx="4">
                  <c:v>104.75751723973059</c:v>
                </c:pt>
                <c:pt idx="5">
                  <c:v>79.985667211485946</c:v>
                </c:pt>
                <c:pt idx="6">
                  <c:v>82.973704800648576</c:v>
                </c:pt>
                <c:pt idx="7">
                  <c:v>97.126213952674448</c:v>
                </c:pt>
                <c:pt idx="8">
                  <c:v>106.9988805585171</c:v>
                </c:pt>
                <c:pt idx="9">
                  <c:v>278.58922362052414</c:v>
                </c:pt>
                <c:pt idx="10">
                  <c:v>252.82281823077207</c:v>
                </c:pt>
                <c:pt idx="11">
                  <c:v>199.90144654580553</c:v>
                </c:pt>
                <c:pt idx="12">
                  <c:v>158.66724291431595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EC-4831-92A3-E477A05F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7-4561-96E5-91986877A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main!$S$7:$S$27</c:f>
              <c:numCache>
                <c:formatCode>0.00</c:formatCode>
                <c:ptCount val="21"/>
                <c:pt idx="0">
                  <c:v>8.33</c:v>
                </c:pt>
                <c:pt idx="1">
                  <c:v>8.44</c:v>
                </c:pt>
                <c:pt idx="2">
                  <c:v>7.99</c:v>
                </c:pt>
                <c:pt idx="3">
                  <c:v>8.33</c:v>
                </c:pt>
                <c:pt idx="4">
                  <c:v>8.39</c:v>
                </c:pt>
                <c:pt idx="5">
                  <c:v>8.5</c:v>
                </c:pt>
                <c:pt idx="6">
                  <c:v>8.61</c:v>
                </c:pt>
                <c:pt idx="7">
                  <c:v>8.58</c:v>
                </c:pt>
                <c:pt idx="8">
                  <c:v>8.58</c:v>
                </c:pt>
                <c:pt idx="9">
                  <c:v>8.59</c:v>
                </c:pt>
                <c:pt idx="10">
                  <c:v>8.6</c:v>
                </c:pt>
                <c:pt idx="11">
                  <c:v>8.65</c:v>
                </c:pt>
                <c:pt idx="12">
                  <c:v>8.6</c:v>
                </c:pt>
                <c:pt idx="13">
                  <c:v>8.4700000000000006</c:v>
                </c:pt>
                <c:pt idx="14">
                  <c:v>8.5399999999999991</c:v>
                </c:pt>
                <c:pt idx="15">
                  <c:v>8.57</c:v>
                </c:pt>
                <c:pt idx="16">
                  <c:v>8.6300000000000008</c:v>
                </c:pt>
                <c:pt idx="17">
                  <c:v>8.66</c:v>
                </c:pt>
                <c:pt idx="18">
                  <c:v>8.6300000000000008</c:v>
                </c:pt>
                <c:pt idx="19">
                  <c:v>8.65</c:v>
                </c:pt>
                <c:pt idx="20">
                  <c:v>8.6199999999999992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7-4561-96E5-91986877A189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7-4561-96E5-91986877A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7-452E-AE55-DA022E81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main!$S$31:$S$51</c:f>
              <c:numCache>
                <c:formatCode>0.00</c:formatCode>
                <c:ptCount val="21"/>
                <c:pt idx="0">
                  <c:v>8.5500000000000007</c:v>
                </c:pt>
                <c:pt idx="1">
                  <c:v>8.51</c:v>
                </c:pt>
                <c:pt idx="2">
                  <c:v>8.4499999999999993</c:v>
                </c:pt>
                <c:pt idx="3">
                  <c:v>8.5299999999999994</c:v>
                </c:pt>
                <c:pt idx="4">
                  <c:v>8.5399999999999991</c:v>
                </c:pt>
                <c:pt idx="5">
                  <c:v>8.5500000000000007</c:v>
                </c:pt>
                <c:pt idx="6">
                  <c:v>8.48</c:v>
                </c:pt>
                <c:pt idx="7">
                  <c:v>8.52</c:v>
                </c:pt>
                <c:pt idx="8">
                  <c:v>8.6</c:v>
                </c:pt>
                <c:pt idx="9">
                  <c:v>8.49</c:v>
                </c:pt>
                <c:pt idx="10">
                  <c:v>8.36</c:v>
                </c:pt>
                <c:pt idx="11">
                  <c:v>8.57</c:v>
                </c:pt>
                <c:pt idx="12">
                  <c:v>8.52</c:v>
                </c:pt>
                <c:pt idx="13">
                  <c:v>8.5</c:v>
                </c:pt>
                <c:pt idx="14">
                  <c:v>8.51</c:v>
                </c:pt>
                <c:pt idx="15">
                  <c:v>8.42</c:v>
                </c:pt>
                <c:pt idx="16">
                  <c:v>8.42</c:v>
                </c:pt>
                <c:pt idx="17">
                  <c:v>8.49</c:v>
                </c:pt>
                <c:pt idx="18">
                  <c:v>8.65</c:v>
                </c:pt>
                <c:pt idx="19">
                  <c:v>8.6</c:v>
                </c:pt>
                <c:pt idx="20">
                  <c:v>8.57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7-452E-AE55-DA022E818610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7-452E-AE55-DA022E81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7-401A-9877-7280D0D8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main!$S$55:$S$67</c:f>
              <c:numCache>
                <c:formatCode>0.00</c:formatCode>
                <c:ptCount val="13"/>
                <c:pt idx="0">
                  <c:v>8.5299999999999994</c:v>
                </c:pt>
                <c:pt idx="1">
                  <c:v>8.3699999999999992</c:v>
                </c:pt>
                <c:pt idx="2">
                  <c:v>8.4600000000000009</c:v>
                </c:pt>
                <c:pt idx="3">
                  <c:v>8.5500000000000007</c:v>
                </c:pt>
                <c:pt idx="4">
                  <c:v>8.57</c:v>
                </c:pt>
                <c:pt idx="5">
                  <c:v>8.42</c:v>
                </c:pt>
                <c:pt idx="6">
                  <c:v>8.5399999999999991</c:v>
                </c:pt>
                <c:pt idx="7">
                  <c:v>8.25</c:v>
                </c:pt>
                <c:pt idx="8">
                  <c:v>8.56</c:v>
                </c:pt>
                <c:pt idx="9">
                  <c:v>8.4600000000000009</c:v>
                </c:pt>
                <c:pt idx="10">
                  <c:v>8.51</c:v>
                </c:pt>
                <c:pt idx="11">
                  <c:v>8.5299999999999994</c:v>
                </c:pt>
                <c:pt idx="12">
                  <c:v>8.5299999999999994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7-401A-9877-7280D0D89752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main!$AM$55:$AM$67</c:f>
              <c:numCache>
                <c:formatCode>0.000</c:formatCode>
                <c:ptCount val="13"/>
                <c:pt idx="0">
                  <c:v>8.0310623514457635</c:v>
                </c:pt>
                <c:pt idx="1">
                  <c:v>8.1910334620455885</c:v>
                </c:pt>
                <c:pt idx="2">
                  <c:v>7.4504689058206832</c:v>
                </c:pt>
                <c:pt idx="3">
                  <c:v>7.6618470281352282</c:v>
                </c:pt>
                <c:pt idx="4">
                  <c:v>7.6042864316936409</c:v>
                </c:pt>
                <c:pt idx="5">
                  <c:v>7.4224266395591805</c:v>
                </c:pt>
                <c:pt idx="6">
                  <c:v>7.9101922197195682</c:v>
                </c:pt>
                <c:pt idx="7">
                  <c:v>8.2084584547419883</c:v>
                </c:pt>
                <c:pt idx="8">
                  <c:v>8.2314106951313804</c:v>
                </c:pt>
                <c:pt idx="9">
                  <c:v>7.6784201606145999</c:v>
                </c:pt>
                <c:pt idx="10">
                  <c:v>8.4081199238066251</c:v>
                </c:pt>
                <c:pt idx="11">
                  <c:v>7.0929831507041943</c:v>
                </c:pt>
                <c:pt idx="12">
                  <c:v>8.4839435495315332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7-401A-9877-7280D0D8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1000m : 2000m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main!$AL$7:$AL$27</c:f>
              <c:numCache>
                <c:formatCode>General</c:formatCode>
                <c:ptCount val="21"/>
                <c:pt idx="0">
                  <c:v>2.0320867327383234</c:v>
                </c:pt>
                <c:pt idx="1">
                  <c:v>0.81098961180973195</c:v>
                </c:pt>
                <c:pt idx="2">
                  <c:v>0.53443394171712333</c:v>
                </c:pt>
                <c:pt idx="3">
                  <c:v>0.56709815439283495</c:v>
                </c:pt>
                <c:pt idx="4">
                  <c:v>0.63528626718270409</c:v>
                </c:pt>
                <c:pt idx="5">
                  <c:v>0.17224117472560072</c:v>
                </c:pt>
                <c:pt idx="6">
                  <c:v>5.3049401920291818E-2</c:v>
                </c:pt>
                <c:pt idx="7">
                  <c:v>0.50749576851777223</c:v>
                </c:pt>
                <c:pt idx="8">
                  <c:v>0.52276954460910763</c:v>
                </c:pt>
                <c:pt idx="9">
                  <c:v>0.17402192208218728</c:v>
                </c:pt>
                <c:pt idx="10">
                  <c:v>0.47674956087639808</c:v>
                </c:pt>
                <c:pt idx="11">
                  <c:v>4.9022686239108285E-2</c:v>
                </c:pt>
                <c:pt idx="12">
                  <c:v>2.7800761211318876E-2</c:v>
                </c:pt>
                <c:pt idx="13">
                  <c:v>4.2609381158849026E-2</c:v>
                </c:pt>
                <c:pt idx="14">
                  <c:v>1.1292568380808535E-2</c:v>
                </c:pt>
                <c:pt idx="15">
                  <c:v>5.2621667991798156E-3</c:v>
                </c:pt>
                <c:pt idx="16">
                  <c:v>3.3999494967714042E-3</c:v>
                </c:pt>
                <c:pt idx="17">
                  <c:v>4.1035290349700831E-3</c:v>
                </c:pt>
                <c:pt idx="18">
                  <c:v>0.5877192982456152</c:v>
                </c:pt>
                <c:pt idx="19">
                  <c:v>0.9872611464968134</c:v>
                </c:pt>
                <c:pt idx="20">
                  <c:v>1.0094339622641491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0-4CA9-902B-8A7767C01C9B}"/>
            </c:ext>
          </c:extLst>
        </c:ser>
        <c:ser>
          <c:idx val="1"/>
          <c:order val="1"/>
          <c:tx>
            <c:v>1000m : 3800m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main!$AL$55:$AL$67</c:f>
              <c:numCache>
                <c:formatCode>General</c:formatCode>
                <c:ptCount val="13"/>
                <c:pt idx="0">
                  <c:v>1.1747649647051375</c:v>
                </c:pt>
                <c:pt idx="1">
                  <c:v>0.69821723000824409</c:v>
                </c:pt>
                <c:pt idx="2">
                  <c:v>0.31462482397907859</c:v>
                </c:pt>
                <c:pt idx="3">
                  <c:v>0.63299138832639812</c:v>
                </c:pt>
                <c:pt idx="4">
                  <c:v>0.35896080556069471</c:v>
                </c:pt>
                <c:pt idx="5">
                  <c:v>0.28510192729295508</c:v>
                </c:pt>
                <c:pt idx="6">
                  <c:v>0.48179169701383834</c:v>
                </c:pt>
                <c:pt idx="7">
                  <c:v>3.6224948519388643E-2</c:v>
                </c:pt>
                <c:pt idx="8">
                  <c:v>8.0634904484521638E-2</c:v>
                </c:pt>
                <c:pt idx="9">
                  <c:v>1.377358490566038E-2</c:v>
                </c:pt>
                <c:pt idx="10">
                  <c:v>3.1232654278542287E-3</c:v>
                </c:pt>
                <c:pt idx="11">
                  <c:v>4.9101535331305731E-3</c:v>
                </c:pt>
                <c:pt idx="12">
                  <c:v>4.0230944045206033E-3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0-4CA9-902B-8A7767C01C9B}"/>
            </c:ext>
          </c:extLst>
        </c:ser>
        <c:ser>
          <c:idx val="2"/>
          <c:order val="2"/>
          <c:tx>
            <c:v>2000m : 3800m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main!$AL$31:$AL$49</c:f>
              <c:numCache>
                <c:formatCode>General</c:formatCode>
                <c:ptCount val="19"/>
                <c:pt idx="0">
                  <c:v>0.57810768889873687</c:v>
                </c:pt>
                <c:pt idx="1">
                  <c:v>1.0626288128606762</c:v>
                </c:pt>
                <c:pt idx="2">
                  <c:v>0.55479782739891381</c:v>
                </c:pt>
                <c:pt idx="3">
                  <c:v>1.4337880237655489</c:v>
                </c:pt>
                <c:pt idx="4">
                  <c:v>1.1485318603483363</c:v>
                </c:pt>
                <c:pt idx="5">
                  <c:v>0.54536827983377523</c:v>
                </c:pt>
                <c:pt idx="6">
                  <c:v>1.5226445077136996</c:v>
                </c:pt>
                <c:pt idx="7">
                  <c:v>0.73894254473737642</c:v>
                </c:pt>
                <c:pt idx="8">
                  <c:v>2.2129575458499731</c:v>
                </c:pt>
                <c:pt idx="9">
                  <c:v>1.7012641509433961</c:v>
                </c:pt>
                <c:pt idx="10">
                  <c:v>0.9186211238784826</c:v>
                </c:pt>
                <c:pt idx="11">
                  <c:v>0.5233310149380781</c:v>
                </c:pt>
                <c:pt idx="12">
                  <c:v>4.0384497266752698E-3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0-4CA9-902B-8A7767C01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13272"/>
        <c:axId val="519304088"/>
      </c:scatterChart>
      <c:valAx>
        <c:axId val="51931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cup open midpoint</a:t>
                </a:r>
              </a:p>
            </c:rich>
          </c:tx>
          <c:layout>
            <c:manualLayout>
              <c:xMode val="edge"/>
              <c:yMode val="edge"/>
              <c:x val="0.46647599599988848"/>
              <c:y val="0.92587951211980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04088"/>
        <c:crosses val="autoZero"/>
        <c:crossBetween val="midCat"/>
      </c:valAx>
      <c:valAx>
        <c:axId val="51930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Mass</a:t>
                </a:r>
                <a:r>
                  <a:rPr lang="en-AU" baseline="0"/>
                  <a:t> per cup [mg]</a:t>
                </a:r>
              </a:p>
            </c:rich>
          </c:tx>
          <c:layout>
            <c:manualLayout>
              <c:xMode val="edge"/>
              <c:yMode val="edge"/>
              <c:x val="2.0408163265306121E-2"/>
              <c:y val="0.32480160211187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3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92328380928875E-2"/>
          <c:y val="3.329549357292106E-2"/>
          <c:w val="0.86136163016288991"/>
          <c:h val="0.76306192699635322"/>
        </c:manualLayout>
      </c:layout>
      <c:scatterChart>
        <c:scatterStyle val="lineMarker"/>
        <c:varyColors val="0"/>
        <c:ser>
          <c:idx val="0"/>
          <c:order val="0"/>
          <c:tx>
            <c:v>1000m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F-4021-BEC6-D13A6A66223E}"/>
            </c:ext>
          </c:extLst>
        </c:ser>
        <c:ser>
          <c:idx val="1"/>
          <c:order val="1"/>
          <c:tx>
            <c:v>2000m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F-4021-BEC6-D13A6A66223E}"/>
            </c:ext>
          </c:extLst>
        </c:ser>
        <c:ser>
          <c:idx val="2"/>
          <c:order val="2"/>
          <c:tx>
            <c:v>3800m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main!$V$55:$V$75</c:f>
              <c:numCache>
                <c:formatCode>d\-mmm\-yy</c:formatCode>
                <c:ptCount val="21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main!$R$55:$R$75</c:f>
              <c:numCache>
                <c:formatCode>0.00</c:formatCode>
                <c:ptCount val="21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CF-4021-BEC6-D13A6A662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992408"/>
        <c:axId val="559004872"/>
      </c:scatterChart>
      <c:valAx>
        <c:axId val="55899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cup mid</a:t>
                </a:r>
                <a:r>
                  <a:rPr lang="en-AU" baseline="0"/>
                  <a:t> point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04872"/>
        <c:crosses val="autoZero"/>
        <c:crossBetween val="midCat"/>
      </c:valAx>
      <c:valAx>
        <c:axId val="55900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psu salinity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92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SAZ18 %BSi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47_1000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main!$AB$7:$AB$27</c:f>
              <c:numCache>
                <c:formatCode>0.00</c:formatCode>
                <c:ptCount val="21"/>
                <c:pt idx="0">
                  <c:v>4.2735492084299702</c:v>
                </c:pt>
                <c:pt idx="1">
                  <c:v>1.2346026068987441</c:v>
                </c:pt>
                <c:pt idx="2">
                  <c:v>0.75642819466422351</c:v>
                </c:pt>
                <c:pt idx="3">
                  <c:v>1.7973557446373152</c:v>
                </c:pt>
                <c:pt idx="4">
                  <c:v>4.1786102977837167</c:v>
                </c:pt>
                <c:pt idx="5">
                  <c:v>3.4394797833128559</c:v>
                </c:pt>
                <c:pt idx="6">
                  <c:v>1.7535571260306242</c:v>
                </c:pt>
                <c:pt idx="7">
                  <c:v>4.1045175470137716</c:v>
                </c:pt>
                <c:pt idx="8">
                  <c:v>4.6360487197724041</c:v>
                </c:pt>
                <c:pt idx="9">
                  <c:v>4.2417019784438219</c:v>
                </c:pt>
                <c:pt idx="10">
                  <c:v>4.1981018125844249</c:v>
                </c:pt>
                <c:pt idx="11">
                  <c:v>4.2072196112429276</c:v>
                </c:pt>
                <c:pt idx="12">
                  <c:v>3.889708083832335</c:v>
                </c:pt>
                <c:pt idx="13">
                  <c:v>2.5490511049723756</c:v>
                </c:pt>
                <c:pt idx="14">
                  <c:v>3.4687657891237857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4C-4428-AF6F-6966F0DBC4FA}"/>
            </c:ext>
          </c:extLst>
        </c:ser>
        <c:ser>
          <c:idx val="1"/>
          <c:order val="1"/>
          <c:tx>
            <c:v>47_2000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main!$AB$31:$AB$51</c:f>
              <c:numCache>
                <c:formatCode>0.00</c:formatCode>
                <c:ptCount val="21"/>
                <c:pt idx="0">
                  <c:v>1.6202174824972513</c:v>
                </c:pt>
                <c:pt idx="1">
                  <c:v>4.0355532687258933</c:v>
                </c:pt>
                <c:pt idx="2">
                  <c:v>3.173122252162814</c:v>
                </c:pt>
                <c:pt idx="3">
                  <c:v>4.7190671992481201</c:v>
                </c:pt>
                <c:pt idx="4">
                  <c:v>5.5425373840690799</c:v>
                </c:pt>
                <c:pt idx="5">
                  <c:v>6.7522031505424298</c:v>
                </c:pt>
                <c:pt idx="6">
                  <c:v>5.6432789776817858</c:v>
                </c:pt>
                <c:pt idx="7">
                  <c:v>5.3411537441763572</c:v>
                </c:pt>
                <c:pt idx="8">
                  <c:v>5.5311882387134288</c:v>
                </c:pt>
                <c:pt idx="9">
                  <c:v>5.9981946343945811</c:v>
                </c:pt>
                <c:pt idx="10">
                  <c:v>5.369221874188522</c:v>
                </c:pt>
                <c:pt idx="11">
                  <c:v>5.1729584077233355</c:v>
                </c:pt>
                <c:pt idx="12">
                  <c:v>5.0736257992051152</c:v>
                </c:pt>
                <c:pt idx="13">
                  <c:v>5.5341526452030418</c:v>
                </c:pt>
                <c:pt idx="14">
                  <c:v>7.093779127948534</c:v>
                </c:pt>
                <c:pt idx="15">
                  <c:v>9.0522385974647506</c:v>
                </c:pt>
                <c:pt idx="16">
                  <c:v>12.526804529392866</c:v>
                </c:pt>
                <c:pt idx="17">
                  <c:v>9.9699347465570725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4C-4428-AF6F-6966F0DBC4FA}"/>
            </c:ext>
          </c:extLst>
        </c:ser>
        <c:ser>
          <c:idx val="3"/>
          <c:order val="2"/>
          <c:tx>
            <c:v>47_3800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noFill/>
                <a:prstDash val="solid"/>
              </a:ln>
            </c:spPr>
          </c:marker>
          <c:xVal>
            <c:numRef>
              <c:f>main!$V$55:$V$75</c:f>
              <c:numCache>
                <c:formatCode>d\-mmm\-yy</c:formatCode>
                <c:ptCount val="21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main!$AB$55:$AB$75</c:f>
              <c:numCache>
                <c:formatCode>0.00</c:formatCode>
                <c:ptCount val="21"/>
                <c:pt idx="0">
                  <c:v>4.0644737090086709</c:v>
                </c:pt>
                <c:pt idx="1">
                  <c:v>3.4585493265941376</c:v>
                </c:pt>
                <c:pt idx="2">
                  <c:v>4.6425417148172148</c:v>
                </c:pt>
                <c:pt idx="3">
                  <c:v>5.4876691351917604</c:v>
                </c:pt>
                <c:pt idx="4">
                  <c:v>4.8761123826192323</c:v>
                </c:pt>
                <c:pt idx="5">
                  <c:v>4.4863428943937418</c:v>
                </c:pt>
                <c:pt idx="6">
                  <c:v>4.5666921783010936</c:v>
                </c:pt>
                <c:pt idx="7">
                  <c:v>4.2328067591536813</c:v>
                </c:pt>
                <c:pt idx="8">
                  <c:v>4.8063167090680476</c:v>
                </c:pt>
                <c:pt idx="9">
                  <c:v>6.8094656510835989</c:v>
                </c:pt>
                <c:pt idx="10">
                  <c:v>10.657373406950796</c:v>
                </c:pt>
                <c:pt idx="11">
                  <c:v>9.0173174623934376</c:v>
                </c:pt>
                <c:pt idx="12">
                  <c:v>7.0630665910621264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4C-4428-AF6F-6966F0DBC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094136813020065"/>
          <c:y val="0.54778677140881904"/>
          <c:w val="8.4618613342703361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SAZ18 %PIC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47_1000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main!$AG$7:$AG$27</c:f>
              <c:numCache>
                <c:formatCode>General</c:formatCode>
                <c:ptCount val="21"/>
                <c:pt idx="0">
                  <c:v>6.1941570379529267</c:v>
                </c:pt>
                <c:pt idx="1">
                  <c:v>7.5000942600435305</c:v>
                </c:pt>
                <c:pt idx="2">
                  <c:v>10.193225049195879</c:v>
                </c:pt>
                <c:pt idx="3">
                  <c:v>9.378420028747156</c:v>
                </c:pt>
                <c:pt idx="4">
                  <c:v>8.1093543227727896</c:v>
                </c:pt>
                <c:pt idx="5">
                  <c:v>7.1332930202666169</c:v>
                </c:pt>
                <c:pt idx="6">
                  <c:v>0</c:v>
                </c:pt>
                <c:pt idx="7">
                  <c:v>7.3929898723190055</c:v>
                </c:pt>
                <c:pt idx="8">
                  <c:v>7.34526567819929</c:v>
                </c:pt>
                <c:pt idx="9">
                  <c:v>6.9833866957133459</c:v>
                </c:pt>
                <c:pt idx="10">
                  <c:v>7.1410073976288295</c:v>
                </c:pt>
                <c:pt idx="11">
                  <c:v>7.7436021043894101</c:v>
                </c:pt>
                <c:pt idx="12">
                  <c:v>0</c:v>
                </c:pt>
                <c:pt idx="13">
                  <c:v>4.714252073838531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1-4D1D-B063-F8163C781453}"/>
            </c:ext>
          </c:extLst>
        </c:ser>
        <c:ser>
          <c:idx val="1"/>
          <c:order val="1"/>
          <c:tx>
            <c:v>47_2000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main!$AG$31:$AG$51</c:f>
              <c:numCache>
                <c:formatCode>General</c:formatCode>
                <c:ptCount val="21"/>
                <c:pt idx="0">
                  <c:v>8.0919200758577201</c:v>
                </c:pt>
                <c:pt idx="1">
                  <c:v>8.9434565178595324</c:v>
                </c:pt>
                <c:pt idx="2">
                  <c:v>9.0760108448170431</c:v>
                </c:pt>
                <c:pt idx="3">
                  <c:v>9.2952513578105922</c:v>
                </c:pt>
                <c:pt idx="4">
                  <c:v>8.7136191687505224</c:v>
                </c:pt>
                <c:pt idx="5">
                  <c:v>8.05525789408828</c:v>
                </c:pt>
                <c:pt idx="6">
                  <c:v>7.9817066942475448</c:v>
                </c:pt>
                <c:pt idx="7">
                  <c:v>7.6774270862199625</c:v>
                </c:pt>
                <c:pt idx="8">
                  <c:v>7.951819209748237</c:v>
                </c:pt>
                <c:pt idx="9">
                  <c:v>7.6436647163790772</c:v>
                </c:pt>
                <c:pt idx="10">
                  <c:v>7.2441736088154505</c:v>
                </c:pt>
                <c:pt idx="11">
                  <c:v>8.1032905168320433</c:v>
                </c:pt>
                <c:pt idx="12">
                  <c:v>8.4359890983656207</c:v>
                </c:pt>
                <c:pt idx="13">
                  <c:v>8.1537260120753849</c:v>
                </c:pt>
                <c:pt idx="14">
                  <c:v>8.1113236279480319</c:v>
                </c:pt>
                <c:pt idx="15">
                  <c:v>7.5628171173307823</c:v>
                </c:pt>
                <c:pt idx="16">
                  <c:v>6.0232474713156234</c:v>
                </c:pt>
                <c:pt idx="17">
                  <c:v>5.1768731315022984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F1-4D1D-B063-F8163C781453}"/>
            </c:ext>
          </c:extLst>
        </c:ser>
        <c:ser>
          <c:idx val="3"/>
          <c:order val="2"/>
          <c:tx>
            <c:v>47_3800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noFill/>
                <a:prstDash val="solid"/>
              </a:ln>
            </c:spPr>
          </c:marker>
          <c:xVal>
            <c:numRef>
              <c:f>main!$V$55:$V$75</c:f>
              <c:numCache>
                <c:formatCode>d\-mmm\-yy</c:formatCode>
                <c:ptCount val="21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main!$AG$55:$AG$75</c:f>
              <c:numCache>
                <c:formatCode>General</c:formatCode>
                <c:ptCount val="21"/>
                <c:pt idx="0">
                  <c:v>8.845477884671423</c:v>
                </c:pt>
                <c:pt idx="1">
                  <c:v>9.3467898441847179</c:v>
                </c:pt>
                <c:pt idx="2">
                  <c:v>9.1712445836116814</c:v>
                </c:pt>
                <c:pt idx="3">
                  <c:v>8.5810815138472858</c:v>
                </c:pt>
                <c:pt idx="4">
                  <c:v>8.603062804858272</c:v>
                </c:pt>
                <c:pt idx="5">
                  <c:v>8.1325960704875779</c:v>
                </c:pt>
                <c:pt idx="6">
                  <c:v>8.5355567693643621</c:v>
                </c:pt>
                <c:pt idx="7">
                  <c:v>8.7531906917375544</c:v>
                </c:pt>
                <c:pt idx="8">
                  <c:v>8.4572202106069891</c:v>
                </c:pt>
                <c:pt idx="9">
                  <c:v>8.1666329963192883</c:v>
                </c:pt>
                <c:pt idx="10">
                  <c:v>6.508312582459685</c:v>
                </c:pt>
                <c:pt idx="11">
                  <c:v>6.4481400191060469</c:v>
                </c:pt>
                <c:pt idx="12">
                  <c:v>7.5706086904097711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F1-4D1D-B063-F8163C781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%PIC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094136813020065"/>
          <c:y val="0.54778677140881904"/>
          <c:w val="8.4618613342703361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SAZ18 %POC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47_1000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main!$AH$7:$AH$27</c:f>
              <c:numCache>
                <c:formatCode>0.00</c:formatCode>
                <c:ptCount val="21"/>
                <c:pt idx="0">
                  <c:v>10.985276784678909</c:v>
                </c:pt>
                <c:pt idx="1">
                  <c:v>11.403172646694751</c:v>
                </c:pt>
                <c:pt idx="2">
                  <c:v>5.3131063945907417</c:v>
                </c:pt>
                <c:pt idx="3">
                  <c:v>6.3087356948246214</c:v>
                </c:pt>
                <c:pt idx="4">
                  <c:v>7.597459966320228</c:v>
                </c:pt>
                <c:pt idx="5">
                  <c:v>10.663061273556625</c:v>
                </c:pt>
                <c:pt idx="6" formatCode="General">
                  <c:v>0</c:v>
                </c:pt>
                <c:pt idx="7">
                  <c:v>9.435659648555017</c:v>
                </c:pt>
                <c:pt idx="8">
                  <c:v>9.2670313799061788</c:v>
                </c:pt>
                <c:pt idx="9">
                  <c:v>10.576267540126498</c:v>
                </c:pt>
                <c:pt idx="10">
                  <c:v>10.007041003250077</c:v>
                </c:pt>
                <c:pt idx="11">
                  <c:v>8.1622034833791446</c:v>
                </c:pt>
                <c:pt idx="12" formatCode="General">
                  <c:v>0</c:v>
                </c:pt>
                <c:pt idx="13">
                  <c:v>5.7304472135760198</c:v>
                </c:pt>
                <c:pt idx="14" formatCode="General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07-475A-B282-4EDB947275A0}"/>
            </c:ext>
          </c:extLst>
        </c:ser>
        <c:ser>
          <c:idx val="1"/>
          <c:order val="1"/>
          <c:tx>
            <c:v>47_2000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main!$AH$31:$AH$51</c:f>
              <c:numCache>
                <c:formatCode>0.00</c:formatCode>
                <c:ptCount val="21"/>
                <c:pt idx="0">
                  <c:v>6.2101591248869088</c:v>
                </c:pt>
                <c:pt idx="1">
                  <c:v>4.5881530173577527</c:v>
                </c:pt>
                <c:pt idx="2">
                  <c:v>5.6597622417308084</c:v>
                </c:pt>
                <c:pt idx="3">
                  <c:v>3.770934593422318</c:v>
                </c:pt>
                <c:pt idx="4">
                  <c:v>3.9237104096491358</c:v>
                </c:pt>
                <c:pt idx="5">
                  <c:v>4.6256751045689466</c:v>
                </c:pt>
                <c:pt idx="6">
                  <c:v>5.0994719709135881</c:v>
                </c:pt>
                <c:pt idx="7">
                  <c:v>6.5271303326032797</c:v>
                </c:pt>
                <c:pt idx="8">
                  <c:v>5.673969478911431</c:v>
                </c:pt>
                <c:pt idx="9">
                  <c:v>6.3670860541897705</c:v>
                </c:pt>
                <c:pt idx="10">
                  <c:v>7.5181240214946081</c:v>
                </c:pt>
                <c:pt idx="11">
                  <c:v>5.6404486112807497</c:v>
                </c:pt>
                <c:pt idx="12">
                  <c:v>4.8353531791612347</c:v>
                </c:pt>
                <c:pt idx="13">
                  <c:v>5.0886026317234432</c:v>
                </c:pt>
                <c:pt idx="14">
                  <c:v>4.5862519412048002</c:v>
                </c:pt>
                <c:pt idx="15">
                  <c:v>4.6920633109834267</c:v>
                </c:pt>
                <c:pt idx="16">
                  <c:v>6.3974630923440445</c:v>
                </c:pt>
                <c:pt idx="17">
                  <c:v>11.440062598478171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07-475A-B282-4EDB947275A0}"/>
            </c:ext>
          </c:extLst>
        </c:ser>
        <c:ser>
          <c:idx val="3"/>
          <c:order val="2"/>
          <c:tx>
            <c:v>47_3800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noFill/>
                <a:prstDash val="solid"/>
              </a:ln>
            </c:spPr>
          </c:marker>
          <c:xVal>
            <c:numRef>
              <c:f>main!$V$55:$V$75</c:f>
              <c:numCache>
                <c:formatCode>d\-mmm\-yy</c:formatCode>
                <c:ptCount val="21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main!$AH$55:$AH$75</c:f>
              <c:numCache>
                <c:formatCode>0.00</c:formatCode>
                <c:ptCount val="21"/>
                <c:pt idx="0">
                  <c:v>4.1348983589198856</c:v>
                </c:pt>
                <c:pt idx="1">
                  <c:v>3.6859421657029774</c:v>
                </c:pt>
                <c:pt idx="2">
                  <c:v>3.1305790324161507</c:v>
                </c:pt>
                <c:pt idx="3">
                  <c:v>4.0477846818314251</c:v>
                </c:pt>
                <c:pt idx="4">
                  <c:v>4.4058206713990522</c:v>
                </c:pt>
                <c:pt idx="5">
                  <c:v>6.126183455269258</c:v>
                </c:pt>
                <c:pt idx="6">
                  <c:v>4.4705648660726496</c:v>
                </c:pt>
                <c:pt idx="7">
                  <c:v>4.296971623631098</c:v>
                </c:pt>
                <c:pt idx="8">
                  <c:v>4.6495655636239679</c:v>
                </c:pt>
                <c:pt idx="9">
                  <c:v>4.1183821098818836</c:v>
                </c:pt>
                <c:pt idx="10">
                  <c:v>6.3994566207263501</c:v>
                </c:pt>
                <c:pt idx="11">
                  <c:v>7.3730865777262284</c:v>
                </c:pt>
                <c:pt idx="12">
                  <c:v>6.1031736582230414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07-475A-B282-4EDB9472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%POC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094136813020065"/>
          <c:y val="0.54778677140881904"/>
          <c:w val="8.4618613342703361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Total mass flux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47_1000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main!$H$7:$H$27</c:f>
              <c:numCache>
                <c:formatCode>0.00</c:formatCode>
                <c:ptCount val="21"/>
                <c:pt idx="0">
                  <c:v>62.373109243697478</c:v>
                </c:pt>
                <c:pt idx="1">
                  <c:v>24.929411764705875</c:v>
                </c:pt>
                <c:pt idx="2">
                  <c:v>20.620168067226892</c:v>
                </c:pt>
                <c:pt idx="3">
                  <c:v>26.285714285714281</c:v>
                </c:pt>
                <c:pt idx="4">
                  <c:v>40.001680672268918</c:v>
                </c:pt>
                <c:pt idx="5">
                  <c:v>7.8067226890756309</c:v>
                </c:pt>
                <c:pt idx="6">
                  <c:v>1.6621848739495799</c:v>
                </c:pt>
                <c:pt idx="7">
                  <c:v>21.164705882352944</c:v>
                </c:pt>
                <c:pt idx="8">
                  <c:v>14.643697478991596</c:v>
                </c:pt>
                <c:pt idx="9">
                  <c:v>7.1243697478991583</c:v>
                </c:pt>
                <c:pt idx="10">
                  <c:v>17.334453781512604</c:v>
                </c:pt>
                <c:pt idx="11">
                  <c:v>2.0991596638655476</c:v>
                </c:pt>
                <c:pt idx="12">
                  <c:v>1.6941176470588231</c:v>
                </c:pt>
                <c:pt idx="13">
                  <c:v>3.6336134453781508</c:v>
                </c:pt>
                <c:pt idx="14">
                  <c:v>1.6084033613445379</c:v>
                </c:pt>
                <c:pt idx="15">
                  <c:v>0.84537815126050442</c:v>
                </c:pt>
                <c:pt idx="16">
                  <c:v>0.63361344537815179</c:v>
                </c:pt>
                <c:pt idx="17">
                  <c:v>0.34453781512605114</c:v>
                </c:pt>
                <c:pt idx="18">
                  <c:v>0.45042016806722807</c:v>
                </c:pt>
                <c:pt idx="19">
                  <c:v>0.26050420168067179</c:v>
                </c:pt>
                <c:pt idx="20">
                  <c:v>0.17983193277310927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1-4554-9082-B6F4FF33422D}"/>
            </c:ext>
          </c:extLst>
        </c:ser>
        <c:ser>
          <c:idx val="1"/>
          <c:order val="1"/>
          <c:tx>
            <c:v>47_2000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main!$H$31:$H$51</c:f>
              <c:numCache>
                <c:formatCode>0.00</c:formatCode>
                <c:ptCount val="21"/>
                <c:pt idx="0">
                  <c:v>30.694117647058821</c:v>
                </c:pt>
                <c:pt idx="1">
                  <c:v>30.739495798319325</c:v>
                </c:pt>
                <c:pt idx="2">
                  <c:v>38.583193277310926</c:v>
                </c:pt>
                <c:pt idx="3">
                  <c:v>46.351260504201683</c:v>
                </c:pt>
                <c:pt idx="4">
                  <c:v>62.966386554621842</c:v>
                </c:pt>
                <c:pt idx="5">
                  <c:v>45.324369747899162</c:v>
                </c:pt>
                <c:pt idx="6">
                  <c:v>31.332773109243689</c:v>
                </c:pt>
                <c:pt idx="7">
                  <c:v>41.70420168067227</c:v>
                </c:pt>
                <c:pt idx="8">
                  <c:v>28.01176470588236</c:v>
                </c:pt>
                <c:pt idx="9">
                  <c:v>40.939495798319321</c:v>
                </c:pt>
                <c:pt idx="10">
                  <c:v>36.359663865546224</c:v>
                </c:pt>
                <c:pt idx="11">
                  <c:v>42.820168067226895</c:v>
                </c:pt>
                <c:pt idx="12">
                  <c:v>60.937815126050417</c:v>
                </c:pt>
                <c:pt idx="13">
                  <c:v>85.277310924369758</c:v>
                </c:pt>
                <c:pt idx="14">
                  <c:v>142.43025210084033</c:v>
                </c:pt>
                <c:pt idx="15">
                  <c:v>160.65210084033612</c:v>
                </c:pt>
                <c:pt idx="16">
                  <c:v>186.3596638655462</c:v>
                </c:pt>
                <c:pt idx="17">
                  <c:v>83.961344537815108</c:v>
                </c:pt>
                <c:pt idx="18">
                  <c:v>0.76638655462184913</c:v>
                </c:pt>
                <c:pt idx="19">
                  <c:v>0.26386554621848746</c:v>
                </c:pt>
                <c:pt idx="20">
                  <c:v>0.17815126050420207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D1-4554-9082-B6F4FF33422D}"/>
            </c:ext>
          </c:extLst>
        </c:ser>
        <c:ser>
          <c:idx val="3"/>
          <c:order val="2"/>
          <c:tx>
            <c:v>47_3800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noFill/>
                <a:prstDash val="solid"/>
              </a:ln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main!$H$55:$H$67</c:f>
              <c:numCache>
                <c:formatCode>0.00</c:formatCode>
                <c:ptCount val="13"/>
                <c:pt idx="0">
                  <c:v>33.429629629629638</c:v>
                </c:pt>
                <c:pt idx="1">
                  <c:v>41.075132275132269</c:v>
                </c:pt>
                <c:pt idx="2">
                  <c:v>52.603174603174601</c:v>
                </c:pt>
                <c:pt idx="3">
                  <c:v>47.55449735449735</c:v>
                </c:pt>
                <c:pt idx="4">
                  <c:v>40.039153439153431</c:v>
                </c:pt>
                <c:pt idx="5">
                  <c:v>32.339682539682535</c:v>
                </c:pt>
                <c:pt idx="6">
                  <c:v>31.964021164021158</c:v>
                </c:pt>
                <c:pt idx="7">
                  <c:v>36.48571428571428</c:v>
                </c:pt>
                <c:pt idx="8">
                  <c:v>41.601058201058201</c:v>
                </c:pt>
                <c:pt idx="9">
                  <c:v>112.16931216931216</c:v>
                </c:pt>
                <c:pt idx="10">
                  <c:v>127.73227513227512</c:v>
                </c:pt>
                <c:pt idx="11">
                  <c:v>101.93756613756612</c:v>
                </c:pt>
                <c:pt idx="12">
                  <c:v>68.914285714285711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D1-4554-9082-B6F4FF334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Total</a:t>
                </a:r>
                <a:r>
                  <a:rPr lang="en-AU" baseline="0"/>
                  <a:t> mass flux [mg m-2 d-1]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094136813020065"/>
          <c:y val="0.54778677140881904"/>
          <c:w val="8.4618613342703361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18" Type="http://schemas.openxmlformats.org/officeDocument/2006/relationships/chart" Target="../charts/chart31.xml"/><Relationship Id="rId3" Type="http://schemas.openxmlformats.org/officeDocument/2006/relationships/chart" Target="../charts/chart16.xml"/><Relationship Id="rId21" Type="http://schemas.openxmlformats.org/officeDocument/2006/relationships/chart" Target="../charts/chart34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17" Type="http://schemas.openxmlformats.org/officeDocument/2006/relationships/chart" Target="../charts/chart30.xml"/><Relationship Id="rId2" Type="http://schemas.openxmlformats.org/officeDocument/2006/relationships/chart" Target="../charts/chart15.xml"/><Relationship Id="rId16" Type="http://schemas.openxmlformats.org/officeDocument/2006/relationships/chart" Target="../charts/chart29.xml"/><Relationship Id="rId20" Type="http://schemas.openxmlformats.org/officeDocument/2006/relationships/chart" Target="../charts/chart33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5" Type="http://schemas.openxmlformats.org/officeDocument/2006/relationships/chart" Target="../charts/chart28.xml"/><Relationship Id="rId10" Type="http://schemas.openxmlformats.org/officeDocument/2006/relationships/chart" Target="../charts/chart23.xml"/><Relationship Id="rId19" Type="http://schemas.openxmlformats.org/officeDocument/2006/relationships/chart" Target="../charts/chart32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Relationship Id="rId1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161924</xdr:colOff>
      <xdr:row>79</xdr:row>
      <xdr:rowOff>19049</xdr:rowOff>
    </xdr:from>
    <xdr:to>
      <xdr:col>12</xdr:col>
      <xdr:colOff>523875</xdr:colOff>
      <xdr:row>98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628650</xdr:colOff>
      <xdr:row>14</xdr:row>
      <xdr:rowOff>38100</xdr:rowOff>
    </xdr:from>
    <xdr:to>
      <xdr:col>34</xdr:col>
      <xdr:colOff>187325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7DFA8-9EC8-4C59-AA3C-112665214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48260</xdr:colOff>
      <xdr:row>47</xdr:row>
      <xdr:rowOff>124460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16</xdr:col>
      <xdr:colOff>48260</xdr:colOff>
      <xdr:row>47</xdr:row>
      <xdr:rowOff>124460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24</xdr:col>
      <xdr:colOff>48260</xdr:colOff>
      <xdr:row>47</xdr:row>
      <xdr:rowOff>124460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32</xdr:col>
      <xdr:colOff>48260</xdr:colOff>
      <xdr:row>47</xdr:row>
      <xdr:rowOff>124460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48260</xdr:colOff>
      <xdr:row>96</xdr:row>
      <xdr:rowOff>114935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2400"/>
          <a:ext cx="4925060" cy="7887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16</xdr:col>
      <xdr:colOff>48260</xdr:colOff>
      <xdr:row>95</xdr:row>
      <xdr:rowOff>124460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24</xdr:col>
      <xdr:colOff>48260</xdr:colOff>
      <xdr:row>95</xdr:row>
      <xdr:rowOff>124460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32</xdr:col>
      <xdr:colOff>48260</xdr:colOff>
      <xdr:row>95</xdr:row>
      <xdr:rowOff>124460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8</xdr:col>
      <xdr:colOff>48260</xdr:colOff>
      <xdr:row>144</xdr:row>
      <xdr:rowOff>124460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06725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0</xdr:rowOff>
    </xdr:from>
    <xdr:to>
      <xdr:col>16</xdr:col>
      <xdr:colOff>48260</xdr:colOff>
      <xdr:row>144</xdr:row>
      <xdr:rowOff>124460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5706725"/>
          <a:ext cx="4925060" cy="77349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15240</xdr:rowOff>
    </xdr:from>
    <xdr:to>
      <xdr:col>17</xdr:col>
      <xdr:colOff>76200</xdr:colOff>
      <xdr:row>17</xdr:row>
      <xdr:rowOff>15240</xdr:rowOff>
    </xdr:to>
    <xdr:graphicFrame macro="">
      <xdr:nvGraphicFramePr>
        <xdr:cNvPr id="2889" name="Chart 1">
          <a:extLst>
            <a:ext uri="{FF2B5EF4-FFF2-40B4-BE49-F238E27FC236}">
              <a16:creationId xmlns:a16="http://schemas.microsoft.com/office/drawing/2014/main" id="{00000000-0008-0000-0A00-000049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152400</xdr:rowOff>
    </xdr:from>
    <xdr:to>
      <xdr:col>16</xdr:col>
      <xdr:colOff>574040</xdr:colOff>
      <xdr:row>34</xdr:row>
      <xdr:rowOff>30480</xdr:rowOff>
    </xdr:to>
    <xdr:graphicFrame macro="">
      <xdr:nvGraphicFramePr>
        <xdr:cNvPr id="2890" name="Chart 2">
          <a:extLst>
            <a:ext uri="{FF2B5EF4-FFF2-40B4-BE49-F238E27FC236}">
              <a16:creationId xmlns:a16="http://schemas.microsoft.com/office/drawing/2014/main" id="{00000000-0008-0000-0A00-00004A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152400</xdr:rowOff>
    </xdr:from>
    <xdr:to>
      <xdr:col>17</xdr:col>
      <xdr:colOff>0</xdr:colOff>
      <xdr:row>50</xdr:row>
      <xdr:rowOff>152400</xdr:rowOff>
    </xdr:to>
    <xdr:graphicFrame macro="">
      <xdr:nvGraphicFramePr>
        <xdr:cNvPr id="2891" name="Chart 3">
          <a:extLst>
            <a:ext uri="{FF2B5EF4-FFF2-40B4-BE49-F238E27FC236}">
              <a16:creationId xmlns:a16="http://schemas.microsoft.com/office/drawing/2014/main" id="{00000000-0008-0000-0A00-00004B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71120</xdr:rowOff>
    </xdr:from>
    <xdr:to>
      <xdr:col>17</xdr:col>
      <xdr:colOff>0</xdr:colOff>
      <xdr:row>68</xdr:row>
      <xdr:rowOff>60960</xdr:rowOff>
    </xdr:to>
    <xdr:graphicFrame macro="">
      <xdr:nvGraphicFramePr>
        <xdr:cNvPr id="2892" name="Chart 6">
          <a:extLst>
            <a:ext uri="{FF2B5EF4-FFF2-40B4-BE49-F238E27FC236}">
              <a16:creationId xmlns:a16="http://schemas.microsoft.com/office/drawing/2014/main" id="{00000000-0008-0000-0A00-00004C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563880</xdr:colOff>
      <xdr:row>0</xdr:row>
      <xdr:rowOff>152400</xdr:rowOff>
    </xdr:from>
    <xdr:to>
      <xdr:col>27</xdr:col>
      <xdr:colOff>327660</xdr:colOff>
      <xdr:row>19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594360</xdr:colOff>
      <xdr:row>19</xdr:row>
      <xdr:rowOff>137160</xdr:rowOff>
    </xdr:from>
    <xdr:to>
      <xdr:col>27</xdr:col>
      <xdr:colOff>358140</xdr:colOff>
      <xdr:row>38</xdr:row>
      <xdr:rowOff>53340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14</xdr:row>
      <xdr:rowOff>133350</xdr:rowOff>
    </xdr:from>
    <xdr:to>
      <xdr:col>4</xdr:col>
      <xdr:colOff>828675</xdr:colOff>
      <xdr:row>35</xdr:row>
      <xdr:rowOff>9525</xdr:rowOff>
    </xdr:to>
    <xdr:pic>
      <xdr:nvPicPr>
        <xdr:cNvPr id="808973" name="Picture 1">
          <a:extLst>
            <a:ext uri="{FF2B5EF4-FFF2-40B4-BE49-F238E27FC236}">
              <a16:creationId xmlns:a16="http://schemas.microsoft.com/office/drawing/2014/main" id="{00000000-0008-0000-0B00-00000D5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438400"/>
          <a:ext cx="8562975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 xmlns:r="http://schemas.openxmlformats.org/officeDocument/2006/relationships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xmlns:r="http://schemas.openxmlformats.org/officeDocument/2006/relationships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26</xdr:row>
      <xdr:rowOff>0</xdr:rowOff>
    </xdr:from>
    <xdr:to>
      <xdr:col>30</xdr:col>
      <xdr:colOff>625475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91C5A-3426-4F07-BC55-F6E7E77A1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266700</xdr:colOff>
      <xdr:row>21</xdr:row>
      <xdr:rowOff>152400</xdr:rowOff>
    </xdr:from>
    <xdr:to>
      <xdr:col>55</xdr:col>
      <xdr:colOff>368300</xdr:colOff>
      <xdr:row>65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63500</xdr:colOff>
      <xdr:row>73</xdr:row>
      <xdr:rowOff>3175</xdr:rowOff>
    </xdr:from>
    <xdr:to>
      <xdr:col>56</xdr:col>
      <xdr:colOff>587375</xdr:colOff>
      <xdr:row>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501650</xdr:colOff>
      <xdr:row>60</xdr:row>
      <xdr:rowOff>139700</xdr:rowOff>
    </xdr:from>
    <xdr:to>
      <xdr:col>34</xdr:col>
      <xdr:colOff>120650</xdr:colOff>
      <xdr:row>78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793750</xdr:colOff>
      <xdr:row>61</xdr:row>
      <xdr:rowOff>63500</xdr:rowOff>
    </xdr:from>
    <xdr:to>
      <xdr:col>28</xdr:col>
      <xdr:colOff>107950</xdr:colOff>
      <xdr:row>79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152400</xdr:rowOff>
    </xdr:from>
    <xdr:to>
      <xdr:col>8</xdr:col>
      <xdr:colOff>228600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1D58B-55D5-4890-B224-6A925E907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190500</xdr:colOff>
      <xdr:row>22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7AFF9-4CA1-45E8-9E10-1492E018D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257175</xdr:colOff>
      <xdr:row>0</xdr:row>
      <xdr:rowOff>123825</xdr:rowOff>
    </xdr:from>
    <xdr:to>
      <xdr:col>25</xdr:col>
      <xdr:colOff>447675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58481-9B66-4189-A275-75BDE7928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8</xdr:col>
      <xdr:colOff>190500</xdr:colOff>
      <xdr:row>44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1AD71B-0C33-41FA-B656-CB9EC39C6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17</xdr:col>
      <xdr:colOff>190500</xdr:colOff>
      <xdr:row>44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1D6B92-B931-4AA3-8EF8-B452B9ABA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342900</xdr:colOff>
      <xdr:row>23</xdr:row>
      <xdr:rowOff>9525</xdr:rowOff>
    </xdr:from>
    <xdr:to>
      <xdr:col>25</xdr:col>
      <xdr:colOff>533400</xdr:colOff>
      <xdr:row>44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0BB852-CD28-4685-8231-E4ABA3D0B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8</xdr:col>
      <xdr:colOff>190500</xdr:colOff>
      <xdr:row>66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C619A5-AFC9-46A1-8E5C-1F148235A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17</xdr:col>
      <xdr:colOff>190500</xdr:colOff>
      <xdr:row>66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FF0526-4012-4CC5-BD01-9D12F0261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381000</xdr:colOff>
      <xdr:row>44</xdr:row>
      <xdr:rowOff>152400</xdr:rowOff>
    </xdr:from>
    <xdr:to>
      <xdr:col>25</xdr:col>
      <xdr:colOff>571500</xdr:colOff>
      <xdr:row>66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9C76A5-B08D-44DC-9736-3B8F6CE9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67</xdr:row>
      <xdr:rowOff>0</xdr:rowOff>
    </xdr:from>
    <xdr:to>
      <xdr:col>8</xdr:col>
      <xdr:colOff>190500</xdr:colOff>
      <xdr:row>88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633FBBF-E8A7-4FCE-9D1A-FF9A6E315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17</xdr:col>
      <xdr:colOff>190500</xdr:colOff>
      <xdr:row>88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F823A8F-7D43-4D82-89DF-2EF2090E3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409575</xdr:colOff>
      <xdr:row>66</xdr:row>
      <xdr:rowOff>142875</xdr:rowOff>
    </xdr:from>
    <xdr:to>
      <xdr:col>25</xdr:col>
      <xdr:colOff>600075</xdr:colOff>
      <xdr:row>87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8CE0AA-ADF6-4C7A-8053-CB8F4AC6F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89</xdr:row>
      <xdr:rowOff>104775</xdr:rowOff>
    </xdr:from>
    <xdr:to>
      <xdr:col>8</xdr:col>
      <xdr:colOff>447675</xdr:colOff>
      <xdr:row>108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FCB76FC-04C6-466F-8F90-0E6E2F08F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90</xdr:row>
      <xdr:rowOff>0</xdr:rowOff>
    </xdr:from>
    <xdr:to>
      <xdr:col>17</xdr:col>
      <xdr:colOff>447675</xdr:colOff>
      <xdr:row>108</xdr:row>
      <xdr:rowOff>146050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2351743-C123-432B-A35A-9BD0E30FC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0</xdr:colOff>
      <xdr:row>90</xdr:row>
      <xdr:rowOff>0</xdr:rowOff>
    </xdr:from>
    <xdr:to>
      <xdr:col>26</xdr:col>
      <xdr:colOff>447675</xdr:colOff>
      <xdr:row>108</xdr:row>
      <xdr:rowOff>146050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5E3677C-BC40-4DBA-9B60-5D2AE6ED6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109</xdr:row>
      <xdr:rowOff>161924</xdr:rowOff>
    </xdr:from>
    <xdr:to>
      <xdr:col>13</xdr:col>
      <xdr:colOff>180974</xdr:colOff>
      <xdr:row>134</xdr:row>
      <xdr:rowOff>161924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CB32C5B-832E-46F6-9328-CBF3ADAD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109</xdr:row>
      <xdr:rowOff>114300</xdr:rowOff>
    </xdr:from>
    <xdr:to>
      <xdr:col>26</xdr:col>
      <xdr:colOff>425905</xdr:colOff>
      <xdr:row>137</xdr:row>
      <xdr:rowOff>95025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007154D-44F6-4F95-A138-1F625CCD4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25400</xdr:colOff>
      <xdr:row>138</xdr:row>
      <xdr:rowOff>46264</xdr:rowOff>
    </xdr:from>
    <xdr:to>
      <xdr:col>13</xdr:col>
      <xdr:colOff>127000</xdr:colOff>
      <xdr:row>164</xdr:row>
      <xdr:rowOff>1814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25554B5-EC0C-469F-B1E1-A17CD8C1D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</xdr:col>
      <xdr:colOff>355600</xdr:colOff>
      <xdr:row>138</xdr:row>
      <xdr:rowOff>28122</xdr:rowOff>
    </xdr:from>
    <xdr:to>
      <xdr:col>26</xdr:col>
      <xdr:colOff>457200</xdr:colOff>
      <xdr:row>163</xdr:row>
      <xdr:rowOff>142422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D7836B3-7A57-407F-AB11-32F473D3E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25400</xdr:colOff>
      <xdr:row>165</xdr:row>
      <xdr:rowOff>114300</xdr:rowOff>
    </xdr:from>
    <xdr:to>
      <xdr:col>13</xdr:col>
      <xdr:colOff>127000</xdr:colOff>
      <xdr:row>191</xdr:row>
      <xdr:rowOff>69850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19F6A6B-C7AD-452B-BD19-335F4C8F9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0</xdr:colOff>
      <xdr:row>166</xdr:row>
      <xdr:rowOff>0</xdr:rowOff>
    </xdr:from>
    <xdr:to>
      <xdr:col>27</xdr:col>
      <xdr:colOff>101600</xdr:colOff>
      <xdr:row>191</xdr:row>
      <xdr:rowOff>117475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8B0FD94-9168-4B5F-94EB-83020179B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132"/>
  <sheetViews>
    <sheetView workbookViewId="0">
      <pane xSplit="3" ySplit="2" topLeftCell="D3" activePane="bottomRight" state="frozenSplit"/>
      <selection pane="topRight" activeCell="B1" sqref="B1"/>
      <selection pane="bottomLeft" activeCell="A4" sqref="A4"/>
      <selection pane="bottomRight" activeCell="F50" sqref="F50"/>
    </sheetView>
  </sheetViews>
  <sheetFormatPr defaultColWidth="8.81640625" defaultRowHeight="12.5" x14ac:dyDescent="0.25"/>
  <cols>
    <col min="1" max="1" width="5.7265625" customWidth="1"/>
    <col min="2" max="2" width="11.1796875" customWidth="1"/>
    <col min="3" max="3" width="6.26953125" customWidth="1"/>
    <col min="4" max="4" width="20.54296875" bestFit="1" customWidth="1"/>
    <col min="6" max="6" width="10.453125" style="3" customWidth="1"/>
    <col min="7" max="7" width="10.453125" style="2" customWidth="1"/>
    <col min="8" max="8" width="10.453125" style="3" customWidth="1"/>
    <col min="9" max="9" width="16.54296875" style="2" bestFit="1" customWidth="1"/>
    <col min="10" max="10" width="6.7265625" style="2" customWidth="1"/>
    <col min="11" max="11" width="11.1796875" style="2" bestFit="1" customWidth="1"/>
    <col min="12" max="12" width="13.26953125" style="3" customWidth="1"/>
    <col min="13" max="13" width="14.81640625" customWidth="1"/>
    <col min="14" max="15" width="14.81640625" style="15" customWidth="1"/>
    <col min="16" max="16" width="33" customWidth="1"/>
    <col min="17" max="17" width="33.81640625" bestFit="1" customWidth="1"/>
    <col min="19" max="19" width="14.453125" customWidth="1"/>
    <col min="26" max="26" width="8.7265625" style="3" customWidth="1"/>
    <col min="27" max="27" width="7.81640625" customWidth="1"/>
    <col min="28" max="28" width="6.1796875" customWidth="1"/>
    <col min="29" max="29" width="16.26953125" customWidth="1"/>
    <col min="30" max="30" width="17.453125" customWidth="1"/>
    <col min="31" max="31" width="16.7265625" style="4" customWidth="1"/>
    <col min="32" max="32" width="7.81640625" customWidth="1"/>
    <col min="33" max="33" width="9.1796875" customWidth="1"/>
  </cols>
  <sheetData>
    <row r="1" spans="1:33" x14ac:dyDescent="0.25">
      <c r="A1" t="s">
        <v>59</v>
      </c>
      <c r="B1" t="s">
        <v>54</v>
      </c>
      <c r="C1" t="s">
        <v>55</v>
      </c>
      <c r="D1" t="s">
        <v>71</v>
      </c>
      <c r="E1" s="3" t="s">
        <v>31</v>
      </c>
      <c r="F1" s="3" t="s">
        <v>30</v>
      </c>
      <c r="G1" s="2" t="s">
        <v>31</v>
      </c>
      <c r="H1" s="3" t="s">
        <v>30</v>
      </c>
      <c r="I1" s="2" t="s">
        <v>31</v>
      </c>
      <c r="J1" s="2" t="s">
        <v>30</v>
      </c>
      <c r="K1" s="26" t="s">
        <v>695</v>
      </c>
      <c r="L1" s="146" t="s">
        <v>30</v>
      </c>
      <c r="M1" s="30" t="s">
        <v>74</v>
      </c>
      <c r="N1" s="26" t="s">
        <v>72</v>
      </c>
      <c r="O1" s="26" t="s">
        <v>695</v>
      </c>
      <c r="P1" t="s">
        <v>73</v>
      </c>
      <c r="Q1" s="2" t="s">
        <v>697</v>
      </c>
      <c r="R1" s="2"/>
      <c r="S1" s="2"/>
      <c r="T1" s="2"/>
      <c r="U1" s="2"/>
      <c r="V1" s="2"/>
      <c r="W1" s="2"/>
      <c r="X1" s="2"/>
      <c r="Y1" s="2"/>
      <c r="AA1" s="2"/>
      <c r="AB1" s="2"/>
      <c r="AC1" s="2"/>
      <c r="AD1" s="2"/>
    </row>
    <row r="2" spans="1:33" ht="13" x14ac:dyDescent="0.3">
      <c r="B2" t="s">
        <v>303</v>
      </c>
      <c r="E2" s="3"/>
      <c r="G2" s="2" t="s">
        <v>116</v>
      </c>
      <c r="H2" s="3" t="s">
        <v>116</v>
      </c>
      <c r="I2" s="2" t="s">
        <v>117</v>
      </c>
      <c r="J2" s="2" t="s">
        <v>117</v>
      </c>
      <c r="K2" s="288" t="s">
        <v>696</v>
      </c>
      <c r="L2" s="30" t="s">
        <v>14</v>
      </c>
      <c r="M2" s="30" t="s">
        <v>14</v>
      </c>
      <c r="N2" s="26"/>
      <c r="O2" s="288" t="s">
        <v>696</v>
      </c>
      <c r="Q2" t="s">
        <v>698</v>
      </c>
      <c r="T2" s="2"/>
      <c r="U2" s="2"/>
      <c r="V2" s="2"/>
      <c r="W2" s="6"/>
      <c r="X2" s="6"/>
      <c r="Y2" s="2"/>
      <c r="AA2" s="2"/>
      <c r="AB2" s="2"/>
      <c r="AC2" s="2"/>
      <c r="AD2" s="2"/>
    </row>
    <row r="3" spans="1:33" s="219" customFormat="1" x14ac:dyDescent="0.25">
      <c r="A3" s="219">
        <v>2016</v>
      </c>
      <c r="B3" s="219">
        <v>1000</v>
      </c>
      <c r="C3" s="219">
        <v>1</v>
      </c>
      <c r="E3" s="277">
        <v>36.92</v>
      </c>
      <c r="F3" s="277">
        <v>8.33</v>
      </c>
      <c r="G3" s="257"/>
      <c r="H3" s="277"/>
      <c r="I3" s="257"/>
      <c r="J3" s="257"/>
      <c r="K3" s="257"/>
      <c r="L3" s="285">
        <v>42887</v>
      </c>
      <c r="M3" s="285">
        <v>42887</v>
      </c>
      <c r="N3" s="286" t="s">
        <v>375</v>
      </c>
      <c r="O3" s="286">
        <v>18.100000000000001</v>
      </c>
      <c r="Q3" s="6" t="s">
        <v>30</v>
      </c>
      <c r="R3" s="5">
        <v>7</v>
      </c>
      <c r="S3" s="7">
        <v>10</v>
      </c>
      <c r="Z3" s="255"/>
      <c r="AE3" s="287"/>
    </row>
    <row r="4" spans="1:33" ht="13" x14ac:dyDescent="0.3">
      <c r="A4" s="219">
        <v>2016</v>
      </c>
      <c r="B4" s="219">
        <v>1000</v>
      </c>
      <c r="C4">
        <v>2</v>
      </c>
      <c r="D4" s="19"/>
      <c r="E4" s="3">
        <v>36.15</v>
      </c>
      <c r="F4" s="3">
        <v>8.44</v>
      </c>
      <c r="H4" s="166"/>
      <c r="J4" s="3"/>
      <c r="K4" s="3"/>
      <c r="L4" s="285">
        <v>42887</v>
      </c>
      <c r="M4" s="285">
        <v>42887</v>
      </c>
      <c r="N4" s="286" t="s">
        <v>375</v>
      </c>
      <c r="O4" s="15">
        <v>18</v>
      </c>
      <c r="Q4" t="s">
        <v>699</v>
      </c>
      <c r="R4">
        <v>7.02</v>
      </c>
      <c r="S4">
        <v>10.07</v>
      </c>
      <c r="T4" s="298" t="s">
        <v>700</v>
      </c>
      <c r="AA4" s="3"/>
      <c r="AB4" s="2"/>
      <c r="AC4" s="11"/>
      <c r="AD4" s="11"/>
      <c r="AE4" s="11"/>
      <c r="AF4" s="2"/>
      <c r="AG4" s="2"/>
    </row>
    <row r="5" spans="1:33" x14ac:dyDescent="0.25">
      <c r="A5" s="219">
        <v>2016</v>
      </c>
      <c r="B5" s="219">
        <v>1000</v>
      </c>
      <c r="C5">
        <v>3</v>
      </c>
      <c r="D5" s="19"/>
      <c r="E5" s="289">
        <v>34.619999999999997</v>
      </c>
      <c r="F5" s="289">
        <v>7.99</v>
      </c>
      <c r="H5" s="166"/>
      <c r="I5" s="3"/>
      <c r="J5" s="3"/>
      <c r="K5" s="3"/>
      <c r="L5" s="285">
        <v>42887</v>
      </c>
      <c r="M5" s="285">
        <v>42887</v>
      </c>
      <c r="N5" s="286" t="s">
        <v>375</v>
      </c>
      <c r="O5" s="15">
        <v>18</v>
      </c>
      <c r="AA5" s="3"/>
      <c r="AB5" s="2"/>
      <c r="AC5" s="11"/>
      <c r="AD5" s="11"/>
      <c r="AE5" s="11"/>
      <c r="AF5" s="2"/>
      <c r="AG5" s="2"/>
    </row>
    <row r="6" spans="1:33" x14ac:dyDescent="0.25">
      <c r="A6" s="219">
        <v>2016</v>
      </c>
      <c r="B6" s="219">
        <v>1000</v>
      </c>
      <c r="C6" s="219">
        <v>4</v>
      </c>
      <c r="D6" s="19"/>
      <c r="E6" s="3">
        <v>35.79</v>
      </c>
      <c r="F6" s="3">
        <v>8.33</v>
      </c>
      <c r="H6" s="166"/>
      <c r="I6" s="3"/>
      <c r="J6" s="3"/>
      <c r="K6" s="3"/>
      <c r="L6" s="285">
        <v>42887</v>
      </c>
      <c r="M6" s="285">
        <v>42887</v>
      </c>
      <c r="N6" s="286" t="s">
        <v>375</v>
      </c>
      <c r="O6" s="15">
        <v>18</v>
      </c>
      <c r="Q6" t="s">
        <v>701</v>
      </c>
      <c r="AA6" s="3"/>
      <c r="AB6" s="2"/>
      <c r="AC6" s="11"/>
      <c r="AD6" s="11"/>
      <c r="AE6" s="11"/>
      <c r="AF6" s="2"/>
      <c r="AG6" s="2"/>
    </row>
    <row r="7" spans="1:33" x14ac:dyDescent="0.25">
      <c r="A7" s="219">
        <v>2016</v>
      </c>
      <c r="B7" s="219">
        <v>1000</v>
      </c>
      <c r="C7">
        <v>5</v>
      </c>
      <c r="D7" s="19"/>
      <c r="E7" s="3">
        <v>37.15</v>
      </c>
      <c r="F7" s="3">
        <v>8.39</v>
      </c>
      <c r="H7" s="166"/>
      <c r="J7" s="3"/>
      <c r="K7" s="3"/>
      <c r="L7" s="285">
        <v>42887</v>
      </c>
      <c r="M7" s="285">
        <v>42887</v>
      </c>
      <c r="N7" s="286" t="s">
        <v>375</v>
      </c>
      <c r="O7" s="15">
        <v>17.899999999999999</v>
      </c>
      <c r="AA7" s="3"/>
      <c r="AB7" s="2"/>
      <c r="AC7" s="11"/>
      <c r="AD7" s="11"/>
      <c r="AE7" s="11"/>
      <c r="AF7" s="2"/>
      <c r="AG7" s="2"/>
    </row>
    <row r="8" spans="1:33" x14ac:dyDescent="0.25">
      <c r="A8" s="219">
        <v>2016</v>
      </c>
      <c r="B8" s="219">
        <v>1000</v>
      </c>
      <c r="C8">
        <v>6</v>
      </c>
      <c r="D8" s="19"/>
      <c r="E8" s="3">
        <v>37.35</v>
      </c>
      <c r="F8" s="3">
        <v>8.5</v>
      </c>
      <c r="H8" s="166"/>
      <c r="I8" s="3"/>
      <c r="J8" s="3"/>
      <c r="K8" s="3"/>
      <c r="L8" s="285">
        <v>42887</v>
      </c>
      <c r="M8" s="285">
        <v>42887</v>
      </c>
      <c r="N8" s="286" t="s">
        <v>375</v>
      </c>
      <c r="O8" s="15">
        <v>17.8</v>
      </c>
      <c r="Q8" t="s">
        <v>30</v>
      </c>
      <c r="R8">
        <v>7</v>
      </c>
      <c r="S8">
        <v>10</v>
      </c>
      <c r="AA8" s="3"/>
      <c r="AB8" s="2"/>
      <c r="AC8" s="11"/>
      <c r="AD8" s="11"/>
      <c r="AE8" s="11"/>
      <c r="AF8" s="2"/>
      <c r="AG8" s="2"/>
    </row>
    <row r="9" spans="1:33" x14ac:dyDescent="0.25">
      <c r="A9" s="219">
        <v>2016</v>
      </c>
      <c r="B9" s="219">
        <v>1000</v>
      </c>
      <c r="C9" s="219">
        <v>7</v>
      </c>
      <c r="D9" s="19"/>
      <c r="E9" s="3">
        <v>37.72</v>
      </c>
      <c r="F9" s="3">
        <v>8.61</v>
      </c>
      <c r="H9" s="166"/>
      <c r="I9" s="3"/>
      <c r="J9" s="3"/>
      <c r="K9" s="3"/>
      <c r="L9" s="285">
        <v>42887</v>
      </c>
      <c r="M9" s="285">
        <v>42887</v>
      </c>
      <c r="N9" s="286" t="s">
        <v>375</v>
      </c>
      <c r="O9" s="15">
        <v>17.7</v>
      </c>
      <c r="AA9" s="3"/>
      <c r="AB9" s="2"/>
      <c r="AC9" s="11"/>
      <c r="AD9" s="11"/>
      <c r="AE9" s="11"/>
      <c r="AF9" s="2"/>
      <c r="AG9" s="2"/>
    </row>
    <row r="10" spans="1:33" x14ac:dyDescent="0.25">
      <c r="A10" s="219">
        <v>2016</v>
      </c>
      <c r="B10" s="219">
        <v>1000</v>
      </c>
      <c r="C10">
        <v>8</v>
      </c>
      <c r="D10" s="19"/>
      <c r="E10" s="3">
        <v>37.97</v>
      </c>
      <c r="F10" s="3">
        <v>8.58</v>
      </c>
      <c r="G10" s="3">
        <v>37.97</v>
      </c>
      <c r="H10" s="166">
        <v>8.59</v>
      </c>
      <c r="I10" s="3">
        <f>E10-G10</f>
        <v>0</v>
      </c>
      <c r="J10" s="3">
        <f>F10-H10</f>
        <v>-9.9999999999997868E-3</v>
      </c>
      <c r="K10" s="3">
        <v>18.100000000000001</v>
      </c>
      <c r="L10" s="285">
        <v>42887</v>
      </c>
      <c r="M10" s="285">
        <v>42887</v>
      </c>
      <c r="N10" s="286" t="s">
        <v>375</v>
      </c>
      <c r="O10" s="15">
        <v>17.899999999999999</v>
      </c>
      <c r="AA10" s="3"/>
      <c r="AB10" s="2"/>
      <c r="AC10" s="11"/>
      <c r="AD10" s="11"/>
      <c r="AE10" s="11"/>
      <c r="AF10" s="2"/>
      <c r="AG10" s="2"/>
    </row>
    <row r="11" spans="1:33" x14ac:dyDescent="0.25">
      <c r="A11" s="219">
        <v>2016</v>
      </c>
      <c r="B11" s="219">
        <v>1000</v>
      </c>
      <c r="C11">
        <v>9</v>
      </c>
      <c r="D11" s="19"/>
      <c r="E11" s="3">
        <v>38.25</v>
      </c>
      <c r="F11" s="3">
        <v>8.58</v>
      </c>
      <c r="H11" s="166"/>
      <c r="I11" s="3"/>
      <c r="J11" s="3"/>
      <c r="K11" s="3"/>
      <c r="L11" s="285">
        <v>42887</v>
      </c>
      <c r="M11" s="285">
        <v>42887</v>
      </c>
      <c r="N11" s="286" t="s">
        <v>375</v>
      </c>
      <c r="O11" s="15">
        <v>17.899999999999999</v>
      </c>
      <c r="AA11" s="3"/>
      <c r="AB11" s="2"/>
      <c r="AC11" s="11"/>
      <c r="AD11" s="11"/>
      <c r="AE11" s="11"/>
      <c r="AF11" s="2"/>
      <c r="AG11" s="2"/>
    </row>
    <row r="12" spans="1:33" x14ac:dyDescent="0.25">
      <c r="A12" s="219">
        <v>2016</v>
      </c>
      <c r="B12" s="219">
        <v>1000</v>
      </c>
      <c r="C12" s="219">
        <v>10</v>
      </c>
      <c r="D12" s="20"/>
      <c r="E12" s="3">
        <v>37.880000000000003</v>
      </c>
      <c r="F12" s="3">
        <v>8.59</v>
      </c>
      <c r="H12" s="166"/>
      <c r="I12" s="3"/>
      <c r="J12" s="3"/>
      <c r="K12" s="3"/>
      <c r="L12" s="285">
        <v>42887</v>
      </c>
      <c r="M12" s="285">
        <v>42887</v>
      </c>
      <c r="N12" s="286" t="s">
        <v>375</v>
      </c>
      <c r="O12" s="15">
        <v>17.8</v>
      </c>
      <c r="Q12" s="17" t="s">
        <v>702</v>
      </c>
      <c r="AA12" s="3"/>
      <c r="AB12" s="2"/>
      <c r="AC12" s="11"/>
      <c r="AD12" s="11"/>
      <c r="AE12" s="11"/>
      <c r="AF12" s="2"/>
      <c r="AG12" s="2"/>
    </row>
    <row r="13" spans="1:33" ht="13" x14ac:dyDescent="0.3">
      <c r="A13" s="219">
        <v>2016</v>
      </c>
      <c r="B13" s="219">
        <v>1000</v>
      </c>
      <c r="C13">
        <v>11</v>
      </c>
      <c r="D13" s="20"/>
      <c r="E13" s="3">
        <v>38.200000000000003</v>
      </c>
      <c r="F13" s="3">
        <v>8.6</v>
      </c>
      <c r="H13" s="166"/>
      <c r="J13" s="3"/>
      <c r="K13" s="3"/>
      <c r="L13" s="285">
        <v>42887</v>
      </c>
      <c r="M13" s="285">
        <v>42887</v>
      </c>
      <c r="N13" s="286" t="s">
        <v>375</v>
      </c>
      <c r="O13" s="15">
        <v>17.7</v>
      </c>
      <c r="Q13" s="64" t="s">
        <v>707</v>
      </c>
      <c r="AA13" s="3"/>
      <c r="AB13" s="2"/>
      <c r="AC13" s="11"/>
      <c r="AD13" s="11"/>
      <c r="AE13" s="11"/>
      <c r="AF13" s="2"/>
      <c r="AG13" s="2"/>
    </row>
    <row r="14" spans="1:33" x14ac:dyDescent="0.25">
      <c r="A14" s="219">
        <v>2016</v>
      </c>
      <c r="B14" s="219">
        <v>1000</v>
      </c>
      <c r="C14">
        <v>12</v>
      </c>
      <c r="D14" s="20"/>
      <c r="E14" s="3">
        <v>38.299999999999997</v>
      </c>
      <c r="F14" s="3">
        <v>8.65</v>
      </c>
      <c r="H14" s="166"/>
      <c r="J14" s="3"/>
      <c r="K14" s="3"/>
      <c r="L14" s="285">
        <v>42887</v>
      </c>
      <c r="M14" s="285">
        <v>42887</v>
      </c>
      <c r="N14" s="286" t="s">
        <v>375</v>
      </c>
      <c r="O14" s="15">
        <v>17.8</v>
      </c>
      <c r="Q14" s="17"/>
      <c r="R14" s="17" t="s">
        <v>704</v>
      </c>
      <c r="T14" s="17" t="s">
        <v>705</v>
      </c>
      <c r="AA14" s="3"/>
      <c r="AB14" s="2"/>
      <c r="AC14" s="11"/>
      <c r="AD14" s="11"/>
      <c r="AE14" s="11"/>
      <c r="AF14" s="2"/>
      <c r="AG14" s="2"/>
    </row>
    <row r="15" spans="1:33" ht="13" x14ac:dyDescent="0.3">
      <c r="A15" s="219">
        <v>2016</v>
      </c>
      <c r="B15" s="219">
        <v>1000</v>
      </c>
      <c r="C15" s="219">
        <v>13</v>
      </c>
      <c r="E15" s="3">
        <v>38.24</v>
      </c>
      <c r="F15" s="3">
        <v>8.6</v>
      </c>
      <c r="H15" s="166"/>
      <c r="J15" s="3"/>
      <c r="K15" s="3"/>
      <c r="L15" s="285">
        <v>42887</v>
      </c>
      <c r="M15" s="285">
        <v>42887</v>
      </c>
      <c r="N15" s="286" t="s">
        <v>375</v>
      </c>
      <c r="O15" s="15">
        <v>17.899999999999999</v>
      </c>
      <c r="Q15" s="17" t="s">
        <v>703</v>
      </c>
      <c r="R15">
        <v>1420</v>
      </c>
      <c r="S15" s="299" t="s">
        <v>709</v>
      </c>
      <c r="T15">
        <v>18.5</v>
      </c>
      <c r="AA15" s="3"/>
      <c r="AB15" s="2"/>
      <c r="AC15" s="11"/>
      <c r="AD15" s="11"/>
      <c r="AE15" s="11"/>
      <c r="AF15" s="2"/>
      <c r="AG15" s="2"/>
    </row>
    <row r="16" spans="1:33" x14ac:dyDescent="0.25">
      <c r="A16" s="219">
        <v>2016</v>
      </c>
      <c r="B16" s="219">
        <v>1000</v>
      </c>
      <c r="C16">
        <v>14</v>
      </c>
      <c r="E16" s="3">
        <v>38.33</v>
      </c>
      <c r="F16" s="3">
        <v>8.4700000000000006</v>
      </c>
      <c r="H16" s="166"/>
      <c r="I16" s="3"/>
      <c r="J16" s="3"/>
      <c r="K16" s="3"/>
      <c r="L16" s="285">
        <v>42887</v>
      </c>
      <c r="M16" s="285">
        <v>42887</v>
      </c>
      <c r="N16" s="286" t="s">
        <v>375</v>
      </c>
      <c r="O16" s="15">
        <v>17.899999999999999</v>
      </c>
      <c r="Q16" s="17" t="s">
        <v>706</v>
      </c>
      <c r="R16">
        <v>34.57</v>
      </c>
      <c r="S16" s="17" t="s">
        <v>48</v>
      </c>
      <c r="T16">
        <v>18.7</v>
      </c>
      <c r="AA16" s="3"/>
      <c r="AB16" s="2"/>
      <c r="AC16" s="11"/>
      <c r="AD16" s="11"/>
      <c r="AE16" s="11"/>
      <c r="AF16" s="2"/>
      <c r="AG16" s="2"/>
    </row>
    <row r="17" spans="1:28" x14ac:dyDescent="0.25">
      <c r="A17" s="219">
        <v>2016</v>
      </c>
      <c r="B17" s="219">
        <v>1000</v>
      </c>
      <c r="C17">
        <v>15</v>
      </c>
      <c r="E17" s="3">
        <v>38.090000000000003</v>
      </c>
      <c r="F17" s="3">
        <v>8.5399999999999991</v>
      </c>
      <c r="H17" s="166"/>
      <c r="I17" s="3"/>
      <c r="J17" s="3"/>
      <c r="K17" s="3"/>
      <c r="L17" s="285">
        <v>42887</v>
      </c>
      <c r="M17" s="285">
        <v>42887</v>
      </c>
      <c r="N17" s="286" t="s">
        <v>375</v>
      </c>
      <c r="O17" s="15">
        <v>17.899999999999999</v>
      </c>
      <c r="Q17" s="17" t="s">
        <v>708</v>
      </c>
      <c r="R17">
        <v>0.72</v>
      </c>
      <c r="S17" s="17" t="s">
        <v>48</v>
      </c>
      <c r="T17">
        <v>18.600000000000001</v>
      </c>
    </row>
    <row r="18" spans="1:28" x14ac:dyDescent="0.25">
      <c r="A18" s="219">
        <v>2016</v>
      </c>
      <c r="B18" s="219">
        <v>1000</v>
      </c>
      <c r="C18" s="219">
        <v>16</v>
      </c>
      <c r="E18" s="3">
        <v>38.130000000000003</v>
      </c>
      <c r="F18" s="3">
        <v>8.57</v>
      </c>
      <c r="H18" s="166"/>
      <c r="I18" s="3"/>
      <c r="J18" s="3"/>
      <c r="K18" s="3"/>
      <c r="L18" s="285">
        <v>42887</v>
      </c>
      <c r="M18" s="285">
        <v>42887</v>
      </c>
      <c r="N18" s="286" t="s">
        <v>375</v>
      </c>
      <c r="O18" s="15">
        <v>17.8</v>
      </c>
      <c r="AA18" s="3"/>
      <c r="AB18" s="2"/>
    </row>
    <row r="19" spans="1:28" x14ac:dyDescent="0.25">
      <c r="A19" s="219">
        <v>2016</v>
      </c>
      <c r="B19" s="219">
        <v>1000</v>
      </c>
      <c r="C19">
        <v>17</v>
      </c>
      <c r="E19" s="3">
        <v>38.270000000000003</v>
      </c>
      <c r="F19" s="3">
        <v>8.6300000000000008</v>
      </c>
      <c r="G19" s="3">
        <v>38.200000000000003</v>
      </c>
      <c r="H19" s="166">
        <v>8.6300000000000008</v>
      </c>
      <c r="I19" s="3">
        <f>E19-G19</f>
        <v>7.0000000000000284E-2</v>
      </c>
      <c r="J19" s="3">
        <f>F19-H19</f>
        <v>0</v>
      </c>
      <c r="K19" s="3">
        <v>18.100000000000001</v>
      </c>
      <c r="L19" s="285">
        <v>42887</v>
      </c>
      <c r="M19" s="285">
        <v>42887</v>
      </c>
      <c r="N19" s="286" t="s">
        <v>375</v>
      </c>
      <c r="O19" s="15">
        <v>17.899999999999999</v>
      </c>
      <c r="Q19" s="17" t="s">
        <v>710</v>
      </c>
      <c r="AA19" s="3"/>
      <c r="AB19" s="2"/>
    </row>
    <row r="20" spans="1:28" x14ac:dyDescent="0.25">
      <c r="A20" s="219">
        <v>2016</v>
      </c>
      <c r="B20" s="219">
        <v>1000</v>
      </c>
      <c r="C20">
        <v>18</v>
      </c>
      <c r="E20" s="3">
        <v>38.18</v>
      </c>
      <c r="F20" s="3">
        <v>8.66</v>
      </c>
      <c r="I20" s="3"/>
      <c r="J20" s="3"/>
      <c r="K20" s="3"/>
      <c r="L20" s="285">
        <v>42887</v>
      </c>
      <c r="M20" s="285">
        <v>42887</v>
      </c>
      <c r="N20" s="286" t="s">
        <v>375</v>
      </c>
      <c r="O20" s="15">
        <v>18</v>
      </c>
      <c r="Q20" s="17" t="s">
        <v>702</v>
      </c>
      <c r="R20" s="17" t="s">
        <v>704</v>
      </c>
      <c r="T20" s="17" t="s">
        <v>705</v>
      </c>
      <c r="AA20" s="3"/>
      <c r="AB20" s="2"/>
    </row>
    <row r="21" spans="1:28" ht="13" x14ac:dyDescent="0.3">
      <c r="A21" s="219">
        <v>2016</v>
      </c>
      <c r="B21" s="219">
        <v>1000</v>
      </c>
      <c r="C21" s="219">
        <v>19</v>
      </c>
      <c r="D21" s="19"/>
      <c r="E21" s="3">
        <v>37.950000000000003</v>
      </c>
      <c r="F21" s="3">
        <v>8.6300000000000008</v>
      </c>
      <c r="I21" s="3"/>
      <c r="J21" s="3"/>
      <c r="K21" s="3"/>
      <c r="L21" s="285">
        <v>42887</v>
      </c>
      <c r="M21" s="285">
        <v>42887</v>
      </c>
      <c r="N21" s="286" t="s">
        <v>375</v>
      </c>
      <c r="O21" s="15">
        <v>18</v>
      </c>
      <c r="Q21" s="17" t="s">
        <v>703</v>
      </c>
      <c r="R21">
        <v>1421</v>
      </c>
      <c r="S21" s="299" t="s">
        <v>709</v>
      </c>
      <c r="T21">
        <v>18.899999999999999</v>
      </c>
      <c r="AA21" s="3"/>
      <c r="AB21" s="2"/>
    </row>
    <row r="22" spans="1:28" x14ac:dyDescent="0.25">
      <c r="A22" s="219">
        <v>2016</v>
      </c>
      <c r="B22" s="219">
        <v>1000</v>
      </c>
      <c r="C22">
        <v>20</v>
      </c>
      <c r="D22" s="20"/>
      <c r="E22" s="3">
        <v>38.11</v>
      </c>
      <c r="F22" s="3">
        <v>8.65</v>
      </c>
      <c r="H22" s="166"/>
      <c r="I22" s="3"/>
      <c r="J22" s="3"/>
      <c r="K22" s="3"/>
      <c r="L22" s="285">
        <v>42887</v>
      </c>
      <c r="M22" s="285">
        <v>42887</v>
      </c>
      <c r="N22" s="286" t="s">
        <v>375</v>
      </c>
      <c r="O22" s="15">
        <v>18</v>
      </c>
      <c r="Q22" s="17" t="s">
        <v>706</v>
      </c>
      <c r="R22">
        <v>34.4</v>
      </c>
      <c r="S22" s="17" t="s">
        <v>48</v>
      </c>
      <c r="T22">
        <v>19.399999999999999</v>
      </c>
      <c r="AA22" s="3"/>
      <c r="AB22" s="2"/>
    </row>
    <row r="23" spans="1:28" x14ac:dyDescent="0.25">
      <c r="A23" s="293">
        <v>2016</v>
      </c>
      <c r="B23" s="293">
        <v>1000</v>
      </c>
      <c r="C23" s="293">
        <v>21</v>
      </c>
      <c r="D23" s="19"/>
      <c r="E23" s="3">
        <v>38.35</v>
      </c>
      <c r="F23" s="3">
        <v>8.6199999999999992</v>
      </c>
      <c r="H23" s="166"/>
      <c r="J23" s="3"/>
      <c r="K23" s="110"/>
      <c r="L23" s="290">
        <v>42887</v>
      </c>
      <c r="M23" s="290">
        <v>42887</v>
      </c>
      <c r="N23" s="291" t="s">
        <v>375</v>
      </c>
      <c r="O23" s="292">
        <v>18</v>
      </c>
      <c r="P23" s="84"/>
      <c r="Q23" s="17" t="s">
        <v>708</v>
      </c>
      <c r="R23">
        <v>0.71</v>
      </c>
      <c r="S23" s="17" t="s">
        <v>48</v>
      </c>
      <c r="T23">
        <v>19.3</v>
      </c>
      <c r="AA23" s="3"/>
      <c r="AB23" s="2"/>
    </row>
    <row r="24" spans="1:28" x14ac:dyDescent="0.25">
      <c r="A24" s="219">
        <v>2016</v>
      </c>
      <c r="B24" s="219">
        <v>2000</v>
      </c>
      <c r="C24" s="219">
        <v>1</v>
      </c>
      <c r="D24" s="167"/>
      <c r="E24" s="104">
        <v>38.04</v>
      </c>
      <c r="F24" s="104">
        <v>8.5500000000000007</v>
      </c>
      <c r="G24" s="102"/>
      <c r="H24" s="168"/>
      <c r="I24" s="104"/>
      <c r="J24" s="104"/>
      <c r="K24" s="3"/>
      <c r="L24" s="285">
        <v>42887</v>
      </c>
      <c r="M24" s="285">
        <v>42887</v>
      </c>
      <c r="N24" s="286" t="s">
        <v>375</v>
      </c>
      <c r="O24" s="15">
        <v>18.2</v>
      </c>
      <c r="Q24" s="80"/>
      <c r="AA24" s="3"/>
      <c r="AB24" s="2"/>
    </row>
    <row r="25" spans="1:28" x14ac:dyDescent="0.25">
      <c r="A25" s="219">
        <v>2016</v>
      </c>
      <c r="B25" s="219">
        <v>2000</v>
      </c>
      <c r="C25">
        <v>2</v>
      </c>
      <c r="D25" s="19"/>
      <c r="E25" s="3">
        <v>37.17</v>
      </c>
      <c r="F25" s="3">
        <v>8.51</v>
      </c>
      <c r="H25" s="166"/>
      <c r="I25" s="3"/>
      <c r="J25" s="3"/>
      <c r="K25" s="3"/>
      <c r="L25" s="285">
        <v>42887</v>
      </c>
      <c r="M25" s="285">
        <v>42887</v>
      </c>
      <c r="N25" s="286" t="s">
        <v>375</v>
      </c>
      <c r="O25" s="15">
        <v>18</v>
      </c>
      <c r="AA25" s="3"/>
      <c r="AB25" s="2"/>
    </row>
    <row r="26" spans="1:28" x14ac:dyDescent="0.25">
      <c r="A26" s="219">
        <v>2016</v>
      </c>
      <c r="B26" s="219">
        <v>2000</v>
      </c>
      <c r="C26">
        <v>3</v>
      </c>
      <c r="D26" s="19"/>
      <c r="E26" s="3">
        <v>36.270000000000003</v>
      </c>
      <c r="F26" s="3">
        <v>8.4499999999999993</v>
      </c>
      <c r="H26" s="166"/>
      <c r="I26" s="3"/>
      <c r="J26" s="3"/>
      <c r="K26" s="3"/>
      <c r="L26" s="285">
        <v>42887</v>
      </c>
      <c r="M26" s="285">
        <v>42887</v>
      </c>
      <c r="N26" s="286" t="s">
        <v>375</v>
      </c>
      <c r="O26" s="15">
        <v>17.899999999999999</v>
      </c>
      <c r="AA26" s="3"/>
      <c r="AB26" s="2"/>
    </row>
    <row r="27" spans="1:28" x14ac:dyDescent="0.25">
      <c r="A27" s="219">
        <v>2016</v>
      </c>
      <c r="B27" s="219">
        <v>2000</v>
      </c>
      <c r="C27" s="219">
        <v>4</v>
      </c>
      <c r="D27" s="19"/>
      <c r="E27" s="3">
        <v>37.07</v>
      </c>
      <c r="F27" s="3">
        <v>8.5299999999999994</v>
      </c>
      <c r="H27" s="166"/>
      <c r="I27" s="3"/>
      <c r="J27" s="3"/>
      <c r="K27" s="3"/>
      <c r="L27" s="285">
        <v>42887</v>
      </c>
      <c r="M27" s="285">
        <v>42887</v>
      </c>
      <c r="N27" s="286" t="s">
        <v>375</v>
      </c>
      <c r="O27" s="15">
        <v>18</v>
      </c>
      <c r="AA27" s="3"/>
      <c r="AB27" s="2"/>
    </row>
    <row r="28" spans="1:28" x14ac:dyDescent="0.25">
      <c r="A28" s="219">
        <v>2016</v>
      </c>
      <c r="B28" s="219">
        <v>2000</v>
      </c>
      <c r="C28">
        <v>5</v>
      </c>
      <c r="D28" s="19"/>
      <c r="E28" s="3">
        <v>37.82</v>
      </c>
      <c r="F28" s="3">
        <v>8.5399999999999991</v>
      </c>
      <c r="H28" s="166"/>
      <c r="I28" s="3"/>
      <c r="J28" s="3"/>
      <c r="K28" s="3"/>
      <c r="L28" s="285">
        <v>42887</v>
      </c>
      <c r="M28" s="285">
        <v>42887</v>
      </c>
      <c r="N28" s="286" t="s">
        <v>375</v>
      </c>
      <c r="O28" s="15">
        <v>18</v>
      </c>
      <c r="AA28" s="3"/>
      <c r="AB28" s="2"/>
    </row>
    <row r="29" spans="1:28" x14ac:dyDescent="0.25">
      <c r="A29" s="219">
        <v>2016</v>
      </c>
      <c r="B29" s="219">
        <v>2000</v>
      </c>
      <c r="C29">
        <v>6</v>
      </c>
      <c r="D29" s="19"/>
      <c r="E29" s="3">
        <v>38.28</v>
      </c>
      <c r="F29" s="3">
        <v>8.5500000000000007</v>
      </c>
      <c r="H29" s="166"/>
      <c r="J29" s="3"/>
      <c r="K29" s="3"/>
      <c r="L29" s="285">
        <v>42887</v>
      </c>
      <c r="M29" s="285">
        <v>42887</v>
      </c>
      <c r="N29" s="286" t="s">
        <v>375</v>
      </c>
      <c r="O29" s="15">
        <v>18</v>
      </c>
      <c r="AA29" s="3"/>
      <c r="AB29" s="2"/>
    </row>
    <row r="30" spans="1:28" x14ac:dyDescent="0.25">
      <c r="A30" s="219">
        <v>2016</v>
      </c>
      <c r="B30" s="219">
        <v>2000</v>
      </c>
      <c r="C30" s="219">
        <v>7</v>
      </c>
      <c r="E30" s="3">
        <v>38.21</v>
      </c>
      <c r="F30" s="3">
        <v>8.48</v>
      </c>
      <c r="H30" s="166"/>
      <c r="I30" s="3"/>
      <c r="L30" s="285">
        <v>42887</v>
      </c>
      <c r="M30" s="285">
        <v>42887</v>
      </c>
      <c r="N30" s="286" t="s">
        <v>375</v>
      </c>
      <c r="O30" s="15">
        <v>17.899999999999999</v>
      </c>
      <c r="AA30" s="3"/>
      <c r="AB30" s="2"/>
    </row>
    <row r="31" spans="1:28" x14ac:dyDescent="0.25">
      <c r="A31" s="219">
        <v>2016</v>
      </c>
      <c r="B31" s="219">
        <v>2000</v>
      </c>
      <c r="C31">
        <v>8</v>
      </c>
      <c r="E31" s="3">
        <v>38.18</v>
      </c>
      <c r="F31" s="3">
        <v>8.52</v>
      </c>
      <c r="G31" s="3">
        <v>38.07</v>
      </c>
      <c r="H31" s="166">
        <v>8.52</v>
      </c>
      <c r="I31" s="3">
        <f>E31-G31</f>
        <v>0.10999999999999943</v>
      </c>
      <c r="J31" s="3">
        <f>F31-H31</f>
        <v>0</v>
      </c>
      <c r="K31" s="3">
        <v>18.2</v>
      </c>
      <c r="L31" s="285">
        <v>42887</v>
      </c>
      <c r="M31" s="285">
        <v>42887</v>
      </c>
      <c r="N31" s="286" t="s">
        <v>375</v>
      </c>
      <c r="O31" s="15">
        <v>17.8</v>
      </c>
      <c r="AA31" s="3"/>
      <c r="AB31" s="2"/>
    </row>
    <row r="32" spans="1:28" x14ac:dyDescent="0.25">
      <c r="A32" s="219">
        <v>2016</v>
      </c>
      <c r="B32" s="219">
        <v>2000</v>
      </c>
      <c r="C32">
        <v>9</v>
      </c>
      <c r="E32" s="3">
        <v>38.25</v>
      </c>
      <c r="F32" s="3">
        <v>8.6</v>
      </c>
      <c r="H32" s="166"/>
      <c r="I32" s="3"/>
      <c r="J32" s="3"/>
      <c r="K32" s="3"/>
      <c r="L32" s="285">
        <v>42887</v>
      </c>
      <c r="M32" s="285">
        <v>42887</v>
      </c>
      <c r="N32" s="286" t="s">
        <v>375</v>
      </c>
      <c r="O32" s="15">
        <v>17.8</v>
      </c>
      <c r="AA32" s="3"/>
      <c r="AB32" s="2"/>
    </row>
    <row r="33" spans="1:31" x14ac:dyDescent="0.25">
      <c r="A33" s="219">
        <v>2016</v>
      </c>
      <c r="B33" s="219">
        <v>2000</v>
      </c>
      <c r="C33" s="219">
        <v>10</v>
      </c>
      <c r="E33" s="3">
        <v>38.229999999999997</v>
      </c>
      <c r="F33" s="3">
        <v>8.49</v>
      </c>
      <c r="H33" s="166"/>
      <c r="I33" s="3"/>
      <c r="J33" s="3"/>
      <c r="K33" s="3"/>
      <c r="L33" s="285">
        <v>42887</v>
      </c>
      <c r="M33" s="285">
        <v>42887</v>
      </c>
      <c r="N33" s="286" t="s">
        <v>375</v>
      </c>
      <c r="O33" s="15">
        <v>17.899999999999999</v>
      </c>
      <c r="AA33" s="3"/>
      <c r="AB33" s="2"/>
    </row>
    <row r="34" spans="1:31" x14ac:dyDescent="0.25">
      <c r="A34" s="219">
        <v>2016</v>
      </c>
      <c r="B34" s="219">
        <v>2000</v>
      </c>
      <c r="C34">
        <v>11</v>
      </c>
      <c r="E34" s="3">
        <v>38.049999999999997</v>
      </c>
      <c r="F34" s="3">
        <v>8.36</v>
      </c>
      <c r="H34" s="166"/>
      <c r="J34" s="3"/>
      <c r="K34" s="3"/>
      <c r="L34" s="285">
        <v>42887</v>
      </c>
      <c r="M34" s="285">
        <v>42887</v>
      </c>
      <c r="N34" s="286" t="s">
        <v>375</v>
      </c>
      <c r="O34" s="15">
        <v>17.899999999999999</v>
      </c>
      <c r="AA34" s="3"/>
      <c r="AB34" s="2"/>
    </row>
    <row r="35" spans="1:31" x14ac:dyDescent="0.25">
      <c r="A35" s="219">
        <v>2016</v>
      </c>
      <c r="B35" s="219">
        <v>2000</v>
      </c>
      <c r="C35">
        <v>12</v>
      </c>
      <c r="E35" s="3">
        <v>38</v>
      </c>
      <c r="F35" s="3">
        <v>8.57</v>
      </c>
      <c r="H35" s="166"/>
      <c r="J35" s="3"/>
      <c r="K35" s="3"/>
      <c r="L35" s="285">
        <v>42887</v>
      </c>
      <c r="M35" s="285">
        <v>42887</v>
      </c>
      <c r="N35" s="286" t="s">
        <v>375</v>
      </c>
      <c r="O35" s="15">
        <v>17.7</v>
      </c>
      <c r="AA35" s="3"/>
      <c r="AB35" s="2"/>
    </row>
    <row r="36" spans="1:31" x14ac:dyDescent="0.25">
      <c r="A36" s="219">
        <v>2016</v>
      </c>
      <c r="B36" s="219">
        <v>2000</v>
      </c>
      <c r="C36" s="219">
        <v>13</v>
      </c>
      <c r="E36" s="3">
        <v>38.08</v>
      </c>
      <c r="F36" s="3">
        <v>8.52</v>
      </c>
      <c r="H36" s="166"/>
      <c r="J36" s="3"/>
      <c r="K36" s="3"/>
      <c r="L36" s="285">
        <v>42887</v>
      </c>
      <c r="M36" s="285">
        <v>42887</v>
      </c>
      <c r="N36" s="286" t="s">
        <v>375</v>
      </c>
      <c r="O36" s="15">
        <v>17.7</v>
      </c>
      <c r="AA36" s="3"/>
      <c r="AB36" s="2"/>
    </row>
    <row r="37" spans="1:31" x14ac:dyDescent="0.25">
      <c r="A37" s="219">
        <v>2016</v>
      </c>
      <c r="B37" s="219">
        <v>2000</v>
      </c>
      <c r="C37">
        <v>14</v>
      </c>
      <c r="E37" s="3">
        <v>38.28</v>
      </c>
      <c r="F37" s="3">
        <v>8.5</v>
      </c>
      <c r="H37" s="166"/>
      <c r="I37" s="3"/>
      <c r="J37" s="3"/>
      <c r="K37" s="3"/>
      <c r="L37" s="285">
        <v>42887</v>
      </c>
      <c r="M37" s="285">
        <v>42887</v>
      </c>
      <c r="N37" s="286" t="s">
        <v>375</v>
      </c>
      <c r="O37" s="15">
        <v>18</v>
      </c>
      <c r="AA37" s="3"/>
      <c r="AB37" s="2"/>
    </row>
    <row r="38" spans="1:31" x14ac:dyDescent="0.25">
      <c r="A38" s="219">
        <v>2016</v>
      </c>
      <c r="B38" s="219">
        <v>2000</v>
      </c>
      <c r="C38">
        <v>15</v>
      </c>
      <c r="E38" s="3">
        <v>37.79</v>
      </c>
      <c r="F38" s="3">
        <v>8.51</v>
      </c>
      <c r="H38" s="166"/>
      <c r="I38" s="3"/>
      <c r="J38" s="3"/>
      <c r="K38" s="3"/>
      <c r="L38" s="285">
        <v>42887</v>
      </c>
      <c r="M38" s="285">
        <v>42887</v>
      </c>
      <c r="N38" s="286" t="s">
        <v>375</v>
      </c>
      <c r="O38" s="15">
        <v>18</v>
      </c>
      <c r="AA38" s="3"/>
      <c r="AB38" s="2"/>
    </row>
    <row r="39" spans="1:31" x14ac:dyDescent="0.25">
      <c r="A39" s="219">
        <v>2016</v>
      </c>
      <c r="B39" s="219">
        <v>2000</v>
      </c>
      <c r="C39" s="219">
        <v>16</v>
      </c>
      <c r="E39" s="3">
        <v>37.36</v>
      </c>
      <c r="F39" s="3">
        <v>8.42</v>
      </c>
      <c r="G39" s="3"/>
      <c r="H39" s="166"/>
      <c r="I39" s="3"/>
      <c r="J39" s="3"/>
      <c r="K39" s="3"/>
      <c r="L39" s="285">
        <v>42887</v>
      </c>
      <c r="M39" s="285">
        <v>42887</v>
      </c>
      <c r="N39" s="286" t="s">
        <v>375</v>
      </c>
      <c r="O39" s="15">
        <v>18</v>
      </c>
      <c r="AA39" s="3"/>
      <c r="AB39" s="2"/>
    </row>
    <row r="40" spans="1:31" x14ac:dyDescent="0.25">
      <c r="A40" s="219">
        <v>2016</v>
      </c>
      <c r="B40" s="219">
        <v>2000</v>
      </c>
      <c r="C40">
        <v>17</v>
      </c>
      <c r="E40" s="3">
        <v>37.35</v>
      </c>
      <c r="F40" s="3">
        <v>8.42</v>
      </c>
      <c r="G40" s="3">
        <v>37.380000000000003</v>
      </c>
      <c r="H40" s="166">
        <v>8.43</v>
      </c>
      <c r="I40" s="3">
        <f>E40-G40</f>
        <v>-3.0000000000001137E-2</v>
      </c>
      <c r="J40" s="3">
        <f>F40-H40</f>
        <v>-9.9999999999997868E-3</v>
      </c>
      <c r="K40" s="3">
        <v>18.100000000000001</v>
      </c>
      <c r="L40" s="285">
        <v>42887</v>
      </c>
      <c r="M40" s="285">
        <v>42887</v>
      </c>
      <c r="N40" s="286" t="s">
        <v>375</v>
      </c>
      <c r="O40" s="15">
        <v>18</v>
      </c>
      <c r="AA40" s="3"/>
      <c r="AB40" s="2"/>
    </row>
    <row r="41" spans="1:31" x14ac:dyDescent="0.25">
      <c r="A41" s="219">
        <v>2016</v>
      </c>
      <c r="B41" s="219">
        <v>2000</v>
      </c>
      <c r="C41">
        <v>18</v>
      </c>
      <c r="E41" s="3">
        <v>38.1</v>
      </c>
      <c r="F41" s="3">
        <v>8.49</v>
      </c>
      <c r="H41" s="166"/>
      <c r="I41" s="3"/>
      <c r="J41" s="3"/>
      <c r="K41" s="3"/>
      <c r="L41" s="285">
        <v>42887</v>
      </c>
      <c r="M41" s="285">
        <v>42887</v>
      </c>
      <c r="N41" s="286" t="s">
        <v>375</v>
      </c>
      <c r="O41" s="15">
        <v>18</v>
      </c>
      <c r="AA41" s="3"/>
      <c r="AB41" s="2"/>
    </row>
    <row r="42" spans="1:31" x14ac:dyDescent="0.25">
      <c r="A42" s="219">
        <v>2016</v>
      </c>
      <c r="B42" s="219">
        <v>2000</v>
      </c>
      <c r="C42" s="219">
        <v>19</v>
      </c>
      <c r="E42" s="3">
        <v>38.67</v>
      </c>
      <c r="F42" s="3">
        <v>8.65</v>
      </c>
      <c r="H42" s="166"/>
      <c r="I42" s="3"/>
      <c r="J42" s="3"/>
      <c r="K42" s="3"/>
      <c r="L42" s="285">
        <v>42887</v>
      </c>
      <c r="M42" s="285">
        <v>42887</v>
      </c>
      <c r="N42" s="286" t="s">
        <v>375</v>
      </c>
      <c r="O42" s="15">
        <v>18.100000000000001</v>
      </c>
      <c r="AA42" s="3"/>
      <c r="AB42" s="2"/>
    </row>
    <row r="43" spans="1:31" x14ac:dyDescent="0.25">
      <c r="A43" s="219">
        <v>2016</v>
      </c>
      <c r="B43" s="219">
        <v>2000</v>
      </c>
      <c r="C43">
        <v>20</v>
      </c>
      <c r="E43" s="3">
        <v>38.72</v>
      </c>
      <c r="F43" s="3">
        <v>8.6</v>
      </c>
      <c r="H43" s="166"/>
      <c r="I43" s="3"/>
      <c r="J43" s="3"/>
      <c r="K43" s="3"/>
      <c r="L43" s="285">
        <v>42887</v>
      </c>
      <c r="M43" s="285">
        <v>42887</v>
      </c>
      <c r="N43" s="286" t="s">
        <v>375</v>
      </c>
      <c r="O43" s="15">
        <v>18.2</v>
      </c>
      <c r="AA43" s="3"/>
      <c r="AB43" s="2"/>
    </row>
    <row r="44" spans="1:31" s="84" customFormat="1" x14ac:dyDescent="0.25">
      <c r="A44" s="293">
        <v>2016</v>
      </c>
      <c r="B44" s="293">
        <v>2000</v>
      </c>
      <c r="C44" s="293">
        <v>21</v>
      </c>
      <c r="E44" s="110">
        <v>38.67</v>
      </c>
      <c r="F44" s="110">
        <v>8.57</v>
      </c>
      <c r="G44" s="109"/>
      <c r="H44" s="297"/>
      <c r="I44" s="110"/>
      <c r="J44" s="110"/>
      <c r="K44" s="110"/>
      <c r="L44" s="290">
        <v>42887</v>
      </c>
      <c r="M44" s="290">
        <v>42887</v>
      </c>
      <c r="N44" s="291" t="s">
        <v>375</v>
      </c>
      <c r="O44" s="292">
        <v>18.2</v>
      </c>
      <c r="Z44" s="110"/>
      <c r="AA44" s="110"/>
      <c r="AB44" s="109"/>
      <c r="AE44" s="295"/>
    </row>
    <row r="45" spans="1:31" x14ac:dyDescent="0.25">
      <c r="A45" s="219">
        <v>2016</v>
      </c>
      <c r="B45" s="219">
        <v>23800</v>
      </c>
      <c r="C45" s="219">
        <v>1</v>
      </c>
      <c r="E45" s="3">
        <v>36.65</v>
      </c>
      <c r="F45" s="3">
        <v>8.5299999999999994</v>
      </c>
      <c r="H45" s="296"/>
      <c r="I45" s="3"/>
      <c r="J45" s="3"/>
      <c r="K45" s="3"/>
      <c r="L45" s="285">
        <v>42887</v>
      </c>
      <c r="M45" s="285">
        <v>42887</v>
      </c>
      <c r="N45" s="286" t="s">
        <v>375</v>
      </c>
      <c r="O45" s="15">
        <v>18.899999999999999</v>
      </c>
      <c r="AA45" s="3"/>
      <c r="AB45" s="2"/>
    </row>
    <row r="46" spans="1:31" x14ac:dyDescent="0.25">
      <c r="A46" s="219">
        <v>2016</v>
      </c>
      <c r="B46" s="219">
        <v>23800</v>
      </c>
      <c r="C46">
        <v>2</v>
      </c>
      <c r="E46" s="3">
        <v>35.68</v>
      </c>
      <c r="F46" s="3">
        <v>8.3699999999999992</v>
      </c>
      <c r="H46" s="166"/>
      <c r="I46" s="3"/>
      <c r="J46" s="3"/>
      <c r="K46" s="3"/>
      <c r="L46" s="285">
        <v>42887</v>
      </c>
      <c r="M46" s="285">
        <v>42887</v>
      </c>
      <c r="N46" s="286" t="s">
        <v>375</v>
      </c>
      <c r="O46" s="15">
        <v>18.600000000000001</v>
      </c>
      <c r="AA46" s="3"/>
      <c r="AB46" s="2"/>
    </row>
    <row r="47" spans="1:31" x14ac:dyDescent="0.25">
      <c r="A47" s="219">
        <v>2016</v>
      </c>
      <c r="B47" s="219">
        <v>23800</v>
      </c>
      <c r="C47">
        <v>3</v>
      </c>
      <c r="E47" s="3">
        <v>37.44</v>
      </c>
      <c r="F47" s="3">
        <v>8.4600000000000009</v>
      </c>
      <c r="H47" s="166"/>
      <c r="I47" s="3"/>
      <c r="J47" s="3"/>
      <c r="K47" s="3"/>
      <c r="L47" s="285">
        <v>42887</v>
      </c>
      <c r="M47" s="285">
        <v>42887</v>
      </c>
      <c r="N47" s="286" t="s">
        <v>375</v>
      </c>
      <c r="O47" s="15">
        <v>18.5</v>
      </c>
      <c r="AA47" s="3"/>
      <c r="AB47" s="2"/>
    </row>
    <row r="48" spans="1:31" x14ac:dyDescent="0.25">
      <c r="A48" s="219">
        <v>2016</v>
      </c>
      <c r="B48" s="219">
        <v>23800</v>
      </c>
      <c r="C48" s="219">
        <v>4</v>
      </c>
      <c r="E48" s="3">
        <v>38.06</v>
      </c>
      <c r="F48" s="3">
        <v>8.5500000000000007</v>
      </c>
      <c r="I48" s="3"/>
      <c r="J48" s="3"/>
      <c r="K48" s="3"/>
      <c r="L48" s="285">
        <v>42887</v>
      </c>
      <c r="M48" s="285">
        <v>42887</v>
      </c>
      <c r="N48" s="286" t="s">
        <v>375</v>
      </c>
      <c r="O48" s="15">
        <v>18.5</v>
      </c>
      <c r="AA48" s="3"/>
      <c r="AB48" s="2"/>
    </row>
    <row r="49" spans="1:31" x14ac:dyDescent="0.25">
      <c r="A49" s="219">
        <v>2016</v>
      </c>
      <c r="B49" s="219">
        <v>23800</v>
      </c>
      <c r="C49">
        <v>5</v>
      </c>
      <c r="D49" s="19"/>
      <c r="E49" s="3">
        <v>38.03</v>
      </c>
      <c r="F49" s="3">
        <v>8.57</v>
      </c>
      <c r="I49" s="3"/>
      <c r="J49" s="3"/>
      <c r="K49" s="3"/>
      <c r="L49" s="285">
        <v>42887</v>
      </c>
      <c r="M49" s="285">
        <v>42887</v>
      </c>
      <c r="N49" s="286" t="s">
        <v>375</v>
      </c>
      <c r="O49" s="15">
        <v>18.5</v>
      </c>
      <c r="AA49" s="3"/>
      <c r="AB49" s="2"/>
    </row>
    <row r="50" spans="1:31" x14ac:dyDescent="0.25">
      <c r="A50" s="219">
        <v>2016</v>
      </c>
      <c r="B50" s="219">
        <v>23800</v>
      </c>
      <c r="C50">
        <v>6</v>
      </c>
      <c r="D50" s="19"/>
      <c r="E50" s="3">
        <v>37.799999999999997</v>
      </c>
      <c r="F50" s="3">
        <v>8.42</v>
      </c>
      <c r="G50" s="3">
        <v>37.75</v>
      </c>
      <c r="H50" s="166">
        <v>8.42</v>
      </c>
      <c r="I50" s="3">
        <f>E50-G50</f>
        <v>4.9999999999997158E-2</v>
      </c>
      <c r="J50" s="3">
        <f>F50-H50</f>
        <v>0</v>
      </c>
      <c r="K50" s="3">
        <v>18.7</v>
      </c>
      <c r="L50" s="285">
        <v>42887</v>
      </c>
      <c r="M50" s="285">
        <v>42887</v>
      </c>
      <c r="N50" s="286" t="s">
        <v>375</v>
      </c>
      <c r="O50" s="15">
        <v>18.399999999999999</v>
      </c>
    </row>
    <row r="51" spans="1:31" x14ac:dyDescent="0.25">
      <c r="A51" s="219">
        <v>2016</v>
      </c>
      <c r="B51" s="219">
        <v>23800</v>
      </c>
      <c r="C51" s="219">
        <v>7</v>
      </c>
      <c r="D51" s="19"/>
      <c r="E51" s="3">
        <v>36.659999999999997</v>
      </c>
      <c r="F51" s="3">
        <v>8.5399999999999991</v>
      </c>
      <c r="H51" s="166"/>
      <c r="J51" s="3"/>
      <c r="K51" s="3"/>
      <c r="L51" s="285">
        <v>42887</v>
      </c>
      <c r="M51" s="285">
        <v>42887</v>
      </c>
      <c r="N51" s="286" t="s">
        <v>375</v>
      </c>
      <c r="O51" s="15">
        <v>18.399999999999999</v>
      </c>
    </row>
    <row r="52" spans="1:31" x14ac:dyDescent="0.25">
      <c r="A52" s="219">
        <v>2016</v>
      </c>
      <c r="B52" s="219">
        <v>23800</v>
      </c>
      <c r="C52">
        <v>8</v>
      </c>
      <c r="D52" s="19"/>
      <c r="E52" s="289">
        <v>35.29</v>
      </c>
      <c r="F52" s="289">
        <v>8.25</v>
      </c>
      <c r="H52" s="166"/>
      <c r="I52" s="3"/>
      <c r="J52" s="3"/>
      <c r="K52" s="3"/>
      <c r="L52" s="285">
        <v>42887</v>
      </c>
      <c r="M52" s="285">
        <v>42887</v>
      </c>
      <c r="N52" s="286" t="s">
        <v>375</v>
      </c>
      <c r="O52" s="15">
        <v>18.5</v>
      </c>
    </row>
    <row r="53" spans="1:31" x14ac:dyDescent="0.25">
      <c r="A53" s="219">
        <v>2016</v>
      </c>
      <c r="B53" s="219">
        <v>23800</v>
      </c>
      <c r="C53">
        <v>9</v>
      </c>
      <c r="D53" s="19"/>
      <c r="E53" s="3">
        <v>37.35</v>
      </c>
      <c r="F53" s="3">
        <v>8.56</v>
      </c>
      <c r="H53" s="166"/>
      <c r="I53" s="3"/>
      <c r="J53" s="3"/>
      <c r="K53" s="3"/>
      <c r="L53" s="285">
        <v>42887</v>
      </c>
      <c r="M53" s="285">
        <v>42887</v>
      </c>
      <c r="N53" s="286" t="s">
        <v>375</v>
      </c>
      <c r="O53" s="15">
        <v>18.7</v>
      </c>
    </row>
    <row r="54" spans="1:31" x14ac:dyDescent="0.25">
      <c r="A54" s="219">
        <v>2016</v>
      </c>
      <c r="B54" s="219">
        <v>23800</v>
      </c>
      <c r="C54" s="219">
        <v>10</v>
      </c>
      <c r="D54" s="19"/>
      <c r="E54" s="3">
        <v>37.78</v>
      </c>
      <c r="F54" s="3">
        <v>8.4600000000000009</v>
      </c>
      <c r="H54" s="166"/>
      <c r="J54" s="3"/>
      <c r="K54" s="3"/>
      <c r="L54" s="285">
        <v>42887</v>
      </c>
      <c r="M54" s="285">
        <v>42887</v>
      </c>
      <c r="N54" s="286" t="s">
        <v>375</v>
      </c>
      <c r="O54" s="15">
        <v>18.7</v>
      </c>
    </row>
    <row r="55" spans="1:31" x14ac:dyDescent="0.25">
      <c r="A55" s="219">
        <v>2016</v>
      </c>
      <c r="B55" s="219">
        <v>23800</v>
      </c>
      <c r="C55">
        <v>11</v>
      </c>
      <c r="D55" s="19"/>
      <c r="E55" s="3">
        <v>37.75</v>
      </c>
      <c r="F55" s="3">
        <v>8.51</v>
      </c>
      <c r="I55" s="3"/>
      <c r="J55" s="3"/>
      <c r="K55" s="3"/>
      <c r="L55" s="285">
        <v>42887</v>
      </c>
      <c r="M55" s="285">
        <v>42887</v>
      </c>
      <c r="N55" s="286" t="s">
        <v>375</v>
      </c>
      <c r="O55" s="15">
        <v>18.600000000000001</v>
      </c>
    </row>
    <row r="56" spans="1:31" x14ac:dyDescent="0.25">
      <c r="A56" s="219">
        <v>2016</v>
      </c>
      <c r="B56" s="219">
        <v>23800</v>
      </c>
      <c r="C56">
        <v>12</v>
      </c>
      <c r="D56" s="19"/>
      <c r="E56" s="3">
        <v>37.979999999999997</v>
      </c>
      <c r="F56" s="3">
        <v>8.5299999999999994</v>
      </c>
      <c r="I56" s="3"/>
      <c r="J56" s="3"/>
      <c r="K56" s="3"/>
      <c r="L56" s="285">
        <v>42887</v>
      </c>
      <c r="M56" s="285">
        <v>42887</v>
      </c>
      <c r="N56" s="286" t="s">
        <v>375</v>
      </c>
      <c r="O56" s="15">
        <v>18.5</v>
      </c>
    </row>
    <row r="57" spans="1:31" s="84" customFormat="1" x14ac:dyDescent="0.25">
      <c r="A57" s="293">
        <v>2016</v>
      </c>
      <c r="B57" s="293">
        <v>23800</v>
      </c>
      <c r="C57" s="293">
        <v>13</v>
      </c>
      <c r="D57" s="294"/>
      <c r="E57" s="110">
        <v>37.82</v>
      </c>
      <c r="F57" s="110">
        <v>8.5299999999999994</v>
      </c>
      <c r="G57" s="109"/>
      <c r="H57" s="110"/>
      <c r="I57" s="110"/>
      <c r="J57" s="110"/>
      <c r="K57" s="110"/>
      <c r="L57" s="290">
        <v>42887</v>
      </c>
      <c r="M57" s="290">
        <v>42887</v>
      </c>
      <c r="N57" s="291" t="s">
        <v>375</v>
      </c>
      <c r="O57" s="292">
        <v>18.8</v>
      </c>
      <c r="Z57" s="110"/>
      <c r="AE57" s="295"/>
    </row>
    <row r="58" spans="1:31" x14ac:dyDescent="0.25">
      <c r="B58" s="5"/>
      <c r="D58" s="19"/>
      <c r="E58" s="3"/>
      <c r="I58" s="3"/>
      <c r="J58" s="3"/>
      <c r="K58" s="3"/>
      <c r="L58" s="30"/>
      <c r="M58" s="30"/>
    </row>
    <row r="59" spans="1:31" x14ac:dyDescent="0.25">
      <c r="B59" s="5"/>
      <c r="E59" s="3"/>
      <c r="L59" s="30"/>
      <c r="M59" s="30"/>
    </row>
    <row r="60" spans="1:31" ht="15.5" x14ac:dyDescent="0.35">
      <c r="B60" s="5"/>
      <c r="C60" s="476"/>
      <c r="D60" s="477" t="s">
        <v>3218</v>
      </c>
      <c r="E60" s="478"/>
      <c r="F60" s="478" t="s">
        <v>3219</v>
      </c>
      <c r="G60" s="479" t="s">
        <v>3220</v>
      </c>
      <c r="H60" s="479" t="s">
        <v>3221</v>
      </c>
      <c r="I60" s="480" t="s">
        <v>3222</v>
      </c>
      <c r="L60" s="30"/>
      <c r="M60" s="30"/>
    </row>
    <row r="61" spans="1:31" ht="15.5" x14ac:dyDescent="0.35">
      <c r="B61" s="5"/>
      <c r="C61" s="481"/>
      <c r="D61" s="500">
        <f>E10</f>
        <v>37.97</v>
      </c>
      <c r="E61" s="482"/>
      <c r="F61" s="500">
        <f>G10</f>
        <v>37.97</v>
      </c>
      <c r="G61" s="483">
        <f>AVERAGE(D61,F61)</f>
        <v>37.97</v>
      </c>
      <c r="H61" s="483">
        <f>(F61-D61)</f>
        <v>0</v>
      </c>
      <c r="I61" s="484">
        <f>H61/G61</f>
        <v>0</v>
      </c>
      <c r="L61" s="30"/>
      <c r="M61" s="30"/>
    </row>
    <row r="62" spans="1:31" ht="15.5" x14ac:dyDescent="0.35">
      <c r="B62" s="5"/>
      <c r="C62" s="481"/>
      <c r="D62" s="500">
        <f>E19</f>
        <v>38.270000000000003</v>
      </c>
      <c r="E62" s="482"/>
      <c r="F62" s="500">
        <f>G19</f>
        <v>38.200000000000003</v>
      </c>
      <c r="G62" s="483">
        <f t="shared" ref="G62:G65" si="0">AVERAGE(D62,F62)</f>
        <v>38.234999999999999</v>
      </c>
      <c r="H62" s="483">
        <f t="shared" ref="H62:H65" si="1">(F62-D62)</f>
        <v>-7.0000000000000284E-2</v>
      </c>
      <c r="I62" s="484">
        <f t="shared" ref="I62:I65" si="2">H62/G62</f>
        <v>-1.8307833137178053E-3</v>
      </c>
      <c r="L62" s="30"/>
      <c r="M62" s="30"/>
    </row>
    <row r="63" spans="1:31" ht="15.5" x14ac:dyDescent="0.35">
      <c r="B63" s="5"/>
      <c r="C63" s="481"/>
      <c r="D63" s="500">
        <f>E31</f>
        <v>38.18</v>
      </c>
      <c r="E63" s="482"/>
      <c r="F63" s="500">
        <f>G31</f>
        <v>38.07</v>
      </c>
      <c r="G63" s="483">
        <f t="shared" si="0"/>
        <v>38.125</v>
      </c>
      <c r="H63" s="483">
        <f t="shared" si="1"/>
        <v>-0.10999999999999943</v>
      </c>
      <c r="I63" s="484">
        <f t="shared" si="2"/>
        <v>-2.8852459016393294E-3</v>
      </c>
      <c r="J63" s="5"/>
      <c r="K63" s="5"/>
      <c r="L63" s="30"/>
      <c r="M63" s="30"/>
    </row>
    <row r="64" spans="1:31" ht="15.5" x14ac:dyDescent="0.35">
      <c r="B64" s="5"/>
      <c r="C64" s="481"/>
      <c r="D64" s="500">
        <f>E40</f>
        <v>37.35</v>
      </c>
      <c r="E64" s="482"/>
      <c r="F64" s="500">
        <f>G40</f>
        <v>37.380000000000003</v>
      </c>
      <c r="G64" s="483">
        <f t="shared" si="0"/>
        <v>37.365000000000002</v>
      </c>
      <c r="H64" s="483">
        <f t="shared" si="1"/>
        <v>3.0000000000001137E-2</v>
      </c>
      <c r="I64" s="484">
        <f t="shared" si="2"/>
        <v>8.0289040545968515E-4</v>
      </c>
      <c r="J64" s="3"/>
      <c r="K64" s="3"/>
      <c r="L64" s="30"/>
      <c r="M64" s="30"/>
    </row>
    <row r="65" spans="2:13" ht="15.5" x14ac:dyDescent="0.35">
      <c r="B65" s="5"/>
      <c r="C65" s="481"/>
      <c r="D65" s="500">
        <f>E50</f>
        <v>37.799999999999997</v>
      </c>
      <c r="E65" s="482"/>
      <c r="F65" s="500">
        <f>G50</f>
        <v>37.75</v>
      </c>
      <c r="G65" s="483">
        <f t="shared" si="0"/>
        <v>37.774999999999999</v>
      </c>
      <c r="H65" s="483">
        <f t="shared" si="1"/>
        <v>-4.9999999999997158E-2</v>
      </c>
      <c r="I65" s="484">
        <f t="shared" si="2"/>
        <v>-1.3236267372600174E-3</v>
      </c>
      <c r="J65" s="3"/>
      <c r="K65" s="3"/>
      <c r="L65" s="30"/>
      <c r="M65" s="30"/>
    </row>
    <row r="66" spans="2:13" ht="15.5" x14ac:dyDescent="0.35">
      <c r="B66" s="5"/>
      <c r="C66" s="481"/>
      <c r="D66" s="500"/>
      <c r="E66" s="482"/>
      <c r="F66" s="500"/>
      <c r="G66" s="483"/>
      <c r="H66" s="483"/>
      <c r="I66" s="484"/>
      <c r="L66" s="30"/>
      <c r="M66" s="30"/>
    </row>
    <row r="67" spans="2:13" ht="15.5" x14ac:dyDescent="0.35">
      <c r="B67" s="5"/>
      <c r="C67" s="481"/>
      <c r="D67" s="486"/>
      <c r="E67" s="486"/>
      <c r="F67" s="486"/>
      <c r="G67" s="485" t="s">
        <v>3223</v>
      </c>
      <c r="H67" s="485"/>
      <c r="I67" s="487">
        <f>_xlfn.STDEV.P(I61:I66)</f>
        <v>1.3105944848276923E-3</v>
      </c>
      <c r="L67" s="30"/>
      <c r="M67" s="30"/>
    </row>
    <row r="68" spans="2:13" ht="15.5" x14ac:dyDescent="0.35">
      <c r="B68" s="5"/>
      <c r="C68" s="488" t="s">
        <v>808</v>
      </c>
      <c r="D68" s="485">
        <f>COUNT(D61:D66)</f>
        <v>5</v>
      </c>
      <c r="E68" s="486"/>
      <c r="F68" s="486"/>
      <c r="G68" s="483" t="s">
        <v>3224</v>
      </c>
      <c r="H68" s="485"/>
      <c r="I68" s="487">
        <f>I67/SQRT(2)</f>
        <v>9.2673024760735092E-4</v>
      </c>
      <c r="L68" s="30"/>
      <c r="M68" s="30"/>
    </row>
    <row r="69" spans="2:13" ht="15.5" x14ac:dyDescent="0.35">
      <c r="B69" s="5"/>
      <c r="C69" s="488" t="s">
        <v>3225</v>
      </c>
      <c r="D69" s="485"/>
      <c r="E69" s="486"/>
      <c r="F69" s="486"/>
      <c r="G69" s="486"/>
      <c r="H69" s="486"/>
      <c r="I69" s="489"/>
      <c r="J69" s="3"/>
      <c r="K69" s="3"/>
      <c r="L69" s="30"/>
      <c r="M69" s="30"/>
    </row>
    <row r="70" spans="2:13" ht="15.5" x14ac:dyDescent="0.35">
      <c r="B70" s="5"/>
      <c r="C70" s="488" t="s">
        <v>3226</v>
      </c>
      <c r="D70" s="485">
        <v>2</v>
      </c>
      <c r="E70" s="486"/>
      <c r="F70" s="486"/>
      <c r="G70" s="490"/>
      <c r="H70" s="486"/>
      <c r="I70" s="491"/>
      <c r="L70" s="30"/>
      <c r="M70" s="30"/>
    </row>
    <row r="71" spans="2:13" ht="15.5" x14ac:dyDescent="0.35">
      <c r="B71" s="5"/>
      <c r="C71" s="492" t="s">
        <v>3227</v>
      </c>
      <c r="D71" s="493"/>
      <c r="E71" s="493"/>
      <c r="F71" s="493"/>
      <c r="G71" s="493"/>
      <c r="H71" s="494">
        <f>I68*2</f>
        <v>1.8534604952147018E-3</v>
      </c>
      <c r="I71" s="491"/>
      <c r="J71" s="3"/>
      <c r="K71" s="3"/>
      <c r="L71" s="30"/>
      <c r="M71" s="30"/>
    </row>
    <row r="72" spans="2:13" ht="15.5" x14ac:dyDescent="0.35">
      <c r="B72" s="5"/>
      <c r="C72" s="476"/>
      <c r="D72" s="477" t="s">
        <v>3228</v>
      </c>
      <c r="E72" s="495"/>
      <c r="F72" s="478" t="s">
        <v>3219</v>
      </c>
      <c r="G72" s="479" t="s">
        <v>3220</v>
      </c>
      <c r="H72" s="479" t="s">
        <v>3221</v>
      </c>
      <c r="I72" s="480" t="s">
        <v>3222</v>
      </c>
      <c r="J72" s="3"/>
      <c r="K72" s="3"/>
      <c r="L72" s="30"/>
      <c r="M72" s="30"/>
    </row>
    <row r="73" spans="2:13" ht="15.5" x14ac:dyDescent="0.35">
      <c r="B73" s="5"/>
      <c r="C73" s="481"/>
      <c r="D73" s="500">
        <f>F10</f>
        <v>8.58</v>
      </c>
      <c r="E73" s="482"/>
      <c r="F73" s="500">
        <f>H10</f>
        <v>8.59</v>
      </c>
      <c r="G73" s="483">
        <f>AVERAGE(D73,F73)</f>
        <v>8.5850000000000009</v>
      </c>
      <c r="H73" s="496">
        <f>(F73-D73)</f>
        <v>9.9999999999997868E-3</v>
      </c>
      <c r="I73" s="484">
        <f>H73/G73</f>
        <v>1.1648223645893752E-3</v>
      </c>
      <c r="J73" s="3"/>
      <c r="K73" s="3"/>
      <c r="L73" s="30"/>
      <c r="M73" s="30"/>
    </row>
    <row r="74" spans="2:13" ht="15.5" x14ac:dyDescent="0.35">
      <c r="B74" s="5"/>
      <c r="C74" s="481"/>
      <c r="D74" s="500">
        <f>F19</f>
        <v>8.6300000000000008</v>
      </c>
      <c r="E74" s="482"/>
      <c r="F74" s="500">
        <f>H19</f>
        <v>8.6300000000000008</v>
      </c>
      <c r="G74" s="483">
        <f t="shared" ref="G74:G77" si="3">AVERAGE(D74,F74)</f>
        <v>8.6300000000000008</v>
      </c>
      <c r="H74" s="496">
        <f t="shared" ref="H74:H77" si="4">(F74-D74)</f>
        <v>0</v>
      </c>
      <c r="I74" s="484">
        <f t="shared" ref="I74:I77" si="5">H74/G74</f>
        <v>0</v>
      </c>
      <c r="J74" s="3"/>
      <c r="K74" s="3"/>
      <c r="L74" s="30"/>
      <c r="M74" s="30"/>
    </row>
    <row r="75" spans="2:13" ht="15.5" x14ac:dyDescent="0.35">
      <c r="C75" s="481"/>
      <c r="D75" s="500">
        <f>F31</f>
        <v>8.52</v>
      </c>
      <c r="E75" s="482"/>
      <c r="F75" s="500">
        <f>H31</f>
        <v>8.52</v>
      </c>
      <c r="G75" s="483">
        <f t="shared" si="3"/>
        <v>8.52</v>
      </c>
      <c r="H75" s="496">
        <f t="shared" si="4"/>
        <v>0</v>
      </c>
      <c r="I75" s="484">
        <f t="shared" si="5"/>
        <v>0</v>
      </c>
      <c r="L75" s="30"/>
      <c r="M75" s="30"/>
    </row>
    <row r="76" spans="2:13" ht="15.5" x14ac:dyDescent="0.35">
      <c r="C76" s="481"/>
      <c r="D76" s="500">
        <f>F40</f>
        <v>8.42</v>
      </c>
      <c r="E76" s="482"/>
      <c r="F76" s="500">
        <f>H40</f>
        <v>8.43</v>
      </c>
      <c r="G76" s="483">
        <f t="shared" si="3"/>
        <v>8.4250000000000007</v>
      </c>
      <c r="H76" s="496">
        <f t="shared" si="4"/>
        <v>9.9999999999997868E-3</v>
      </c>
      <c r="I76" s="484">
        <f t="shared" si="5"/>
        <v>1.1869436201780161E-3</v>
      </c>
    </row>
    <row r="77" spans="2:13" ht="15.5" x14ac:dyDescent="0.35">
      <c r="C77" s="481"/>
      <c r="D77" s="500">
        <f>F50</f>
        <v>8.42</v>
      </c>
      <c r="E77" s="482"/>
      <c r="F77" s="500">
        <f>H50</f>
        <v>8.42</v>
      </c>
      <c r="G77" s="483">
        <f t="shared" si="3"/>
        <v>8.42</v>
      </c>
      <c r="H77" s="496">
        <f t="shared" si="4"/>
        <v>0</v>
      </c>
      <c r="I77" s="484">
        <f t="shared" si="5"/>
        <v>0</v>
      </c>
      <c r="M77" s="3"/>
    </row>
    <row r="78" spans="2:13" ht="15.5" x14ac:dyDescent="0.35">
      <c r="C78" s="481"/>
      <c r="D78" s="485"/>
      <c r="E78" s="485"/>
      <c r="F78" s="485"/>
      <c r="G78" s="483"/>
      <c r="H78" s="496"/>
      <c r="I78" s="497"/>
    </row>
    <row r="79" spans="2:13" ht="15.5" x14ac:dyDescent="0.35">
      <c r="C79" s="481"/>
      <c r="D79" s="486"/>
      <c r="E79" s="486"/>
      <c r="F79" s="486"/>
      <c r="G79" s="485" t="s">
        <v>3223</v>
      </c>
      <c r="H79" s="485"/>
      <c r="I79" s="487">
        <f>_xlfn.STDEV.P(I73:I78)</f>
        <v>5.7610513781897329E-4</v>
      </c>
    </row>
    <row r="80" spans="2:13" ht="15.5" x14ac:dyDescent="0.35">
      <c r="C80" s="488" t="s">
        <v>808</v>
      </c>
      <c r="D80" s="485">
        <f>COUNT(D73:D78)</f>
        <v>5</v>
      </c>
      <c r="E80" s="486"/>
      <c r="F80" s="486"/>
      <c r="G80" s="483" t="s">
        <v>3224</v>
      </c>
      <c r="H80" s="485"/>
      <c r="I80" s="487">
        <f>I79/SQRT(2)</f>
        <v>4.073678496282065E-4</v>
      </c>
    </row>
    <row r="81" spans="1:11" ht="15.5" x14ac:dyDescent="0.35">
      <c r="C81" s="488" t="s">
        <v>3225</v>
      </c>
      <c r="D81" s="485"/>
      <c r="E81" s="486"/>
      <c r="F81" s="486"/>
      <c r="G81" s="485"/>
      <c r="H81" s="485"/>
      <c r="I81" s="497"/>
    </row>
    <row r="82" spans="1:11" ht="15.5" x14ac:dyDescent="0.35">
      <c r="C82" s="488" t="s">
        <v>3226</v>
      </c>
      <c r="D82" s="485">
        <v>2</v>
      </c>
      <c r="E82" s="486"/>
      <c r="F82" s="486"/>
      <c r="G82" s="498"/>
      <c r="H82" s="485"/>
      <c r="I82" s="499"/>
    </row>
    <row r="83" spans="1:11" ht="15.5" x14ac:dyDescent="0.35">
      <c r="C83" s="492" t="s">
        <v>3227</v>
      </c>
      <c r="D83" s="493"/>
      <c r="E83" s="493"/>
      <c r="F83" s="493"/>
      <c r="G83" s="493"/>
      <c r="H83" s="494">
        <f>I80*2</f>
        <v>8.14735699256413E-4</v>
      </c>
      <c r="I83" s="497"/>
    </row>
    <row r="84" spans="1:11" x14ac:dyDescent="0.25">
      <c r="D84" s="11"/>
      <c r="E84" s="3"/>
      <c r="H84" s="2"/>
    </row>
    <row r="85" spans="1:11" x14ac:dyDescent="0.25">
      <c r="D85" s="11"/>
      <c r="E85" s="2"/>
      <c r="H85" s="2"/>
    </row>
    <row r="86" spans="1:11" x14ac:dyDescent="0.25">
      <c r="A86" s="20"/>
      <c r="B86" s="5"/>
      <c r="D86" s="20"/>
      <c r="E86" s="2"/>
      <c r="F86" s="28"/>
      <c r="G86" s="28"/>
      <c r="H86" s="28"/>
      <c r="I86"/>
      <c r="J86"/>
      <c r="K86"/>
    </row>
    <row r="87" spans="1:11" x14ac:dyDescent="0.25">
      <c r="D87" s="19"/>
      <c r="G87" s="11"/>
      <c r="I87" s="11"/>
      <c r="J87" s="11"/>
      <c r="K87" s="11"/>
    </row>
    <row r="88" spans="1:11" x14ac:dyDescent="0.25">
      <c r="E88" s="2"/>
    </row>
    <row r="89" spans="1:11" x14ac:dyDescent="0.25">
      <c r="D89" s="19"/>
      <c r="E89" s="2"/>
      <c r="G89" s="11"/>
      <c r="I89" s="11"/>
      <c r="J89" s="11"/>
      <c r="K89" s="11"/>
    </row>
    <row r="90" spans="1:11" x14ac:dyDescent="0.25">
      <c r="D90" s="19"/>
      <c r="E90" s="2"/>
      <c r="G90" s="11"/>
      <c r="I90" s="11"/>
      <c r="J90" s="11"/>
      <c r="K90" s="11"/>
    </row>
    <row r="91" spans="1:11" x14ac:dyDescent="0.25">
      <c r="D91" s="19"/>
      <c r="G91" s="11"/>
      <c r="I91" s="11"/>
      <c r="J91" s="11"/>
      <c r="K91" s="11"/>
    </row>
    <row r="92" spans="1:11" x14ac:dyDescent="0.25">
      <c r="D92" s="19"/>
    </row>
    <row r="93" spans="1:11" x14ac:dyDescent="0.25">
      <c r="D93" s="19"/>
    </row>
    <row r="94" spans="1:11" x14ac:dyDescent="0.25">
      <c r="D94" s="19"/>
    </row>
    <row r="95" spans="1:11" x14ac:dyDescent="0.25">
      <c r="D95" s="19"/>
    </row>
    <row r="96" spans="1:11" x14ac:dyDescent="0.25">
      <c r="D96" s="19"/>
    </row>
    <row r="97" spans="4:4" x14ac:dyDescent="0.25">
      <c r="D97" s="19"/>
    </row>
    <row r="98" spans="4:4" x14ac:dyDescent="0.25">
      <c r="D98" s="19"/>
    </row>
    <row r="99" spans="4:4" x14ac:dyDescent="0.25">
      <c r="D99" s="19"/>
    </row>
    <row r="100" spans="4:4" x14ac:dyDescent="0.25">
      <c r="D100" s="19"/>
    </row>
    <row r="101" spans="4:4" x14ac:dyDescent="0.25">
      <c r="D101" s="19"/>
    </row>
    <row r="102" spans="4:4" x14ac:dyDescent="0.25">
      <c r="D102" s="19"/>
    </row>
    <row r="103" spans="4:4" x14ac:dyDescent="0.25">
      <c r="D103" s="19"/>
    </row>
    <row r="104" spans="4:4" x14ac:dyDescent="0.25">
      <c r="D104" s="19"/>
    </row>
    <row r="105" spans="4:4" x14ac:dyDescent="0.25">
      <c r="D105" s="19"/>
    </row>
    <row r="106" spans="4:4" x14ac:dyDescent="0.25">
      <c r="D106" s="19"/>
    </row>
    <row r="107" spans="4:4" x14ac:dyDescent="0.25">
      <c r="D107" s="19"/>
    </row>
    <row r="108" spans="4:4" x14ac:dyDescent="0.25">
      <c r="D108" s="19"/>
    </row>
    <row r="109" spans="4:4" x14ac:dyDescent="0.25">
      <c r="D109" s="19"/>
    </row>
    <row r="110" spans="4:4" x14ac:dyDescent="0.25">
      <c r="D110" s="19"/>
    </row>
    <row r="111" spans="4:4" x14ac:dyDescent="0.25">
      <c r="D111" s="19"/>
    </row>
    <row r="112" spans="4:4" x14ac:dyDescent="0.25">
      <c r="D112" s="19"/>
    </row>
    <row r="113" spans="4:4" x14ac:dyDescent="0.25">
      <c r="D113" s="19"/>
    </row>
    <row r="114" spans="4:4" x14ac:dyDescent="0.25">
      <c r="D114" s="19"/>
    </row>
    <row r="115" spans="4:4" x14ac:dyDescent="0.25">
      <c r="D115" s="19"/>
    </row>
    <row r="116" spans="4:4" x14ac:dyDescent="0.25">
      <c r="D116" s="19"/>
    </row>
    <row r="117" spans="4:4" x14ac:dyDescent="0.25">
      <c r="D117" s="19"/>
    </row>
    <row r="118" spans="4:4" x14ac:dyDescent="0.25">
      <c r="D118" s="19"/>
    </row>
    <row r="119" spans="4:4" x14ac:dyDescent="0.25">
      <c r="D119" s="19"/>
    </row>
    <row r="120" spans="4:4" x14ac:dyDescent="0.25">
      <c r="D120" s="19"/>
    </row>
    <row r="121" spans="4:4" x14ac:dyDescent="0.25">
      <c r="D121" s="19"/>
    </row>
    <row r="122" spans="4:4" x14ac:dyDescent="0.25">
      <c r="D122" s="19"/>
    </row>
    <row r="123" spans="4:4" x14ac:dyDescent="0.25">
      <c r="D123" s="19"/>
    </row>
    <row r="124" spans="4:4" x14ac:dyDescent="0.25">
      <c r="D124" s="19"/>
    </row>
    <row r="125" spans="4:4" x14ac:dyDescent="0.25">
      <c r="D125" s="19"/>
    </row>
    <row r="126" spans="4:4" x14ac:dyDescent="0.25">
      <c r="D126" s="19"/>
    </row>
    <row r="127" spans="4:4" x14ac:dyDescent="0.25">
      <c r="D127" s="19"/>
    </row>
    <row r="128" spans="4:4" x14ac:dyDescent="0.25">
      <c r="D128" s="19"/>
    </row>
    <row r="129" spans="4:4" x14ac:dyDescent="0.25">
      <c r="D129" s="19"/>
    </row>
    <row r="130" spans="4:4" x14ac:dyDescent="0.25">
      <c r="D130" s="19"/>
    </row>
    <row r="131" spans="4:4" x14ac:dyDescent="0.25">
      <c r="D131" s="19"/>
    </row>
    <row r="132" spans="4:4" x14ac:dyDescent="0.25">
      <c r="D132" s="19"/>
    </row>
  </sheetData>
  <phoneticPr fontId="0" type="noConversion"/>
  <printOptions gridLines="1"/>
  <pageMargins left="0.41" right="0.6" top="0.36" bottom="0.41" header="0.28999999999999998" footer="0.23"/>
  <pageSetup paperSize="9" scale="85" orientation="portrait"/>
  <headerFooter alignWithMargins="0">
    <oddFooter>&amp;L&amp;F,  &amp;A&amp;C&amp;D&amp;R&amp;P/&amp;N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B59-37FE-46D7-A4D6-8DEA7FAEAE2A}">
  <dimension ref="A1:AF141"/>
  <sheetViews>
    <sheetView topLeftCell="A137" workbookViewId="0">
      <selection activeCell="X119" sqref="X119"/>
    </sheetView>
  </sheetViews>
  <sheetFormatPr defaultRowHeight="12.5" x14ac:dyDescent="0.25"/>
  <cols>
    <col min="1" max="1" width="10.1796875" style="30" bestFit="1" customWidth="1"/>
    <col min="23" max="23" width="11.54296875" customWidth="1"/>
  </cols>
  <sheetData>
    <row r="1" spans="1:32" s="334" customFormat="1" ht="13" x14ac:dyDescent="0.3">
      <c r="A1" s="460" t="s">
        <v>736</v>
      </c>
    </row>
    <row r="2" spans="1:32" s="454" customFormat="1" ht="37.5" customHeight="1" thickBot="1" x14ac:dyDescent="0.3">
      <c r="A2" s="461"/>
      <c r="B2" s="453"/>
      <c r="D2" s="306" t="s">
        <v>3105</v>
      </c>
      <c r="E2" s="455" t="s">
        <v>3106</v>
      </c>
      <c r="F2" s="455" t="s">
        <v>3105</v>
      </c>
      <c r="G2" s="456"/>
      <c r="H2" s="455"/>
      <c r="I2" s="455" t="s">
        <v>3107</v>
      </c>
      <c r="J2" s="456"/>
      <c r="K2" s="547" t="s">
        <v>3108</v>
      </c>
      <c r="L2" s="548"/>
      <c r="M2" s="547" t="s">
        <v>3109</v>
      </c>
      <c r="N2" s="549"/>
      <c r="O2" s="457"/>
      <c r="P2" s="457"/>
      <c r="Q2" s="457"/>
      <c r="R2" s="457"/>
    </row>
    <row r="3" spans="1:32" s="305" customFormat="1" ht="75" x14ac:dyDescent="0.25">
      <c r="A3" s="462" t="s">
        <v>725</v>
      </c>
      <c r="B3" s="303" t="s">
        <v>726</v>
      </c>
      <c r="C3" s="304" t="s">
        <v>727</v>
      </c>
      <c r="D3" s="305" t="s">
        <v>728</v>
      </c>
      <c r="E3" s="306"/>
      <c r="F3" s="306" t="s">
        <v>3110</v>
      </c>
      <c r="G3" s="306" t="s">
        <v>3111</v>
      </c>
      <c r="H3" s="306" t="s">
        <v>3112</v>
      </c>
      <c r="I3" s="306" t="s">
        <v>3113</v>
      </c>
      <c r="J3" s="306" t="s">
        <v>729</v>
      </c>
      <c r="K3" s="307" t="s">
        <v>730</v>
      </c>
      <c r="L3" s="458" t="s">
        <v>3114</v>
      </c>
      <c r="M3" s="306" t="s">
        <v>730</v>
      </c>
      <c r="N3" s="459" t="s">
        <v>733</v>
      </c>
      <c r="O3" s="306" t="s">
        <v>3115</v>
      </c>
      <c r="P3" s="306" t="s">
        <v>3116</v>
      </c>
      <c r="Q3" s="306" t="s">
        <v>3117</v>
      </c>
      <c r="R3" s="306" t="s">
        <v>3118</v>
      </c>
      <c r="S3" s="304" t="s">
        <v>3119</v>
      </c>
      <c r="T3" s="304" t="s">
        <v>3120</v>
      </c>
      <c r="U3" s="305" t="s">
        <v>34</v>
      </c>
      <c r="W3" s="463" t="s">
        <v>3186</v>
      </c>
      <c r="X3" s="464"/>
      <c r="Y3" s="464"/>
      <c r="Z3" s="464"/>
      <c r="AA3" s="152"/>
    </row>
    <row r="4" spans="1:32" ht="87" x14ac:dyDescent="0.25">
      <c r="A4" s="30" t="s">
        <v>3121</v>
      </c>
      <c r="W4" s="465" t="s">
        <v>3187</v>
      </c>
      <c r="X4" s="466" t="s">
        <v>3188</v>
      </c>
      <c r="Y4" s="467" t="s">
        <v>3189</v>
      </c>
      <c r="Z4" s="467" t="s">
        <v>3190</v>
      </c>
      <c r="AA4" s="468"/>
      <c r="AC4" s="552" t="s">
        <v>3194</v>
      </c>
    </row>
    <row r="5" spans="1:32" ht="15.5" x14ac:dyDescent="0.35">
      <c r="A5" s="30">
        <v>42923</v>
      </c>
      <c r="B5">
        <v>1</v>
      </c>
      <c r="C5" t="s">
        <v>3123</v>
      </c>
      <c r="G5">
        <v>0</v>
      </c>
      <c r="H5">
        <v>0.45390000000000003</v>
      </c>
      <c r="W5" s="469"/>
      <c r="X5" s="454"/>
      <c r="Y5" s="473">
        <f>MAX(X14,X47,X84,X123)</f>
        <v>7.3332522452553173</v>
      </c>
      <c r="Z5" s="473">
        <f>MIN(X14,X47,X84,X123)</f>
        <v>2.8249765535364029</v>
      </c>
      <c r="AA5" s="468"/>
      <c r="AC5" s="552"/>
      <c r="AD5" s="470" t="s">
        <v>3195</v>
      </c>
      <c r="AF5" s="470"/>
    </row>
    <row r="6" spans="1:32" ht="16" thickBot="1" x14ac:dyDescent="0.4">
      <c r="A6" s="30">
        <v>42923</v>
      </c>
      <c r="B6">
        <v>2</v>
      </c>
      <c r="C6" t="s">
        <v>3124</v>
      </c>
      <c r="G6">
        <v>0</v>
      </c>
      <c r="H6">
        <v>0.85640000000000005</v>
      </c>
      <c r="K6">
        <v>0.93446377353085175</v>
      </c>
      <c r="L6" t="e">
        <v>#DIV/0!</v>
      </c>
      <c r="M6">
        <v>0</v>
      </c>
      <c r="N6" t="e">
        <v>#DIV/0!</v>
      </c>
      <c r="O6">
        <v>108</v>
      </c>
      <c r="P6">
        <v>41.7</v>
      </c>
      <c r="Q6">
        <v>100</v>
      </c>
      <c r="R6">
        <v>3</v>
      </c>
      <c r="S6" t="s">
        <v>675</v>
      </c>
      <c r="T6" t="s">
        <v>675</v>
      </c>
      <c r="W6" s="550" t="s">
        <v>3191</v>
      </c>
      <c r="X6" s="551"/>
      <c r="Y6" s="474">
        <f>(Y5/AD15)*100</f>
        <v>3.5429734956610615</v>
      </c>
      <c r="Z6" s="474">
        <f>(Z5/AD15)*100</f>
        <v>1.3648537811472672</v>
      </c>
      <c r="AA6" s="127"/>
      <c r="AC6" s="552"/>
      <c r="AF6" s="470" t="s">
        <v>3192</v>
      </c>
    </row>
    <row r="7" spans="1:32" ht="15.5" x14ac:dyDescent="0.35">
      <c r="A7" s="30">
        <v>42923</v>
      </c>
      <c r="B7">
        <v>3</v>
      </c>
      <c r="C7" t="s">
        <v>3125</v>
      </c>
      <c r="G7">
        <v>0</v>
      </c>
      <c r="H7">
        <v>0.78790000000000004</v>
      </c>
      <c r="I7">
        <v>0.78790000000000004</v>
      </c>
      <c r="J7">
        <f>H7</f>
        <v>0.78790000000000004</v>
      </c>
      <c r="K7">
        <v>0.93446377353085175</v>
      </c>
      <c r="L7" t="e">
        <v>#DIV/0!</v>
      </c>
      <c r="M7">
        <v>0</v>
      </c>
      <c r="N7" t="e">
        <v>#DIV/0!</v>
      </c>
      <c r="O7">
        <v>108</v>
      </c>
      <c r="P7">
        <v>41.7</v>
      </c>
      <c r="Q7">
        <v>100</v>
      </c>
      <c r="R7">
        <v>3</v>
      </c>
      <c r="S7" t="s">
        <v>675</v>
      </c>
      <c r="T7" t="s">
        <v>675</v>
      </c>
      <c r="W7" s="30">
        <f>A5</f>
        <v>42923</v>
      </c>
      <c r="AC7" s="470" t="s">
        <v>800</v>
      </c>
      <c r="AD7" s="3">
        <f>AVERAGE(H5:H7,H16,H25,H34,H38:H40,H46,H49,H59,H69,H74:H76,H82,H85,H97,H110,H114:H116,H122,H125,H133,H141)</f>
        <v>0.65244074074074088</v>
      </c>
      <c r="AF7" s="3">
        <f>(AD7/AD15)*100</f>
        <v>0.31521897442291436</v>
      </c>
    </row>
    <row r="8" spans="1:32" x14ac:dyDescent="0.25">
      <c r="A8" s="30">
        <v>42923</v>
      </c>
      <c r="B8">
        <v>4</v>
      </c>
      <c r="C8" t="s">
        <v>3126</v>
      </c>
      <c r="D8">
        <v>347.5</v>
      </c>
      <c r="G8">
        <v>347.43049999999999</v>
      </c>
      <c r="H8">
        <v>40.5642</v>
      </c>
      <c r="I8">
        <v>0.64370000000000005</v>
      </c>
      <c r="J8">
        <v>39.920499999999997</v>
      </c>
      <c r="K8">
        <v>338.95962564667178</v>
      </c>
      <c r="L8">
        <v>97.561850685726142</v>
      </c>
      <c r="M8">
        <v>332.69299292256454</v>
      </c>
      <c r="N8">
        <v>95.758142397562821</v>
      </c>
      <c r="O8">
        <v>108</v>
      </c>
      <c r="P8">
        <v>41.7</v>
      </c>
      <c r="Q8">
        <v>100</v>
      </c>
      <c r="R8">
        <v>3</v>
      </c>
      <c r="S8" t="s">
        <v>675</v>
      </c>
      <c r="T8" t="s">
        <v>675</v>
      </c>
      <c r="W8" s="3">
        <f t="shared" ref="W8:W13" si="0">((J7-INDEX(LINEST($J$7:$J$12,$G$7:$G$12),2))/INDEX(LINEST($J$7:$J$12,$G$7:$G$12),1)/100.09)*12.01</f>
        <v>0.58218324725798398</v>
      </c>
      <c r="X8" s="3">
        <f>(J7-W8)^2</f>
        <v>4.2319382358719772E-2</v>
      </c>
      <c r="AD8" s="3"/>
    </row>
    <row r="9" spans="1:32" ht="15.5" x14ac:dyDescent="0.35">
      <c r="A9" s="30">
        <v>42923</v>
      </c>
      <c r="B9">
        <v>5</v>
      </c>
      <c r="C9" t="s">
        <v>3127</v>
      </c>
      <c r="D9">
        <v>1068</v>
      </c>
      <c r="G9">
        <v>1067.7864</v>
      </c>
      <c r="H9">
        <v>126.2092</v>
      </c>
      <c r="I9">
        <v>0.64370000000000005</v>
      </c>
      <c r="J9">
        <v>125.5655</v>
      </c>
      <c r="K9">
        <v>1064.155076320515</v>
      </c>
      <c r="L9">
        <v>99.659920403604602</v>
      </c>
      <c r="M9">
        <v>1046.4488671940051</v>
      </c>
      <c r="N9">
        <v>98.001704010652787</v>
      </c>
      <c r="O9">
        <v>108</v>
      </c>
      <c r="P9">
        <v>41.7</v>
      </c>
      <c r="Q9">
        <v>100</v>
      </c>
      <c r="R9">
        <v>3</v>
      </c>
      <c r="S9" t="s">
        <v>675</v>
      </c>
      <c r="T9" t="s">
        <v>675</v>
      </c>
      <c r="W9" s="3">
        <f t="shared" si="0"/>
        <v>40.384631494131426</v>
      </c>
      <c r="X9" s="3">
        <f>(J8-W9)^2</f>
        <v>0.21541804384467289</v>
      </c>
      <c r="AC9" s="470" t="s">
        <v>3085</v>
      </c>
      <c r="AD9" s="3">
        <f>_xlfn.STDEV.P(H5:H7,H16,H25,H34,H38:H40,H46,H49,H59,H69,H74:H76,H82,H85,H97,H110,H114:H116,H122,H125,H133,H141)</f>
        <v>0.29802662727080964</v>
      </c>
    </row>
    <row r="10" spans="1:32" ht="15.5" x14ac:dyDescent="0.35">
      <c r="A10" s="30">
        <v>42923</v>
      </c>
      <c r="B10">
        <v>6</v>
      </c>
      <c r="C10" t="s">
        <v>3128</v>
      </c>
      <c r="D10">
        <v>1632.3</v>
      </c>
      <c r="G10">
        <v>1631.97354</v>
      </c>
      <c r="H10">
        <v>194.6831</v>
      </c>
      <c r="I10">
        <v>0.64370000000000005</v>
      </c>
      <c r="J10">
        <v>194.0394</v>
      </c>
      <c r="K10">
        <v>1643.9549568727441</v>
      </c>
      <c r="L10">
        <v>100.7341673488618</v>
      </c>
      <c r="M10">
        <v>1617.1027099084099</v>
      </c>
      <c r="N10">
        <v>99.088782401975095</v>
      </c>
      <c r="O10">
        <v>108</v>
      </c>
      <c r="P10">
        <v>41.7</v>
      </c>
      <c r="Q10">
        <v>100</v>
      </c>
      <c r="R10">
        <v>3</v>
      </c>
      <c r="S10" t="s">
        <v>675</v>
      </c>
      <c r="T10" t="s">
        <v>675</v>
      </c>
      <c r="W10" s="3">
        <f t="shared" si="0"/>
        <v>127.4956509536991</v>
      </c>
      <c r="X10" s="3">
        <f t="shared" ref="X10:X13" si="1">(J9-W10)^2</f>
        <v>3.7254827040655365</v>
      </c>
      <c r="AC10" s="470"/>
    </row>
    <row r="11" spans="1:32" ht="15.5" x14ac:dyDescent="0.35">
      <c r="A11" s="30">
        <v>42923</v>
      </c>
      <c r="B11">
        <v>7</v>
      </c>
      <c r="C11" t="s">
        <v>3129</v>
      </c>
      <c r="D11">
        <v>2475</v>
      </c>
      <c r="G11">
        <v>2474.5050000000001</v>
      </c>
      <c r="H11">
        <v>293.70650000000001</v>
      </c>
      <c r="I11">
        <v>0.64370000000000005</v>
      </c>
      <c r="J11">
        <v>293.06279999999998</v>
      </c>
      <c r="K11">
        <v>2482.4314492570775</v>
      </c>
      <c r="L11">
        <v>100.32032464097172</v>
      </c>
      <c r="M11">
        <v>2442.3526771024144</v>
      </c>
      <c r="N11">
        <v>98.70065637783776</v>
      </c>
      <c r="O11">
        <v>108</v>
      </c>
      <c r="P11">
        <v>41.7</v>
      </c>
      <c r="Q11">
        <v>100</v>
      </c>
      <c r="R11">
        <v>3</v>
      </c>
      <c r="S11" t="s">
        <v>675</v>
      </c>
      <c r="T11" t="s">
        <v>675</v>
      </c>
      <c r="W11" s="3">
        <f t="shared" si="0"/>
        <v>197.14164587894268</v>
      </c>
      <c r="X11" s="3">
        <f t="shared" si="1"/>
        <v>9.6239294934168544</v>
      </c>
      <c r="AC11" s="470" t="s">
        <v>3196</v>
      </c>
      <c r="AD11">
        <f>COUNT(H5:H7,H16,H25,H34,H38:H40,H46,H49,H59,H69,H74:H76,H82,H85,H97,H110,H114:H116,H122,H125,H133,H141)</f>
        <v>27</v>
      </c>
    </row>
    <row r="12" spans="1:32" x14ac:dyDescent="0.25">
      <c r="A12" s="30">
        <v>42923</v>
      </c>
      <c r="B12">
        <v>8</v>
      </c>
      <c r="C12" t="s">
        <v>3130</v>
      </c>
      <c r="D12">
        <v>3701.7</v>
      </c>
      <c r="G12">
        <v>3700.95966</v>
      </c>
      <c r="H12">
        <v>436.58150000000001</v>
      </c>
      <c r="I12">
        <v>0.64370000000000005</v>
      </c>
      <c r="J12">
        <v>435.93779999999998</v>
      </c>
      <c r="K12">
        <v>3692.2195281294617</v>
      </c>
      <c r="L12">
        <v>99.763841471578246</v>
      </c>
      <c r="M12">
        <v>3633.056986011657</v>
      </c>
      <c r="N12">
        <v>98.165268464765091</v>
      </c>
      <c r="O12">
        <v>108</v>
      </c>
      <c r="P12">
        <v>41.7</v>
      </c>
      <c r="Q12">
        <v>100</v>
      </c>
      <c r="R12">
        <v>3</v>
      </c>
      <c r="S12" t="s">
        <v>675</v>
      </c>
      <c r="T12" t="s">
        <v>675</v>
      </c>
      <c r="W12" s="3">
        <f t="shared" si="0"/>
        <v>297.86006872152012</v>
      </c>
      <c r="X12" s="3">
        <f t="shared" si="1"/>
        <v>23.013787186475483</v>
      </c>
    </row>
    <row r="13" spans="1:32" ht="15.5" x14ac:dyDescent="0.35">
      <c r="A13" s="30">
        <v>42923</v>
      </c>
      <c r="B13">
        <v>9</v>
      </c>
      <c r="C13" t="s">
        <v>3131</v>
      </c>
      <c r="H13">
        <v>1.0697000000000001</v>
      </c>
      <c r="I13">
        <v>0.64370000000000005</v>
      </c>
      <c r="J13">
        <v>0.42600000000000005</v>
      </c>
      <c r="K13">
        <v>4.5416009325834201</v>
      </c>
      <c r="L13" t="e">
        <v>#DIV/0!</v>
      </c>
      <c r="M13">
        <v>3.5502364696086599</v>
      </c>
      <c r="N13" t="e">
        <v>#DIV/0!</v>
      </c>
      <c r="O13">
        <v>108</v>
      </c>
      <c r="P13">
        <v>41.7</v>
      </c>
      <c r="Q13">
        <v>100</v>
      </c>
      <c r="R13">
        <v>3</v>
      </c>
      <c r="S13" t="s">
        <v>675</v>
      </c>
      <c r="T13" t="s">
        <v>675</v>
      </c>
      <c r="W13" s="3">
        <f t="shared" si="0"/>
        <v>443.18071680705611</v>
      </c>
      <c r="X13" s="3">
        <f t="shared" si="1"/>
        <v>52.459843873936208</v>
      </c>
      <c r="Z13" s="470" t="s">
        <v>3192</v>
      </c>
      <c r="AD13" s="470" t="s">
        <v>3197</v>
      </c>
    </row>
    <row r="14" spans="1:32" ht="15.5" x14ac:dyDescent="0.35">
      <c r="A14" s="30">
        <v>42923</v>
      </c>
      <c r="B14">
        <v>10</v>
      </c>
      <c r="C14" t="s">
        <v>3132</v>
      </c>
      <c r="D14">
        <v>1595.6</v>
      </c>
      <c r="H14">
        <v>21.676400000000001</v>
      </c>
      <c r="I14">
        <v>0.64370000000000005</v>
      </c>
      <c r="J14">
        <v>21.032700000000002</v>
      </c>
      <c r="K14">
        <v>179.02797017072558</v>
      </c>
      <c r="L14">
        <v>11.220103420075556</v>
      </c>
      <c r="M14">
        <v>175.28417510407996</v>
      </c>
      <c r="N14">
        <v>10.985470989225368</v>
      </c>
      <c r="O14">
        <v>108</v>
      </c>
      <c r="P14">
        <v>41.7</v>
      </c>
      <c r="Q14">
        <v>100</v>
      </c>
      <c r="R14">
        <v>3</v>
      </c>
      <c r="S14" t="s">
        <v>675</v>
      </c>
      <c r="T14" t="s">
        <v>675</v>
      </c>
      <c r="X14" s="471">
        <f>SQRT(SUM(X8:X13)/(6-2))</f>
        <v>4.7191307643489147</v>
      </c>
      <c r="Y14" s="470" t="s">
        <v>3122</v>
      </c>
      <c r="Z14" s="472">
        <f>(X14/$AD$15)*100</f>
        <v>2.2799918319276102</v>
      </c>
    </row>
    <row r="15" spans="1:32" ht="15.5" x14ac:dyDescent="0.35">
      <c r="A15" s="30">
        <v>42923</v>
      </c>
      <c r="B15">
        <v>11</v>
      </c>
      <c r="C15" t="s">
        <v>3132</v>
      </c>
      <c r="D15">
        <v>2143.1</v>
      </c>
      <c r="H15">
        <v>30.7669</v>
      </c>
      <c r="I15">
        <v>0.64370000000000005</v>
      </c>
      <c r="J15">
        <v>30.123200000000001</v>
      </c>
      <c r="K15">
        <v>256.0013982091466</v>
      </c>
      <c r="L15">
        <v>11.945378106908059</v>
      </c>
      <c r="M15">
        <v>251.04338784346379</v>
      </c>
      <c r="N15">
        <v>11.714030509237263</v>
      </c>
      <c r="O15">
        <v>108</v>
      </c>
      <c r="P15">
        <v>41.7</v>
      </c>
      <c r="Q15">
        <v>100</v>
      </c>
      <c r="R15">
        <v>3</v>
      </c>
      <c r="S15" t="s">
        <v>675</v>
      </c>
      <c r="T15" t="s">
        <v>675</v>
      </c>
      <c r="X15" s="471">
        <f>(X14/12.01)*100.09</f>
        <v>39.328709259257529</v>
      </c>
      <c r="Y15" s="470" t="s">
        <v>3193</v>
      </c>
      <c r="AC15" s="470" t="s">
        <v>800</v>
      </c>
      <c r="AD15" s="3">
        <f>AVERAGE(J17:J24,J26:J33,J60:J68,J86:J96,J98,J101:J109,J140)</f>
        <v>206.98016099290777</v>
      </c>
    </row>
    <row r="16" spans="1:32" x14ac:dyDescent="0.25">
      <c r="A16" s="30">
        <v>42923</v>
      </c>
      <c r="B16">
        <v>12</v>
      </c>
      <c r="C16" t="s">
        <v>3133</v>
      </c>
      <c r="H16">
        <v>0.46579999999999999</v>
      </c>
      <c r="I16">
        <v>0.64370000000000005</v>
      </c>
      <c r="J16">
        <v>-0.17790000000000006</v>
      </c>
      <c r="K16">
        <v>-0.57189702598898873</v>
      </c>
      <c r="L16" t="e">
        <v>#DIV/0!</v>
      </c>
      <c r="M16">
        <v>-1.4825987510407999</v>
      </c>
      <c r="N16" t="e">
        <v>#DIV/0!</v>
      </c>
      <c r="O16">
        <v>108</v>
      </c>
      <c r="P16">
        <v>41.7</v>
      </c>
      <c r="Q16">
        <v>100</v>
      </c>
      <c r="R16">
        <v>3</v>
      </c>
      <c r="S16" t="s">
        <v>675</v>
      </c>
      <c r="T16" t="s">
        <v>675</v>
      </c>
    </row>
    <row r="17" spans="1:30" ht="15.5" x14ac:dyDescent="0.35">
      <c r="A17" s="30">
        <v>42923</v>
      </c>
      <c r="B17">
        <v>13</v>
      </c>
      <c r="C17" t="s">
        <v>744</v>
      </c>
      <c r="D17">
        <v>2465.9</v>
      </c>
      <c r="H17">
        <v>194.24350000000001</v>
      </c>
      <c r="I17">
        <v>0.64370000000000005</v>
      </c>
      <c r="J17">
        <v>193.59980000000002</v>
      </c>
      <c r="K17">
        <v>1640.2326622832618</v>
      </c>
      <c r="L17">
        <v>66.516592817359253</v>
      </c>
      <c r="M17">
        <v>1613.4391325562035</v>
      </c>
      <c r="N17">
        <v>65.430030924052204</v>
      </c>
      <c r="O17">
        <v>108</v>
      </c>
      <c r="P17">
        <v>41.7</v>
      </c>
      <c r="Q17">
        <v>100</v>
      </c>
      <c r="R17">
        <v>3</v>
      </c>
      <c r="S17" t="s">
        <v>675</v>
      </c>
      <c r="T17" t="s">
        <v>675</v>
      </c>
      <c r="AC17" s="470" t="s">
        <v>3085</v>
      </c>
      <c r="AD17">
        <f>_xlfn.STDEV.P(J17:J24,J26:J33,J60:J68,J86:J96,J98,J101:J109,J140)</f>
        <v>50.153759270857464</v>
      </c>
    </row>
    <row r="18" spans="1:30" ht="15.5" x14ac:dyDescent="0.35">
      <c r="A18" s="30">
        <v>42923</v>
      </c>
      <c r="B18">
        <v>14</v>
      </c>
      <c r="C18" t="s">
        <v>745</v>
      </c>
      <c r="D18">
        <v>3113.2</v>
      </c>
      <c r="H18">
        <v>235.76939999999999</v>
      </c>
      <c r="I18">
        <v>0.64370000000000005</v>
      </c>
      <c r="J18">
        <v>235.12569999999999</v>
      </c>
      <c r="K18">
        <v>1991.8514814219964</v>
      </c>
      <c r="L18">
        <v>63.980839053770922</v>
      </c>
      <c r="M18">
        <v>1959.5113499583681</v>
      </c>
      <c r="N18">
        <v>62.942032312680467</v>
      </c>
      <c r="O18">
        <v>108</v>
      </c>
      <c r="P18">
        <v>41.7</v>
      </c>
      <c r="Q18">
        <v>100</v>
      </c>
      <c r="R18">
        <v>3</v>
      </c>
      <c r="S18" t="s">
        <v>675</v>
      </c>
      <c r="T18" t="s">
        <v>675</v>
      </c>
      <c r="AC18" s="470"/>
    </row>
    <row r="19" spans="1:30" ht="15.5" x14ac:dyDescent="0.35">
      <c r="A19" s="30">
        <v>42923</v>
      </c>
      <c r="B19">
        <v>15</v>
      </c>
      <c r="C19" t="s">
        <v>746</v>
      </c>
      <c r="D19">
        <v>2481</v>
      </c>
      <c r="H19">
        <v>194.69990000000001</v>
      </c>
      <c r="I19">
        <v>0.64370000000000005</v>
      </c>
      <c r="J19">
        <v>194.05620000000002</v>
      </c>
      <c r="K19">
        <v>1644.0972101691575</v>
      </c>
      <c r="L19">
        <v>66.26752157070365</v>
      </c>
      <c r="M19">
        <v>1617.2427192339721</v>
      </c>
      <c r="N19">
        <v>65.185115648285858</v>
      </c>
      <c r="O19">
        <v>108</v>
      </c>
      <c r="P19">
        <v>41.7</v>
      </c>
      <c r="Q19">
        <v>100</v>
      </c>
      <c r="R19">
        <v>3</v>
      </c>
      <c r="S19" t="s">
        <v>675</v>
      </c>
      <c r="T19" t="s">
        <v>675</v>
      </c>
      <c r="AC19" s="470" t="s">
        <v>3196</v>
      </c>
      <c r="AD19">
        <f>COUNT(J17:J24,J26:J33,J60:J68,J86:J96,J98,J101:J109,J140)</f>
        <v>47</v>
      </c>
    </row>
    <row r="20" spans="1:30" x14ac:dyDescent="0.25">
      <c r="A20" s="30">
        <v>42923</v>
      </c>
      <c r="B20">
        <v>16</v>
      </c>
      <c r="C20" t="s">
        <v>747</v>
      </c>
      <c r="D20">
        <v>2875.1</v>
      </c>
      <c r="H20">
        <v>216.82300000000001</v>
      </c>
      <c r="I20">
        <v>0.64370000000000005</v>
      </c>
      <c r="J20">
        <v>216.17930000000001</v>
      </c>
      <c r="K20">
        <v>1831.4236329002276</v>
      </c>
      <c r="L20">
        <v>63.699475945192432</v>
      </c>
      <c r="M20">
        <v>1801.6141662781017</v>
      </c>
      <c r="N20">
        <v>62.662660995377614</v>
      </c>
      <c r="O20">
        <v>108</v>
      </c>
      <c r="P20">
        <v>41.7</v>
      </c>
      <c r="Q20">
        <v>100</v>
      </c>
      <c r="R20">
        <v>3</v>
      </c>
      <c r="S20" t="s">
        <v>675</v>
      </c>
      <c r="T20" t="s">
        <v>675</v>
      </c>
    </row>
    <row r="21" spans="1:30" x14ac:dyDescent="0.25">
      <c r="A21" s="30">
        <v>42923</v>
      </c>
      <c r="B21">
        <v>17</v>
      </c>
      <c r="C21" t="s">
        <v>748</v>
      </c>
      <c r="D21">
        <v>2239.1</v>
      </c>
      <c r="H21">
        <v>160.17400000000001</v>
      </c>
      <c r="I21">
        <v>0.64370000000000005</v>
      </c>
      <c r="J21">
        <v>159.53030000000001</v>
      </c>
      <c r="K21">
        <v>1351.7505978693148</v>
      </c>
      <c r="L21">
        <v>60.370264743393101</v>
      </c>
      <c r="M21">
        <v>1329.5077208159869</v>
      </c>
      <c r="N21">
        <v>59.376880032869771</v>
      </c>
      <c r="O21">
        <v>108</v>
      </c>
      <c r="P21">
        <v>41.7</v>
      </c>
      <c r="Q21">
        <v>100</v>
      </c>
      <c r="R21">
        <v>3</v>
      </c>
      <c r="S21" t="s">
        <v>675</v>
      </c>
      <c r="T21" t="s">
        <v>675</v>
      </c>
    </row>
    <row r="22" spans="1:30" x14ac:dyDescent="0.25">
      <c r="A22" s="30">
        <v>42923</v>
      </c>
      <c r="B22">
        <v>18</v>
      </c>
      <c r="C22" t="s">
        <v>749</v>
      </c>
      <c r="D22">
        <v>2637.6</v>
      </c>
      <c r="H22">
        <v>210.8877</v>
      </c>
      <c r="I22">
        <v>0.64370000000000005</v>
      </c>
      <c r="J22">
        <v>210.244</v>
      </c>
      <c r="K22">
        <v>1781.1667287215312</v>
      </c>
      <c r="L22">
        <v>67.529827446221233</v>
      </c>
      <c r="M22">
        <v>1752.1500383014156</v>
      </c>
      <c r="N22">
        <v>66.429710278336955</v>
      </c>
      <c r="O22">
        <v>108</v>
      </c>
      <c r="P22">
        <v>41.7</v>
      </c>
      <c r="Q22">
        <v>100</v>
      </c>
      <c r="R22">
        <v>3</v>
      </c>
      <c r="S22" t="s">
        <v>675</v>
      </c>
      <c r="T22" t="s">
        <v>675</v>
      </c>
    </row>
    <row r="23" spans="1:30" x14ac:dyDescent="0.25">
      <c r="A23" s="30">
        <v>42923</v>
      </c>
      <c r="B23">
        <v>19</v>
      </c>
      <c r="C23" t="s">
        <v>750</v>
      </c>
      <c r="D23">
        <v>3018.8</v>
      </c>
      <c r="H23">
        <v>251.17400000000001</v>
      </c>
      <c r="I23">
        <v>0.64370000000000005</v>
      </c>
      <c r="J23">
        <v>250.53030000000001</v>
      </c>
      <c r="K23">
        <v>2122.2892867749101</v>
      </c>
      <c r="L23">
        <v>70.302414428743546</v>
      </c>
      <c r="M23">
        <v>2087.8915676103252</v>
      </c>
      <c r="N23">
        <v>69.162964343789753</v>
      </c>
      <c r="O23">
        <v>108</v>
      </c>
      <c r="P23">
        <v>41.7</v>
      </c>
      <c r="Q23">
        <v>100</v>
      </c>
      <c r="R23">
        <v>3</v>
      </c>
      <c r="S23" t="s">
        <v>675</v>
      </c>
      <c r="T23" t="s">
        <v>675</v>
      </c>
    </row>
    <row r="24" spans="1:30" x14ac:dyDescent="0.25">
      <c r="A24" s="30">
        <v>42923</v>
      </c>
      <c r="B24">
        <v>20</v>
      </c>
      <c r="C24" t="s">
        <v>751</v>
      </c>
      <c r="D24">
        <v>2994.6</v>
      </c>
      <c r="H24">
        <v>240.84569999999999</v>
      </c>
      <c r="I24">
        <v>0.64370000000000005</v>
      </c>
      <c r="J24">
        <v>240.202</v>
      </c>
      <c r="K24">
        <v>2034.834839075749</v>
      </c>
      <c r="L24">
        <v>67.950138217984005</v>
      </c>
      <c r="M24">
        <v>2001.8166677768529</v>
      </c>
      <c r="N24">
        <v>66.847547845350064</v>
      </c>
      <c r="O24">
        <v>108</v>
      </c>
      <c r="P24">
        <v>41.7</v>
      </c>
      <c r="Q24">
        <v>100</v>
      </c>
      <c r="R24">
        <v>3</v>
      </c>
      <c r="S24" t="s">
        <v>675</v>
      </c>
      <c r="T24" t="s">
        <v>675</v>
      </c>
    </row>
    <row r="25" spans="1:30" x14ac:dyDescent="0.25">
      <c r="A25" s="30">
        <v>42923</v>
      </c>
      <c r="B25">
        <v>21</v>
      </c>
      <c r="C25" t="s">
        <v>3134</v>
      </c>
      <c r="H25">
        <v>0.79020000000000001</v>
      </c>
      <c r="I25">
        <v>0.64370000000000005</v>
      </c>
      <c r="J25">
        <v>0.14649999999999996</v>
      </c>
      <c r="K25">
        <v>2.1749463880876618</v>
      </c>
      <c r="L25" t="e">
        <v>#DIV/0!</v>
      </c>
      <c r="M25">
        <v>1.220914654454621</v>
      </c>
      <c r="N25" t="e">
        <v>#DIV/0!</v>
      </c>
      <c r="O25">
        <v>108</v>
      </c>
      <c r="P25">
        <v>41.7</v>
      </c>
      <c r="Q25">
        <v>100</v>
      </c>
      <c r="R25">
        <v>3</v>
      </c>
      <c r="S25" t="s">
        <v>675</v>
      </c>
      <c r="T25" t="s">
        <v>675</v>
      </c>
    </row>
    <row r="26" spans="1:30" x14ac:dyDescent="0.25">
      <c r="A26" s="30">
        <v>42923</v>
      </c>
      <c r="B26">
        <v>22</v>
      </c>
      <c r="C26" t="s">
        <v>752</v>
      </c>
      <c r="D26">
        <v>3283.7</v>
      </c>
      <c r="H26">
        <v>262.67520000000002</v>
      </c>
      <c r="I26">
        <v>0.64370000000000005</v>
      </c>
      <c r="J26">
        <v>262.03149999999999</v>
      </c>
      <c r="K26">
        <v>2219.6752161028335</v>
      </c>
      <c r="L26">
        <v>67.596772424485593</v>
      </c>
      <c r="M26">
        <v>2183.7412851790173</v>
      </c>
      <c r="N26">
        <v>66.502460187563344</v>
      </c>
      <c r="O26">
        <v>108</v>
      </c>
      <c r="P26">
        <v>41.7</v>
      </c>
      <c r="Q26">
        <v>100</v>
      </c>
      <c r="R26">
        <v>3</v>
      </c>
      <c r="S26" t="s">
        <v>675</v>
      </c>
      <c r="T26" t="s">
        <v>675</v>
      </c>
    </row>
    <row r="27" spans="1:30" x14ac:dyDescent="0.25">
      <c r="A27" s="30">
        <v>42923</v>
      </c>
      <c r="B27">
        <v>23</v>
      </c>
      <c r="C27" t="s">
        <v>753</v>
      </c>
      <c r="D27">
        <v>2797.1</v>
      </c>
      <c r="H27">
        <v>208.47</v>
      </c>
      <c r="I27">
        <v>0.64370000000000005</v>
      </c>
      <c r="J27">
        <v>207.8263</v>
      </c>
      <c r="K27">
        <v>1760.6949552251897</v>
      </c>
      <c r="L27">
        <v>62.947157957355472</v>
      </c>
      <c r="M27">
        <v>1732.0011962531223</v>
      </c>
      <c r="N27">
        <v>61.921318374499386</v>
      </c>
      <c r="O27">
        <v>108</v>
      </c>
      <c r="P27">
        <v>41.7</v>
      </c>
      <c r="Q27">
        <v>100</v>
      </c>
      <c r="R27">
        <v>3</v>
      </c>
      <c r="S27" t="s">
        <v>675</v>
      </c>
      <c r="T27" t="s">
        <v>675</v>
      </c>
    </row>
    <row r="28" spans="1:30" x14ac:dyDescent="0.25">
      <c r="A28" s="30">
        <v>42923</v>
      </c>
      <c r="B28">
        <v>24</v>
      </c>
      <c r="C28" t="s">
        <v>754</v>
      </c>
      <c r="D28">
        <v>2863.4</v>
      </c>
      <c r="H28">
        <v>213.93010000000001</v>
      </c>
      <c r="I28">
        <v>0.64370000000000005</v>
      </c>
      <c r="J28">
        <v>213.28640000000001</v>
      </c>
      <c r="K28">
        <v>1806.9281233053375</v>
      </c>
      <c r="L28">
        <v>63.104285929501202</v>
      </c>
      <c r="M28">
        <v>1777.5050604496257</v>
      </c>
      <c r="N28">
        <v>62.076729079053763</v>
      </c>
      <c r="O28">
        <v>108</v>
      </c>
      <c r="P28">
        <v>41.7</v>
      </c>
      <c r="Q28">
        <v>100</v>
      </c>
      <c r="R28">
        <v>3</v>
      </c>
      <c r="S28" t="s">
        <v>675</v>
      </c>
      <c r="T28" t="s">
        <v>675</v>
      </c>
    </row>
    <row r="29" spans="1:30" x14ac:dyDescent="0.25">
      <c r="A29" s="30">
        <v>42923</v>
      </c>
      <c r="B29">
        <v>25</v>
      </c>
      <c r="C29" t="s">
        <v>755</v>
      </c>
      <c r="D29">
        <v>2372.4</v>
      </c>
      <c r="H29">
        <v>140.422</v>
      </c>
      <c r="I29">
        <v>0.64370000000000005</v>
      </c>
      <c r="J29">
        <v>139.7783</v>
      </c>
      <c r="K29">
        <v>1184.5013650862011</v>
      </c>
      <c r="L29">
        <v>49.928400146948285</v>
      </c>
      <c r="M29">
        <v>1164.896756619484</v>
      </c>
      <c r="N29">
        <v>49.102038299590454</v>
      </c>
      <c r="O29">
        <v>108</v>
      </c>
      <c r="P29">
        <v>41.7</v>
      </c>
      <c r="Q29">
        <v>100</v>
      </c>
      <c r="R29">
        <v>3</v>
      </c>
      <c r="S29" t="s">
        <v>675</v>
      </c>
      <c r="T29" t="s">
        <v>675</v>
      </c>
    </row>
    <row r="30" spans="1:30" x14ac:dyDescent="0.25">
      <c r="A30" s="30">
        <v>42923</v>
      </c>
      <c r="B30">
        <v>26</v>
      </c>
      <c r="C30" t="s">
        <v>756</v>
      </c>
      <c r="D30">
        <v>2740.3</v>
      </c>
      <c r="H30">
        <v>139.65989999999999</v>
      </c>
      <c r="I30">
        <v>0.64370000000000005</v>
      </c>
      <c r="J30">
        <v>139.0162</v>
      </c>
      <c r="K30">
        <v>1178.0483152530699</v>
      </c>
      <c r="L30">
        <v>42.989757152613571</v>
      </c>
      <c r="M30">
        <v>1158.5455002497918</v>
      </c>
      <c r="N30">
        <v>42.278053506907703</v>
      </c>
      <c r="O30">
        <v>108</v>
      </c>
      <c r="P30">
        <v>41.7</v>
      </c>
      <c r="Q30">
        <v>100</v>
      </c>
      <c r="R30">
        <v>3</v>
      </c>
      <c r="S30" t="s">
        <v>675</v>
      </c>
      <c r="T30" t="s">
        <v>675</v>
      </c>
    </row>
    <row r="31" spans="1:30" x14ac:dyDescent="0.25">
      <c r="A31" s="30">
        <v>42923</v>
      </c>
      <c r="B31">
        <v>27</v>
      </c>
      <c r="C31" t="s">
        <v>757</v>
      </c>
      <c r="D31">
        <v>2166.5</v>
      </c>
      <c r="H31">
        <v>189.14179999999999</v>
      </c>
      <c r="I31">
        <v>0.64370000000000005</v>
      </c>
      <c r="J31">
        <v>188.49809999999999</v>
      </c>
      <c r="K31">
        <v>1597.0342311932652</v>
      </c>
      <c r="L31">
        <v>73.71494258911909</v>
      </c>
      <c r="M31">
        <v>1570.9221339716905</v>
      </c>
      <c r="N31">
        <v>72.509676158397895</v>
      </c>
      <c r="O31">
        <v>108</v>
      </c>
      <c r="P31">
        <v>41.7</v>
      </c>
      <c r="Q31">
        <v>100</v>
      </c>
      <c r="R31">
        <v>3</v>
      </c>
      <c r="S31" t="s">
        <v>675</v>
      </c>
      <c r="T31" t="s">
        <v>675</v>
      </c>
    </row>
    <row r="32" spans="1:30" x14ac:dyDescent="0.25">
      <c r="A32" s="30">
        <v>42923</v>
      </c>
      <c r="B32">
        <v>28</v>
      </c>
      <c r="C32" t="s">
        <v>758</v>
      </c>
      <c r="D32">
        <v>2943.1</v>
      </c>
      <c r="H32">
        <v>271.27100000000002</v>
      </c>
      <c r="I32">
        <v>0.64370000000000005</v>
      </c>
      <c r="J32">
        <v>270.62729999999999</v>
      </c>
      <c r="K32">
        <v>2292.4597926093688</v>
      </c>
      <c r="L32">
        <v>77.892691128720358</v>
      </c>
      <c r="M32">
        <v>2255.3777233139053</v>
      </c>
      <c r="N32">
        <v>76.632724790659694</v>
      </c>
      <c r="O32">
        <v>108</v>
      </c>
      <c r="P32">
        <v>41.7</v>
      </c>
      <c r="Q32">
        <v>100</v>
      </c>
      <c r="R32">
        <v>3</v>
      </c>
      <c r="S32" t="s">
        <v>675</v>
      </c>
      <c r="T32" t="s">
        <v>675</v>
      </c>
    </row>
    <row r="33" spans="1:26" x14ac:dyDescent="0.25">
      <c r="A33" s="30">
        <v>42923</v>
      </c>
      <c r="B33">
        <v>29</v>
      </c>
      <c r="C33" t="s">
        <v>759</v>
      </c>
      <c r="D33">
        <v>2420.6</v>
      </c>
      <c r="H33">
        <v>219.02379999999999</v>
      </c>
      <c r="I33">
        <v>0.64370000000000005</v>
      </c>
      <c r="J33">
        <v>218.3801</v>
      </c>
      <c r="K33">
        <v>1850.0588147303752</v>
      </c>
      <c r="L33">
        <v>76.429761824769699</v>
      </c>
      <c r="M33">
        <v>1819.955387926728</v>
      </c>
      <c r="N33">
        <v>75.186126907656288</v>
      </c>
      <c r="O33">
        <v>108</v>
      </c>
      <c r="P33">
        <v>41.7</v>
      </c>
      <c r="Q33">
        <v>100</v>
      </c>
      <c r="R33">
        <v>3</v>
      </c>
      <c r="S33" t="s">
        <v>675</v>
      </c>
      <c r="T33" t="s">
        <v>675</v>
      </c>
    </row>
    <row r="34" spans="1:26" x14ac:dyDescent="0.25">
      <c r="A34" s="30">
        <v>42923</v>
      </c>
      <c r="B34">
        <v>30</v>
      </c>
      <c r="C34" t="s">
        <v>3135</v>
      </c>
      <c r="H34">
        <v>0.50800000000000001</v>
      </c>
      <c r="I34">
        <v>0.64370000000000005</v>
      </c>
      <c r="J34">
        <v>-0.13570000000000004</v>
      </c>
      <c r="K34">
        <v>-0.21457029333166844</v>
      </c>
      <c r="L34" t="e">
        <v>#DIV/0!</v>
      </c>
      <c r="M34">
        <v>-1.1309086594504583</v>
      </c>
      <c r="N34" t="e">
        <v>#DIV/0!</v>
      </c>
      <c r="O34">
        <v>108</v>
      </c>
      <c r="P34">
        <v>41.7</v>
      </c>
      <c r="Q34">
        <v>100</v>
      </c>
      <c r="R34">
        <v>3</v>
      </c>
      <c r="S34" t="s">
        <v>675</v>
      </c>
      <c r="T34" t="s">
        <v>675</v>
      </c>
    </row>
    <row r="36" spans="1:26" x14ac:dyDescent="0.25">
      <c r="A36" s="30" t="s">
        <v>3136</v>
      </c>
    </row>
    <row r="37" spans="1:26" x14ac:dyDescent="0.25">
      <c r="A37" s="30" t="s">
        <v>3137</v>
      </c>
    </row>
    <row r="38" spans="1:26" x14ac:dyDescent="0.25">
      <c r="A38" s="30">
        <v>42927</v>
      </c>
      <c r="B38">
        <v>1</v>
      </c>
      <c r="C38" t="s">
        <v>3123</v>
      </c>
      <c r="G38">
        <v>0</v>
      </c>
      <c r="H38">
        <v>0.36969999999999997</v>
      </c>
    </row>
    <row r="39" spans="1:26" x14ac:dyDescent="0.25">
      <c r="A39" s="30">
        <v>42927</v>
      </c>
      <c r="B39">
        <v>2</v>
      </c>
      <c r="C39" t="s">
        <v>3124</v>
      </c>
      <c r="G39">
        <v>0</v>
      </c>
      <c r="H39">
        <v>0.50260000000000005</v>
      </c>
      <c r="K39">
        <v>0.93446377353085175</v>
      </c>
      <c r="L39" t="e">
        <v>#DIV/0!</v>
      </c>
      <c r="M39">
        <v>0</v>
      </c>
      <c r="N39" t="e">
        <v>#DIV/0!</v>
      </c>
      <c r="O39">
        <v>108</v>
      </c>
      <c r="P39">
        <v>41.7</v>
      </c>
      <c r="Q39">
        <v>100</v>
      </c>
      <c r="R39">
        <v>3</v>
      </c>
      <c r="S39" t="s">
        <v>675</v>
      </c>
      <c r="T39" t="s">
        <v>675</v>
      </c>
    </row>
    <row r="40" spans="1:26" x14ac:dyDescent="0.25">
      <c r="A40" s="30">
        <v>42927</v>
      </c>
      <c r="B40">
        <v>3</v>
      </c>
      <c r="C40" t="s">
        <v>3125</v>
      </c>
      <c r="G40">
        <v>0</v>
      </c>
      <c r="H40">
        <v>0.50409999999999999</v>
      </c>
      <c r="I40">
        <v>0.50409999999999999</v>
      </c>
      <c r="J40">
        <f>H40</f>
        <v>0.50409999999999999</v>
      </c>
      <c r="K40">
        <v>0.93446377353085175</v>
      </c>
      <c r="L40" t="e">
        <v>#DIV/0!</v>
      </c>
      <c r="M40">
        <v>0</v>
      </c>
      <c r="N40" t="e">
        <v>#DIV/0!</v>
      </c>
      <c r="O40">
        <v>108</v>
      </c>
      <c r="P40">
        <v>41.7</v>
      </c>
      <c r="Q40">
        <v>100</v>
      </c>
      <c r="R40">
        <v>3</v>
      </c>
      <c r="S40" t="s">
        <v>675</v>
      </c>
      <c r="T40" t="s">
        <v>675</v>
      </c>
      <c r="W40" s="30">
        <f>A38</f>
        <v>42927</v>
      </c>
    </row>
    <row r="41" spans="1:26" x14ac:dyDescent="0.25">
      <c r="A41" s="30">
        <v>42927</v>
      </c>
      <c r="B41">
        <v>4</v>
      </c>
      <c r="C41" t="s">
        <v>3138</v>
      </c>
      <c r="D41">
        <v>233.5</v>
      </c>
      <c r="G41">
        <v>233.45330000000001</v>
      </c>
      <c r="H41">
        <v>28.139099999999999</v>
      </c>
      <c r="I41">
        <v>0.49194999999999994</v>
      </c>
      <c r="J41">
        <v>27.64715</v>
      </c>
      <c r="K41">
        <v>239.38197062464408</v>
      </c>
      <c r="L41">
        <v>102.53955314602281</v>
      </c>
      <c r="M41">
        <v>230.40826340549543</v>
      </c>
      <c r="N41">
        <v>98.695654936338613</v>
      </c>
      <c r="O41">
        <v>108</v>
      </c>
      <c r="P41">
        <v>41.7</v>
      </c>
      <c r="Q41">
        <v>100</v>
      </c>
      <c r="R41">
        <v>3</v>
      </c>
      <c r="S41" t="s">
        <v>675</v>
      </c>
      <c r="T41" t="s">
        <v>675</v>
      </c>
      <c r="W41" s="3">
        <f>((J40-INDEX(LINEST($J$40:$J$45,$G$40:$G$45),2))/INDEX(LINEST($J$40:$J$45,$G$40:$G$45),1)/100.09)*12.01</f>
        <v>1.0621279863615116</v>
      </c>
      <c r="X41" s="3">
        <f>(J40-W41)^2</f>
        <v>0.31139523356268339</v>
      </c>
    </row>
    <row r="42" spans="1:26" x14ac:dyDescent="0.25">
      <c r="A42" s="30">
        <v>42927</v>
      </c>
      <c r="B42">
        <v>5</v>
      </c>
      <c r="C42" t="s">
        <v>3139</v>
      </c>
      <c r="D42">
        <v>1039.5</v>
      </c>
      <c r="G42">
        <v>1039.2921000000001</v>
      </c>
      <c r="H42">
        <v>122.883</v>
      </c>
      <c r="I42">
        <v>0.49194999999999994</v>
      </c>
      <c r="J42">
        <v>122.39104999999999</v>
      </c>
      <c r="K42">
        <v>1038.3770344375414</v>
      </c>
      <c r="L42">
        <v>99.911952995461178</v>
      </c>
      <c r="M42">
        <v>1019.9933550791008</v>
      </c>
      <c r="N42">
        <v>98.143087499568281</v>
      </c>
      <c r="O42">
        <v>108</v>
      </c>
      <c r="P42">
        <v>41.7</v>
      </c>
      <c r="Q42">
        <v>100</v>
      </c>
      <c r="R42">
        <v>3</v>
      </c>
      <c r="S42" t="s">
        <v>675</v>
      </c>
      <c r="T42" t="s">
        <v>675</v>
      </c>
      <c r="W42" s="3">
        <f t="shared" ref="W42:W46" si="2">((J41-INDEX(LINEST($J$40:$J$45,$G$40:$G$45),2))/INDEX(LINEST($J$40:$J$45,$G$40:$G$45),1)/100.09)*12.01</f>
        <v>28.545006385975306</v>
      </c>
      <c r="X42" s="3">
        <f t="shared" ref="X42:X46" si="3">(J41-W42)^2</f>
        <v>0.80614608983663749</v>
      </c>
    </row>
    <row r="43" spans="1:26" x14ac:dyDescent="0.25">
      <c r="A43" s="30">
        <v>42927</v>
      </c>
      <c r="B43">
        <v>6</v>
      </c>
      <c r="C43" t="s">
        <v>3140</v>
      </c>
      <c r="D43">
        <v>1492.3</v>
      </c>
      <c r="G43">
        <v>1492.00154</v>
      </c>
      <c r="H43">
        <v>174.2612</v>
      </c>
      <c r="I43">
        <v>0.49194999999999994</v>
      </c>
      <c r="J43">
        <v>173.76925</v>
      </c>
      <c r="K43">
        <v>1471.6601079398122</v>
      </c>
      <c r="L43">
        <v>98.636634647160776</v>
      </c>
      <c r="M43">
        <v>1448.1735414238135</v>
      </c>
      <c r="N43">
        <v>97.0624696154009</v>
      </c>
      <c r="O43">
        <v>108</v>
      </c>
      <c r="P43">
        <v>41.7</v>
      </c>
      <c r="Q43">
        <v>100</v>
      </c>
      <c r="R43">
        <v>3</v>
      </c>
      <c r="S43" t="s">
        <v>675</v>
      </c>
      <c r="T43" t="s">
        <v>675</v>
      </c>
      <c r="W43" s="3">
        <f t="shared" si="2"/>
        <v>124.47509098609095</v>
      </c>
      <c r="X43" s="3">
        <f t="shared" si="3"/>
        <v>4.343226831706958</v>
      </c>
    </row>
    <row r="44" spans="1:26" x14ac:dyDescent="0.25">
      <c r="A44" s="30">
        <v>42927</v>
      </c>
      <c r="B44">
        <v>7</v>
      </c>
      <c r="C44" t="s">
        <v>3141</v>
      </c>
      <c r="D44">
        <v>2674.1</v>
      </c>
      <c r="G44">
        <v>2673.5651800000001</v>
      </c>
      <c r="H44">
        <v>317.31270000000001</v>
      </c>
      <c r="I44">
        <v>0.49194999999999994</v>
      </c>
      <c r="J44">
        <v>316.82075000000003</v>
      </c>
      <c r="K44">
        <v>2678.0432352021553</v>
      </c>
      <c r="L44">
        <v>100.16749377332013</v>
      </c>
      <c r="M44">
        <v>2640.3487816403003</v>
      </c>
      <c r="N44">
        <v>98.757599081250007</v>
      </c>
      <c r="O44">
        <v>108</v>
      </c>
      <c r="P44">
        <v>41.7</v>
      </c>
      <c r="Q44">
        <v>100</v>
      </c>
      <c r="R44">
        <v>3</v>
      </c>
      <c r="S44" t="s">
        <v>675</v>
      </c>
      <c r="T44" t="s">
        <v>675</v>
      </c>
      <c r="W44" s="3">
        <f t="shared" si="2"/>
        <v>176.4965411544043</v>
      </c>
      <c r="X44" s="3">
        <f t="shared" si="3"/>
        <v>7.4381170408919308</v>
      </c>
    </row>
    <row r="45" spans="1:26" x14ac:dyDescent="0.25">
      <c r="A45" s="30">
        <v>42927</v>
      </c>
      <c r="B45">
        <v>8</v>
      </c>
      <c r="C45" t="s">
        <v>3142</v>
      </c>
      <c r="D45">
        <v>3883.1</v>
      </c>
      <c r="G45">
        <v>3882.3233799999998</v>
      </c>
      <c r="H45">
        <v>460.66289999999998</v>
      </c>
      <c r="I45">
        <v>0.49194999999999994</v>
      </c>
      <c r="J45">
        <v>460.17095</v>
      </c>
      <c r="K45">
        <v>3886.9453618466309</v>
      </c>
      <c r="L45">
        <v>100.11905195405517</v>
      </c>
      <c r="M45">
        <v>3835.0133543297256</v>
      </c>
      <c r="N45">
        <v>98.781399150982779</v>
      </c>
      <c r="O45">
        <v>108</v>
      </c>
      <c r="P45">
        <v>41.7</v>
      </c>
      <c r="Q45">
        <v>100</v>
      </c>
      <c r="R45">
        <v>3</v>
      </c>
      <c r="S45" t="s">
        <v>675</v>
      </c>
      <c r="T45" t="s">
        <v>675</v>
      </c>
      <c r="W45" s="3">
        <f t="shared" si="2"/>
        <v>321.33903230342236</v>
      </c>
      <c r="X45" s="3">
        <f t="shared" si="3"/>
        <v>20.414874973419348</v>
      </c>
    </row>
    <row r="46" spans="1:26" ht="15.5" x14ac:dyDescent="0.35">
      <c r="A46" s="30">
        <v>42927</v>
      </c>
      <c r="B46">
        <v>9</v>
      </c>
      <c r="C46" t="s">
        <v>3143</v>
      </c>
      <c r="H46">
        <v>0.87890000000000001</v>
      </c>
      <c r="I46">
        <v>0.49194999999999994</v>
      </c>
      <c r="J46">
        <v>0.38695000000000007</v>
      </c>
      <c r="K46">
        <v>9.4910199824144197</v>
      </c>
      <c r="L46" t="e">
        <v>#DIV/0!</v>
      </c>
      <c r="M46">
        <v>3.2247981265612</v>
      </c>
      <c r="N46" t="e">
        <v>#DIV/0!</v>
      </c>
      <c r="O46">
        <v>108</v>
      </c>
      <c r="P46">
        <v>41.7</v>
      </c>
      <c r="Q46">
        <v>100</v>
      </c>
      <c r="R46">
        <v>3</v>
      </c>
      <c r="S46" t="s">
        <v>675</v>
      </c>
      <c r="T46" t="s">
        <v>675</v>
      </c>
      <c r="W46" s="3">
        <f t="shared" si="2"/>
        <v>466.48396314797799</v>
      </c>
      <c r="X46" s="3">
        <f t="shared" si="3"/>
        <v>39.85413500654289</v>
      </c>
      <c r="Z46" s="470" t="s">
        <v>3192</v>
      </c>
    </row>
    <row r="47" spans="1:26" ht="15.5" x14ac:dyDescent="0.35">
      <c r="A47" s="30">
        <v>42927</v>
      </c>
      <c r="B47">
        <v>10</v>
      </c>
      <c r="C47" t="s">
        <v>3132</v>
      </c>
      <c r="D47">
        <v>1115.9000000000001</v>
      </c>
      <c r="H47">
        <v>16.046800000000001</v>
      </c>
      <c r="I47">
        <v>0.49194999999999994</v>
      </c>
      <c r="J47">
        <v>15.554850000000002</v>
      </c>
      <c r="K47">
        <v>137.40508335121859</v>
      </c>
      <c r="L47">
        <v>12.313386804482354</v>
      </c>
      <c r="M47">
        <v>129.63238438801002</v>
      </c>
      <c r="N47">
        <v>11.616845988709564</v>
      </c>
      <c r="O47">
        <v>108</v>
      </c>
      <c r="P47">
        <v>41.7</v>
      </c>
      <c r="Q47">
        <v>100</v>
      </c>
      <c r="R47">
        <v>3</v>
      </c>
      <c r="S47" t="s">
        <v>675</v>
      </c>
      <c r="T47" t="s">
        <v>675</v>
      </c>
      <c r="X47" s="471">
        <f>SQRT(SUM(X41:X46)/(6-2))</f>
        <v>4.2769117122042761</v>
      </c>
      <c r="Y47" s="470" t="s">
        <v>3122</v>
      </c>
      <c r="Z47" s="472">
        <f>(X47/$AD$15)*100</f>
        <v>2.0663389629650668</v>
      </c>
    </row>
    <row r="48" spans="1:26" ht="15.5" x14ac:dyDescent="0.35">
      <c r="A48" s="30">
        <v>42927</v>
      </c>
      <c r="B48">
        <v>11</v>
      </c>
      <c r="C48" t="s">
        <v>3132</v>
      </c>
      <c r="D48">
        <v>2167.1</v>
      </c>
      <c r="H48">
        <v>32.234099999999998</v>
      </c>
      <c r="I48">
        <v>0.49194999999999994</v>
      </c>
      <c r="J48">
        <v>31.742149999999999</v>
      </c>
      <c r="K48">
        <v>273.91595947578713</v>
      </c>
      <c r="L48">
        <v>12.639747103307977</v>
      </c>
      <c r="M48">
        <v>264.53553651124059</v>
      </c>
      <c r="N48">
        <v>12.206891076149722</v>
      </c>
      <c r="O48">
        <v>108</v>
      </c>
      <c r="P48">
        <v>41.7</v>
      </c>
      <c r="Q48">
        <v>100</v>
      </c>
      <c r="R48">
        <v>3</v>
      </c>
      <c r="S48" t="s">
        <v>675</v>
      </c>
      <c r="T48" t="s">
        <v>675</v>
      </c>
      <c r="X48" s="471">
        <f>(X47/12.01)*100.09</f>
        <v>35.643305018694925</v>
      </c>
      <c r="Y48" s="470" t="s">
        <v>3193</v>
      </c>
    </row>
    <row r="49" spans="1:20" x14ac:dyDescent="0.25">
      <c r="A49" s="30">
        <v>42927</v>
      </c>
      <c r="B49">
        <v>12</v>
      </c>
      <c r="C49" t="s">
        <v>3144</v>
      </c>
      <c r="H49">
        <v>0.32819999999999999</v>
      </c>
      <c r="I49">
        <v>0.49194999999999994</v>
      </c>
      <c r="J49">
        <v>-0.16374999999999995</v>
      </c>
      <c r="K49">
        <v>4.8468520555952521</v>
      </c>
      <c r="L49" t="e">
        <v>#DIV/0!</v>
      </c>
      <c r="M49">
        <v>-1.3646742298084926</v>
      </c>
      <c r="N49" t="e">
        <v>#DIV/0!</v>
      </c>
      <c r="O49">
        <v>108</v>
      </c>
      <c r="P49">
        <v>41.7</v>
      </c>
      <c r="Q49">
        <v>100</v>
      </c>
      <c r="R49">
        <v>3</v>
      </c>
      <c r="S49" t="s">
        <v>675</v>
      </c>
      <c r="T49" t="s">
        <v>675</v>
      </c>
    </row>
    <row r="50" spans="1:20" x14ac:dyDescent="0.25">
      <c r="A50" s="30">
        <v>42927</v>
      </c>
      <c r="B50">
        <v>13</v>
      </c>
      <c r="C50" t="s">
        <v>3145</v>
      </c>
      <c r="D50">
        <v>2953.3</v>
      </c>
      <c r="H50">
        <v>229.88069999999999</v>
      </c>
      <c r="I50">
        <v>0.49194999999999994</v>
      </c>
      <c r="J50">
        <v>229.38874999999999</v>
      </c>
      <c r="K50">
        <v>1940.7109486983354</v>
      </c>
      <c r="L50">
        <v>65.713302024797187</v>
      </c>
      <c r="M50">
        <v>1911.7002487510408</v>
      </c>
      <c r="N50">
        <v>64.730987327770308</v>
      </c>
      <c r="O50">
        <v>108</v>
      </c>
      <c r="P50">
        <v>41.7</v>
      </c>
      <c r="Q50">
        <v>100</v>
      </c>
      <c r="R50">
        <v>3</v>
      </c>
      <c r="S50" t="s">
        <v>675</v>
      </c>
      <c r="T50" t="s">
        <v>675</v>
      </c>
    </row>
    <row r="51" spans="1:20" x14ac:dyDescent="0.25">
      <c r="A51" s="30">
        <v>42927</v>
      </c>
      <c r="B51">
        <v>14</v>
      </c>
      <c r="C51" t="s">
        <v>3146</v>
      </c>
      <c r="D51">
        <v>2674.1</v>
      </c>
      <c r="H51">
        <v>152.71850000000001</v>
      </c>
      <c r="I51">
        <v>0.49194999999999994</v>
      </c>
      <c r="J51">
        <v>152.22655</v>
      </c>
      <c r="K51">
        <v>1289.9860269572678</v>
      </c>
      <c r="L51">
        <v>48.24000699140899</v>
      </c>
      <c r="M51">
        <v>1268.6390832223149</v>
      </c>
      <c r="N51">
        <v>47.441721821260046</v>
      </c>
      <c r="O51">
        <v>108</v>
      </c>
      <c r="P51">
        <v>41.7</v>
      </c>
      <c r="Q51">
        <v>100</v>
      </c>
      <c r="R51">
        <v>3</v>
      </c>
      <c r="S51" t="s">
        <v>675</v>
      </c>
      <c r="T51" t="s">
        <v>675</v>
      </c>
    </row>
    <row r="52" spans="1:20" x14ac:dyDescent="0.25">
      <c r="A52" s="30">
        <v>42927</v>
      </c>
      <c r="B52">
        <v>15</v>
      </c>
      <c r="C52" t="s">
        <v>3147</v>
      </c>
      <c r="D52">
        <v>2828.1</v>
      </c>
      <c r="H52">
        <v>195.24369999999999</v>
      </c>
      <c r="I52">
        <v>0.49194999999999994</v>
      </c>
      <c r="J52">
        <v>194.75174999999999</v>
      </c>
      <c r="K52">
        <v>1648.6099055146863</v>
      </c>
      <c r="L52">
        <v>58.293904229506957</v>
      </c>
      <c r="M52">
        <v>1623.0393553288925</v>
      </c>
      <c r="N52">
        <v>57.38974418616359</v>
      </c>
      <c r="O52">
        <v>108</v>
      </c>
      <c r="P52">
        <v>41.7</v>
      </c>
      <c r="Q52">
        <v>100</v>
      </c>
      <c r="R52">
        <v>3</v>
      </c>
      <c r="S52" t="s">
        <v>675</v>
      </c>
      <c r="T52" t="s">
        <v>675</v>
      </c>
    </row>
    <row r="53" spans="1:20" x14ac:dyDescent="0.25">
      <c r="A53" s="30">
        <v>42927</v>
      </c>
      <c r="B53">
        <v>16</v>
      </c>
      <c r="C53" t="s">
        <v>3148</v>
      </c>
      <c r="D53">
        <v>3151.1</v>
      </c>
      <c r="H53">
        <v>228.6114</v>
      </c>
      <c r="I53">
        <v>0.49194999999999994</v>
      </c>
      <c r="J53">
        <v>228.11945</v>
      </c>
      <c r="K53">
        <v>1930.0066771357576</v>
      </c>
      <c r="L53">
        <v>61.24866481976953</v>
      </c>
      <c r="M53">
        <v>1901.1220441715238</v>
      </c>
      <c r="N53">
        <v>60.332012445543583</v>
      </c>
      <c r="O53">
        <v>108</v>
      </c>
      <c r="P53">
        <v>41.7</v>
      </c>
      <c r="Q53">
        <v>100</v>
      </c>
      <c r="R53">
        <v>3</v>
      </c>
      <c r="S53" t="s">
        <v>675</v>
      </c>
      <c r="T53" t="s">
        <v>675</v>
      </c>
    </row>
    <row r="54" spans="1:20" x14ac:dyDescent="0.25">
      <c r="A54" s="30">
        <v>42927</v>
      </c>
      <c r="B54">
        <v>17</v>
      </c>
      <c r="C54" t="s">
        <v>3149</v>
      </c>
      <c r="D54">
        <v>2583.8000000000002</v>
      </c>
      <c r="H54">
        <v>198.78970000000001</v>
      </c>
      <c r="I54">
        <v>0.49194999999999994</v>
      </c>
      <c r="J54">
        <v>198.29775000000001</v>
      </c>
      <c r="K54">
        <v>1678.5140628934785</v>
      </c>
      <c r="L54">
        <v>64.963002666362655</v>
      </c>
      <c r="M54">
        <v>1652.5913236885929</v>
      </c>
      <c r="N54">
        <v>63.959723031526927</v>
      </c>
      <c r="O54">
        <v>108</v>
      </c>
      <c r="P54">
        <v>41.7</v>
      </c>
      <c r="Q54">
        <v>100</v>
      </c>
      <c r="R54">
        <v>3</v>
      </c>
      <c r="S54" t="s">
        <v>675</v>
      </c>
      <c r="T54" t="s">
        <v>675</v>
      </c>
    </row>
    <row r="55" spans="1:20" x14ac:dyDescent="0.25">
      <c r="A55" s="30">
        <v>42927</v>
      </c>
      <c r="B55">
        <v>18</v>
      </c>
      <c r="C55" t="s">
        <v>3150</v>
      </c>
      <c r="D55">
        <v>2055.4</v>
      </c>
      <c r="H55">
        <v>156.0274</v>
      </c>
      <c r="I55">
        <v>0.49194999999999994</v>
      </c>
      <c r="J55">
        <v>155.53545</v>
      </c>
      <c r="K55">
        <v>1317.8906705981829</v>
      </c>
      <c r="L55">
        <v>64.118452398471476</v>
      </c>
      <c r="M55">
        <v>1296.2150866361367</v>
      </c>
      <c r="N55">
        <v>63.063884724926375</v>
      </c>
      <c r="O55">
        <v>108</v>
      </c>
      <c r="P55">
        <v>41.7</v>
      </c>
      <c r="Q55">
        <v>100</v>
      </c>
      <c r="R55">
        <v>3</v>
      </c>
      <c r="S55" t="s">
        <v>675</v>
      </c>
      <c r="T55" t="s">
        <v>675</v>
      </c>
    </row>
    <row r="56" spans="1:20" x14ac:dyDescent="0.25">
      <c r="A56" s="30">
        <v>42927</v>
      </c>
      <c r="B56">
        <v>19</v>
      </c>
      <c r="C56" t="s">
        <v>764</v>
      </c>
      <c r="D56">
        <v>3083.3</v>
      </c>
      <c r="H56">
        <v>257.4359</v>
      </c>
      <c r="I56">
        <v>0.49194999999999994</v>
      </c>
      <c r="J56">
        <v>256.94395000000003</v>
      </c>
      <c r="K56">
        <v>2173.0896958512089</v>
      </c>
      <c r="L56">
        <v>70.479346669192395</v>
      </c>
      <c r="M56">
        <v>2141.3422111157374</v>
      </c>
      <c r="N56">
        <v>69.449687384157798</v>
      </c>
      <c r="O56">
        <v>108</v>
      </c>
      <c r="P56">
        <v>41.7</v>
      </c>
      <c r="Q56">
        <v>100</v>
      </c>
      <c r="R56">
        <v>3</v>
      </c>
      <c r="S56" t="s">
        <v>675</v>
      </c>
      <c r="T56" t="s">
        <v>675</v>
      </c>
    </row>
    <row r="57" spans="1:20" x14ac:dyDescent="0.25">
      <c r="A57" s="30">
        <v>42927</v>
      </c>
      <c r="B57">
        <v>20</v>
      </c>
      <c r="C57" t="s">
        <v>765</v>
      </c>
      <c r="D57">
        <v>3096.1</v>
      </c>
      <c r="H57">
        <v>249.94730000000001</v>
      </c>
      <c r="I57">
        <v>0.49194999999999994</v>
      </c>
      <c r="J57">
        <v>249.45535000000001</v>
      </c>
      <c r="K57">
        <v>2109.9367705982982</v>
      </c>
      <c r="L57">
        <v>68.148211317408936</v>
      </c>
      <c r="M57">
        <v>2078.9330542464613</v>
      </c>
      <c r="N57">
        <v>67.14683163484581</v>
      </c>
      <c r="O57">
        <v>108</v>
      </c>
      <c r="P57">
        <v>41.7</v>
      </c>
      <c r="Q57">
        <v>100</v>
      </c>
      <c r="R57">
        <v>3</v>
      </c>
      <c r="S57" t="s">
        <v>675</v>
      </c>
      <c r="T57" t="s">
        <v>675</v>
      </c>
    </row>
    <row r="58" spans="1:20" x14ac:dyDescent="0.25">
      <c r="A58" s="30">
        <v>42927</v>
      </c>
      <c r="B58">
        <v>21</v>
      </c>
      <c r="C58" t="s">
        <v>766</v>
      </c>
      <c r="D58">
        <v>2029.2</v>
      </c>
      <c r="H58">
        <v>171.82470000000001</v>
      </c>
      <c r="I58">
        <v>0.49194999999999994</v>
      </c>
      <c r="J58">
        <v>171.33275</v>
      </c>
      <c r="K58">
        <v>1451.1125954035949</v>
      </c>
      <c r="L58">
        <v>71.511560979873593</v>
      </c>
      <c r="M58">
        <v>1427.8680222731057</v>
      </c>
      <c r="N58">
        <v>70.366056686039116</v>
      </c>
      <c r="O58">
        <v>108</v>
      </c>
      <c r="P58">
        <v>41.7</v>
      </c>
      <c r="Q58">
        <v>100</v>
      </c>
      <c r="R58">
        <v>3</v>
      </c>
      <c r="S58" t="s">
        <v>675</v>
      </c>
      <c r="T58" t="s">
        <v>675</v>
      </c>
    </row>
    <row r="59" spans="1:20" x14ac:dyDescent="0.25">
      <c r="A59" s="30">
        <v>42927</v>
      </c>
      <c r="B59">
        <v>22</v>
      </c>
      <c r="C59" t="s">
        <v>3134</v>
      </c>
      <c r="H59">
        <v>0.36820000000000003</v>
      </c>
      <c r="I59">
        <v>0.49194999999999994</v>
      </c>
      <c r="J59">
        <v>-0.12374999999999992</v>
      </c>
      <c r="K59">
        <v>5.1841803960215582</v>
      </c>
      <c r="L59" t="e">
        <v>#DIV/0!</v>
      </c>
      <c r="M59">
        <v>-1.0313186927560358</v>
      </c>
      <c r="N59" t="e">
        <v>#DIV/0!</v>
      </c>
      <c r="O59">
        <v>108</v>
      </c>
      <c r="P59">
        <v>41.7</v>
      </c>
      <c r="Q59">
        <v>100</v>
      </c>
      <c r="R59">
        <v>3</v>
      </c>
      <c r="S59" t="s">
        <v>675</v>
      </c>
      <c r="T59" t="s">
        <v>675</v>
      </c>
    </row>
    <row r="60" spans="1:20" x14ac:dyDescent="0.25">
      <c r="A60" s="30">
        <v>42927</v>
      </c>
      <c r="B60">
        <v>23</v>
      </c>
      <c r="C60" t="s">
        <v>767</v>
      </c>
      <c r="D60">
        <v>2226.8000000000002</v>
      </c>
      <c r="H60">
        <v>189.06440000000001</v>
      </c>
      <c r="I60">
        <v>0.49194999999999994</v>
      </c>
      <c r="J60">
        <v>188.57245</v>
      </c>
      <c r="K60">
        <v>1596.4985801647797</v>
      </c>
      <c r="L60">
        <v>71.694744932853411</v>
      </c>
      <c r="M60">
        <v>1571.5417585761868</v>
      </c>
      <c r="N60">
        <v>70.573996702720791</v>
      </c>
      <c r="O60">
        <v>108</v>
      </c>
      <c r="P60">
        <v>41.7</v>
      </c>
      <c r="Q60">
        <v>100</v>
      </c>
      <c r="R60">
        <v>3</v>
      </c>
      <c r="S60" t="s">
        <v>675</v>
      </c>
      <c r="T60" t="s">
        <v>675</v>
      </c>
    </row>
    <row r="61" spans="1:20" x14ac:dyDescent="0.25">
      <c r="A61" s="30">
        <v>42927</v>
      </c>
      <c r="B61">
        <v>24</v>
      </c>
      <c r="C61" t="s">
        <v>768</v>
      </c>
      <c r="D61">
        <v>2683.9</v>
      </c>
      <c r="H61">
        <v>215.4469</v>
      </c>
      <c r="I61">
        <v>0.49194999999999994</v>
      </c>
      <c r="J61">
        <v>214.95495</v>
      </c>
      <c r="K61">
        <v>1818.987703697205</v>
      </c>
      <c r="L61">
        <v>67.77404909635996</v>
      </c>
      <c r="M61">
        <v>1791.4105699833472</v>
      </c>
      <c r="N61">
        <v>66.746546815579833</v>
      </c>
      <c r="O61">
        <v>108</v>
      </c>
      <c r="P61">
        <v>41.7</v>
      </c>
      <c r="Q61">
        <v>100</v>
      </c>
      <c r="R61">
        <v>3</v>
      </c>
      <c r="S61" t="s">
        <v>675</v>
      </c>
      <c r="T61" t="s">
        <v>675</v>
      </c>
    </row>
    <row r="62" spans="1:20" x14ac:dyDescent="0.25">
      <c r="A62" s="30">
        <v>42927</v>
      </c>
      <c r="B62">
        <v>25</v>
      </c>
      <c r="C62" t="s">
        <v>769</v>
      </c>
      <c r="D62">
        <v>2983.7</v>
      </c>
      <c r="H62">
        <v>251.42169999999999</v>
      </c>
      <c r="I62">
        <v>0.49194999999999994</v>
      </c>
      <c r="J62">
        <v>250.92974999999998</v>
      </c>
      <c r="K62">
        <v>2122.3706932264117</v>
      </c>
      <c r="L62">
        <v>71.132174589483256</v>
      </c>
      <c r="M62">
        <v>2091.220539342215</v>
      </c>
      <c r="N62">
        <v>70.088163667333021</v>
      </c>
      <c r="O62">
        <v>108</v>
      </c>
      <c r="P62">
        <v>41.7</v>
      </c>
      <c r="Q62">
        <v>100</v>
      </c>
      <c r="R62">
        <v>3</v>
      </c>
      <c r="S62" t="s">
        <v>675</v>
      </c>
      <c r="T62" t="s">
        <v>675</v>
      </c>
    </row>
    <row r="63" spans="1:20" x14ac:dyDescent="0.25">
      <c r="A63" s="30">
        <v>42927</v>
      </c>
      <c r="B63">
        <v>26</v>
      </c>
      <c r="C63" t="s">
        <v>770</v>
      </c>
      <c r="D63">
        <v>3205.9</v>
      </c>
      <c r="H63">
        <v>277.05849999999998</v>
      </c>
      <c r="I63">
        <v>0.49194999999999994</v>
      </c>
      <c r="J63">
        <v>276.56655000000001</v>
      </c>
      <c r="K63">
        <v>2338.57117317244</v>
      </c>
      <c r="L63">
        <v>72.945855241038089</v>
      </c>
      <c r="M63">
        <v>2304.8747701498755</v>
      </c>
      <c r="N63">
        <v>71.894780565515944</v>
      </c>
      <c r="O63">
        <v>108</v>
      </c>
      <c r="P63">
        <v>41.7</v>
      </c>
      <c r="Q63">
        <v>100</v>
      </c>
      <c r="R63">
        <v>3</v>
      </c>
      <c r="S63" t="s">
        <v>675</v>
      </c>
      <c r="T63" t="s">
        <v>675</v>
      </c>
    </row>
    <row r="64" spans="1:20" x14ac:dyDescent="0.25">
      <c r="A64" s="30">
        <v>42927</v>
      </c>
      <c r="B64">
        <v>27</v>
      </c>
      <c r="C64" t="s">
        <v>771</v>
      </c>
      <c r="D64">
        <v>2083.3000000000002</v>
      </c>
      <c r="H64">
        <v>167.65639999999999</v>
      </c>
      <c r="I64">
        <v>0.49194999999999994</v>
      </c>
      <c r="J64">
        <v>167.16444999999999</v>
      </c>
      <c r="K64">
        <v>1415.9604523686205</v>
      </c>
      <c r="L64">
        <v>67.967189188720795</v>
      </c>
      <c r="M64">
        <v>1393.1298751457118</v>
      </c>
      <c r="N64">
        <v>66.871303947857328</v>
      </c>
      <c r="O64">
        <v>108</v>
      </c>
      <c r="P64">
        <v>41.7</v>
      </c>
      <c r="Q64">
        <v>100</v>
      </c>
      <c r="R64">
        <v>3</v>
      </c>
      <c r="S64" t="s">
        <v>675</v>
      </c>
      <c r="T64" t="s">
        <v>675</v>
      </c>
    </row>
    <row r="65" spans="1:24" x14ac:dyDescent="0.25">
      <c r="A65" s="30">
        <v>42927</v>
      </c>
      <c r="B65">
        <v>28</v>
      </c>
      <c r="C65" t="s">
        <v>772</v>
      </c>
      <c r="D65">
        <v>2114</v>
      </c>
      <c r="H65">
        <v>135.71459999999999</v>
      </c>
      <c r="I65">
        <v>0.49194999999999994</v>
      </c>
      <c r="J65">
        <v>135.22264999999999</v>
      </c>
      <c r="K65">
        <v>1146.588592762896</v>
      </c>
      <c r="L65">
        <v>54.23787099162233</v>
      </c>
      <c r="M65">
        <v>1126.9304778101582</v>
      </c>
      <c r="N65">
        <v>53.307969622051004</v>
      </c>
      <c r="O65">
        <v>108</v>
      </c>
      <c r="P65">
        <v>41.7</v>
      </c>
      <c r="Q65">
        <v>100</v>
      </c>
      <c r="R65">
        <v>3</v>
      </c>
      <c r="S65" t="s">
        <v>675</v>
      </c>
      <c r="T65" t="s">
        <v>675</v>
      </c>
    </row>
    <row r="66" spans="1:24" x14ac:dyDescent="0.25">
      <c r="A66" s="30">
        <v>42927</v>
      </c>
      <c r="B66">
        <v>29</v>
      </c>
      <c r="C66" t="s">
        <v>773</v>
      </c>
      <c r="D66">
        <v>3053.3</v>
      </c>
      <c r="H66">
        <v>194.98249999999999</v>
      </c>
      <c r="I66">
        <v>0.49194999999999994</v>
      </c>
      <c r="J66">
        <v>194.49054999999998</v>
      </c>
      <c r="K66">
        <v>1646.4071514517025</v>
      </c>
      <c r="L66">
        <v>53.922220268290118</v>
      </c>
      <c r="M66">
        <v>1620.8625436719401</v>
      </c>
      <c r="N66">
        <v>53.085597342938463</v>
      </c>
      <c r="O66">
        <v>108</v>
      </c>
      <c r="P66">
        <v>41.7</v>
      </c>
      <c r="Q66">
        <v>100</v>
      </c>
      <c r="R66">
        <v>3</v>
      </c>
      <c r="S66" t="s">
        <v>675</v>
      </c>
      <c r="T66" t="s">
        <v>675</v>
      </c>
    </row>
    <row r="67" spans="1:24" x14ac:dyDescent="0.25">
      <c r="A67" s="30">
        <v>42927</v>
      </c>
      <c r="B67">
        <v>30</v>
      </c>
      <c r="C67" t="s">
        <v>774</v>
      </c>
      <c r="D67">
        <v>3084.2</v>
      </c>
      <c r="H67">
        <v>195.5992</v>
      </c>
      <c r="I67">
        <v>0.49194999999999994</v>
      </c>
      <c r="J67">
        <v>195.10724999999999</v>
      </c>
      <c r="K67">
        <v>1651.6079111402253</v>
      </c>
      <c r="L67">
        <v>53.550609919597477</v>
      </c>
      <c r="M67">
        <v>1626.0020526644462</v>
      </c>
      <c r="N67">
        <v>52.72038300578582</v>
      </c>
      <c r="O67">
        <v>108</v>
      </c>
      <c r="P67">
        <v>41.7</v>
      </c>
      <c r="Q67">
        <v>100</v>
      </c>
      <c r="R67">
        <v>3</v>
      </c>
      <c r="S67" t="s">
        <v>675</v>
      </c>
      <c r="T67" t="s">
        <v>675</v>
      </c>
    </row>
    <row r="68" spans="1:24" x14ac:dyDescent="0.25">
      <c r="A68" s="30">
        <v>42927</v>
      </c>
      <c r="B68">
        <v>31</v>
      </c>
      <c r="C68" t="s">
        <v>775</v>
      </c>
      <c r="D68">
        <v>2249.6</v>
      </c>
      <c r="H68">
        <v>168.05090000000001</v>
      </c>
      <c r="I68">
        <v>0.49194999999999994</v>
      </c>
      <c r="J68">
        <v>167.55895000000001</v>
      </c>
      <c r="K68">
        <v>1419.2873531260752</v>
      </c>
      <c r="L68">
        <v>63.09065403298699</v>
      </c>
      <c r="M68">
        <v>1396.4175941298918</v>
      </c>
      <c r="N68">
        <v>62.074039568362899</v>
      </c>
      <c r="O68">
        <v>108</v>
      </c>
      <c r="P68">
        <v>41.7</v>
      </c>
      <c r="Q68">
        <v>100</v>
      </c>
      <c r="R68">
        <v>3</v>
      </c>
      <c r="S68" t="s">
        <v>675</v>
      </c>
      <c r="T68" t="s">
        <v>675</v>
      </c>
    </row>
    <row r="69" spans="1:24" x14ac:dyDescent="0.25">
      <c r="A69" s="30">
        <v>42927</v>
      </c>
      <c r="B69">
        <v>32</v>
      </c>
      <c r="C69" t="s">
        <v>3135</v>
      </c>
      <c r="H69">
        <v>0</v>
      </c>
      <c r="I69">
        <v>0.49194999999999994</v>
      </c>
      <c r="J69">
        <v>-0.49194999999999994</v>
      </c>
      <c r="K69">
        <v>2.0790730223974112</v>
      </c>
      <c r="L69" t="e">
        <v>#DIV/0!</v>
      </c>
      <c r="M69">
        <v>-4.0998564113238967</v>
      </c>
      <c r="N69" t="e">
        <v>#DIV/0!</v>
      </c>
      <c r="O69">
        <v>108</v>
      </c>
      <c r="P69">
        <v>41.7</v>
      </c>
      <c r="Q69">
        <v>100</v>
      </c>
      <c r="R69">
        <v>3</v>
      </c>
      <c r="S69" t="s">
        <v>675</v>
      </c>
      <c r="T69" t="s">
        <v>675</v>
      </c>
    </row>
    <row r="72" spans="1:24" x14ac:dyDescent="0.25">
      <c r="A72" s="30" t="s">
        <v>3151</v>
      </c>
    </row>
    <row r="73" spans="1:24" x14ac:dyDescent="0.25">
      <c r="A73" s="30" t="s">
        <v>3152</v>
      </c>
    </row>
    <row r="74" spans="1:24" x14ac:dyDescent="0.25">
      <c r="A74" s="30">
        <v>42928</v>
      </c>
      <c r="B74">
        <v>1</v>
      </c>
      <c r="C74" t="s">
        <v>3123</v>
      </c>
      <c r="G74">
        <v>0</v>
      </c>
      <c r="H74">
        <v>0.36420000000000002</v>
      </c>
    </row>
    <row r="75" spans="1:24" x14ac:dyDescent="0.25">
      <c r="A75" s="30">
        <v>42928</v>
      </c>
      <c r="B75">
        <v>2</v>
      </c>
      <c r="C75" t="s">
        <v>3124</v>
      </c>
      <c r="G75">
        <v>0</v>
      </c>
      <c r="H75">
        <v>0.47039999999999998</v>
      </c>
    </row>
    <row r="76" spans="1:24" x14ac:dyDescent="0.25">
      <c r="A76" s="30">
        <v>42928</v>
      </c>
      <c r="B76">
        <v>3</v>
      </c>
      <c r="C76" t="s">
        <v>3125</v>
      </c>
      <c r="G76">
        <v>0</v>
      </c>
      <c r="H76">
        <v>0.45810000000000001</v>
      </c>
      <c r="I76">
        <v>0.45810000000000001</v>
      </c>
      <c r="J76">
        <f>H76</f>
        <v>0.45810000000000001</v>
      </c>
      <c r="K76">
        <v>5.6278536534778594</v>
      </c>
      <c r="L76" t="e">
        <v>#DIV/0!</v>
      </c>
      <c r="M76">
        <v>0</v>
      </c>
      <c r="N76" t="e">
        <v>#DIV/0!</v>
      </c>
      <c r="O76">
        <v>108</v>
      </c>
      <c r="P76">
        <v>41.7</v>
      </c>
      <c r="Q76">
        <v>100</v>
      </c>
      <c r="R76">
        <v>3</v>
      </c>
      <c r="S76" t="s">
        <v>675</v>
      </c>
      <c r="T76" t="s">
        <v>675</v>
      </c>
    </row>
    <row r="77" spans="1:24" x14ac:dyDescent="0.25">
      <c r="A77" s="30">
        <v>42928</v>
      </c>
      <c r="B77">
        <v>4</v>
      </c>
      <c r="C77" t="s">
        <v>3153</v>
      </c>
      <c r="D77">
        <v>294.8</v>
      </c>
      <c r="G77">
        <v>294.74104</v>
      </c>
      <c r="H77">
        <v>32.994199999999999</v>
      </c>
      <c r="I77">
        <v>0.53729999999999989</v>
      </c>
      <c r="J77">
        <v>32.456899999999997</v>
      </c>
      <c r="K77">
        <v>282.14319252285844</v>
      </c>
      <c r="L77">
        <v>95.72579119720092</v>
      </c>
      <c r="M77">
        <v>270.49218326394669</v>
      </c>
      <c r="N77">
        <v>91.772826500153045</v>
      </c>
      <c r="O77">
        <v>108</v>
      </c>
      <c r="P77">
        <v>41.7</v>
      </c>
      <c r="Q77">
        <v>100</v>
      </c>
      <c r="R77">
        <v>3</v>
      </c>
      <c r="S77" t="s">
        <v>675</v>
      </c>
      <c r="T77" t="s">
        <v>675</v>
      </c>
      <c r="W77" s="30">
        <f>A75</f>
        <v>42928</v>
      </c>
    </row>
    <row r="78" spans="1:24" x14ac:dyDescent="0.25">
      <c r="A78" s="30">
        <v>42928</v>
      </c>
      <c r="B78">
        <v>5</v>
      </c>
      <c r="C78" t="s">
        <v>3154</v>
      </c>
      <c r="D78">
        <v>892.5</v>
      </c>
      <c r="G78">
        <v>892.32150000000001</v>
      </c>
      <c r="H78">
        <v>105.3922</v>
      </c>
      <c r="I78">
        <v>0.53729999999999989</v>
      </c>
      <c r="J78">
        <v>104.8549</v>
      </c>
      <c r="K78">
        <v>898.93523068625097</v>
      </c>
      <c r="L78">
        <v>100.74118248705774</v>
      </c>
      <c r="M78">
        <v>873.84903755203993</v>
      </c>
      <c r="N78">
        <v>97.929842276807179</v>
      </c>
      <c r="O78">
        <v>108</v>
      </c>
      <c r="P78">
        <v>41.7</v>
      </c>
      <c r="Q78">
        <v>100</v>
      </c>
      <c r="R78">
        <v>3</v>
      </c>
      <c r="S78" t="s">
        <v>675</v>
      </c>
      <c r="T78" t="s">
        <v>675</v>
      </c>
      <c r="W78" s="3">
        <f>((J76-INDEX(LINEST($J$76:$J$81,$G$76:$G$81),2))/INDEX(LINEST($J$76:$J$81,$G$76:$G$81),1)/100.09)*12.01</f>
        <v>0.96318518687247456</v>
      </c>
      <c r="X78" s="3">
        <f>(J76-W78)^2</f>
        <v>0.25511104599800261</v>
      </c>
    </row>
    <row r="79" spans="1:24" x14ac:dyDescent="0.25">
      <c r="A79" s="30">
        <v>42928</v>
      </c>
      <c r="B79">
        <v>6</v>
      </c>
      <c r="C79" t="s">
        <v>3155</v>
      </c>
      <c r="D79">
        <v>1747</v>
      </c>
      <c r="G79">
        <v>1746.6505999999999</v>
      </c>
      <c r="H79">
        <v>203.39750000000001</v>
      </c>
      <c r="I79">
        <v>0.53729999999999989</v>
      </c>
      <c r="J79">
        <v>202.86020000000002</v>
      </c>
      <c r="K79">
        <v>1733.8876981275441</v>
      </c>
      <c r="L79">
        <v>99.269292789728198</v>
      </c>
      <c r="M79">
        <v>1690.6142729392175</v>
      </c>
      <c r="N79">
        <v>96.791783825523964</v>
      </c>
      <c r="O79">
        <v>108</v>
      </c>
      <c r="P79">
        <v>41.7</v>
      </c>
      <c r="Q79">
        <v>100</v>
      </c>
      <c r="R79">
        <v>3</v>
      </c>
      <c r="S79" t="s">
        <v>675</v>
      </c>
      <c r="T79" t="s">
        <v>675</v>
      </c>
      <c r="W79" s="3">
        <f t="shared" ref="W79:W83" si="4">((J77-INDEX(LINEST($J$76:$J$81,$G$76:$G$81),2))/INDEX(LINEST($J$76:$J$81,$G$76:$G$81),1)/100.09)*12.01</f>
        <v>33.692261995620001</v>
      </c>
      <c r="X79" s="3">
        <f t="shared" ref="X79:X83" si="5">(J77-W79)^2</f>
        <v>1.5261192602222375</v>
      </c>
    </row>
    <row r="80" spans="1:24" x14ac:dyDescent="0.25">
      <c r="A80" s="30">
        <v>42928</v>
      </c>
      <c r="B80">
        <v>7</v>
      </c>
      <c r="C80" t="s">
        <v>3156</v>
      </c>
      <c r="D80">
        <v>2580.1</v>
      </c>
      <c r="G80">
        <v>2579.5839799999999</v>
      </c>
      <c r="H80">
        <v>305.35989999999998</v>
      </c>
      <c r="I80">
        <v>0.53729999999999989</v>
      </c>
      <c r="J80">
        <v>304.82259999999997</v>
      </c>
      <c r="K80">
        <v>2602.552530195157</v>
      </c>
      <c r="L80">
        <v>100.89039745839781</v>
      </c>
      <c r="M80">
        <v>2540.3575382181511</v>
      </c>
      <c r="N80">
        <v>98.479350077920358</v>
      </c>
      <c r="O80">
        <v>108</v>
      </c>
      <c r="P80">
        <v>41.7</v>
      </c>
      <c r="Q80">
        <v>100</v>
      </c>
      <c r="R80">
        <v>3</v>
      </c>
      <c r="S80" t="s">
        <v>675</v>
      </c>
      <c r="T80" t="s">
        <v>675</v>
      </c>
      <c r="W80" s="3">
        <f t="shared" si="4"/>
        <v>107.74252959314566</v>
      </c>
      <c r="X80" s="3">
        <f t="shared" si="5"/>
        <v>8.3384046672105754</v>
      </c>
    </row>
    <row r="81" spans="1:26" x14ac:dyDescent="0.25">
      <c r="A81" s="30">
        <v>42928</v>
      </c>
      <c r="B81">
        <v>8</v>
      </c>
      <c r="C81" t="s">
        <v>3157</v>
      </c>
      <c r="D81">
        <v>3975.2</v>
      </c>
      <c r="G81">
        <v>3974.4049599999998</v>
      </c>
      <c r="H81">
        <v>465.22949999999997</v>
      </c>
      <c r="I81">
        <v>0.53729999999999989</v>
      </c>
      <c r="J81">
        <v>464.69219999999996</v>
      </c>
      <c r="K81">
        <v>3964.555574814709</v>
      </c>
      <c r="L81">
        <v>99.732229191354122</v>
      </c>
      <c r="M81">
        <v>3872.6929473771856</v>
      </c>
      <c r="N81">
        <v>97.44082413225415</v>
      </c>
      <c r="O81">
        <v>108</v>
      </c>
      <c r="P81">
        <v>41.7</v>
      </c>
      <c r="Q81">
        <v>100</v>
      </c>
      <c r="R81">
        <v>3</v>
      </c>
      <c r="S81" t="s">
        <v>675</v>
      </c>
      <c r="T81" t="s">
        <v>675</v>
      </c>
      <c r="W81" s="3">
        <f t="shared" si="4"/>
        <v>207.98450714743973</v>
      </c>
      <c r="X81" s="3">
        <f t="shared" si="5"/>
        <v>26.25852374130168</v>
      </c>
    </row>
    <row r="82" spans="1:26" x14ac:dyDescent="0.25">
      <c r="A82" s="30">
        <v>42928</v>
      </c>
      <c r="B82">
        <v>9</v>
      </c>
      <c r="C82" t="s">
        <v>3143</v>
      </c>
      <c r="H82">
        <v>0.87619999999999998</v>
      </c>
      <c r="I82">
        <v>0.53729999999999989</v>
      </c>
      <c r="J82">
        <v>0.33890000000000009</v>
      </c>
      <c r="K82">
        <v>8.5150994576930827</v>
      </c>
      <c r="L82" t="e">
        <v>#DIV/0!</v>
      </c>
      <c r="M82">
        <v>2.8243547876769366</v>
      </c>
      <c r="N82" t="e">
        <v>#DIV/0!</v>
      </c>
      <c r="O82">
        <v>108</v>
      </c>
      <c r="P82">
        <v>41.7</v>
      </c>
      <c r="Q82">
        <v>100</v>
      </c>
      <c r="R82">
        <v>3</v>
      </c>
      <c r="S82" t="s">
        <v>675</v>
      </c>
      <c r="T82" t="s">
        <v>675</v>
      </c>
      <c r="W82" s="3">
        <f t="shared" si="4"/>
        <v>312.27389366206648</v>
      </c>
      <c r="X82" s="3">
        <f t="shared" si="5"/>
        <v>55.521777238352669</v>
      </c>
    </row>
    <row r="83" spans="1:26" ht="15.5" x14ac:dyDescent="0.35">
      <c r="A83" s="30">
        <v>42928</v>
      </c>
      <c r="B83">
        <v>10</v>
      </c>
      <c r="C83" t="s">
        <v>3132</v>
      </c>
      <c r="D83">
        <v>1049.5</v>
      </c>
      <c r="H83">
        <v>14.751200000000001</v>
      </c>
      <c r="I83">
        <v>0.53729999999999989</v>
      </c>
      <c r="J83">
        <v>14.213900000000001</v>
      </c>
      <c r="K83">
        <v>126.7226401289419</v>
      </c>
      <c r="L83">
        <v>12.074572665930624</v>
      </c>
      <c r="M83">
        <v>118.45705670274772</v>
      </c>
      <c r="N83">
        <v>11.286999209409025</v>
      </c>
      <c r="O83">
        <v>108</v>
      </c>
      <c r="P83">
        <v>41.7</v>
      </c>
      <c r="Q83">
        <v>100</v>
      </c>
      <c r="R83">
        <v>3</v>
      </c>
      <c r="S83" t="s">
        <v>675</v>
      </c>
      <c r="T83" t="s">
        <v>675</v>
      </c>
      <c r="W83" s="3">
        <f t="shared" si="4"/>
        <v>475.79203864824541</v>
      </c>
      <c r="X83" s="3">
        <f t="shared" si="5"/>
        <v>123.20641801708342</v>
      </c>
      <c r="Z83" s="470" t="s">
        <v>3192</v>
      </c>
    </row>
    <row r="84" spans="1:26" ht="15.5" x14ac:dyDescent="0.35">
      <c r="A84" s="30">
        <v>42928</v>
      </c>
      <c r="B84">
        <v>11</v>
      </c>
      <c r="C84" t="s">
        <v>3132</v>
      </c>
      <c r="D84">
        <v>1953.7</v>
      </c>
      <c r="H84">
        <v>29.604399999999998</v>
      </c>
      <c r="I84">
        <v>0.53729999999999989</v>
      </c>
      <c r="J84">
        <v>29.0671</v>
      </c>
      <c r="K84">
        <v>253.26391891079362</v>
      </c>
      <c r="L84">
        <v>12.963296253815509</v>
      </c>
      <c r="M84">
        <v>242.24196827643632</v>
      </c>
      <c r="N84">
        <v>12.39913846938815</v>
      </c>
      <c r="O84">
        <v>108</v>
      </c>
      <c r="P84">
        <v>41.7</v>
      </c>
      <c r="Q84">
        <v>100</v>
      </c>
      <c r="R84">
        <v>3</v>
      </c>
      <c r="S84" t="s">
        <v>675</v>
      </c>
      <c r="T84" t="s">
        <v>675</v>
      </c>
      <c r="X84" s="471">
        <f>SQRT(SUM(X78:X83)/(6-2))</f>
        <v>7.3332522452553173</v>
      </c>
      <c r="Y84" s="470" t="s">
        <v>3122</v>
      </c>
      <c r="Z84" s="472">
        <f>(X84/$AD$15)*100</f>
        <v>3.5429734956610615</v>
      </c>
    </row>
    <row r="85" spans="1:26" ht="15.5" x14ac:dyDescent="0.35">
      <c r="A85" s="30">
        <v>42928</v>
      </c>
      <c r="B85">
        <v>12</v>
      </c>
      <c r="C85" t="s">
        <v>3144</v>
      </c>
      <c r="E85" t="s">
        <v>3158</v>
      </c>
      <c r="H85">
        <v>0.40210000000000001</v>
      </c>
      <c r="I85">
        <v>0.53729999999999989</v>
      </c>
      <c r="J85">
        <v>-0.13519999999999988</v>
      </c>
      <c r="K85">
        <v>4.47602233825243</v>
      </c>
      <c r="L85" t="e">
        <v>#DIV/0!</v>
      </c>
      <c r="M85">
        <v>-1.1267417152373014</v>
      </c>
      <c r="N85" t="e">
        <v>#DIV/0!</v>
      </c>
      <c r="O85">
        <v>108</v>
      </c>
      <c r="P85">
        <v>41.7</v>
      </c>
      <c r="Q85">
        <v>100</v>
      </c>
      <c r="R85">
        <v>3</v>
      </c>
      <c r="S85" t="s">
        <v>675</v>
      </c>
      <c r="T85" t="s">
        <v>675</v>
      </c>
      <c r="X85" s="471">
        <f>(X84/12.01)*100.09</f>
        <v>61.114506013955435</v>
      </c>
      <c r="Y85" s="470" t="s">
        <v>3193</v>
      </c>
    </row>
    <row r="86" spans="1:26" x14ac:dyDescent="0.25">
      <c r="A86" s="30">
        <v>42928</v>
      </c>
      <c r="B86">
        <v>13</v>
      </c>
      <c r="C86" t="s">
        <v>776</v>
      </c>
      <c r="D86">
        <v>2215</v>
      </c>
      <c r="H86">
        <v>154.43270000000001</v>
      </c>
      <c r="I86">
        <v>0.53729999999999989</v>
      </c>
      <c r="J86">
        <v>153.89540000000002</v>
      </c>
      <c r="K86">
        <v>1316.7339260583865</v>
      </c>
      <c r="L86">
        <v>59.446226910085166</v>
      </c>
      <c r="M86">
        <v>1282.5470929225648</v>
      </c>
      <c r="N86">
        <v>57.902803292215111</v>
      </c>
      <c r="O86">
        <v>108</v>
      </c>
      <c r="P86">
        <v>41.7</v>
      </c>
      <c r="Q86">
        <v>100</v>
      </c>
      <c r="R86">
        <v>3</v>
      </c>
      <c r="S86" t="s">
        <v>675</v>
      </c>
      <c r="T86" t="s">
        <v>675</v>
      </c>
    </row>
    <row r="87" spans="1:26" x14ac:dyDescent="0.25">
      <c r="A87" s="30">
        <v>42928</v>
      </c>
      <c r="B87">
        <v>14</v>
      </c>
      <c r="C87" t="s">
        <v>777</v>
      </c>
      <c r="D87">
        <v>2140.3000000000002</v>
      </c>
      <c r="H87">
        <v>146.08189999999999</v>
      </c>
      <c r="I87">
        <v>0.53729999999999989</v>
      </c>
      <c r="J87">
        <v>145.5446</v>
      </c>
      <c r="K87">
        <v>1245.5895995259564</v>
      </c>
      <c r="L87">
        <v>58.196963020415659</v>
      </c>
      <c r="M87">
        <v>1212.9524574521233</v>
      </c>
      <c r="N87">
        <v>56.672076692618944</v>
      </c>
      <c r="O87">
        <v>108</v>
      </c>
      <c r="P87">
        <v>41.7</v>
      </c>
      <c r="Q87">
        <v>100</v>
      </c>
      <c r="R87">
        <v>3</v>
      </c>
      <c r="S87" t="s">
        <v>675</v>
      </c>
      <c r="T87" t="s">
        <v>675</v>
      </c>
    </row>
    <row r="88" spans="1:26" x14ac:dyDescent="0.25">
      <c r="A88" s="30">
        <v>42928</v>
      </c>
      <c r="B88">
        <v>15</v>
      </c>
      <c r="C88" t="s">
        <v>778</v>
      </c>
      <c r="D88">
        <v>2109</v>
      </c>
      <c r="H88">
        <v>159.62700000000001</v>
      </c>
      <c r="I88">
        <v>0.53729999999999989</v>
      </c>
      <c r="J88">
        <v>159.08970000000002</v>
      </c>
      <c r="K88">
        <v>1360.9865695545066</v>
      </c>
      <c r="L88">
        <v>64.532317190825353</v>
      </c>
      <c r="M88">
        <v>1325.8358095753542</v>
      </c>
      <c r="N88">
        <v>62.865614489111152</v>
      </c>
      <c r="O88">
        <v>108</v>
      </c>
      <c r="P88">
        <v>41.7</v>
      </c>
      <c r="Q88">
        <v>100</v>
      </c>
      <c r="R88">
        <v>3</v>
      </c>
      <c r="S88" t="s">
        <v>675</v>
      </c>
      <c r="T88" t="s">
        <v>675</v>
      </c>
    </row>
    <row r="89" spans="1:26" x14ac:dyDescent="0.25">
      <c r="A89" s="30">
        <v>42928</v>
      </c>
      <c r="B89">
        <v>16</v>
      </c>
      <c r="C89" t="s">
        <v>779</v>
      </c>
      <c r="D89">
        <v>3516</v>
      </c>
      <c r="H89">
        <v>162.01429999999999</v>
      </c>
      <c r="I89">
        <v>0.53729999999999989</v>
      </c>
      <c r="J89">
        <v>161.477</v>
      </c>
      <c r="K89">
        <v>1381.325082119874</v>
      </c>
      <c r="L89">
        <v>39.286833962453755</v>
      </c>
      <c r="M89">
        <v>1345.7313014154872</v>
      </c>
      <c r="N89">
        <v>38.274496627289174</v>
      </c>
      <c r="O89">
        <v>108</v>
      </c>
      <c r="P89">
        <v>41.7</v>
      </c>
      <c r="Q89">
        <v>100</v>
      </c>
      <c r="R89">
        <v>3</v>
      </c>
      <c r="S89" t="s">
        <v>675</v>
      </c>
      <c r="T89" t="s">
        <v>675</v>
      </c>
    </row>
    <row r="90" spans="1:26" x14ac:dyDescent="0.25">
      <c r="A90" s="30">
        <v>42928</v>
      </c>
      <c r="B90">
        <v>17</v>
      </c>
      <c r="C90" t="s">
        <v>780</v>
      </c>
      <c r="D90">
        <v>3303.6</v>
      </c>
      <c r="E90">
        <v>1.5271444546893342</v>
      </c>
      <c r="H90">
        <v>261.91789999999997</v>
      </c>
      <c r="I90">
        <v>0.53729999999999989</v>
      </c>
      <c r="J90">
        <v>261.38059999999996</v>
      </c>
      <c r="K90">
        <v>2232.4500450174714</v>
      </c>
      <c r="L90">
        <v>67.576281784037761</v>
      </c>
      <c r="M90">
        <v>2178.3167572023312</v>
      </c>
      <c r="N90">
        <v>65.93766670306124</v>
      </c>
      <c r="O90">
        <v>108</v>
      </c>
      <c r="P90">
        <v>41.7</v>
      </c>
      <c r="Q90">
        <v>100</v>
      </c>
      <c r="R90">
        <v>3</v>
      </c>
      <c r="S90" t="s">
        <v>675</v>
      </c>
      <c r="T90" t="s">
        <v>675</v>
      </c>
    </row>
    <row r="91" spans="1:26" x14ac:dyDescent="0.25">
      <c r="A91" s="30">
        <v>42928</v>
      </c>
      <c r="B91">
        <v>18</v>
      </c>
      <c r="C91" t="s">
        <v>781</v>
      </c>
      <c r="D91">
        <v>2795.7</v>
      </c>
      <c r="E91">
        <v>1.0875981067102887</v>
      </c>
      <c r="H91">
        <v>221.65809999999999</v>
      </c>
      <c r="I91">
        <v>0.53729999999999989</v>
      </c>
      <c r="J91">
        <v>221.1208</v>
      </c>
      <c r="K91">
        <v>1889.4581930595373</v>
      </c>
      <c r="L91">
        <v>67.584440142344931</v>
      </c>
      <c r="M91">
        <v>1842.7960759367195</v>
      </c>
      <c r="N91">
        <v>65.915372748746989</v>
      </c>
      <c r="O91">
        <v>108</v>
      </c>
      <c r="P91">
        <v>41.7</v>
      </c>
      <c r="Q91">
        <v>100</v>
      </c>
      <c r="R91">
        <v>3</v>
      </c>
      <c r="S91" t="s">
        <v>675</v>
      </c>
      <c r="T91" t="s">
        <v>675</v>
      </c>
    </row>
    <row r="92" spans="1:26" x14ac:dyDescent="0.25">
      <c r="A92" s="30">
        <v>42928</v>
      </c>
      <c r="B92">
        <v>19</v>
      </c>
      <c r="C92" t="s">
        <v>782</v>
      </c>
      <c r="D92">
        <v>2515.8000000000002</v>
      </c>
      <c r="E92">
        <v>1.5896216111706898</v>
      </c>
      <c r="H92">
        <v>212.46879999999999</v>
      </c>
      <c r="I92">
        <v>0.53729999999999989</v>
      </c>
      <c r="J92">
        <v>211.9315</v>
      </c>
      <c r="K92">
        <v>1811.1702973124882</v>
      </c>
      <c r="L92">
        <v>71.991823567552586</v>
      </c>
      <c r="M92">
        <v>1766.2134750208161</v>
      </c>
      <c r="N92">
        <v>70.204844384323707</v>
      </c>
      <c r="O92">
        <v>108</v>
      </c>
      <c r="P92">
        <v>41.7</v>
      </c>
      <c r="Q92">
        <v>100</v>
      </c>
      <c r="R92">
        <v>3</v>
      </c>
      <c r="S92" t="s">
        <v>675</v>
      </c>
      <c r="T92" t="s">
        <v>675</v>
      </c>
    </row>
    <row r="93" spans="1:26" x14ac:dyDescent="0.25">
      <c r="A93" s="30">
        <v>42928</v>
      </c>
      <c r="B93">
        <v>20</v>
      </c>
      <c r="C93" t="s">
        <v>783</v>
      </c>
      <c r="D93">
        <v>2083.1</v>
      </c>
      <c r="E93">
        <v>3.0509546683939357</v>
      </c>
      <c r="H93">
        <v>178.9572</v>
      </c>
      <c r="I93">
        <v>0.53729999999999989</v>
      </c>
      <c r="J93">
        <v>178.41990000000001</v>
      </c>
      <c r="K93">
        <v>1525.6694814596146</v>
      </c>
      <c r="L93">
        <v>73.240338027920643</v>
      </c>
      <c r="M93">
        <v>1486.9315396336387</v>
      </c>
      <c r="N93">
        <v>71.380708541771341</v>
      </c>
      <c r="O93">
        <v>108</v>
      </c>
      <c r="P93">
        <v>41.7</v>
      </c>
      <c r="Q93">
        <v>100</v>
      </c>
      <c r="R93">
        <v>3</v>
      </c>
      <c r="S93" t="s">
        <v>675</v>
      </c>
      <c r="T93" t="s">
        <v>675</v>
      </c>
    </row>
    <row r="94" spans="1:26" x14ac:dyDescent="0.25">
      <c r="A94" s="30">
        <v>42928</v>
      </c>
      <c r="B94">
        <v>21</v>
      </c>
      <c r="C94" t="s">
        <v>784</v>
      </c>
      <c r="D94">
        <v>2448.6</v>
      </c>
      <c r="E94">
        <v>3.6735395583895785</v>
      </c>
      <c r="H94">
        <v>222.51560000000001</v>
      </c>
      <c r="I94">
        <v>0.53729999999999989</v>
      </c>
      <c r="J94">
        <v>221.97830000000002</v>
      </c>
      <c r="K94">
        <v>1896.7636320595805</v>
      </c>
      <c r="L94">
        <v>77.46318843664055</v>
      </c>
      <c r="M94">
        <v>1849.9423852622817</v>
      </c>
      <c r="N94">
        <v>75.551024473669926</v>
      </c>
      <c r="O94">
        <v>108</v>
      </c>
      <c r="P94">
        <v>41.7</v>
      </c>
      <c r="Q94">
        <v>100</v>
      </c>
      <c r="R94">
        <v>3</v>
      </c>
      <c r="S94" t="s">
        <v>675</v>
      </c>
      <c r="T94" t="s">
        <v>675</v>
      </c>
    </row>
    <row r="95" spans="1:26" x14ac:dyDescent="0.25">
      <c r="A95" s="30">
        <v>42928</v>
      </c>
      <c r="B95">
        <v>22</v>
      </c>
      <c r="C95" t="s">
        <v>785</v>
      </c>
      <c r="D95">
        <v>2781.8</v>
      </c>
      <c r="E95">
        <v>1.798417002547537</v>
      </c>
      <c r="H95">
        <v>246.846</v>
      </c>
      <c r="I95">
        <v>0.53729999999999989</v>
      </c>
      <c r="J95">
        <v>246.30870000000002</v>
      </c>
      <c r="K95">
        <v>2104.0455598107696</v>
      </c>
      <c r="L95">
        <v>75.636119052799245</v>
      </c>
      <c r="M95">
        <v>2052.709224229809</v>
      </c>
      <c r="N95">
        <v>73.790683163053018</v>
      </c>
      <c r="O95">
        <v>108</v>
      </c>
      <c r="P95">
        <v>41.7</v>
      </c>
      <c r="Q95">
        <v>100</v>
      </c>
      <c r="R95">
        <v>3</v>
      </c>
      <c r="S95" t="s">
        <v>675</v>
      </c>
      <c r="T95" t="s">
        <v>675</v>
      </c>
    </row>
    <row r="96" spans="1:26" x14ac:dyDescent="0.25">
      <c r="A96" s="30">
        <v>42928</v>
      </c>
      <c r="B96">
        <v>23</v>
      </c>
      <c r="C96" t="s">
        <v>786</v>
      </c>
      <c r="D96">
        <v>2569.5</v>
      </c>
      <c r="E96">
        <v>1.4476809674033042</v>
      </c>
      <c r="H96">
        <v>155.56389999999999</v>
      </c>
      <c r="I96">
        <v>0.53729999999999989</v>
      </c>
      <c r="J96">
        <v>155.0266</v>
      </c>
      <c r="K96">
        <v>1326.3711419147694</v>
      </c>
      <c r="L96">
        <v>51.619814824470502</v>
      </c>
      <c r="M96">
        <v>1291.9743875104082</v>
      </c>
      <c r="N96">
        <v>50.281159272637019</v>
      </c>
      <c r="O96">
        <v>108</v>
      </c>
      <c r="P96">
        <v>41.7</v>
      </c>
      <c r="Q96">
        <v>100</v>
      </c>
      <c r="R96">
        <v>3</v>
      </c>
      <c r="S96" t="s">
        <v>675</v>
      </c>
      <c r="T96" t="s">
        <v>675</v>
      </c>
    </row>
    <row r="97" spans="1:20" x14ac:dyDescent="0.25">
      <c r="A97" s="30">
        <v>42928</v>
      </c>
      <c r="B97">
        <v>24</v>
      </c>
      <c r="C97" t="s">
        <v>3134</v>
      </c>
      <c r="H97">
        <v>0.59399999999999997</v>
      </c>
      <c r="I97">
        <v>0.53729999999999989</v>
      </c>
      <c r="J97">
        <v>5.6700000000000084E-2</v>
      </c>
      <c r="K97">
        <v>6.1109071710317195</v>
      </c>
      <c r="L97" t="e">
        <v>#DIV/0!</v>
      </c>
      <c r="M97">
        <v>0.47253147377185756</v>
      </c>
      <c r="N97" t="e">
        <v>#DIV/0!</v>
      </c>
      <c r="O97">
        <v>108</v>
      </c>
      <c r="P97">
        <v>41.7</v>
      </c>
      <c r="Q97">
        <v>100</v>
      </c>
      <c r="R97">
        <v>3</v>
      </c>
      <c r="S97" t="s">
        <v>675</v>
      </c>
      <c r="T97" t="s">
        <v>675</v>
      </c>
    </row>
    <row r="98" spans="1:20" x14ac:dyDescent="0.25">
      <c r="A98" s="30">
        <v>42928</v>
      </c>
      <c r="B98">
        <v>25</v>
      </c>
      <c r="C98" t="s">
        <v>787</v>
      </c>
      <c r="D98">
        <v>3024.3</v>
      </c>
      <c r="E98">
        <v>0.77153876946450273</v>
      </c>
      <c r="H98">
        <v>221.7544</v>
      </c>
      <c r="I98">
        <v>0.53729999999999989</v>
      </c>
      <c r="J98">
        <v>221.21710000000002</v>
      </c>
      <c r="K98">
        <v>1890.2786172877638</v>
      </c>
      <c r="L98">
        <v>62.503012838930125</v>
      </c>
      <c r="M98">
        <v>1843.5986293921735</v>
      </c>
      <c r="N98">
        <v>60.959515570286463</v>
      </c>
      <c r="O98">
        <v>108</v>
      </c>
      <c r="P98">
        <v>41.7</v>
      </c>
      <c r="Q98">
        <v>100</v>
      </c>
      <c r="R98">
        <v>3</v>
      </c>
      <c r="S98" t="s">
        <v>675</v>
      </c>
      <c r="T98" t="s">
        <v>675</v>
      </c>
    </row>
    <row r="99" spans="1:20" x14ac:dyDescent="0.25">
      <c r="A99" s="30">
        <v>42928</v>
      </c>
      <c r="B99">
        <v>26</v>
      </c>
      <c r="C99" t="s">
        <v>788</v>
      </c>
      <c r="D99">
        <v>3885.8</v>
      </c>
      <c r="E99" t="s">
        <v>3159</v>
      </c>
      <c r="H99">
        <v>0</v>
      </c>
      <c r="I99">
        <v>0.53729999999999989</v>
      </c>
      <c r="J99">
        <v>-0.53729999999999989</v>
      </c>
      <c r="K99">
        <v>1.0503465109436627</v>
      </c>
      <c r="L99">
        <v>2.7030380126194416E-2</v>
      </c>
      <c r="M99">
        <v>-4.4777982514571182</v>
      </c>
      <c r="N99">
        <v>-0.11523491305412316</v>
      </c>
      <c r="O99">
        <v>108</v>
      </c>
      <c r="P99">
        <v>41.7</v>
      </c>
      <c r="Q99">
        <v>100</v>
      </c>
      <c r="R99">
        <v>3</v>
      </c>
      <c r="S99" t="s">
        <v>675</v>
      </c>
      <c r="T99" t="s">
        <v>675</v>
      </c>
    </row>
    <row r="100" spans="1:20" x14ac:dyDescent="0.25">
      <c r="A100" s="30">
        <v>42928</v>
      </c>
      <c r="B100">
        <v>27</v>
      </c>
      <c r="C100" t="s">
        <v>3160</v>
      </c>
      <c r="H100">
        <v>3.2161</v>
      </c>
      <c r="I100">
        <v>0.53729999999999989</v>
      </c>
      <c r="J100">
        <v>2.6787999999999998</v>
      </c>
      <c r="K100">
        <v>28.449789505740295</v>
      </c>
      <c r="L100">
        <v>0.71460337349895242</v>
      </c>
      <c r="M100">
        <v>22.324820316402995</v>
      </c>
      <c r="N100">
        <v>0.56075606139864864</v>
      </c>
      <c r="O100">
        <v>108</v>
      </c>
      <c r="P100">
        <v>41.7</v>
      </c>
      <c r="Q100">
        <v>100</v>
      </c>
      <c r="R100">
        <v>3</v>
      </c>
      <c r="S100" t="s">
        <v>675</v>
      </c>
      <c r="T100" t="s">
        <v>675</v>
      </c>
    </row>
    <row r="101" spans="1:20" x14ac:dyDescent="0.25">
      <c r="A101" s="30">
        <v>42928</v>
      </c>
      <c r="B101">
        <v>28</v>
      </c>
      <c r="C101" t="s">
        <v>790</v>
      </c>
      <c r="D101">
        <v>2402.8000000000002</v>
      </c>
      <c r="E101">
        <v>-6.4536119000731418E-2</v>
      </c>
      <c r="H101">
        <v>173.64070000000001</v>
      </c>
      <c r="I101">
        <v>0.53729999999999989</v>
      </c>
      <c r="J101">
        <v>173.10340000000002</v>
      </c>
      <c r="K101">
        <v>1480.3757596593484</v>
      </c>
      <c r="L101">
        <v>61.61044446726104</v>
      </c>
      <c r="M101">
        <v>1442.6244218151544</v>
      </c>
      <c r="N101">
        <v>60.039305053069519</v>
      </c>
      <c r="O101">
        <v>108</v>
      </c>
      <c r="P101">
        <v>41.7</v>
      </c>
      <c r="Q101">
        <v>100</v>
      </c>
      <c r="R101">
        <v>3</v>
      </c>
      <c r="S101" t="s">
        <v>675</v>
      </c>
      <c r="T101" t="s">
        <v>675</v>
      </c>
    </row>
    <row r="102" spans="1:20" x14ac:dyDescent="0.25">
      <c r="A102" s="30">
        <v>42928</v>
      </c>
      <c r="B102">
        <v>29</v>
      </c>
      <c r="C102" t="s">
        <v>791</v>
      </c>
      <c r="D102">
        <v>2607.4</v>
      </c>
      <c r="E102">
        <v>2.1675704948538903</v>
      </c>
      <c r="H102">
        <v>187.21960000000001</v>
      </c>
      <c r="I102">
        <v>0.53729999999999989</v>
      </c>
      <c r="J102">
        <v>186.68230000000003</v>
      </c>
      <c r="K102">
        <v>1596.060687516705</v>
      </c>
      <c r="L102">
        <v>61.212728676716452</v>
      </c>
      <c r="M102">
        <v>1555.7894593671942</v>
      </c>
      <c r="N102">
        <v>59.668231163887171</v>
      </c>
      <c r="O102">
        <v>108</v>
      </c>
      <c r="P102">
        <v>41.7</v>
      </c>
      <c r="Q102">
        <v>100</v>
      </c>
      <c r="R102">
        <v>3</v>
      </c>
      <c r="S102" t="s">
        <v>675</v>
      </c>
      <c r="T102" t="s">
        <v>675</v>
      </c>
    </row>
    <row r="103" spans="1:20" x14ac:dyDescent="0.25">
      <c r="A103" s="30">
        <v>42928</v>
      </c>
      <c r="B103">
        <v>30</v>
      </c>
      <c r="C103" t="s">
        <v>792</v>
      </c>
      <c r="D103">
        <v>2691.7</v>
      </c>
      <c r="E103">
        <v>-0.54417291802900725</v>
      </c>
      <c r="H103">
        <v>187.89850000000001</v>
      </c>
      <c r="I103">
        <v>0.53729999999999989</v>
      </c>
      <c r="J103">
        <v>187.36120000000003</v>
      </c>
      <c r="K103">
        <v>1601.8445505337652</v>
      </c>
      <c r="L103">
        <v>59.510515679078843</v>
      </c>
      <c r="M103">
        <v>1561.4473362198173</v>
      </c>
      <c r="N103">
        <v>58.009708965331107</v>
      </c>
      <c r="O103">
        <v>108</v>
      </c>
      <c r="P103">
        <v>41.7</v>
      </c>
      <c r="Q103">
        <v>100</v>
      </c>
      <c r="R103">
        <v>3</v>
      </c>
      <c r="S103" t="s">
        <v>675</v>
      </c>
      <c r="T103" t="s">
        <v>675</v>
      </c>
    </row>
    <row r="104" spans="1:20" x14ac:dyDescent="0.25">
      <c r="A104" s="30">
        <v>42928</v>
      </c>
      <c r="B104">
        <v>31</v>
      </c>
      <c r="C104" t="s">
        <v>793</v>
      </c>
      <c r="D104">
        <v>2934.3</v>
      </c>
      <c r="E104">
        <v>1.1235414297431019</v>
      </c>
      <c r="H104">
        <v>232.1387</v>
      </c>
      <c r="I104">
        <v>0.53729999999999989</v>
      </c>
      <c r="J104">
        <v>231.60140000000001</v>
      </c>
      <c r="K104">
        <v>1978.7472705917241</v>
      </c>
      <c r="L104">
        <v>67.435070394701427</v>
      </c>
      <c r="M104">
        <v>1930.140226977519</v>
      </c>
      <c r="N104">
        <v>65.778557985806458</v>
      </c>
      <c r="O104">
        <v>108</v>
      </c>
      <c r="P104">
        <v>41.7</v>
      </c>
      <c r="Q104">
        <v>100</v>
      </c>
      <c r="R104">
        <v>3</v>
      </c>
      <c r="S104" t="s">
        <v>675</v>
      </c>
      <c r="T104" t="s">
        <v>675</v>
      </c>
    </row>
    <row r="105" spans="1:20" x14ac:dyDescent="0.25">
      <c r="A105" s="30">
        <v>42928</v>
      </c>
      <c r="B105">
        <v>32</v>
      </c>
      <c r="C105" t="s">
        <v>794</v>
      </c>
      <c r="D105">
        <v>3131.9</v>
      </c>
      <c r="E105">
        <v>1.4540312330510199</v>
      </c>
      <c r="H105">
        <v>273.86709999999999</v>
      </c>
      <c r="I105">
        <v>0.53729999999999989</v>
      </c>
      <c r="J105">
        <v>273.32979999999998</v>
      </c>
      <c r="K105">
        <v>2334.2508050166703</v>
      </c>
      <c r="L105">
        <v>74.531460296199441</v>
      </c>
      <c r="M105">
        <v>2277.9000567860116</v>
      </c>
      <c r="N105">
        <v>72.732209099460761</v>
      </c>
      <c r="O105">
        <v>108</v>
      </c>
      <c r="P105">
        <v>41.7</v>
      </c>
      <c r="Q105">
        <v>100</v>
      </c>
      <c r="R105">
        <v>3</v>
      </c>
      <c r="S105" t="s">
        <v>675</v>
      </c>
      <c r="T105" t="s">
        <v>675</v>
      </c>
    </row>
    <row r="106" spans="1:20" x14ac:dyDescent="0.25">
      <c r="A106" s="30">
        <v>42928</v>
      </c>
      <c r="B106">
        <v>33</v>
      </c>
      <c r="C106" t="s">
        <v>795</v>
      </c>
      <c r="D106">
        <v>2302.9</v>
      </c>
      <c r="E106">
        <v>1.8604101108980573</v>
      </c>
      <c r="H106">
        <v>181.3349</v>
      </c>
      <c r="I106">
        <v>0.53729999999999989</v>
      </c>
      <c r="J106">
        <v>180.79760000000002</v>
      </c>
      <c r="K106">
        <v>1545.9262071860312</v>
      </c>
      <c r="L106">
        <v>67.129541325547407</v>
      </c>
      <c r="M106">
        <v>1506.7470261448796</v>
      </c>
      <c r="N106">
        <v>65.428243785873448</v>
      </c>
      <c r="O106">
        <v>108</v>
      </c>
      <c r="P106">
        <v>41.7</v>
      </c>
      <c r="Q106">
        <v>100</v>
      </c>
      <c r="R106">
        <v>3</v>
      </c>
      <c r="S106" t="s">
        <v>675</v>
      </c>
      <c r="T106" t="s">
        <v>675</v>
      </c>
    </row>
    <row r="107" spans="1:20" x14ac:dyDescent="0.25">
      <c r="A107" s="30">
        <v>42928</v>
      </c>
      <c r="B107">
        <v>34</v>
      </c>
      <c r="C107" t="s">
        <v>755</v>
      </c>
      <c r="D107">
        <v>2973.9</v>
      </c>
      <c r="E107">
        <v>1.0586745298796707</v>
      </c>
      <c r="F107" t="s">
        <v>3161</v>
      </c>
      <c r="H107">
        <v>176.0273</v>
      </c>
      <c r="I107">
        <v>0.53729999999999989</v>
      </c>
      <c r="J107">
        <v>175.49</v>
      </c>
      <c r="K107">
        <v>1500.7083086010423</v>
      </c>
      <c r="L107">
        <v>50.462635213054988</v>
      </c>
      <c r="M107">
        <v>1462.5140799333892</v>
      </c>
      <c r="N107">
        <v>49.178320721389056</v>
      </c>
      <c r="O107">
        <v>108</v>
      </c>
      <c r="P107">
        <v>41.7</v>
      </c>
      <c r="Q107">
        <v>100</v>
      </c>
      <c r="R107">
        <v>3</v>
      </c>
      <c r="S107" t="s">
        <v>675</v>
      </c>
      <c r="T107" t="s">
        <v>675</v>
      </c>
    </row>
    <row r="108" spans="1:20" x14ac:dyDescent="0.25">
      <c r="A108" s="30">
        <v>42928</v>
      </c>
      <c r="B108">
        <v>35</v>
      </c>
      <c r="C108" t="s">
        <v>756</v>
      </c>
      <c r="D108">
        <v>2688.8</v>
      </c>
      <c r="E108">
        <v>0.70396724130376476</v>
      </c>
      <c r="F108" t="s">
        <v>3161</v>
      </c>
      <c r="H108">
        <v>136.5172</v>
      </c>
      <c r="I108">
        <v>0.53729999999999989</v>
      </c>
      <c r="J108">
        <v>135.97990000000001</v>
      </c>
      <c r="K108">
        <v>1164.103497597431</v>
      </c>
      <c r="L108">
        <v>43.294536506896421</v>
      </c>
      <c r="M108">
        <v>1133.2413148209828</v>
      </c>
      <c r="N108">
        <v>42.146731434877367</v>
      </c>
      <c r="O108">
        <v>108</v>
      </c>
      <c r="P108">
        <v>41.7</v>
      </c>
      <c r="Q108">
        <v>100</v>
      </c>
      <c r="R108">
        <v>3</v>
      </c>
      <c r="S108" t="s">
        <v>675</v>
      </c>
      <c r="T108" t="s">
        <v>675</v>
      </c>
    </row>
    <row r="109" spans="1:20" x14ac:dyDescent="0.25">
      <c r="A109" s="30">
        <v>42928</v>
      </c>
      <c r="B109">
        <v>36</v>
      </c>
      <c r="C109" t="s">
        <v>789</v>
      </c>
      <c r="D109">
        <v>3981.2</v>
      </c>
      <c r="E109">
        <v>0.69944771120150229</v>
      </c>
      <c r="H109">
        <v>365.10610000000003</v>
      </c>
      <c r="I109">
        <v>0.53729999999999989</v>
      </c>
      <c r="J109">
        <v>364.56880000000001</v>
      </c>
      <c r="K109">
        <v>3111.5580340836309</v>
      </c>
      <c r="L109">
        <v>78.156285393439944</v>
      </c>
      <c r="M109">
        <v>3038.2757029142385</v>
      </c>
      <c r="N109">
        <v>76.315575779017351</v>
      </c>
      <c r="O109">
        <v>108</v>
      </c>
      <c r="P109">
        <v>41.7</v>
      </c>
      <c r="Q109">
        <v>100</v>
      </c>
      <c r="R109">
        <v>3</v>
      </c>
      <c r="S109" t="s">
        <v>675</v>
      </c>
      <c r="T109" t="s">
        <v>675</v>
      </c>
    </row>
    <row r="110" spans="1:20" x14ac:dyDescent="0.25">
      <c r="A110" s="30">
        <v>42928</v>
      </c>
      <c r="B110">
        <v>37</v>
      </c>
      <c r="C110" t="s">
        <v>3135</v>
      </c>
      <c r="H110">
        <v>0.59609999999999996</v>
      </c>
      <c r="I110">
        <v>0.53729999999999989</v>
      </c>
      <c r="J110">
        <v>5.8800000000000074E-2</v>
      </c>
      <c r="K110">
        <v>6.1287980420522334</v>
      </c>
      <c r="L110" t="e">
        <v>#DIV/0!</v>
      </c>
      <c r="M110">
        <v>0.4900326394671114</v>
      </c>
      <c r="N110" t="e">
        <v>#VALUE!</v>
      </c>
      <c r="O110">
        <v>108</v>
      </c>
      <c r="P110">
        <v>41.7</v>
      </c>
      <c r="Q110">
        <v>100</v>
      </c>
      <c r="R110">
        <v>3</v>
      </c>
      <c r="S110" t="s">
        <v>675</v>
      </c>
      <c r="T110" t="s">
        <v>675</v>
      </c>
    </row>
    <row r="111" spans="1:20" x14ac:dyDescent="0.25">
      <c r="C111" t="s">
        <v>3162</v>
      </c>
      <c r="E111">
        <v>203.85155818181826</v>
      </c>
      <c r="G111" t="s">
        <v>3163</v>
      </c>
      <c r="I111">
        <v>0.52797272727272715</v>
      </c>
      <c r="K111" t="s">
        <v>3164</v>
      </c>
      <c r="L111">
        <v>99.718245612700088</v>
      </c>
      <c r="N111" t="s">
        <v>3165</v>
      </c>
      <c r="P111">
        <v>12.192747392420012</v>
      </c>
    </row>
    <row r="112" spans="1:20" x14ac:dyDescent="0.25">
      <c r="A112" s="30" t="s">
        <v>3166</v>
      </c>
      <c r="E112">
        <v>44.509865232043389</v>
      </c>
      <c r="F112">
        <v>55</v>
      </c>
      <c r="H112">
        <v>0.25899862232194482</v>
      </c>
      <c r="I112">
        <v>0.2498137891634456</v>
      </c>
      <c r="J112">
        <v>11</v>
      </c>
      <c r="K112" t="s">
        <v>3164</v>
      </c>
      <c r="L112">
        <v>1.5086760845451244</v>
      </c>
      <c r="P112">
        <v>0.55216260941382511</v>
      </c>
      <c r="Q112">
        <v>6</v>
      </c>
    </row>
    <row r="113" spans="1:26" x14ac:dyDescent="0.25">
      <c r="A113" s="30" t="s">
        <v>3167</v>
      </c>
      <c r="L113">
        <v>15</v>
      </c>
    </row>
    <row r="114" spans="1:26" x14ac:dyDescent="0.25">
      <c r="A114" s="30">
        <v>42929</v>
      </c>
      <c r="B114">
        <v>1</v>
      </c>
      <c r="C114" t="s">
        <v>3123</v>
      </c>
      <c r="G114">
        <v>0</v>
      </c>
      <c r="H114">
        <v>1.2379</v>
      </c>
    </row>
    <row r="115" spans="1:26" x14ac:dyDescent="0.25">
      <c r="A115" s="30">
        <v>42929</v>
      </c>
      <c r="B115">
        <v>2</v>
      </c>
      <c r="C115" t="s">
        <v>3124</v>
      </c>
      <c r="G115">
        <v>0</v>
      </c>
      <c r="H115">
        <v>1.3224</v>
      </c>
      <c r="K115">
        <v>8.8671550050744301</v>
      </c>
      <c r="L115" t="e">
        <v>#DIV/0!</v>
      </c>
      <c r="M115">
        <v>0</v>
      </c>
      <c r="N115" t="e">
        <v>#DIV/0!</v>
      </c>
      <c r="O115">
        <v>108</v>
      </c>
      <c r="P115">
        <v>41.7</v>
      </c>
      <c r="Q115">
        <v>100</v>
      </c>
      <c r="R115">
        <v>3</v>
      </c>
      <c r="S115" t="s">
        <v>675</v>
      </c>
      <c r="T115" t="s">
        <v>675</v>
      </c>
    </row>
    <row r="116" spans="1:26" x14ac:dyDescent="0.25">
      <c r="A116" s="30">
        <v>42929</v>
      </c>
      <c r="B116">
        <v>3</v>
      </c>
      <c r="C116" t="s">
        <v>3125</v>
      </c>
      <c r="G116">
        <v>0</v>
      </c>
      <c r="H116">
        <v>0.97860000000000003</v>
      </c>
      <c r="I116">
        <v>0.97860000000000003</v>
      </c>
      <c r="J116">
        <f>H116</f>
        <v>0.97860000000000003</v>
      </c>
      <c r="K116">
        <v>8.8671550050744301</v>
      </c>
      <c r="L116" t="e">
        <v>#DIV/0!</v>
      </c>
      <c r="M116">
        <v>0</v>
      </c>
      <c r="N116" t="e">
        <v>#DIV/0!</v>
      </c>
      <c r="O116">
        <v>108</v>
      </c>
      <c r="P116">
        <v>41.7</v>
      </c>
      <c r="Q116">
        <v>100</v>
      </c>
      <c r="R116">
        <v>3</v>
      </c>
      <c r="S116" t="s">
        <v>675</v>
      </c>
      <c r="T116" t="s">
        <v>675</v>
      </c>
      <c r="W116" s="30">
        <f>A114</f>
        <v>42929</v>
      </c>
    </row>
    <row r="117" spans="1:26" x14ac:dyDescent="0.25">
      <c r="A117" s="30">
        <v>42929</v>
      </c>
      <c r="B117">
        <v>4</v>
      </c>
      <c r="C117" t="s">
        <v>3168</v>
      </c>
      <c r="D117">
        <v>288.2</v>
      </c>
      <c r="G117">
        <v>288.14236</v>
      </c>
      <c r="H117">
        <v>34.581800000000001</v>
      </c>
      <c r="I117">
        <v>1.0103833333333332</v>
      </c>
      <c r="J117">
        <v>33.571416666666671</v>
      </c>
      <c r="K117">
        <v>290.39597476678841</v>
      </c>
      <c r="L117">
        <v>100.78211852182666</v>
      </c>
      <c r="M117">
        <v>279.78044081321127</v>
      </c>
      <c r="N117">
        <v>97.097990317428952</v>
      </c>
      <c r="O117">
        <v>108</v>
      </c>
      <c r="P117">
        <v>41.7</v>
      </c>
      <c r="Q117">
        <v>100</v>
      </c>
      <c r="R117">
        <v>3</v>
      </c>
      <c r="S117" t="s">
        <v>675</v>
      </c>
      <c r="T117" t="s">
        <v>675</v>
      </c>
      <c r="W117" s="3">
        <f>((J116-INDEX(LINEST($J$116:$J$121,$G$116:$G$121),2))/INDEX(LINEST($J$116:$J$121,$G$116:$G$121),1)/100.09)*12.01</f>
        <v>1.6600120007303569</v>
      </c>
      <c r="X117" s="3">
        <f>(J116-W117)^2</f>
        <v>0.46432231473934793</v>
      </c>
    </row>
    <row r="118" spans="1:26" x14ac:dyDescent="0.25">
      <c r="A118" s="30">
        <v>42929</v>
      </c>
      <c r="B118">
        <v>5</v>
      </c>
      <c r="C118" t="s">
        <v>3169</v>
      </c>
      <c r="D118">
        <v>893</v>
      </c>
      <c r="G118">
        <v>892.82140000000004</v>
      </c>
      <c r="H118">
        <v>105.4558</v>
      </c>
      <c r="I118">
        <v>1.0103833333333332</v>
      </c>
      <c r="J118">
        <v>104.44541666666666</v>
      </c>
      <c r="K118">
        <v>884.74305787940796</v>
      </c>
      <c r="L118">
        <v>99.095189461118196</v>
      </c>
      <c r="M118">
        <v>870.43644913960588</v>
      </c>
      <c r="N118">
        <v>97.492785134810362</v>
      </c>
      <c r="O118">
        <v>108</v>
      </c>
      <c r="P118">
        <v>41.7</v>
      </c>
      <c r="Q118">
        <v>100</v>
      </c>
      <c r="R118">
        <v>3</v>
      </c>
      <c r="S118" t="s">
        <v>675</v>
      </c>
      <c r="T118" t="s">
        <v>675</v>
      </c>
      <c r="W118" s="3">
        <f t="shared" ref="W118:W122" si="6">((J117-INDEX(LINEST($J$116:$J$121,$G$116:$G$121),2))/INDEX(LINEST($J$116:$J$121,$G$116:$G$121),1)/100.09)*12.01</f>
        <v>34.49807325234309</v>
      </c>
      <c r="X118" s="3">
        <f t="shared" ref="X118:X122" si="7">(J117-W118)^2</f>
        <v>0.85869242777747823</v>
      </c>
    </row>
    <row r="119" spans="1:26" x14ac:dyDescent="0.25">
      <c r="A119" s="30">
        <v>42929</v>
      </c>
      <c r="B119">
        <v>6</v>
      </c>
      <c r="C119" t="s">
        <v>3170</v>
      </c>
      <c r="D119">
        <v>1615.1</v>
      </c>
      <c r="G119">
        <v>1614.7769799999999</v>
      </c>
      <c r="H119">
        <v>191.83670000000001</v>
      </c>
      <c r="I119">
        <v>1.0103833333333332</v>
      </c>
      <c r="J119">
        <v>190.82631666666668</v>
      </c>
      <c r="K119">
        <v>1609.1305053445276</v>
      </c>
      <c r="L119">
        <v>99.650324798693106</v>
      </c>
      <c r="M119">
        <v>1590.3252319039691</v>
      </c>
      <c r="N119">
        <v>98.485750763177776</v>
      </c>
      <c r="O119">
        <v>108</v>
      </c>
      <c r="P119">
        <v>41.7</v>
      </c>
      <c r="Q119">
        <v>100</v>
      </c>
      <c r="R119">
        <v>3</v>
      </c>
      <c r="S119" t="s">
        <v>675</v>
      </c>
      <c r="T119" t="s">
        <v>675</v>
      </c>
      <c r="W119" s="3">
        <f t="shared" si="6"/>
        <v>105.90536452603786</v>
      </c>
      <c r="X119" s="3">
        <f t="shared" si="7"/>
        <v>2.131447752082543</v>
      </c>
    </row>
    <row r="120" spans="1:26" x14ac:dyDescent="0.25">
      <c r="A120" s="30">
        <v>42929</v>
      </c>
      <c r="B120">
        <v>7</v>
      </c>
      <c r="C120" t="s">
        <v>3171</v>
      </c>
      <c r="D120">
        <v>2537.6</v>
      </c>
      <c r="G120">
        <v>2537.0924799999998</v>
      </c>
      <c r="H120">
        <v>301.80549999999999</v>
      </c>
      <c r="I120">
        <v>1.0103833333333332</v>
      </c>
      <c r="J120">
        <v>300.79511666666667</v>
      </c>
      <c r="K120">
        <v>2531.3253230970895</v>
      </c>
      <c r="L120">
        <v>99.772686374329155</v>
      </c>
      <c r="M120">
        <v>2506.792941479323</v>
      </c>
      <c r="N120">
        <v>98.805737719080824</v>
      </c>
      <c r="O120">
        <v>108</v>
      </c>
      <c r="P120">
        <v>41.7</v>
      </c>
      <c r="Q120">
        <v>100</v>
      </c>
      <c r="R120">
        <v>3</v>
      </c>
      <c r="S120" t="s">
        <v>675</v>
      </c>
      <c r="T120" t="s">
        <v>675</v>
      </c>
      <c r="W120" s="3">
        <f t="shared" si="6"/>
        <v>192.93623743830332</v>
      </c>
      <c r="X120" s="3">
        <f t="shared" si="7"/>
        <v>4.4517656625837461</v>
      </c>
    </row>
    <row r="121" spans="1:26" x14ac:dyDescent="0.25">
      <c r="A121" s="30">
        <v>42929</v>
      </c>
      <c r="B121">
        <v>8</v>
      </c>
      <c r="C121" t="s">
        <v>3172</v>
      </c>
      <c r="D121">
        <v>3621.8</v>
      </c>
      <c r="G121">
        <v>3621.0756400000005</v>
      </c>
      <c r="H121">
        <v>432.75299999999999</v>
      </c>
      <c r="I121">
        <v>1.0103833333333332</v>
      </c>
      <c r="J121">
        <v>431.74261666666666</v>
      </c>
      <c r="K121">
        <v>3629.4468439071147</v>
      </c>
      <c r="L121">
        <v>100.23118003431473</v>
      </c>
      <c r="M121">
        <v>3598.094796183736</v>
      </c>
      <c r="N121">
        <v>99.365358636466809</v>
      </c>
      <c r="O121">
        <v>108</v>
      </c>
      <c r="P121">
        <v>41.7</v>
      </c>
      <c r="Q121">
        <v>100</v>
      </c>
      <c r="R121">
        <v>3</v>
      </c>
      <c r="S121" t="s">
        <v>675</v>
      </c>
      <c r="T121" t="s">
        <v>675</v>
      </c>
      <c r="W121" s="3">
        <f t="shared" si="6"/>
        <v>303.73249745775593</v>
      </c>
      <c r="X121" s="3">
        <f t="shared" si="7"/>
        <v>8.62820591186013</v>
      </c>
    </row>
    <row r="122" spans="1:26" ht="15.5" x14ac:dyDescent="0.35">
      <c r="A122" s="30">
        <v>42929</v>
      </c>
      <c r="B122">
        <v>9</v>
      </c>
      <c r="C122" t="s">
        <v>3143</v>
      </c>
      <c r="H122">
        <v>1.0397000000000001</v>
      </c>
      <c r="I122">
        <v>1.0103833333333332</v>
      </c>
      <c r="J122">
        <v>2.931666666666688E-2</v>
      </c>
      <c r="K122">
        <v>9.1130036282637299</v>
      </c>
      <c r="L122" t="e">
        <v>#DIV/0!</v>
      </c>
      <c r="M122">
        <v>0.24432182903136454</v>
      </c>
      <c r="N122" t="e">
        <v>#DIV/0!</v>
      </c>
      <c r="O122">
        <v>108</v>
      </c>
      <c r="P122">
        <v>41.7</v>
      </c>
      <c r="Q122">
        <v>100</v>
      </c>
      <c r="R122">
        <v>3</v>
      </c>
      <c r="S122" t="s">
        <v>675</v>
      </c>
      <c r="T122" t="s">
        <v>675</v>
      </c>
      <c r="W122" s="3">
        <f t="shared" si="6"/>
        <v>435.6653116641242</v>
      </c>
      <c r="X122" s="3">
        <f t="shared" si="7"/>
        <v>15.387536043078413</v>
      </c>
      <c r="Z122" s="470" t="s">
        <v>3192</v>
      </c>
    </row>
    <row r="123" spans="1:26" ht="15.5" x14ac:dyDescent="0.35">
      <c r="A123" s="30">
        <v>42929</v>
      </c>
      <c r="B123">
        <v>10</v>
      </c>
      <c r="C123" t="s">
        <v>3132</v>
      </c>
      <c r="D123">
        <v>1589.9</v>
      </c>
      <c r="H123">
        <v>22.247299999999999</v>
      </c>
      <c r="I123">
        <v>1.0103833333333332</v>
      </c>
      <c r="J123">
        <v>21.236916666666666</v>
      </c>
      <c r="K123">
        <v>186.95925471920245</v>
      </c>
      <c r="L123">
        <v>11.759183264306085</v>
      </c>
      <c r="M123">
        <v>176.98609401887316</v>
      </c>
      <c r="N123">
        <v>11.131901001249961</v>
      </c>
      <c r="O123">
        <v>108</v>
      </c>
      <c r="P123">
        <v>41.7</v>
      </c>
      <c r="Q123">
        <v>100</v>
      </c>
      <c r="R123">
        <v>3</v>
      </c>
      <c r="S123" t="s">
        <v>675</v>
      </c>
      <c r="T123" t="s">
        <v>675</v>
      </c>
      <c r="X123" s="471">
        <f>SQRT(SUM(X117:X122)/(6-2))</f>
        <v>2.8249765535364029</v>
      </c>
      <c r="Y123" s="470" t="s">
        <v>3122</v>
      </c>
      <c r="Z123" s="472">
        <f>(X123/$AD$15)*100</f>
        <v>1.3648537811472672</v>
      </c>
    </row>
    <row r="124" spans="1:26" ht="15.5" x14ac:dyDescent="0.35">
      <c r="A124" s="30">
        <v>42929</v>
      </c>
      <c r="B124">
        <v>11</v>
      </c>
      <c r="C124" t="s">
        <v>3132</v>
      </c>
      <c r="D124">
        <v>2400.8000000000002</v>
      </c>
      <c r="H124">
        <v>31.565999999999999</v>
      </c>
      <c r="I124">
        <v>1.0103833333333332</v>
      </c>
      <c r="J124">
        <v>30.555616666666666</v>
      </c>
      <c r="K124">
        <v>265.10557302212834</v>
      </c>
      <c r="L124">
        <v>11.042384747672788</v>
      </c>
      <c r="M124">
        <v>254.64710009714128</v>
      </c>
      <c r="N124">
        <v>10.606760250630675</v>
      </c>
      <c r="O124">
        <v>108</v>
      </c>
      <c r="P124">
        <v>41.7</v>
      </c>
      <c r="Q124">
        <v>100</v>
      </c>
      <c r="R124">
        <v>3</v>
      </c>
      <c r="S124" t="s">
        <v>675</v>
      </c>
      <c r="T124" t="s">
        <v>675</v>
      </c>
      <c r="X124" s="471">
        <f>(X123/12.01)*100.09</f>
        <v>23.543039404118119</v>
      </c>
      <c r="Y124" s="470" t="s">
        <v>3193</v>
      </c>
    </row>
    <row r="125" spans="1:26" x14ac:dyDescent="0.25">
      <c r="A125" s="30">
        <v>42929</v>
      </c>
      <c r="B125">
        <v>12</v>
      </c>
      <c r="C125" t="s">
        <v>3144</v>
      </c>
      <c r="H125">
        <v>0.75660000000000005</v>
      </c>
      <c r="I125">
        <v>1.0103833333333332</v>
      </c>
      <c r="J125">
        <v>-0.25378333333333314</v>
      </c>
      <c r="K125">
        <v>6.7389361390690654</v>
      </c>
      <c r="L125" t="e">
        <v>#DIV/0!</v>
      </c>
      <c r="M125">
        <v>-2.1150019844573951</v>
      </c>
      <c r="N125" t="e">
        <v>#DIV/0!</v>
      </c>
      <c r="O125">
        <v>108</v>
      </c>
      <c r="P125">
        <v>41.7</v>
      </c>
      <c r="Q125">
        <v>100</v>
      </c>
      <c r="R125">
        <v>3</v>
      </c>
      <c r="S125" t="s">
        <v>675</v>
      </c>
      <c r="T125" t="s">
        <v>675</v>
      </c>
    </row>
    <row r="126" spans="1:26" x14ac:dyDescent="0.25">
      <c r="A126" s="30">
        <v>42929</v>
      </c>
      <c r="B126">
        <v>13</v>
      </c>
      <c r="C126" t="s">
        <v>3173</v>
      </c>
      <c r="D126">
        <v>2978.2999999999997</v>
      </c>
      <c r="H126">
        <v>251.61770000000001</v>
      </c>
      <c r="I126">
        <v>1.0103833333333332</v>
      </c>
      <c r="J126">
        <v>250.60731666666669</v>
      </c>
      <c r="K126">
        <v>2110.4520474552523</v>
      </c>
      <c r="L126">
        <v>70.860962544245126</v>
      </c>
      <c r="M126">
        <v>2088.5334159172917</v>
      </c>
      <c r="N126">
        <v>70.125018161947821</v>
      </c>
      <c r="O126">
        <v>108</v>
      </c>
      <c r="P126">
        <v>41.7</v>
      </c>
      <c r="Q126">
        <v>100</v>
      </c>
      <c r="R126">
        <v>3</v>
      </c>
      <c r="S126" t="s">
        <v>675</v>
      </c>
      <c r="T126" t="s">
        <v>675</v>
      </c>
    </row>
    <row r="127" spans="1:26" x14ac:dyDescent="0.25">
      <c r="A127" s="30">
        <v>42929</v>
      </c>
      <c r="B127">
        <v>14</v>
      </c>
      <c r="C127" t="s">
        <v>3174</v>
      </c>
      <c r="D127">
        <v>2741.2000000000003</v>
      </c>
      <c r="H127">
        <v>226.22380000000001</v>
      </c>
      <c r="I127">
        <v>1.0103833333333332</v>
      </c>
      <c r="J127">
        <v>225.21341666666669</v>
      </c>
      <c r="K127">
        <v>1897.4996192890203</v>
      </c>
      <c r="L127">
        <v>69.221494939771631</v>
      </c>
      <c r="M127">
        <v>1876.9034866083821</v>
      </c>
      <c r="N127">
        <v>68.470140325710702</v>
      </c>
      <c r="O127">
        <v>108</v>
      </c>
      <c r="P127">
        <v>41.7</v>
      </c>
      <c r="Q127">
        <v>100</v>
      </c>
      <c r="R127">
        <v>3</v>
      </c>
      <c r="S127" t="s">
        <v>675</v>
      </c>
      <c r="T127" t="s">
        <v>675</v>
      </c>
    </row>
    <row r="128" spans="1:26" x14ac:dyDescent="0.25">
      <c r="A128" s="30">
        <v>42929</v>
      </c>
      <c r="B128">
        <v>15</v>
      </c>
      <c r="C128" t="s">
        <v>3175</v>
      </c>
      <c r="D128">
        <v>2655.3</v>
      </c>
      <c r="H128">
        <v>218.9871</v>
      </c>
      <c r="I128">
        <v>1.0103833333333332</v>
      </c>
      <c r="J128">
        <v>217.97671666666668</v>
      </c>
      <c r="K128">
        <v>1836.8128859825736</v>
      </c>
      <c r="L128">
        <v>69.175343124414326</v>
      </c>
      <c r="M128">
        <v>1816.5936362336943</v>
      </c>
      <c r="N128">
        <v>68.413875503095468</v>
      </c>
      <c r="O128">
        <v>108</v>
      </c>
      <c r="P128">
        <v>41.7</v>
      </c>
      <c r="Q128">
        <v>100</v>
      </c>
      <c r="R128">
        <v>3</v>
      </c>
      <c r="S128" t="s">
        <v>675</v>
      </c>
      <c r="T128" t="s">
        <v>675</v>
      </c>
    </row>
    <row r="129" spans="1:20" x14ac:dyDescent="0.25">
      <c r="A129" s="30">
        <v>42929</v>
      </c>
      <c r="B129">
        <v>16</v>
      </c>
      <c r="C129" t="s">
        <v>3176</v>
      </c>
      <c r="D129">
        <v>2362.8999999999996</v>
      </c>
      <c r="H129">
        <v>201.08680000000001</v>
      </c>
      <c r="I129">
        <v>1.0103833333333332</v>
      </c>
      <c r="J129">
        <v>200.07641666666669</v>
      </c>
      <c r="K129">
        <v>1686.7015462551585</v>
      </c>
      <c r="L129">
        <v>71.382688486823767</v>
      </c>
      <c r="M129">
        <v>1667.4145332361925</v>
      </c>
      <c r="N129">
        <v>70.566445183299876</v>
      </c>
      <c r="O129">
        <v>108</v>
      </c>
      <c r="P129">
        <v>41.7</v>
      </c>
      <c r="Q129">
        <v>100</v>
      </c>
      <c r="R129">
        <v>3</v>
      </c>
      <c r="S129" t="s">
        <v>675</v>
      </c>
      <c r="T129" t="s">
        <v>675</v>
      </c>
    </row>
    <row r="130" spans="1:20" x14ac:dyDescent="0.25">
      <c r="A130" s="30">
        <v>42929</v>
      </c>
      <c r="B130">
        <v>17</v>
      </c>
      <c r="C130" t="s">
        <v>3177</v>
      </c>
      <c r="D130">
        <v>2342.9</v>
      </c>
      <c r="H130">
        <v>185.1345</v>
      </c>
      <c r="I130">
        <v>1.0103833333333332</v>
      </c>
      <c r="J130">
        <v>184.12411666666668</v>
      </c>
      <c r="K130">
        <v>1552.9260718366488</v>
      </c>
      <c r="L130">
        <v>66.282217415879842</v>
      </c>
      <c r="M130">
        <v>1534.4698448931449</v>
      </c>
      <c r="N130">
        <v>65.494466041792009</v>
      </c>
      <c r="O130">
        <v>108</v>
      </c>
      <c r="P130">
        <v>41.7</v>
      </c>
      <c r="Q130">
        <v>100</v>
      </c>
      <c r="R130">
        <v>3</v>
      </c>
      <c r="S130" t="s">
        <v>675</v>
      </c>
      <c r="T130" t="s">
        <v>675</v>
      </c>
    </row>
    <row r="131" spans="1:20" x14ac:dyDescent="0.25">
      <c r="A131" s="30">
        <v>42929</v>
      </c>
      <c r="B131">
        <v>18</v>
      </c>
      <c r="C131" t="s">
        <v>3178</v>
      </c>
      <c r="D131">
        <v>2719.7</v>
      </c>
      <c r="H131">
        <v>231.1199</v>
      </c>
      <c r="I131">
        <v>1.0103833333333332</v>
      </c>
      <c r="J131">
        <v>230.10951666666668</v>
      </c>
      <c r="K131">
        <v>1938.5581563213268</v>
      </c>
      <c r="L131">
        <v>71.278382039244292</v>
      </c>
      <c r="M131">
        <v>1917.7070377324455</v>
      </c>
      <c r="N131">
        <v>70.511712237836733</v>
      </c>
      <c r="O131">
        <v>108</v>
      </c>
      <c r="P131">
        <v>41.7</v>
      </c>
      <c r="Q131">
        <v>100</v>
      </c>
      <c r="R131">
        <v>3</v>
      </c>
      <c r="S131" t="s">
        <v>675</v>
      </c>
      <c r="T131" t="s">
        <v>675</v>
      </c>
    </row>
    <row r="132" spans="1:20" x14ac:dyDescent="0.25">
      <c r="A132" s="30">
        <v>42929</v>
      </c>
      <c r="B132">
        <v>19</v>
      </c>
      <c r="C132" t="s">
        <v>3179</v>
      </c>
      <c r="D132">
        <v>2532</v>
      </c>
      <c r="H132">
        <v>212.3389</v>
      </c>
      <c r="I132">
        <v>1.0103833333333332</v>
      </c>
      <c r="J132">
        <v>211.32851666666667</v>
      </c>
      <c r="K132">
        <v>1781.0612947368513</v>
      </c>
      <c r="L132">
        <v>70.342073251850366</v>
      </c>
      <c r="M132">
        <v>1761.1882791978908</v>
      </c>
      <c r="N132">
        <v>69.557199020453822</v>
      </c>
      <c r="O132">
        <v>108</v>
      </c>
      <c r="P132">
        <v>41.7</v>
      </c>
      <c r="Q132">
        <v>100</v>
      </c>
      <c r="R132">
        <v>3</v>
      </c>
      <c r="S132" t="s">
        <v>675</v>
      </c>
      <c r="T132" t="s">
        <v>675</v>
      </c>
    </row>
    <row r="133" spans="1:20" x14ac:dyDescent="0.25">
      <c r="A133" s="30">
        <v>42929</v>
      </c>
      <c r="B133">
        <v>20</v>
      </c>
      <c r="C133" t="s">
        <v>3134</v>
      </c>
      <c r="H133">
        <v>0.74250000000000005</v>
      </c>
      <c r="I133">
        <v>1.0103833333333332</v>
      </c>
      <c r="J133">
        <v>-0.26788333333333314</v>
      </c>
      <c r="K133">
        <v>6.620693992839306</v>
      </c>
      <c r="L133" t="e">
        <v>#DIV/0!</v>
      </c>
      <c r="M133">
        <v>-2.2325098112683861</v>
      </c>
      <c r="N133" t="e">
        <v>#DIV/0!</v>
      </c>
      <c r="O133">
        <v>108</v>
      </c>
      <c r="P133">
        <v>41.7</v>
      </c>
      <c r="Q133">
        <v>100</v>
      </c>
      <c r="R133">
        <v>3</v>
      </c>
      <c r="S133" t="s">
        <v>675</v>
      </c>
      <c r="T133" t="s">
        <v>675</v>
      </c>
    </row>
    <row r="134" spans="1:20" x14ac:dyDescent="0.25">
      <c r="A134" s="30">
        <v>42929</v>
      </c>
      <c r="B134">
        <v>21</v>
      </c>
      <c r="C134" t="s">
        <v>3180</v>
      </c>
      <c r="D134">
        <v>2675</v>
      </c>
      <c r="H134">
        <v>212.57939999999999</v>
      </c>
      <c r="I134">
        <v>1.0103833333333332</v>
      </c>
      <c r="J134">
        <v>211.56901666666667</v>
      </c>
      <c r="K134">
        <v>1783.0781199970113</v>
      </c>
      <c r="L134">
        <v>66.657125981196685</v>
      </c>
      <c r="M134">
        <v>1763.1925793644186</v>
      </c>
      <c r="N134">
        <v>65.913741284651167</v>
      </c>
      <c r="O134">
        <v>108</v>
      </c>
      <c r="P134">
        <v>41.7</v>
      </c>
      <c r="Q134">
        <v>100</v>
      </c>
      <c r="R134">
        <v>3</v>
      </c>
      <c r="S134" t="s">
        <v>675</v>
      </c>
      <c r="T134" t="s">
        <v>675</v>
      </c>
    </row>
    <row r="135" spans="1:20" x14ac:dyDescent="0.25">
      <c r="A135" s="30">
        <v>42929</v>
      </c>
      <c r="B135">
        <v>22</v>
      </c>
      <c r="C135" t="s">
        <v>3181</v>
      </c>
      <c r="D135">
        <v>2208.5</v>
      </c>
      <c r="H135">
        <v>174.72569999999999</v>
      </c>
      <c r="I135">
        <v>1.0103833333333332</v>
      </c>
      <c r="J135">
        <v>173.71531666666667</v>
      </c>
      <c r="K135">
        <v>1465.6382100156336</v>
      </c>
      <c r="L135">
        <v>66.36351415058337</v>
      </c>
      <c r="M135">
        <v>1447.7240670413546</v>
      </c>
      <c r="N135">
        <v>65.552368894786269</v>
      </c>
      <c r="O135">
        <v>108</v>
      </c>
      <c r="P135">
        <v>41.7</v>
      </c>
      <c r="Q135">
        <v>100</v>
      </c>
      <c r="R135">
        <v>3</v>
      </c>
      <c r="S135" t="s">
        <v>675</v>
      </c>
      <c r="T135" t="s">
        <v>675</v>
      </c>
    </row>
    <row r="136" spans="1:20" x14ac:dyDescent="0.25">
      <c r="A136" s="30">
        <v>42929</v>
      </c>
      <c r="B136">
        <v>23</v>
      </c>
      <c r="C136" t="s">
        <v>3182</v>
      </c>
      <c r="D136">
        <v>2709</v>
      </c>
      <c r="H136">
        <v>81.758600000000001</v>
      </c>
      <c r="I136">
        <v>1.0103833333333332</v>
      </c>
      <c r="J136">
        <v>80.748216666666664</v>
      </c>
      <c r="K136">
        <v>686.01910130949</v>
      </c>
      <c r="L136">
        <v>25.323702521575857</v>
      </c>
      <c r="M136">
        <v>672.94662832361928</v>
      </c>
      <c r="N136">
        <v>24.841145379240281</v>
      </c>
      <c r="O136">
        <v>108</v>
      </c>
      <c r="P136">
        <v>41.7</v>
      </c>
      <c r="Q136">
        <v>100</v>
      </c>
      <c r="R136">
        <v>3</v>
      </c>
      <c r="S136" t="s">
        <v>675</v>
      </c>
      <c r="T136" t="s">
        <v>675</v>
      </c>
    </row>
    <row r="137" spans="1:20" x14ac:dyDescent="0.25">
      <c r="A137" s="30">
        <v>42929</v>
      </c>
      <c r="B137">
        <v>24</v>
      </c>
      <c r="C137" t="s">
        <v>3183</v>
      </c>
      <c r="D137">
        <v>2119.3000000000002</v>
      </c>
      <c r="H137">
        <v>39.762900000000002</v>
      </c>
      <c r="I137">
        <v>1.0103833333333332</v>
      </c>
      <c r="J137">
        <v>38.752516666666672</v>
      </c>
      <c r="K137">
        <v>333.84451262714333</v>
      </c>
      <c r="L137">
        <v>15.752583995996003</v>
      </c>
      <c r="M137">
        <v>322.95915013877334</v>
      </c>
      <c r="N137">
        <v>15.238953906420672</v>
      </c>
      <c r="O137">
        <v>108</v>
      </c>
      <c r="P137">
        <v>41.7</v>
      </c>
      <c r="Q137">
        <v>100</v>
      </c>
      <c r="R137">
        <v>3</v>
      </c>
      <c r="S137" t="s">
        <v>675</v>
      </c>
      <c r="T137" t="s">
        <v>675</v>
      </c>
    </row>
    <row r="138" spans="1:20" x14ac:dyDescent="0.25">
      <c r="A138" s="30">
        <v>42929</v>
      </c>
      <c r="B138">
        <v>25</v>
      </c>
      <c r="C138" t="s">
        <v>3184</v>
      </c>
      <c r="D138">
        <v>2269.1</v>
      </c>
      <c r="H138">
        <v>40.564399999999999</v>
      </c>
      <c r="I138">
        <v>1.0103833333333332</v>
      </c>
      <c r="J138">
        <v>39.554016666666669</v>
      </c>
      <c r="K138">
        <v>340.56586583304062</v>
      </c>
      <c r="L138">
        <v>15.008852224804576</v>
      </c>
      <c r="M138">
        <v>329.63876171246187</v>
      </c>
      <c r="N138">
        <v>14.527291071899073</v>
      </c>
      <c r="O138">
        <v>108</v>
      </c>
      <c r="P138">
        <v>41.7</v>
      </c>
      <c r="Q138">
        <v>100</v>
      </c>
      <c r="R138">
        <v>3</v>
      </c>
      <c r="S138" t="s">
        <v>675</v>
      </c>
      <c r="T138" t="s">
        <v>675</v>
      </c>
    </row>
    <row r="139" spans="1:20" x14ac:dyDescent="0.25">
      <c r="A139" s="30">
        <v>42929</v>
      </c>
      <c r="B139">
        <v>26</v>
      </c>
      <c r="C139" t="s">
        <v>3185</v>
      </c>
      <c r="D139">
        <v>2218.1000000000004</v>
      </c>
      <c r="H139">
        <v>84.47</v>
      </c>
      <c r="I139">
        <v>1.0103833333333332</v>
      </c>
      <c r="J139">
        <v>83.459616666666662</v>
      </c>
      <c r="K139">
        <v>708.75681445043801</v>
      </c>
      <c r="L139">
        <v>31.953330077563585</v>
      </c>
      <c r="M139">
        <v>695.54313340271995</v>
      </c>
      <c r="N139">
        <v>31.357609368500963</v>
      </c>
      <c r="O139">
        <v>108</v>
      </c>
      <c r="P139">
        <v>41.7</v>
      </c>
      <c r="Q139">
        <v>100</v>
      </c>
      <c r="R139">
        <v>3</v>
      </c>
      <c r="S139" t="s">
        <v>675</v>
      </c>
      <c r="T139" t="s">
        <v>675</v>
      </c>
    </row>
    <row r="140" spans="1:20" x14ac:dyDescent="0.25">
      <c r="A140" s="30">
        <v>42929</v>
      </c>
      <c r="B140">
        <v>27</v>
      </c>
      <c r="C140" t="s">
        <v>788</v>
      </c>
      <c r="D140">
        <v>3488.2</v>
      </c>
      <c r="E140">
        <v>0.66707230944644658</v>
      </c>
      <c r="F140" t="s">
        <v>3161</v>
      </c>
      <c r="H140">
        <v>353.29399999999998</v>
      </c>
      <c r="I140">
        <v>1.0103833333333332</v>
      </c>
      <c r="J140">
        <v>352.28361666666666</v>
      </c>
      <c r="K140">
        <v>2963.106227079425</v>
      </c>
      <c r="L140">
        <v>84.946569207024396</v>
      </c>
      <c r="M140">
        <v>2935.8923557174576</v>
      </c>
      <c r="N140">
        <v>84.166399739620957</v>
      </c>
      <c r="O140">
        <v>108</v>
      </c>
      <c r="P140">
        <v>41.7</v>
      </c>
      <c r="Q140">
        <v>100</v>
      </c>
      <c r="R140">
        <v>3</v>
      </c>
      <c r="S140" t="s">
        <v>675</v>
      </c>
      <c r="T140" t="s">
        <v>675</v>
      </c>
    </row>
    <row r="141" spans="1:20" x14ac:dyDescent="0.25">
      <c r="A141" s="30">
        <v>42929</v>
      </c>
      <c r="B141">
        <v>28</v>
      </c>
      <c r="C141" t="s">
        <v>3135</v>
      </c>
      <c r="H141">
        <v>0.96319999999999995</v>
      </c>
      <c r="I141">
        <v>1.0103833333333332</v>
      </c>
      <c r="J141">
        <v>-4.7183333333333244E-2</v>
      </c>
      <c r="K141">
        <v>8.4714770902086514</v>
      </c>
      <c r="L141" t="e">
        <v>#DIV/0!</v>
      </c>
      <c r="M141">
        <v>-0.3932206355814592</v>
      </c>
      <c r="N141" t="e">
        <v>#DIV/0!</v>
      </c>
      <c r="O141">
        <v>108</v>
      </c>
      <c r="P141">
        <v>41.7</v>
      </c>
      <c r="Q141">
        <v>100</v>
      </c>
      <c r="R141">
        <v>3</v>
      </c>
      <c r="S141" t="s">
        <v>675</v>
      </c>
      <c r="T141" t="s">
        <v>675</v>
      </c>
    </row>
  </sheetData>
  <mergeCells count="4">
    <mergeCell ref="K2:L2"/>
    <mergeCell ref="M2:N2"/>
    <mergeCell ref="W6:X6"/>
    <mergeCell ref="AC4:AC6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AK167"/>
  <sheetViews>
    <sheetView workbookViewId="0">
      <pane xSplit="6" ySplit="13" topLeftCell="Q14" activePane="bottomRight" state="frozen"/>
      <selection pane="topRight" activeCell="G1" sqref="G1"/>
      <selection pane="bottomLeft" activeCell="A14" sqref="A14"/>
      <selection pane="bottomRight" activeCell="X12" sqref="X12"/>
    </sheetView>
  </sheetViews>
  <sheetFormatPr defaultColWidth="8.81640625" defaultRowHeight="12.5" x14ac:dyDescent="0.25"/>
  <cols>
    <col min="1" max="1" width="6" customWidth="1"/>
    <col min="2" max="2" width="5.453125" customWidth="1"/>
    <col min="3" max="3" width="8" style="3" customWidth="1"/>
    <col min="4" max="4" width="5.26953125" bestFit="1" customWidth="1"/>
    <col min="5" max="5" width="4.7265625" style="5" customWidth="1"/>
    <col min="6" max="6" width="11.1796875" customWidth="1"/>
    <col min="7" max="7" width="16" customWidth="1"/>
    <col min="8" max="8" width="12.1796875" style="11" bestFit="1" customWidth="1"/>
    <col min="10" max="10" width="7.1796875" customWidth="1"/>
    <col min="13" max="13" width="15.81640625" bestFit="1" customWidth="1"/>
    <col min="14" max="14" width="22.453125" bestFit="1" customWidth="1"/>
    <col min="15" max="15" width="28.1796875" customWidth="1"/>
    <col min="16" max="17" width="22.453125" customWidth="1"/>
    <col min="20" max="20" width="9.453125" bestFit="1" customWidth="1"/>
    <col min="21" max="23" width="9.453125" customWidth="1"/>
    <col min="26" max="26" width="12.453125" bestFit="1" customWidth="1"/>
    <col min="32" max="32" width="10.1796875" bestFit="1" customWidth="1"/>
    <col min="34" max="34" width="15.453125" bestFit="1" customWidth="1"/>
  </cols>
  <sheetData>
    <row r="1" spans="1:37" s="143" customFormat="1" x14ac:dyDescent="0.25">
      <c r="A1" s="24" t="s">
        <v>957</v>
      </c>
      <c r="C1" s="330"/>
      <c r="E1" s="329"/>
      <c r="H1" s="331"/>
    </row>
    <row r="2" spans="1:37" x14ac:dyDescent="0.25">
      <c r="A2" t="s">
        <v>829</v>
      </c>
    </row>
    <row r="3" spans="1:37" s="143" customFormat="1" x14ac:dyDescent="0.25">
      <c r="A3" t="s">
        <v>103</v>
      </c>
      <c r="B3"/>
      <c r="C3"/>
      <c r="D3"/>
      <c r="E3" s="5"/>
      <c r="F3" s="3"/>
      <c r="G3"/>
      <c r="H3"/>
    </row>
    <row r="4" spans="1:37" s="143" customFormat="1" x14ac:dyDescent="0.25">
      <c r="A4" t="s">
        <v>108</v>
      </c>
      <c r="B4"/>
      <c r="C4"/>
      <c r="D4"/>
      <c r="E4" s="5"/>
      <c r="F4" s="3"/>
      <c r="G4"/>
      <c r="H4"/>
    </row>
    <row r="5" spans="1:37" s="143" customFormat="1" x14ac:dyDescent="0.25">
      <c r="A5" s="17" t="s">
        <v>958</v>
      </c>
      <c r="C5" s="330"/>
      <c r="E5" s="329"/>
      <c r="H5" s="331"/>
    </row>
    <row r="7" spans="1:37" ht="13" x14ac:dyDescent="0.3">
      <c r="A7" s="10" t="s">
        <v>836</v>
      </c>
      <c r="B7" s="10"/>
      <c r="C7" s="36"/>
      <c r="D7" s="10"/>
      <c r="E7" s="34"/>
      <c r="F7" s="10"/>
      <c r="G7" s="10"/>
      <c r="H7" s="411"/>
    </row>
    <row r="8" spans="1:37" s="17" customFormat="1" ht="13" x14ac:dyDescent="0.3">
      <c r="A8" s="10" t="s">
        <v>960</v>
      </c>
      <c r="B8" s="10"/>
      <c r="C8" s="36"/>
      <c r="D8" s="10"/>
      <c r="E8" s="34"/>
      <c r="F8" s="10"/>
      <c r="G8" s="10"/>
      <c r="H8" s="411"/>
    </row>
    <row r="9" spans="1:37" s="17" customFormat="1" ht="13" x14ac:dyDescent="0.3">
      <c r="A9" s="10" t="s">
        <v>838</v>
      </c>
      <c r="B9" s="10"/>
      <c r="C9" s="36"/>
      <c r="D9" s="10"/>
      <c r="E9" s="34"/>
      <c r="F9" s="10"/>
      <c r="G9" s="10"/>
      <c r="H9" s="411"/>
    </row>
    <row r="10" spans="1:37" s="17" customFormat="1" ht="13" x14ac:dyDescent="0.3">
      <c r="A10" s="10" t="s">
        <v>959</v>
      </c>
      <c r="B10" s="10"/>
      <c r="C10" s="36"/>
      <c r="D10" s="10"/>
      <c r="E10" s="34"/>
      <c r="F10" s="10"/>
      <c r="G10" s="10"/>
      <c r="H10" s="411"/>
      <c r="Q10" s="301"/>
    </row>
    <row r="11" spans="1:37" s="17" customFormat="1" ht="13" x14ac:dyDescent="0.3">
      <c r="A11" s="10" t="s">
        <v>839</v>
      </c>
      <c r="B11" s="10"/>
      <c r="C11" s="36"/>
      <c r="D11" s="10"/>
      <c r="E11" s="34"/>
      <c r="F11" s="10"/>
      <c r="G11" s="10"/>
      <c r="H11" s="411"/>
      <c r="Q11" s="301"/>
      <c r="R11" s="10"/>
      <c r="S11" s="10"/>
      <c r="T11" s="10"/>
      <c r="U11" s="10"/>
      <c r="V11" s="10"/>
      <c r="X11" s="10" t="s">
        <v>1257</v>
      </c>
      <c r="Y11" s="10"/>
      <c r="Z11" s="10"/>
      <c r="AA11" s="10"/>
      <c r="AB11" s="10"/>
      <c r="AC11" s="10"/>
      <c r="AD11" s="10"/>
    </row>
    <row r="12" spans="1:37" ht="39" x14ac:dyDescent="0.3">
      <c r="A12" s="143"/>
      <c r="M12" s="413" t="s">
        <v>1260</v>
      </c>
      <c r="N12" s="10" t="s">
        <v>1256</v>
      </c>
      <c r="O12" s="10" t="s">
        <v>1256</v>
      </c>
      <c r="P12" s="10" t="s">
        <v>1254</v>
      </c>
      <c r="Q12" s="412" t="s">
        <v>1259</v>
      </c>
    </row>
    <row r="13" spans="1:37" ht="39" customHeight="1" x14ac:dyDescent="0.35">
      <c r="A13" t="s">
        <v>827</v>
      </c>
      <c r="B13" t="s">
        <v>59</v>
      </c>
      <c r="C13" s="3" t="s">
        <v>819</v>
      </c>
      <c r="D13" t="s">
        <v>61</v>
      </c>
      <c r="F13" t="s">
        <v>820</v>
      </c>
      <c r="G13" t="s">
        <v>828</v>
      </c>
      <c r="H13" s="11" t="s">
        <v>172</v>
      </c>
      <c r="I13" s="17" t="s">
        <v>818</v>
      </c>
      <c r="J13" s="17" t="s">
        <v>705</v>
      </c>
      <c r="M13" s="413" t="s">
        <v>800</v>
      </c>
      <c r="N13" s="10" t="s">
        <v>961</v>
      </c>
      <c r="O13" s="412" t="s">
        <v>1261</v>
      </c>
      <c r="P13" s="10" t="s">
        <v>1255</v>
      </c>
      <c r="Q13" s="10" t="s">
        <v>1255</v>
      </c>
      <c r="R13" s="10" t="s">
        <v>1250</v>
      </c>
      <c r="S13" s="10" t="s">
        <v>1251</v>
      </c>
      <c r="T13" s="10" t="s">
        <v>1252</v>
      </c>
      <c r="U13" s="10" t="s">
        <v>1253</v>
      </c>
      <c r="X13" s="15" t="s">
        <v>962</v>
      </c>
      <c r="Y13" s="15" t="s">
        <v>174</v>
      </c>
      <c r="Z13" s="15" t="s">
        <v>963</v>
      </c>
      <c r="AA13" s="15" t="s">
        <v>964</v>
      </c>
      <c r="AB13" s="15" t="s">
        <v>171</v>
      </c>
      <c r="AC13" s="15" t="s">
        <v>965</v>
      </c>
      <c r="AD13" s="15" t="s">
        <v>966</v>
      </c>
      <c r="AE13" s="15" t="s">
        <v>967</v>
      </c>
      <c r="AF13" s="15" t="s">
        <v>968</v>
      </c>
      <c r="AG13" s="15" t="s">
        <v>969</v>
      </c>
      <c r="AH13" s="15" t="s">
        <v>970</v>
      </c>
    </row>
    <row r="14" spans="1:37" ht="13" x14ac:dyDescent="0.3">
      <c r="A14">
        <v>1</v>
      </c>
      <c r="B14">
        <v>2016</v>
      </c>
      <c r="C14" s="18" t="s">
        <v>111</v>
      </c>
      <c r="D14">
        <v>1</v>
      </c>
      <c r="F14">
        <v>2975.1</v>
      </c>
      <c r="H14" s="11">
        <v>42947</v>
      </c>
      <c r="I14" s="332">
        <v>0.28999999999999998</v>
      </c>
      <c r="J14" t="s">
        <v>821</v>
      </c>
      <c r="M14" s="441">
        <f>AVERAGE(AH31,AH164:AH167)</f>
        <v>0.4</v>
      </c>
      <c r="N14">
        <f t="shared" ref="N14:N20" si="0">AH14</f>
        <v>362.5</v>
      </c>
      <c r="O14">
        <f>N14-$M$14</f>
        <v>362.1</v>
      </c>
      <c r="P14" s="3">
        <f>(O14/1000)*10</f>
        <v>3.6210000000000004</v>
      </c>
      <c r="Q14" s="3">
        <f>P14*(5/4)</f>
        <v>4.526250000000001</v>
      </c>
      <c r="R14" s="3">
        <f>Q14*28.09</f>
        <v>127.14236250000003</v>
      </c>
      <c r="S14" s="3">
        <f>Q14*(28.09+2*16)</f>
        <v>271.98236250000008</v>
      </c>
      <c r="T14" s="3">
        <f>(R14/F14)*100</f>
        <v>4.2735492084299702</v>
      </c>
      <c r="U14" s="3">
        <f>(S14/F14)*100</f>
        <v>9.1419569930422533</v>
      </c>
      <c r="X14" s="15">
        <v>10586</v>
      </c>
      <c r="Y14">
        <v>2016</v>
      </c>
      <c r="Z14" s="15" t="s">
        <v>971</v>
      </c>
      <c r="AA14" s="15">
        <v>1</v>
      </c>
      <c r="AB14" s="15" t="s">
        <v>972</v>
      </c>
      <c r="AC14" s="15">
        <v>41</v>
      </c>
      <c r="AD14" s="15" t="s">
        <v>973</v>
      </c>
      <c r="AE14" s="15">
        <v>31503.0854</v>
      </c>
      <c r="AF14" s="15">
        <v>72.5</v>
      </c>
      <c r="AG14" s="15" t="s">
        <v>974</v>
      </c>
      <c r="AH14" s="15">
        <f t="shared" ref="AH14:AH30" si="1">(AF14*5)</f>
        <v>362.5</v>
      </c>
      <c r="AI14" s="10" t="s">
        <v>3087</v>
      </c>
      <c r="AJ14" s="10"/>
      <c r="AK14" s="10" t="s">
        <v>3089</v>
      </c>
    </row>
    <row r="15" spans="1:37" x14ac:dyDescent="0.25">
      <c r="A15">
        <v>2</v>
      </c>
      <c r="B15">
        <v>2016</v>
      </c>
      <c r="C15" s="18" t="s">
        <v>111</v>
      </c>
      <c r="D15">
        <v>2</v>
      </c>
      <c r="F15">
        <v>3145.5</v>
      </c>
      <c r="H15" s="11">
        <v>42947</v>
      </c>
      <c r="I15" s="332">
        <v>0.28999999999999998</v>
      </c>
      <c r="J15" t="s">
        <v>821</v>
      </c>
      <c r="M15" s="289">
        <f>_xlfn.STDEV.P(AH31,AH164:AH167)</f>
        <v>0.12649110640673522</v>
      </c>
      <c r="N15">
        <f t="shared" si="0"/>
        <v>111</v>
      </c>
      <c r="O15">
        <f t="shared" ref="O15:O78" si="2">N15-$M$14</f>
        <v>110.6</v>
      </c>
      <c r="P15" s="3">
        <f t="shared" ref="P15:P29" si="3">(O15/1000)*10</f>
        <v>1.1059999999999999</v>
      </c>
      <c r="Q15" s="3">
        <f t="shared" ref="Q15:Q78" si="4">P15*(5/4)</f>
        <v>1.3824999999999998</v>
      </c>
      <c r="R15" s="3">
        <f t="shared" ref="R15:R29" si="5">Q15*28.09</f>
        <v>38.834424999999996</v>
      </c>
      <c r="S15" s="3">
        <f t="shared" ref="S15:S29" si="6">Q15*(28.09+2*16)</f>
        <v>83.074424999999991</v>
      </c>
      <c r="T15" s="3">
        <f t="shared" ref="T15:T78" si="7">(R15/F15)*100</f>
        <v>1.2346026068987441</v>
      </c>
      <c r="U15" s="3">
        <f t="shared" ref="U15:U78" si="8">(S15/F15)*100</f>
        <v>2.6410562708631375</v>
      </c>
      <c r="X15" s="15">
        <v>10587</v>
      </c>
      <c r="Y15">
        <v>2016</v>
      </c>
      <c r="Z15" s="15" t="s">
        <v>975</v>
      </c>
      <c r="AA15" s="15">
        <v>2</v>
      </c>
      <c r="AB15" s="15" t="s">
        <v>976</v>
      </c>
      <c r="AC15" s="15">
        <v>42</v>
      </c>
      <c r="AD15" s="15" t="s">
        <v>973</v>
      </c>
      <c r="AE15" s="15">
        <v>11924.0488</v>
      </c>
      <c r="AF15" s="15">
        <v>22.2</v>
      </c>
      <c r="AG15" s="15" t="s">
        <v>974</v>
      </c>
      <c r="AH15" s="15">
        <f t="shared" si="1"/>
        <v>111</v>
      </c>
      <c r="AI15">
        <f>AVERAGE(AH14:AH21,AH23:AH30)</f>
        <v>256.28125</v>
      </c>
    </row>
    <row r="16" spans="1:37" x14ac:dyDescent="0.25">
      <c r="A16">
        <v>3</v>
      </c>
      <c r="B16">
        <v>2016</v>
      </c>
      <c r="C16" s="18" t="s">
        <v>111</v>
      </c>
      <c r="D16">
        <v>3</v>
      </c>
      <c r="F16">
        <v>3602.1</v>
      </c>
      <c r="H16" s="11">
        <v>42947</v>
      </c>
      <c r="I16" s="332">
        <v>0.28999999999999998</v>
      </c>
      <c r="J16" t="s">
        <v>821</v>
      </c>
      <c r="M16" s="360">
        <f>COUNT(AH31,AH164:AH167)</f>
        <v>5</v>
      </c>
      <c r="N16">
        <f t="shared" si="0"/>
        <v>78</v>
      </c>
      <c r="O16">
        <f t="shared" si="2"/>
        <v>77.599999999999994</v>
      </c>
      <c r="P16" s="3">
        <f t="shared" si="3"/>
        <v>0.77599999999999991</v>
      </c>
      <c r="Q16" s="3">
        <f t="shared" si="4"/>
        <v>0.96999999999999986</v>
      </c>
      <c r="R16" s="3">
        <f t="shared" si="5"/>
        <v>27.247299999999996</v>
      </c>
      <c r="S16" s="3">
        <f t="shared" si="6"/>
        <v>58.287299999999995</v>
      </c>
      <c r="T16" s="3">
        <f t="shared" si="7"/>
        <v>0.75642819466422351</v>
      </c>
      <c r="U16" s="3">
        <f t="shared" si="8"/>
        <v>1.6181477471474974</v>
      </c>
      <c r="X16" s="15">
        <v>10588</v>
      </c>
      <c r="Y16">
        <v>2016</v>
      </c>
      <c r="Z16" s="15" t="s">
        <v>977</v>
      </c>
      <c r="AA16" s="15">
        <v>3</v>
      </c>
      <c r="AB16" s="15" t="s">
        <v>978</v>
      </c>
      <c r="AC16" s="15">
        <v>43</v>
      </c>
      <c r="AD16" s="15" t="s">
        <v>973</v>
      </c>
      <c r="AE16" s="15">
        <v>9311.2569999999996</v>
      </c>
      <c r="AF16" s="15">
        <v>15.6</v>
      </c>
      <c r="AG16" s="15" t="s">
        <v>974</v>
      </c>
      <c r="AH16" s="15">
        <f t="shared" si="1"/>
        <v>78</v>
      </c>
      <c r="AI16" s="17" t="s">
        <v>3091</v>
      </c>
      <c r="AJ16">
        <f>MIN(AH14:AH21,AH23:AH30)</f>
        <v>64</v>
      </c>
    </row>
    <row r="17" spans="1:36" x14ac:dyDescent="0.25">
      <c r="A17">
        <v>4</v>
      </c>
      <c r="B17">
        <v>2016</v>
      </c>
      <c r="C17" s="18" t="s">
        <v>111</v>
      </c>
      <c r="D17">
        <v>4</v>
      </c>
      <c r="F17">
        <v>2932.3</v>
      </c>
      <c r="H17" s="11">
        <v>42947</v>
      </c>
      <c r="I17" s="332">
        <v>0.28999999999999998</v>
      </c>
      <c r="J17" t="s">
        <v>821</v>
      </c>
      <c r="N17">
        <f t="shared" si="0"/>
        <v>150.5</v>
      </c>
      <c r="O17">
        <f t="shared" si="2"/>
        <v>150.1</v>
      </c>
      <c r="P17" s="3">
        <f t="shared" si="3"/>
        <v>1.5009999999999999</v>
      </c>
      <c r="Q17" s="3">
        <f t="shared" si="4"/>
        <v>1.8762499999999998</v>
      </c>
      <c r="R17" s="3">
        <f t="shared" si="5"/>
        <v>52.703862499999993</v>
      </c>
      <c r="S17" s="3">
        <f t="shared" si="6"/>
        <v>112.74386249999999</v>
      </c>
      <c r="T17" s="3">
        <f t="shared" si="7"/>
        <v>1.7973557446373152</v>
      </c>
      <c r="U17" s="3">
        <f t="shared" si="8"/>
        <v>3.8448952187702479</v>
      </c>
      <c r="V17" t="s">
        <v>800</v>
      </c>
      <c r="W17" t="s">
        <v>800</v>
      </c>
      <c r="X17" s="15">
        <v>10589</v>
      </c>
      <c r="Y17">
        <v>2016</v>
      </c>
      <c r="Z17" s="15" t="s">
        <v>979</v>
      </c>
      <c r="AA17" s="15">
        <v>4</v>
      </c>
      <c r="AB17" s="15" t="s">
        <v>980</v>
      </c>
      <c r="AC17" s="15">
        <v>44</v>
      </c>
      <c r="AD17" s="15" t="s">
        <v>973</v>
      </c>
      <c r="AE17" s="15">
        <v>14983.6484</v>
      </c>
      <c r="AF17" s="15">
        <v>30.1</v>
      </c>
      <c r="AG17" s="15" t="s">
        <v>974</v>
      </c>
      <c r="AH17" s="15">
        <f t="shared" si="1"/>
        <v>150.5</v>
      </c>
      <c r="AI17" s="17" t="s">
        <v>3092</v>
      </c>
      <c r="AJ17">
        <f>MAX(AH14:AH21,AH23:AH30)</f>
        <v>464.5</v>
      </c>
    </row>
    <row r="18" spans="1:36" x14ac:dyDescent="0.25">
      <c r="A18">
        <v>5</v>
      </c>
      <c r="B18">
        <v>2016</v>
      </c>
      <c r="C18" s="18" t="s">
        <v>111</v>
      </c>
      <c r="D18">
        <v>5</v>
      </c>
      <c r="E18" s="5" t="s">
        <v>822</v>
      </c>
      <c r="F18">
        <v>2723.2</v>
      </c>
      <c r="H18" s="11">
        <v>42947</v>
      </c>
      <c r="I18" s="332">
        <v>0.28999999999999998</v>
      </c>
      <c r="J18" t="s">
        <v>821</v>
      </c>
      <c r="N18">
        <f t="shared" si="0"/>
        <v>323.5</v>
      </c>
      <c r="O18">
        <f t="shared" si="2"/>
        <v>323.10000000000002</v>
      </c>
      <c r="P18" s="3">
        <f t="shared" si="3"/>
        <v>3.2309999999999999</v>
      </c>
      <c r="Q18" s="3">
        <f t="shared" si="4"/>
        <v>4.0387500000000003</v>
      </c>
      <c r="R18" s="3">
        <f t="shared" si="5"/>
        <v>113.44848750000001</v>
      </c>
      <c r="S18" s="3">
        <f t="shared" si="6"/>
        <v>242.68848750000004</v>
      </c>
      <c r="T18" s="289">
        <f t="shared" si="7"/>
        <v>4.16599910032315</v>
      </c>
      <c r="U18" s="289">
        <f t="shared" si="8"/>
        <v>8.9118862918625172</v>
      </c>
      <c r="V18" s="3">
        <f>AVERAGE(T18:T19)</f>
        <v>4.1786102977837167</v>
      </c>
      <c r="W18" s="3">
        <f>AVERAGE(U18:U19)</f>
        <v>8.9388641080036884</v>
      </c>
      <c r="X18" s="15">
        <v>10590</v>
      </c>
      <c r="Y18">
        <v>2016</v>
      </c>
      <c r="Z18" s="15" t="s">
        <v>981</v>
      </c>
      <c r="AA18" s="15">
        <v>5</v>
      </c>
      <c r="AB18" s="15" t="s">
        <v>982</v>
      </c>
      <c r="AC18" s="15">
        <v>45</v>
      </c>
      <c r="AD18" s="15" t="s">
        <v>973</v>
      </c>
      <c r="AE18" s="15">
        <v>28490.546399999999</v>
      </c>
      <c r="AF18" s="15">
        <v>64.7</v>
      </c>
      <c r="AG18" s="15" t="s">
        <v>974</v>
      </c>
      <c r="AH18" s="15">
        <f>(AF18*5)</f>
        <v>323.5</v>
      </c>
    </row>
    <row r="19" spans="1:36" x14ac:dyDescent="0.25">
      <c r="A19">
        <v>6</v>
      </c>
      <c r="B19">
        <v>2016</v>
      </c>
      <c r="C19" s="18" t="s">
        <v>111</v>
      </c>
      <c r="D19">
        <v>5</v>
      </c>
      <c r="E19" s="5" t="s">
        <v>823</v>
      </c>
      <c r="F19">
        <v>3385.4</v>
      </c>
      <c r="H19" s="11">
        <v>42947</v>
      </c>
      <c r="I19" s="332">
        <v>0.28999999999999998</v>
      </c>
      <c r="J19" t="s">
        <v>821</v>
      </c>
      <c r="N19">
        <f t="shared" si="0"/>
        <v>404.5</v>
      </c>
      <c r="O19">
        <f t="shared" si="2"/>
        <v>404.1</v>
      </c>
      <c r="P19" s="3">
        <f t="shared" si="3"/>
        <v>4.0410000000000004</v>
      </c>
      <c r="Q19" s="3">
        <f t="shared" si="4"/>
        <v>5.0512500000000005</v>
      </c>
      <c r="R19" s="3">
        <f t="shared" si="5"/>
        <v>141.8896125</v>
      </c>
      <c r="S19" s="3">
        <f t="shared" si="6"/>
        <v>303.52961250000004</v>
      </c>
      <c r="T19" s="289">
        <f t="shared" si="7"/>
        <v>4.1912214952442843</v>
      </c>
      <c r="U19" s="289">
        <f t="shared" si="8"/>
        <v>8.9658419241448595</v>
      </c>
      <c r="X19" s="15">
        <v>10591</v>
      </c>
      <c r="Y19">
        <v>2016</v>
      </c>
      <c r="Z19" s="15" t="s">
        <v>983</v>
      </c>
      <c r="AA19" s="15">
        <v>6</v>
      </c>
      <c r="AB19" s="15" t="s">
        <v>984</v>
      </c>
      <c r="AC19" s="15">
        <v>46</v>
      </c>
      <c r="AD19" s="15" t="s">
        <v>973</v>
      </c>
      <c r="AE19" s="15">
        <v>34800.710599999999</v>
      </c>
      <c r="AF19" s="15">
        <v>80.900000000000006</v>
      </c>
      <c r="AG19" s="15" t="s">
        <v>974</v>
      </c>
      <c r="AH19" s="15">
        <f t="shared" si="1"/>
        <v>404.5</v>
      </c>
    </row>
    <row r="20" spans="1:36" x14ac:dyDescent="0.25">
      <c r="A20">
        <v>7</v>
      </c>
      <c r="B20">
        <v>2016</v>
      </c>
      <c r="C20" s="18" t="s">
        <v>111</v>
      </c>
      <c r="D20">
        <v>6</v>
      </c>
      <c r="F20">
        <v>2685.9</v>
      </c>
      <c r="H20" s="11">
        <v>42947</v>
      </c>
      <c r="I20" s="332">
        <v>0.28999999999999998</v>
      </c>
      <c r="J20" t="s">
        <v>821</v>
      </c>
      <c r="N20">
        <f t="shared" si="0"/>
        <v>263.5</v>
      </c>
      <c r="O20">
        <f t="shared" si="2"/>
        <v>263.10000000000002</v>
      </c>
      <c r="P20" s="3">
        <f t="shared" si="3"/>
        <v>2.6310000000000002</v>
      </c>
      <c r="Q20" s="3">
        <f t="shared" si="4"/>
        <v>3.2887500000000003</v>
      </c>
      <c r="R20" s="3">
        <f t="shared" si="5"/>
        <v>92.380987500000003</v>
      </c>
      <c r="S20" s="3">
        <f t="shared" si="6"/>
        <v>197.62098750000004</v>
      </c>
      <c r="T20" s="3">
        <f t="shared" si="7"/>
        <v>3.4394797833128559</v>
      </c>
      <c r="U20" s="3">
        <f t="shared" si="8"/>
        <v>7.3577194795040786</v>
      </c>
      <c r="X20" s="15">
        <v>10592</v>
      </c>
      <c r="Y20">
        <v>2016</v>
      </c>
      <c r="Z20" s="15" t="s">
        <v>985</v>
      </c>
      <c r="AA20" s="15">
        <v>7</v>
      </c>
      <c r="AB20" s="15" t="s">
        <v>986</v>
      </c>
      <c r="AC20" s="15">
        <v>47</v>
      </c>
      <c r="AD20" s="15" t="s">
        <v>973</v>
      </c>
      <c r="AE20" s="15">
        <v>23814.638800000001</v>
      </c>
      <c r="AF20" s="15">
        <v>52.7</v>
      </c>
      <c r="AG20" s="15" t="s">
        <v>974</v>
      </c>
      <c r="AH20" s="15">
        <f t="shared" si="1"/>
        <v>263.5</v>
      </c>
    </row>
    <row r="21" spans="1:36" x14ac:dyDescent="0.25">
      <c r="A21">
        <v>8</v>
      </c>
      <c r="B21">
        <v>2016</v>
      </c>
      <c r="C21" s="18" t="s">
        <v>111</v>
      </c>
      <c r="D21">
        <v>7</v>
      </c>
      <c r="F21">
        <v>1273.5</v>
      </c>
      <c r="H21" s="11">
        <v>42954</v>
      </c>
      <c r="I21" s="332">
        <v>0.3</v>
      </c>
      <c r="J21" t="s">
        <v>830</v>
      </c>
      <c r="K21" t="s">
        <v>824</v>
      </c>
      <c r="N21">
        <f>AH30</f>
        <v>64</v>
      </c>
      <c r="O21">
        <f t="shared" si="2"/>
        <v>63.6</v>
      </c>
      <c r="P21" s="3">
        <f t="shared" si="3"/>
        <v>0.63600000000000001</v>
      </c>
      <c r="Q21" s="3">
        <f t="shared" si="4"/>
        <v>0.79500000000000004</v>
      </c>
      <c r="R21" s="3">
        <f t="shared" si="5"/>
        <v>22.33155</v>
      </c>
      <c r="S21" s="3">
        <f t="shared" si="6"/>
        <v>47.771550000000005</v>
      </c>
      <c r="T21" s="3">
        <f t="shared" si="7"/>
        <v>1.7535571260306242</v>
      </c>
      <c r="U21" s="3">
        <f t="shared" si="8"/>
        <v>3.751201413427562</v>
      </c>
      <c r="X21" s="15">
        <v>10593</v>
      </c>
      <c r="Z21" s="15" t="s">
        <v>799</v>
      </c>
      <c r="AA21" s="15">
        <v>8</v>
      </c>
      <c r="AB21" s="15" t="s">
        <v>987</v>
      </c>
      <c r="AC21" s="15">
        <v>39</v>
      </c>
      <c r="AD21" s="15" t="s">
        <v>973</v>
      </c>
      <c r="AE21" s="15">
        <v>33905.724699999999</v>
      </c>
      <c r="AF21" s="15">
        <v>78.599999999999994</v>
      </c>
      <c r="AG21" s="15" t="s">
        <v>974</v>
      </c>
      <c r="AH21" s="15">
        <f t="shared" si="1"/>
        <v>393</v>
      </c>
    </row>
    <row r="22" spans="1:36" x14ac:dyDescent="0.25">
      <c r="A22">
        <v>9</v>
      </c>
      <c r="B22">
        <v>2016</v>
      </c>
      <c r="C22" s="18" t="s">
        <v>111</v>
      </c>
      <c r="D22">
        <v>8</v>
      </c>
      <c r="F22">
        <v>2781.1</v>
      </c>
      <c r="H22" s="11">
        <v>42947</v>
      </c>
      <c r="I22" s="332">
        <v>0.28999999999999998</v>
      </c>
      <c r="J22" t="s">
        <v>821</v>
      </c>
      <c r="N22">
        <f t="shared" ref="N22:N29" si="9">AH22</f>
        <v>325.5</v>
      </c>
      <c r="O22">
        <f t="shared" si="2"/>
        <v>325.10000000000002</v>
      </c>
      <c r="P22" s="3">
        <f t="shared" si="3"/>
        <v>3.2509999999999999</v>
      </c>
      <c r="Q22" s="3">
        <f t="shared" si="4"/>
        <v>4.0637499999999998</v>
      </c>
      <c r="R22" s="3">
        <f t="shared" si="5"/>
        <v>114.15073749999999</v>
      </c>
      <c r="S22" s="3">
        <f t="shared" si="6"/>
        <v>244.19073750000001</v>
      </c>
      <c r="T22" s="3">
        <f t="shared" si="7"/>
        <v>4.1045175470137716</v>
      </c>
      <c r="U22" s="3">
        <f t="shared" si="8"/>
        <v>8.7803652331811151</v>
      </c>
      <c r="X22" s="15">
        <v>10594</v>
      </c>
      <c r="Y22">
        <v>2016</v>
      </c>
      <c r="Z22" s="15" t="s">
        <v>988</v>
      </c>
      <c r="AA22" s="15">
        <v>9</v>
      </c>
      <c r="AB22" s="15" t="s">
        <v>989</v>
      </c>
      <c r="AC22" s="15">
        <v>48</v>
      </c>
      <c r="AD22" s="15" t="s">
        <v>973</v>
      </c>
      <c r="AE22" s="15">
        <v>28617.515500000001</v>
      </c>
      <c r="AF22" s="15">
        <v>65.099999999999994</v>
      </c>
      <c r="AG22" s="15" t="s">
        <v>974</v>
      </c>
      <c r="AH22" s="15">
        <f t="shared" si="1"/>
        <v>325.5</v>
      </c>
    </row>
    <row r="23" spans="1:36" x14ac:dyDescent="0.25">
      <c r="A23">
        <v>10</v>
      </c>
      <c r="B23">
        <v>2016</v>
      </c>
      <c r="C23" s="18" t="s">
        <v>111</v>
      </c>
      <c r="D23">
        <v>9</v>
      </c>
      <c r="F23">
        <v>3515</v>
      </c>
      <c r="H23" s="11">
        <v>42947</v>
      </c>
      <c r="I23" s="332">
        <v>0.28999999999999998</v>
      </c>
      <c r="J23" t="s">
        <v>821</v>
      </c>
      <c r="N23">
        <f t="shared" si="9"/>
        <v>464.5</v>
      </c>
      <c r="O23">
        <f t="shared" si="2"/>
        <v>464.1</v>
      </c>
      <c r="P23" s="3">
        <f t="shared" si="3"/>
        <v>4.641</v>
      </c>
      <c r="Q23" s="3">
        <f t="shared" si="4"/>
        <v>5.8012499999999996</v>
      </c>
      <c r="R23" s="3">
        <f t="shared" si="5"/>
        <v>162.95711249999999</v>
      </c>
      <c r="S23" s="3">
        <f t="shared" si="6"/>
        <v>348.59711249999998</v>
      </c>
      <c r="T23" s="3">
        <f t="shared" si="7"/>
        <v>4.6360487197724041</v>
      </c>
      <c r="U23" s="3">
        <f t="shared" si="8"/>
        <v>9.9174142958748206</v>
      </c>
      <c r="X23" s="15">
        <v>10595</v>
      </c>
      <c r="Y23">
        <v>2016</v>
      </c>
      <c r="Z23" s="15" t="s">
        <v>990</v>
      </c>
      <c r="AA23" s="15">
        <v>10</v>
      </c>
      <c r="AB23" s="15" t="s">
        <v>991</v>
      </c>
      <c r="AC23" s="15">
        <v>49</v>
      </c>
      <c r="AD23" s="15" t="s">
        <v>973</v>
      </c>
      <c r="AE23" s="15">
        <v>39462.425499999998</v>
      </c>
      <c r="AF23" s="15">
        <v>92.9</v>
      </c>
      <c r="AG23" s="15" t="s">
        <v>974</v>
      </c>
      <c r="AH23" s="15">
        <f t="shared" si="1"/>
        <v>464.5</v>
      </c>
    </row>
    <row r="24" spans="1:36" x14ac:dyDescent="0.25">
      <c r="A24">
        <v>11</v>
      </c>
      <c r="B24">
        <v>2016</v>
      </c>
      <c r="C24" s="18" t="s">
        <v>111</v>
      </c>
      <c r="D24">
        <v>10</v>
      </c>
      <c r="F24">
        <v>3386.5</v>
      </c>
      <c r="H24" s="11">
        <v>42947</v>
      </c>
      <c r="I24" s="332">
        <v>0.28999999999999998</v>
      </c>
      <c r="J24" t="s">
        <v>821</v>
      </c>
      <c r="N24">
        <f t="shared" si="9"/>
        <v>409.5</v>
      </c>
      <c r="O24">
        <f t="shared" si="2"/>
        <v>409.1</v>
      </c>
      <c r="P24" s="3">
        <f t="shared" si="3"/>
        <v>4.0910000000000002</v>
      </c>
      <c r="Q24" s="3">
        <f t="shared" si="4"/>
        <v>5.1137500000000005</v>
      </c>
      <c r="R24" s="3">
        <f t="shared" si="5"/>
        <v>143.64523750000001</v>
      </c>
      <c r="S24" s="3">
        <f t="shared" si="6"/>
        <v>307.28523750000005</v>
      </c>
      <c r="T24" s="3">
        <f t="shared" si="7"/>
        <v>4.2417019784438219</v>
      </c>
      <c r="U24" s="3">
        <f t="shared" si="8"/>
        <v>9.0738295437767622</v>
      </c>
      <c r="X24" s="15">
        <v>10596</v>
      </c>
      <c r="Y24">
        <v>2016</v>
      </c>
      <c r="Z24" s="15" t="s">
        <v>992</v>
      </c>
      <c r="AA24" s="15">
        <v>11</v>
      </c>
      <c r="AB24" s="15" t="s">
        <v>993</v>
      </c>
      <c r="AC24" s="15">
        <v>50</v>
      </c>
      <c r="AD24" s="15" t="s">
        <v>973</v>
      </c>
      <c r="AE24" s="15">
        <v>35207.152300000002</v>
      </c>
      <c r="AF24" s="15">
        <v>81.900000000000006</v>
      </c>
      <c r="AG24" s="15" t="s">
        <v>974</v>
      </c>
      <c r="AH24" s="15">
        <f t="shared" si="1"/>
        <v>409.5</v>
      </c>
    </row>
    <row r="25" spans="1:36" x14ac:dyDescent="0.25">
      <c r="A25">
        <v>12</v>
      </c>
      <c r="B25">
        <v>2016</v>
      </c>
      <c r="C25" s="18" t="s">
        <v>111</v>
      </c>
      <c r="D25">
        <v>11</v>
      </c>
      <c r="F25">
        <v>3183.3</v>
      </c>
      <c r="H25" s="11">
        <v>42947</v>
      </c>
      <c r="I25" s="332">
        <v>0.28999999999999998</v>
      </c>
      <c r="J25" t="s">
        <v>821</v>
      </c>
      <c r="N25">
        <f t="shared" si="9"/>
        <v>381</v>
      </c>
      <c r="O25">
        <f t="shared" si="2"/>
        <v>380.6</v>
      </c>
      <c r="P25" s="3">
        <f t="shared" si="3"/>
        <v>3.8060000000000005</v>
      </c>
      <c r="Q25" s="3">
        <f t="shared" si="4"/>
        <v>4.7575000000000003</v>
      </c>
      <c r="R25" s="3">
        <f t="shared" si="5"/>
        <v>133.63817500000002</v>
      </c>
      <c r="S25" s="3">
        <f t="shared" si="6"/>
        <v>285.87817500000006</v>
      </c>
      <c r="T25" s="3">
        <f t="shared" si="7"/>
        <v>4.1981018125844249</v>
      </c>
      <c r="U25" s="3">
        <f t="shared" si="8"/>
        <v>8.9805602676467817</v>
      </c>
      <c r="X25" s="15">
        <v>10597</v>
      </c>
      <c r="Y25" s="219">
        <v>2016</v>
      </c>
      <c r="Z25" s="15" t="s">
        <v>994</v>
      </c>
      <c r="AA25" s="15">
        <v>12</v>
      </c>
      <c r="AB25" s="15" t="s">
        <v>995</v>
      </c>
      <c r="AC25" s="15">
        <v>51</v>
      </c>
      <c r="AD25" s="15" t="s">
        <v>973</v>
      </c>
      <c r="AE25" s="15">
        <v>32972.768900000003</v>
      </c>
      <c r="AF25" s="15">
        <v>76.2</v>
      </c>
      <c r="AG25" s="15" t="s">
        <v>974</v>
      </c>
      <c r="AH25" s="15">
        <f t="shared" si="1"/>
        <v>381</v>
      </c>
    </row>
    <row r="26" spans="1:36" x14ac:dyDescent="0.25">
      <c r="A26">
        <v>13</v>
      </c>
      <c r="B26">
        <v>2016</v>
      </c>
      <c r="C26" s="18" t="s">
        <v>111</v>
      </c>
      <c r="D26">
        <v>12</v>
      </c>
      <c r="F26">
        <v>2191.6</v>
      </c>
      <c r="H26" s="11">
        <v>42954</v>
      </c>
      <c r="I26" s="332">
        <v>0.3</v>
      </c>
      <c r="J26" t="s">
        <v>830</v>
      </c>
      <c r="K26" t="s">
        <v>824</v>
      </c>
      <c r="N26">
        <f t="shared" si="9"/>
        <v>263</v>
      </c>
      <c r="O26">
        <f t="shared" si="2"/>
        <v>262.60000000000002</v>
      </c>
      <c r="P26" s="3">
        <f t="shared" si="3"/>
        <v>2.6259999999999999</v>
      </c>
      <c r="Q26" s="3">
        <f t="shared" si="4"/>
        <v>3.2824999999999998</v>
      </c>
      <c r="R26" s="3">
        <f t="shared" si="5"/>
        <v>92.205424999999991</v>
      </c>
      <c r="S26" s="3">
        <f t="shared" si="6"/>
        <v>197.24542499999998</v>
      </c>
      <c r="T26" s="3">
        <f t="shared" si="7"/>
        <v>4.2072196112429276</v>
      </c>
      <c r="U26" s="3">
        <f t="shared" si="8"/>
        <v>9.000065020989231</v>
      </c>
      <c r="X26" s="15">
        <v>10598</v>
      </c>
      <c r="Y26" s="219">
        <v>2016</v>
      </c>
      <c r="Z26" s="15" t="s">
        <v>996</v>
      </c>
      <c r="AA26" s="15">
        <v>13</v>
      </c>
      <c r="AB26" s="15" t="s">
        <v>997</v>
      </c>
      <c r="AC26" s="15">
        <v>52</v>
      </c>
      <c r="AD26" s="15" t="s">
        <v>973</v>
      </c>
      <c r="AE26" s="15">
        <v>23757.6414</v>
      </c>
      <c r="AF26" s="15">
        <v>52.6</v>
      </c>
      <c r="AG26" s="15" t="s">
        <v>974</v>
      </c>
      <c r="AH26" s="15">
        <f t="shared" si="1"/>
        <v>263</v>
      </c>
    </row>
    <row r="27" spans="1:36" x14ac:dyDescent="0.25">
      <c r="A27">
        <v>14</v>
      </c>
      <c r="B27">
        <v>2016</v>
      </c>
      <c r="C27" s="18" t="s">
        <v>111</v>
      </c>
      <c r="D27">
        <v>13</v>
      </c>
      <c r="F27">
        <v>768.2</v>
      </c>
      <c r="H27" s="11">
        <v>42954</v>
      </c>
      <c r="I27" s="332">
        <v>0.3</v>
      </c>
      <c r="J27" t="s">
        <v>830</v>
      </c>
      <c r="K27" t="s">
        <v>824</v>
      </c>
      <c r="N27">
        <f t="shared" si="9"/>
        <v>85.5</v>
      </c>
      <c r="O27">
        <f t="shared" si="2"/>
        <v>85.1</v>
      </c>
      <c r="P27" s="3">
        <f t="shared" si="3"/>
        <v>0.85099999999999998</v>
      </c>
      <c r="Q27" s="3">
        <f t="shared" si="4"/>
        <v>1.06375</v>
      </c>
      <c r="R27" s="3">
        <f t="shared" si="5"/>
        <v>29.880737499999999</v>
      </c>
      <c r="S27" s="3">
        <f t="shared" si="6"/>
        <v>63.920737500000001</v>
      </c>
      <c r="T27" s="3">
        <f t="shared" si="7"/>
        <v>3.889708083832335</v>
      </c>
      <c r="U27" s="3">
        <f t="shared" si="8"/>
        <v>8.3208458083832326</v>
      </c>
      <c r="X27" s="15">
        <v>10599</v>
      </c>
      <c r="Y27" s="219">
        <v>2016</v>
      </c>
      <c r="Z27" s="15" t="s">
        <v>998</v>
      </c>
      <c r="AA27" s="15">
        <v>14</v>
      </c>
      <c r="AB27" s="15" t="s">
        <v>999</v>
      </c>
      <c r="AC27" s="15">
        <v>53</v>
      </c>
      <c r="AD27" s="15" t="s">
        <v>973</v>
      </c>
      <c r="AE27" s="15">
        <v>9903.8050000000003</v>
      </c>
      <c r="AF27" s="15">
        <v>17.100000000000001</v>
      </c>
      <c r="AG27" s="15" t="s">
        <v>974</v>
      </c>
      <c r="AH27" s="15">
        <f t="shared" si="1"/>
        <v>85.5</v>
      </c>
    </row>
    <row r="28" spans="1:36" x14ac:dyDescent="0.25">
      <c r="A28">
        <v>15</v>
      </c>
      <c r="B28">
        <v>2016</v>
      </c>
      <c r="C28" s="18" t="s">
        <v>111</v>
      </c>
      <c r="D28">
        <v>14</v>
      </c>
      <c r="F28">
        <v>2715</v>
      </c>
      <c r="H28" s="11">
        <v>42954</v>
      </c>
      <c r="I28" s="332">
        <v>0.3</v>
      </c>
      <c r="J28" t="s">
        <v>830</v>
      </c>
      <c r="K28" t="s">
        <v>824</v>
      </c>
      <c r="N28">
        <f t="shared" si="9"/>
        <v>197.5</v>
      </c>
      <c r="O28">
        <f t="shared" si="2"/>
        <v>197.1</v>
      </c>
      <c r="P28" s="3">
        <f t="shared" si="3"/>
        <v>1.9710000000000001</v>
      </c>
      <c r="Q28" s="3">
        <f t="shared" si="4"/>
        <v>2.4637500000000001</v>
      </c>
      <c r="R28" s="3">
        <f t="shared" si="5"/>
        <v>69.206737500000003</v>
      </c>
      <c r="S28" s="3">
        <f t="shared" si="6"/>
        <v>148.04673750000001</v>
      </c>
      <c r="T28" s="3">
        <f t="shared" si="7"/>
        <v>2.5490511049723756</v>
      </c>
      <c r="U28" s="3">
        <f t="shared" si="8"/>
        <v>5.4529185082872935</v>
      </c>
      <c r="X28" s="15">
        <v>10600</v>
      </c>
      <c r="Y28" s="219">
        <v>2016</v>
      </c>
      <c r="Z28" s="15" t="s">
        <v>1000</v>
      </c>
      <c r="AA28" s="15">
        <v>15</v>
      </c>
      <c r="AB28" s="15" t="s">
        <v>1001</v>
      </c>
      <c r="AC28" s="15">
        <v>54</v>
      </c>
      <c r="AD28" s="15" t="s">
        <v>973</v>
      </c>
      <c r="AE28" s="15">
        <v>18611.503700000001</v>
      </c>
      <c r="AF28" s="15">
        <v>39.5</v>
      </c>
      <c r="AG28" s="15" t="s">
        <v>974</v>
      </c>
      <c r="AH28" s="15">
        <f t="shared" si="1"/>
        <v>197.5</v>
      </c>
    </row>
    <row r="29" spans="1:36" x14ac:dyDescent="0.25">
      <c r="A29">
        <v>16</v>
      </c>
      <c r="B29">
        <v>2016</v>
      </c>
      <c r="C29" s="18" t="s">
        <v>111</v>
      </c>
      <c r="D29">
        <v>15</v>
      </c>
      <c r="F29" s="219">
        <v>1504.2</v>
      </c>
      <c r="H29" s="11">
        <v>42954</v>
      </c>
      <c r="I29" s="332">
        <v>0.3</v>
      </c>
      <c r="J29" t="s">
        <v>830</v>
      </c>
      <c r="K29" t="s">
        <v>824</v>
      </c>
      <c r="N29">
        <f t="shared" si="9"/>
        <v>149</v>
      </c>
      <c r="O29">
        <f t="shared" si="2"/>
        <v>148.6</v>
      </c>
      <c r="P29" s="3">
        <f t="shared" si="3"/>
        <v>1.4859999999999998</v>
      </c>
      <c r="Q29" s="3">
        <f t="shared" si="4"/>
        <v>1.8574999999999997</v>
      </c>
      <c r="R29" s="3">
        <f t="shared" si="5"/>
        <v>52.177174999999991</v>
      </c>
      <c r="S29" s="3">
        <f t="shared" si="6"/>
        <v>111.61717499999999</v>
      </c>
      <c r="T29" s="3">
        <f t="shared" si="7"/>
        <v>3.4687657891237857</v>
      </c>
      <c r="U29" s="3">
        <f t="shared" si="8"/>
        <v>7.4203679696848805</v>
      </c>
      <c r="X29" s="15">
        <v>10601</v>
      </c>
      <c r="Y29" s="219">
        <v>2016</v>
      </c>
      <c r="Z29" s="15" t="s">
        <v>1002</v>
      </c>
      <c r="AA29" s="15">
        <v>16</v>
      </c>
      <c r="AB29" s="15" t="s">
        <v>1003</v>
      </c>
      <c r="AC29" s="15">
        <v>55</v>
      </c>
      <c r="AD29" s="15" t="s">
        <v>973</v>
      </c>
      <c r="AE29" s="15">
        <v>14830.173699999999</v>
      </c>
      <c r="AF29" s="15">
        <v>29.8</v>
      </c>
      <c r="AG29" s="15" t="s">
        <v>974</v>
      </c>
      <c r="AH29" s="15">
        <f t="shared" si="1"/>
        <v>149</v>
      </c>
    </row>
    <row r="30" spans="1:36" x14ac:dyDescent="0.25">
      <c r="A30">
        <v>17</v>
      </c>
      <c r="B30">
        <v>2016</v>
      </c>
      <c r="C30" s="18" t="s">
        <v>111</v>
      </c>
      <c r="D30">
        <v>16</v>
      </c>
      <c r="F30" s="17" t="s">
        <v>720</v>
      </c>
      <c r="H30" s="11">
        <v>42947</v>
      </c>
      <c r="I30" s="332">
        <v>0.28999999999999998</v>
      </c>
      <c r="J30" t="s">
        <v>821</v>
      </c>
      <c r="N30" t="s">
        <v>900</v>
      </c>
      <c r="O30" t="s">
        <v>900</v>
      </c>
      <c r="P30" t="s">
        <v>900</v>
      </c>
      <c r="Q30" s="3"/>
      <c r="R30" s="18" t="s">
        <v>900</v>
      </c>
      <c r="S30" s="18" t="s">
        <v>900</v>
      </c>
      <c r="T30" s="18" t="s">
        <v>900</v>
      </c>
      <c r="U30" s="18" t="s">
        <v>900</v>
      </c>
      <c r="X30" s="15">
        <v>10602</v>
      </c>
      <c r="Y30" s="219">
        <v>2016</v>
      </c>
      <c r="Z30" s="15" t="s">
        <v>1004</v>
      </c>
      <c r="AA30" s="15">
        <v>17</v>
      </c>
      <c r="AB30" s="15" t="s">
        <v>1005</v>
      </c>
      <c r="AC30" s="15">
        <v>56</v>
      </c>
      <c r="AD30" s="15" t="s">
        <v>973</v>
      </c>
      <c r="AE30" s="15">
        <v>8196.8562000000002</v>
      </c>
      <c r="AF30" s="15">
        <v>12.8</v>
      </c>
      <c r="AG30" s="15" t="s">
        <v>974</v>
      </c>
      <c r="AH30" s="15">
        <f t="shared" si="1"/>
        <v>64</v>
      </c>
    </row>
    <row r="31" spans="1:36" x14ac:dyDescent="0.25">
      <c r="A31">
        <v>18</v>
      </c>
      <c r="B31">
        <v>2016</v>
      </c>
      <c r="C31" s="18" t="s">
        <v>111</v>
      </c>
      <c r="D31">
        <v>17</v>
      </c>
      <c r="F31" s="17" t="s">
        <v>720</v>
      </c>
      <c r="H31" s="11">
        <v>42947</v>
      </c>
      <c r="I31" s="332">
        <v>0.28999999999999998</v>
      </c>
      <c r="J31" t="s">
        <v>821</v>
      </c>
      <c r="N31" t="s">
        <v>900</v>
      </c>
      <c r="O31" t="s">
        <v>900</v>
      </c>
      <c r="P31" t="s">
        <v>900</v>
      </c>
      <c r="Q31" s="3"/>
      <c r="R31" s="18" t="s">
        <v>900</v>
      </c>
      <c r="S31" s="18" t="s">
        <v>900</v>
      </c>
      <c r="T31" s="18" t="s">
        <v>900</v>
      </c>
      <c r="U31" s="18" t="s">
        <v>900</v>
      </c>
      <c r="X31" s="15">
        <v>10603</v>
      </c>
      <c r="Z31" s="15" t="s">
        <v>1006</v>
      </c>
      <c r="AA31" s="15">
        <v>18</v>
      </c>
      <c r="AB31" s="15">
        <v>10603</v>
      </c>
      <c r="AC31" s="15">
        <v>38</v>
      </c>
      <c r="AD31" s="15" t="s">
        <v>973</v>
      </c>
      <c r="AE31" s="15">
        <v>3344.7094999999999</v>
      </c>
      <c r="AF31" s="15">
        <v>0.3</v>
      </c>
      <c r="AG31" s="15" t="s">
        <v>974</v>
      </c>
      <c r="AH31" s="15">
        <f>(AF31)</f>
        <v>0.3</v>
      </c>
    </row>
    <row r="32" spans="1:36" x14ac:dyDescent="0.25">
      <c r="A32">
        <v>19</v>
      </c>
      <c r="B32">
        <v>2016</v>
      </c>
      <c r="C32" s="18" t="s">
        <v>111</v>
      </c>
      <c r="D32">
        <v>18</v>
      </c>
      <c r="F32" s="17" t="s">
        <v>720</v>
      </c>
      <c r="H32" s="11">
        <v>42947</v>
      </c>
      <c r="I32" s="332">
        <v>0.28999999999999998</v>
      </c>
      <c r="J32" t="s">
        <v>821</v>
      </c>
      <c r="N32" t="s">
        <v>900</v>
      </c>
      <c r="O32" t="s">
        <v>900</v>
      </c>
      <c r="P32" t="s">
        <v>900</v>
      </c>
      <c r="Q32" s="3"/>
      <c r="R32" s="18" t="s">
        <v>900</v>
      </c>
      <c r="S32" s="18" t="s">
        <v>900</v>
      </c>
      <c r="T32" s="18" t="s">
        <v>900</v>
      </c>
      <c r="U32" s="18" t="s">
        <v>900</v>
      </c>
      <c r="X32" s="15"/>
      <c r="Z32" s="15"/>
      <c r="AA32" s="15"/>
      <c r="AB32" s="15" t="s">
        <v>1007</v>
      </c>
      <c r="AC32" s="15">
        <v>57</v>
      </c>
      <c r="AD32" s="15" t="s">
        <v>973</v>
      </c>
      <c r="AE32" s="15">
        <v>3261.1266999999998</v>
      </c>
      <c r="AF32" s="15">
        <v>0.1</v>
      </c>
      <c r="AG32" s="15" t="s">
        <v>974</v>
      </c>
      <c r="AH32" s="15">
        <f>(AF32*5)</f>
        <v>0.5</v>
      </c>
    </row>
    <row r="33" spans="1:37" x14ac:dyDescent="0.25">
      <c r="A33">
        <v>20</v>
      </c>
      <c r="B33">
        <v>2016</v>
      </c>
      <c r="C33" s="18" t="s">
        <v>111</v>
      </c>
      <c r="D33">
        <v>19</v>
      </c>
      <c r="F33" s="17" t="s">
        <v>720</v>
      </c>
      <c r="H33" s="11">
        <v>42947</v>
      </c>
      <c r="I33" s="332">
        <v>0.28999999999999998</v>
      </c>
      <c r="J33" t="s">
        <v>821</v>
      </c>
      <c r="N33" t="s">
        <v>900</v>
      </c>
      <c r="O33" t="s">
        <v>900</v>
      </c>
      <c r="P33" t="s">
        <v>900</v>
      </c>
      <c r="Q33" s="3"/>
      <c r="R33" s="18" t="s">
        <v>900</v>
      </c>
      <c r="S33" s="18" t="s">
        <v>900</v>
      </c>
      <c r="T33" s="18" t="s">
        <v>900</v>
      </c>
      <c r="U33" s="18" t="s">
        <v>900</v>
      </c>
      <c r="X33" s="15">
        <v>10604</v>
      </c>
      <c r="Y33">
        <v>2016</v>
      </c>
      <c r="Z33" s="15" t="s">
        <v>1008</v>
      </c>
      <c r="AA33" s="15">
        <v>23</v>
      </c>
      <c r="AB33" s="15">
        <v>10604</v>
      </c>
      <c r="AC33" s="15">
        <v>107</v>
      </c>
      <c r="AD33" s="15" t="s">
        <v>973</v>
      </c>
      <c r="AE33" s="15">
        <v>65549.744999999995</v>
      </c>
      <c r="AF33" s="15">
        <v>159.9</v>
      </c>
      <c r="AG33" s="15" t="s">
        <v>1009</v>
      </c>
      <c r="AH33" s="15">
        <f>(AF33)</f>
        <v>159.9</v>
      </c>
    </row>
    <row r="34" spans="1:37" x14ac:dyDescent="0.25">
      <c r="A34">
        <v>21</v>
      </c>
      <c r="B34">
        <v>2016</v>
      </c>
      <c r="C34" s="18" t="s">
        <v>111</v>
      </c>
      <c r="D34">
        <v>20</v>
      </c>
      <c r="F34" s="17" t="s">
        <v>720</v>
      </c>
      <c r="H34" s="11">
        <v>42947</v>
      </c>
      <c r="I34" s="332">
        <v>0.28999999999999998</v>
      </c>
      <c r="J34" t="s">
        <v>821</v>
      </c>
      <c r="N34" t="s">
        <v>900</v>
      </c>
      <c r="O34" t="s">
        <v>900</v>
      </c>
      <c r="P34" t="s">
        <v>900</v>
      </c>
      <c r="Q34" s="3"/>
      <c r="R34" s="18" t="s">
        <v>900</v>
      </c>
      <c r="S34" s="18" t="s">
        <v>900</v>
      </c>
      <c r="T34" s="18" t="s">
        <v>900</v>
      </c>
      <c r="U34" s="18" t="s">
        <v>900</v>
      </c>
      <c r="X34" s="15"/>
      <c r="Y34" s="15"/>
      <c r="Z34" s="15"/>
      <c r="AA34" s="15"/>
      <c r="AB34" s="15" t="s">
        <v>1010</v>
      </c>
      <c r="AC34" s="15">
        <v>58</v>
      </c>
      <c r="AD34" s="15" t="s">
        <v>973</v>
      </c>
      <c r="AE34" s="15">
        <v>38300.616300000002</v>
      </c>
      <c r="AF34" s="15">
        <v>90</v>
      </c>
      <c r="AG34" s="15" t="s">
        <v>974</v>
      </c>
      <c r="AH34" s="15">
        <f t="shared" ref="AH34:AH51" si="10">(AF34*5)</f>
        <v>450</v>
      </c>
    </row>
    <row r="35" spans="1:37" ht="13" x14ac:dyDescent="0.3">
      <c r="A35">
        <v>22</v>
      </c>
      <c r="B35">
        <v>2016</v>
      </c>
      <c r="C35" s="18" t="s">
        <v>111</v>
      </c>
      <c r="D35">
        <v>21</v>
      </c>
      <c r="F35" s="17" t="s">
        <v>720</v>
      </c>
      <c r="H35" s="11">
        <v>42947</v>
      </c>
      <c r="I35" s="332">
        <v>0.28999999999999998</v>
      </c>
      <c r="J35" t="s">
        <v>821</v>
      </c>
      <c r="N35" t="s">
        <v>900</v>
      </c>
      <c r="O35" t="s">
        <v>900</v>
      </c>
      <c r="P35" t="s">
        <v>900</v>
      </c>
      <c r="Q35" s="3"/>
      <c r="R35" s="18" t="s">
        <v>900</v>
      </c>
      <c r="S35" s="18" t="s">
        <v>900</v>
      </c>
      <c r="T35" s="18" t="s">
        <v>900</v>
      </c>
      <c r="U35" s="18" t="s">
        <v>900</v>
      </c>
      <c r="X35" s="15">
        <v>10605</v>
      </c>
      <c r="Y35">
        <v>2016</v>
      </c>
      <c r="Z35" s="15" t="s">
        <v>1011</v>
      </c>
      <c r="AA35" s="15">
        <v>24</v>
      </c>
      <c r="AB35" s="15" t="s">
        <v>1012</v>
      </c>
      <c r="AC35" s="15">
        <v>63</v>
      </c>
      <c r="AD35" s="15" t="s">
        <v>973</v>
      </c>
      <c r="AE35" s="15">
        <v>30896.722399999999</v>
      </c>
      <c r="AF35" s="15">
        <v>71</v>
      </c>
      <c r="AG35" s="15" t="s">
        <v>974</v>
      </c>
      <c r="AH35" s="15">
        <f t="shared" si="10"/>
        <v>355</v>
      </c>
      <c r="AI35" s="10" t="s">
        <v>3088</v>
      </c>
      <c r="AJ35" s="10"/>
      <c r="AK35" s="10" t="s">
        <v>3089</v>
      </c>
    </row>
    <row r="36" spans="1:37" x14ac:dyDescent="0.25">
      <c r="A36">
        <v>23</v>
      </c>
      <c r="B36">
        <v>2016</v>
      </c>
      <c r="C36" s="18" t="s">
        <v>109</v>
      </c>
      <c r="D36">
        <v>1</v>
      </c>
      <c r="F36">
        <v>3456.6</v>
      </c>
      <c r="H36" s="11">
        <v>42947</v>
      </c>
      <c r="I36" s="332">
        <v>0.28999999999999998</v>
      </c>
      <c r="J36" t="s">
        <v>821</v>
      </c>
      <c r="N36">
        <f>AH33</f>
        <v>159.9</v>
      </c>
      <c r="O36">
        <f t="shared" si="2"/>
        <v>159.5</v>
      </c>
      <c r="P36" s="3">
        <f t="shared" ref="P36:P55" si="11">(O36/1000)*10</f>
        <v>1.595</v>
      </c>
      <c r="Q36" s="3">
        <f t="shared" si="4"/>
        <v>1.9937499999999999</v>
      </c>
      <c r="R36" s="3">
        <f t="shared" ref="R36:R55" si="12">Q36*28.09</f>
        <v>56.004437499999995</v>
      </c>
      <c r="S36" s="3">
        <f t="shared" ref="S36:S55" si="13">Q36*(28.09+2*16)</f>
        <v>119.80443750000001</v>
      </c>
      <c r="T36" s="3">
        <f t="shared" si="7"/>
        <v>1.6202174824972513</v>
      </c>
      <c r="U36" s="3">
        <f t="shared" si="8"/>
        <v>3.4659618555806286</v>
      </c>
      <c r="X36" s="15">
        <v>10606</v>
      </c>
      <c r="Y36">
        <v>2016</v>
      </c>
      <c r="Z36" s="15" t="s">
        <v>1013</v>
      </c>
      <c r="AA36" s="15">
        <v>25</v>
      </c>
      <c r="AB36" s="15" t="s">
        <v>1014</v>
      </c>
      <c r="AC36" s="15">
        <v>64</v>
      </c>
      <c r="AD36" s="15" t="s">
        <v>973</v>
      </c>
      <c r="AE36" s="15">
        <v>28127.292099999999</v>
      </c>
      <c r="AF36" s="15">
        <v>63.8</v>
      </c>
      <c r="AG36" s="15" t="s">
        <v>974</v>
      </c>
      <c r="AH36" s="15">
        <f t="shared" si="10"/>
        <v>319</v>
      </c>
      <c r="AI36">
        <f>AVERAGE(AH34,AH35:AH52,AH54)</f>
        <v>552.5</v>
      </c>
    </row>
    <row r="37" spans="1:37" x14ac:dyDescent="0.25">
      <c r="A37">
        <v>24</v>
      </c>
      <c r="B37">
        <v>2016</v>
      </c>
      <c r="C37" s="18" t="s">
        <v>109</v>
      </c>
      <c r="D37">
        <v>2</v>
      </c>
      <c r="F37">
        <v>3085.3</v>
      </c>
      <c r="H37" s="11">
        <v>42947</v>
      </c>
      <c r="I37" s="332">
        <v>0.28999999999999998</v>
      </c>
      <c r="J37" t="s">
        <v>821</v>
      </c>
      <c r="N37">
        <f t="shared" ref="N37:N54" si="14">AH35</f>
        <v>355</v>
      </c>
      <c r="O37">
        <f t="shared" si="2"/>
        <v>354.6</v>
      </c>
      <c r="P37" s="3">
        <f t="shared" si="11"/>
        <v>3.5460000000000003</v>
      </c>
      <c r="Q37" s="3">
        <f t="shared" si="4"/>
        <v>4.4325000000000001</v>
      </c>
      <c r="R37" s="3">
        <f t="shared" si="12"/>
        <v>124.508925</v>
      </c>
      <c r="S37" s="3">
        <f t="shared" si="13"/>
        <v>266.34892500000001</v>
      </c>
      <c r="T37" s="3">
        <f t="shared" si="7"/>
        <v>4.0355532687258933</v>
      </c>
      <c r="U37" s="3">
        <f t="shared" si="8"/>
        <v>8.6328371633228524</v>
      </c>
      <c r="X37" s="15">
        <v>10607</v>
      </c>
      <c r="Y37">
        <v>2016</v>
      </c>
      <c r="Z37" s="15" t="s">
        <v>1015</v>
      </c>
      <c r="AA37" s="15">
        <v>26</v>
      </c>
      <c r="AB37" s="15" t="s">
        <v>1016</v>
      </c>
      <c r="AC37" s="15">
        <v>65</v>
      </c>
      <c r="AD37" s="15" t="s">
        <v>973</v>
      </c>
      <c r="AE37" s="15">
        <v>38934.2814</v>
      </c>
      <c r="AF37" s="15">
        <v>91.6</v>
      </c>
      <c r="AG37" s="15" t="s">
        <v>974</v>
      </c>
      <c r="AH37" s="15">
        <f t="shared" si="10"/>
        <v>458</v>
      </c>
      <c r="AI37" s="17" t="s">
        <v>3091</v>
      </c>
      <c r="AJ37">
        <f>MIN(AH34,AH35:AH52,AH54)</f>
        <v>319</v>
      </c>
    </row>
    <row r="38" spans="1:37" x14ac:dyDescent="0.25">
      <c r="A38">
        <v>25</v>
      </c>
      <c r="B38">
        <v>2016</v>
      </c>
      <c r="C38" s="18" t="s">
        <v>109</v>
      </c>
      <c r="D38">
        <v>3</v>
      </c>
      <c r="F38">
        <v>3525.5</v>
      </c>
      <c r="H38" s="11">
        <v>42947</v>
      </c>
      <c r="I38" s="332">
        <v>0.28999999999999998</v>
      </c>
      <c r="J38" t="s">
        <v>821</v>
      </c>
      <c r="N38">
        <f t="shared" si="14"/>
        <v>319</v>
      </c>
      <c r="O38">
        <f t="shared" si="2"/>
        <v>318.60000000000002</v>
      </c>
      <c r="P38" s="3">
        <f t="shared" si="11"/>
        <v>3.1860000000000004</v>
      </c>
      <c r="Q38" s="3">
        <f t="shared" si="4"/>
        <v>3.9825000000000004</v>
      </c>
      <c r="R38" s="3">
        <f t="shared" si="12"/>
        <v>111.86842500000002</v>
      </c>
      <c r="S38" s="3">
        <f t="shared" si="13"/>
        <v>239.30842500000003</v>
      </c>
      <c r="T38" s="3">
        <f t="shared" si="7"/>
        <v>3.173122252162814</v>
      </c>
      <c r="U38" s="3">
        <f t="shared" si="8"/>
        <v>6.7879286626010504</v>
      </c>
      <c r="X38" s="15">
        <v>10608</v>
      </c>
      <c r="Y38">
        <v>2016</v>
      </c>
      <c r="Z38" s="15" t="s">
        <v>1017</v>
      </c>
      <c r="AA38" s="15">
        <v>27</v>
      </c>
      <c r="AB38" s="15" t="s">
        <v>1018</v>
      </c>
      <c r="AC38" s="15">
        <v>66</v>
      </c>
      <c r="AD38" s="15" t="s">
        <v>973</v>
      </c>
      <c r="AE38" s="15">
        <v>43295.388800000001</v>
      </c>
      <c r="AF38" s="15">
        <v>102.7</v>
      </c>
      <c r="AG38" s="15" t="s">
        <v>974</v>
      </c>
      <c r="AH38" s="15">
        <f t="shared" si="10"/>
        <v>513.5</v>
      </c>
      <c r="AI38" s="17" t="s">
        <v>3092</v>
      </c>
      <c r="AJ38">
        <f>MAX(AH34,AH35:AH52,AH54)</f>
        <v>1111</v>
      </c>
    </row>
    <row r="39" spans="1:37" x14ac:dyDescent="0.25">
      <c r="A39">
        <v>26</v>
      </c>
      <c r="B39">
        <v>2016</v>
      </c>
      <c r="C39" s="18" t="s">
        <v>109</v>
      </c>
      <c r="D39">
        <v>4</v>
      </c>
      <c r="F39">
        <v>3404.8</v>
      </c>
      <c r="H39" s="11">
        <v>42947</v>
      </c>
      <c r="I39" s="332">
        <v>0.28999999999999998</v>
      </c>
      <c r="J39" t="s">
        <v>821</v>
      </c>
      <c r="N39">
        <f t="shared" si="14"/>
        <v>458</v>
      </c>
      <c r="O39">
        <f t="shared" si="2"/>
        <v>457.6</v>
      </c>
      <c r="P39" s="3">
        <f t="shared" si="11"/>
        <v>4.5760000000000005</v>
      </c>
      <c r="Q39" s="3">
        <f t="shared" si="4"/>
        <v>5.7200000000000006</v>
      </c>
      <c r="R39" s="3">
        <f t="shared" si="12"/>
        <v>160.6748</v>
      </c>
      <c r="S39" s="3">
        <f t="shared" si="13"/>
        <v>343.71480000000008</v>
      </c>
      <c r="T39" s="3">
        <f t="shared" si="7"/>
        <v>4.7190671992481201</v>
      </c>
      <c r="U39" s="3">
        <f t="shared" si="8"/>
        <v>10.095007048872183</v>
      </c>
      <c r="V39" t="s">
        <v>800</v>
      </c>
      <c r="W39" t="s">
        <v>800</v>
      </c>
      <c r="X39" s="15">
        <v>10609</v>
      </c>
      <c r="Y39">
        <v>2016</v>
      </c>
      <c r="Z39" s="15" t="s">
        <v>1019</v>
      </c>
      <c r="AA39" s="15">
        <v>28</v>
      </c>
      <c r="AB39" s="15" t="s">
        <v>1020</v>
      </c>
      <c r="AC39" s="15">
        <v>67</v>
      </c>
      <c r="AD39" s="15" t="s">
        <v>973</v>
      </c>
      <c r="AE39" s="15">
        <v>42152.835099999997</v>
      </c>
      <c r="AF39" s="15">
        <v>99.8</v>
      </c>
      <c r="AG39" s="15" t="s">
        <v>974</v>
      </c>
      <c r="AH39" s="15">
        <f t="shared" si="10"/>
        <v>499</v>
      </c>
    </row>
    <row r="40" spans="1:37" x14ac:dyDescent="0.25">
      <c r="A40">
        <v>27</v>
      </c>
      <c r="B40">
        <v>2016</v>
      </c>
      <c r="C40" s="18" t="s">
        <v>109</v>
      </c>
      <c r="D40">
        <v>5</v>
      </c>
      <c r="E40" s="5" t="s">
        <v>822</v>
      </c>
      <c r="F40">
        <v>3232.1</v>
      </c>
      <c r="H40" s="11">
        <v>42947</v>
      </c>
      <c r="I40" s="332">
        <v>0.28999999999999998</v>
      </c>
      <c r="J40" t="s">
        <v>821</v>
      </c>
      <c r="N40">
        <f t="shared" si="14"/>
        <v>513.5</v>
      </c>
      <c r="O40">
        <f t="shared" si="2"/>
        <v>513.1</v>
      </c>
      <c r="P40" s="3">
        <f t="shared" si="11"/>
        <v>5.1310000000000002</v>
      </c>
      <c r="Q40" s="3">
        <f t="shared" si="4"/>
        <v>6.4137500000000003</v>
      </c>
      <c r="R40" s="3">
        <f t="shared" si="12"/>
        <v>180.1622375</v>
      </c>
      <c r="S40" s="3">
        <f t="shared" si="13"/>
        <v>385.40223750000001</v>
      </c>
      <c r="T40" s="289">
        <f t="shared" si="7"/>
        <v>5.5741541876798371</v>
      </c>
      <c r="U40" s="289">
        <f t="shared" si="8"/>
        <v>11.924205238080505</v>
      </c>
      <c r="V40" s="3">
        <f>AVERAGE(T40:T41)</f>
        <v>5.5425373840690799</v>
      </c>
      <c r="W40" s="3">
        <f>AVERAGE(U40:U41)</f>
        <v>11.85657071586725</v>
      </c>
      <c r="X40" s="15">
        <v>10610</v>
      </c>
      <c r="Y40">
        <v>2016</v>
      </c>
      <c r="Z40" s="15" t="s">
        <v>1021</v>
      </c>
      <c r="AA40" s="15">
        <v>29</v>
      </c>
      <c r="AB40" s="15" t="s">
        <v>1022</v>
      </c>
      <c r="AC40" s="15">
        <v>68</v>
      </c>
      <c r="AD40" s="15" t="s">
        <v>973</v>
      </c>
      <c r="AE40" s="15">
        <v>43632.335099999997</v>
      </c>
      <c r="AF40" s="15">
        <v>103.6</v>
      </c>
      <c r="AG40" s="15" t="s">
        <v>974</v>
      </c>
      <c r="AH40" s="15">
        <f t="shared" si="10"/>
        <v>518</v>
      </c>
    </row>
    <row r="41" spans="1:37" x14ac:dyDescent="0.25">
      <c r="A41">
        <v>28</v>
      </c>
      <c r="B41">
        <v>2016</v>
      </c>
      <c r="C41" s="18" t="s">
        <v>109</v>
      </c>
      <c r="D41">
        <v>5</v>
      </c>
      <c r="E41" s="5" t="s">
        <v>823</v>
      </c>
      <c r="F41">
        <v>3176.8</v>
      </c>
      <c r="H41" s="11">
        <v>42947</v>
      </c>
      <c r="I41" s="332">
        <v>0.28999999999999998</v>
      </c>
      <c r="J41" t="s">
        <v>821</v>
      </c>
      <c r="N41">
        <f t="shared" si="14"/>
        <v>499</v>
      </c>
      <c r="O41">
        <f t="shared" si="2"/>
        <v>498.6</v>
      </c>
      <c r="P41" s="3">
        <f t="shared" si="11"/>
        <v>4.9860000000000007</v>
      </c>
      <c r="Q41" s="3">
        <f t="shared" si="4"/>
        <v>6.2325000000000008</v>
      </c>
      <c r="R41" s="3">
        <f t="shared" si="12"/>
        <v>175.07092500000002</v>
      </c>
      <c r="S41" s="3">
        <f t="shared" si="13"/>
        <v>374.51092500000004</v>
      </c>
      <c r="T41" s="289">
        <f t="shared" si="7"/>
        <v>5.5109205804583228</v>
      </c>
      <c r="U41" s="289">
        <f t="shared" si="8"/>
        <v>11.788936193653992</v>
      </c>
      <c r="X41" s="15">
        <v>10611</v>
      </c>
      <c r="Y41">
        <v>2016</v>
      </c>
      <c r="Z41" s="15" t="s">
        <v>1023</v>
      </c>
      <c r="AA41" s="15">
        <v>30</v>
      </c>
      <c r="AB41" s="15" t="s">
        <v>1024</v>
      </c>
      <c r="AC41" s="15">
        <v>69</v>
      </c>
      <c r="AD41" s="15" t="s">
        <v>973</v>
      </c>
      <c r="AE41" s="15">
        <v>46792.915300000001</v>
      </c>
      <c r="AF41" s="15">
        <v>111.7</v>
      </c>
      <c r="AG41" s="15" t="s">
        <v>974</v>
      </c>
      <c r="AH41" s="15">
        <f t="shared" si="10"/>
        <v>558.5</v>
      </c>
    </row>
    <row r="42" spans="1:37" x14ac:dyDescent="0.25">
      <c r="A42">
        <v>29</v>
      </c>
      <c r="B42">
        <v>2016</v>
      </c>
      <c r="C42" s="18" t="s">
        <v>109</v>
      </c>
      <c r="D42">
        <v>6</v>
      </c>
      <c r="F42">
        <v>2691.6</v>
      </c>
      <c r="H42" s="11">
        <v>42947</v>
      </c>
      <c r="I42" s="332">
        <v>0.28999999999999998</v>
      </c>
      <c r="J42" t="s">
        <v>821</v>
      </c>
      <c r="N42">
        <f t="shared" si="14"/>
        <v>518</v>
      </c>
      <c r="O42">
        <f t="shared" si="2"/>
        <v>517.6</v>
      </c>
      <c r="P42" s="3">
        <f t="shared" si="11"/>
        <v>5.1760000000000002</v>
      </c>
      <c r="Q42" s="3">
        <f t="shared" si="4"/>
        <v>6.4700000000000006</v>
      </c>
      <c r="R42" s="3">
        <f t="shared" si="12"/>
        <v>181.74230000000003</v>
      </c>
      <c r="S42" s="3">
        <f t="shared" si="13"/>
        <v>388.78230000000008</v>
      </c>
      <c r="T42" s="3">
        <f t="shared" si="7"/>
        <v>6.7522031505424298</v>
      </c>
      <c r="U42" s="3">
        <f t="shared" si="8"/>
        <v>14.444282211324122</v>
      </c>
      <c r="X42" s="15">
        <v>10612</v>
      </c>
      <c r="Y42">
        <v>2016</v>
      </c>
      <c r="Z42" s="15" t="s">
        <v>1025</v>
      </c>
      <c r="AA42" s="15">
        <v>31</v>
      </c>
      <c r="AB42" s="15" t="s">
        <v>1026</v>
      </c>
      <c r="AC42" s="15">
        <v>70</v>
      </c>
      <c r="AD42" s="15" t="s">
        <v>973</v>
      </c>
      <c r="AE42" s="15">
        <v>34608.877399999998</v>
      </c>
      <c r="AF42" s="15">
        <v>80.400000000000006</v>
      </c>
      <c r="AG42" s="15" t="s">
        <v>974</v>
      </c>
      <c r="AH42" s="15">
        <f t="shared" si="10"/>
        <v>402</v>
      </c>
    </row>
    <row r="43" spans="1:37" x14ac:dyDescent="0.25">
      <c r="A43">
        <v>30</v>
      </c>
      <c r="B43">
        <v>2016</v>
      </c>
      <c r="C43" s="18" t="s">
        <v>109</v>
      </c>
      <c r="D43">
        <v>7</v>
      </c>
      <c r="F43">
        <v>3472.5</v>
      </c>
      <c r="H43" s="11">
        <v>42947</v>
      </c>
      <c r="I43" s="332">
        <v>0.28999999999999998</v>
      </c>
      <c r="J43" t="s">
        <v>821</v>
      </c>
      <c r="N43">
        <f t="shared" si="14"/>
        <v>558.5</v>
      </c>
      <c r="O43">
        <f t="shared" si="2"/>
        <v>558.1</v>
      </c>
      <c r="P43" s="3">
        <f t="shared" si="11"/>
        <v>5.5810000000000004</v>
      </c>
      <c r="Q43" s="3">
        <f t="shared" si="4"/>
        <v>6.9762500000000003</v>
      </c>
      <c r="R43" s="3">
        <f t="shared" si="12"/>
        <v>195.9628625</v>
      </c>
      <c r="S43" s="3">
        <f t="shared" si="13"/>
        <v>419.20286250000004</v>
      </c>
      <c r="T43" s="3">
        <f t="shared" si="7"/>
        <v>5.6432789776817858</v>
      </c>
      <c r="U43" s="3">
        <f t="shared" si="8"/>
        <v>12.072076673866091</v>
      </c>
      <c r="X43" s="15">
        <v>10613</v>
      </c>
      <c r="Y43">
        <v>2016</v>
      </c>
      <c r="Z43" s="15" t="s">
        <v>1027</v>
      </c>
      <c r="AA43" s="15">
        <v>32</v>
      </c>
      <c r="AB43" s="15" t="s">
        <v>1028</v>
      </c>
      <c r="AC43" s="15">
        <v>71</v>
      </c>
      <c r="AD43" s="15" t="s">
        <v>973</v>
      </c>
      <c r="AE43" s="15">
        <v>47656.217199999999</v>
      </c>
      <c r="AF43" s="15">
        <v>113.9</v>
      </c>
      <c r="AG43" s="15" t="s">
        <v>974</v>
      </c>
      <c r="AH43" s="15">
        <f t="shared" si="10"/>
        <v>569.5</v>
      </c>
    </row>
    <row r="44" spans="1:37" x14ac:dyDescent="0.25">
      <c r="A44">
        <v>31</v>
      </c>
      <c r="B44">
        <v>2016</v>
      </c>
      <c r="C44" s="18" t="s">
        <v>109</v>
      </c>
      <c r="D44">
        <v>8</v>
      </c>
      <c r="F44">
        <v>2640.1</v>
      </c>
      <c r="H44" s="11">
        <v>42947</v>
      </c>
      <c r="I44" s="332">
        <v>0.28999999999999998</v>
      </c>
      <c r="J44" t="s">
        <v>821</v>
      </c>
      <c r="N44">
        <f t="shared" si="14"/>
        <v>402</v>
      </c>
      <c r="O44">
        <f t="shared" si="2"/>
        <v>401.6</v>
      </c>
      <c r="P44" s="3">
        <f t="shared" si="11"/>
        <v>4.016</v>
      </c>
      <c r="Q44" s="3">
        <f t="shared" si="4"/>
        <v>5.0199999999999996</v>
      </c>
      <c r="R44" s="3">
        <f t="shared" si="12"/>
        <v>141.01179999999999</v>
      </c>
      <c r="S44" s="3">
        <f t="shared" si="13"/>
        <v>301.65179999999998</v>
      </c>
      <c r="T44" s="3">
        <f t="shared" si="7"/>
        <v>5.3411537441763572</v>
      </c>
      <c r="U44" s="3">
        <f t="shared" si="8"/>
        <v>11.425771751070036</v>
      </c>
      <c r="X44" s="15">
        <v>10614</v>
      </c>
      <c r="Y44">
        <v>2016</v>
      </c>
      <c r="Z44" s="15" t="s">
        <v>1029</v>
      </c>
      <c r="AA44" s="15">
        <v>33</v>
      </c>
      <c r="AB44" s="15" t="s">
        <v>1030</v>
      </c>
      <c r="AC44" s="15">
        <v>72</v>
      </c>
      <c r="AD44" s="15" t="s">
        <v>973</v>
      </c>
      <c r="AE44" s="15">
        <v>45155.4274</v>
      </c>
      <c r="AF44" s="15">
        <v>107.5</v>
      </c>
      <c r="AG44" s="15" t="s">
        <v>974</v>
      </c>
      <c r="AH44" s="15">
        <f t="shared" si="10"/>
        <v>537.5</v>
      </c>
    </row>
    <row r="45" spans="1:37" x14ac:dyDescent="0.25">
      <c r="A45">
        <v>32</v>
      </c>
      <c r="B45">
        <v>2016</v>
      </c>
      <c r="C45" s="18" t="s">
        <v>109</v>
      </c>
      <c r="D45">
        <v>9</v>
      </c>
      <c r="F45">
        <v>3612.7</v>
      </c>
      <c r="H45" s="11">
        <v>42947</v>
      </c>
      <c r="I45" s="332">
        <v>0.28999999999999998</v>
      </c>
      <c r="J45" t="s">
        <v>821</v>
      </c>
      <c r="N45">
        <f t="shared" si="14"/>
        <v>569.5</v>
      </c>
      <c r="O45">
        <f t="shared" si="2"/>
        <v>569.1</v>
      </c>
      <c r="P45" s="3">
        <f t="shared" si="11"/>
        <v>5.6910000000000007</v>
      </c>
      <c r="Q45" s="3">
        <f t="shared" si="4"/>
        <v>7.1137500000000014</v>
      </c>
      <c r="R45" s="3">
        <f t="shared" si="12"/>
        <v>199.82523750000004</v>
      </c>
      <c r="S45" s="3">
        <f t="shared" si="13"/>
        <v>427.46523750000011</v>
      </c>
      <c r="T45" s="3">
        <f t="shared" si="7"/>
        <v>5.5311882387134288</v>
      </c>
      <c r="U45" s="3">
        <f t="shared" si="8"/>
        <v>11.832292675838021</v>
      </c>
      <c r="X45" s="15">
        <v>10615</v>
      </c>
      <c r="Y45">
        <v>2016</v>
      </c>
      <c r="Z45" s="15" t="s">
        <v>1031</v>
      </c>
      <c r="AA45" s="15">
        <v>34</v>
      </c>
      <c r="AB45" s="15" t="s">
        <v>1032</v>
      </c>
      <c r="AC45" s="15">
        <v>73</v>
      </c>
      <c r="AD45" s="15" t="s">
        <v>973</v>
      </c>
      <c r="AE45" s="15">
        <v>40009.863299999997</v>
      </c>
      <c r="AF45" s="15">
        <v>94.3</v>
      </c>
      <c r="AG45" s="15" t="s">
        <v>974</v>
      </c>
      <c r="AH45" s="15">
        <f t="shared" si="10"/>
        <v>471.5</v>
      </c>
    </row>
    <row r="46" spans="1:37" x14ac:dyDescent="0.25">
      <c r="A46">
        <v>33</v>
      </c>
      <c r="B46">
        <v>2016</v>
      </c>
      <c r="C46" s="18" t="s">
        <v>109</v>
      </c>
      <c r="D46">
        <v>10</v>
      </c>
      <c r="F46">
        <v>3144.1</v>
      </c>
      <c r="H46" s="11">
        <v>42947</v>
      </c>
      <c r="I46" s="332">
        <v>0.28999999999999998</v>
      </c>
      <c r="J46" t="s">
        <v>821</v>
      </c>
      <c r="N46">
        <f t="shared" si="14"/>
        <v>537.5</v>
      </c>
      <c r="O46">
        <f t="shared" si="2"/>
        <v>537.1</v>
      </c>
      <c r="P46" s="3">
        <f t="shared" si="11"/>
        <v>5.3710000000000004</v>
      </c>
      <c r="Q46" s="3">
        <f t="shared" si="4"/>
        <v>6.713750000000001</v>
      </c>
      <c r="R46" s="3">
        <f t="shared" si="12"/>
        <v>188.58923750000002</v>
      </c>
      <c r="S46" s="3">
        <f t="shared" si="13"/>
        <v>403.42923750000006</v>
      </c>
      <c r="T46" s="3">
        <f t="shared" si="7"/>
        <v>5.9981946343945811</v>
      </c>
      <c r="U46" s="3">
        <f t="shared" si="8"/>
        <v>12.831310629432908</v>
      </c>
      <c r="X46" s="15">
        <v>10616</v>
      </c>
      <c r="Y46">
        <v>2016</v>
      </c>
      <c r="Z46" s="15" t="s">
        <v>1033</v>
      </c>
      <c r="AA46" s="15">
        <v>35</v>
      </c>
      <c r="AB46" s="15" t="s">
        <v>1034</v>
      </c>
      <c r="AC46" s="15">
        <v>74</v>
      </c>
      <c r="AD46" s="15" t="s">
        <v>973</v>
      </c>
      <c r="AE46" s="15">
        <v>38034.214399999997</v>
      </c>
      <c r="AF46" s="15">
        <v>89.2</v>
      </c>
      <c r="AG46" s="15" t="s">
        <v>974</v>
      </c>
      <c r="AH46" s="15">
        <f t="shared" si="10"/>
        <v>446</v>
      </c>
    </row>
    <row r="47" spans="1:37" x14ac:dyDescent="0.25">
      <c r="A47">
        <v>34</v>
      </c>
      <c r="B47">
        <v>2016</v>
      </c>
      <c r="C47" s="18" t="s">
        <v>109</v>
      </c>
      <c r="D47">
        <v>11</v>
      </c>
      <c r="F47">
        <v>3080.8</v>
      </c>
      <c r="H47" s="11">
        <v>42947</v>
      </c>
      <c r="I47" s="332">
        <v>0.28999999999999998</v>
      </c>
      <c r="J47" t="s">
        <v>821</v>
      </c>
      <c r="N47">
        <f t="shared" si="14"/>
        <v>471.5</v>
      </c>
      <c r="O47">
        <f t="shared" si="2"/>
        <v>471.1</v>
      </c>
      <c r="P47" s="3">
        <f t="shared" si="11"/>
        <v>4.7110000000000003</v>
      </c>
      <c r="Q47" s="3">
        <f t="shared" si="4"/>
        <v>5.8887499999999999</v>
      </c>
      <c r="R47" s="3">
        <f t="shared" si="12"/>
        <v>165.4149875</v>
      </c>
      <c r="S47" s="3">
        <f t="shared" si="13"/>
        <v>353.85498749999999</v>
      </c>
      <c r="T47" s="3">
        <f t="shared" si="7"/>
        <v>5.369221874188522</v>
      </c>
      <c r="U47" s="3">
        <f t="shared" si="8"/>
        <v>11.485814966891715</v>
      </c>
      <c r="X47" s="15">
        <v>10617</v>
      </c>
      <c r="Y47">
        <v>2016</v>
      </c>
      <c r="Z47" s="15" t="s">
        <v>1035</v>
      </c>
      <c r="AA47" s="15">
        <v>36</v>
      </c>
      <c r="AB47" s="15" t="s">
        <v>1036</v>
      </c>
      <c r="AC47" s="15">
        <v>75</v>
      </c>
      <c r="AD47" s="15" t="s">
        <v>973</v>
      </c>
      <c r="AE47" s="15">
        <v>35877.006399999998</v>
      </c>
      <c r="AF47" s="15">
        <v>83.7</v>
      </c>
      <c r="AG47" s="15" t="s">
        <v>974</v>
      </c>
      <c r="AH47" s="15">
        <f t="shared" si="10"/>
        <v>418.5</v>
      </c>
    </row>
    <row r="48" spans="1:37" x14ac:dyDescent="0.25">
      <c r="A48">
        <v>35</v>
      </c>
      <c r="B48">
        <v>2016</v>
      </c>
      <c r="C48" s="18" t="s">
        <v>109</v>
      </c>
      <c r="D48">
        <v>12</v>
      </c>
      <c r="F48">
        <v>3024.6</v>
      </c>
      <c r="H48" s="11">
        <v>42947</v>
      </c>
      <c r="I48" s="332">
        <v>0.28999999999999998</v>
      </c>
      <c r="J48" t="s">
        <v>821</v>
      </c>
      <c r="N48">
        <f t="shared" si="14"/>
        <v>446</v>
      </c>
      <c r="O48">
        <f t="shared" si="2"/>
        <v>445.6</v>
      </c>
      <c r="P48" s="3">
        <f t="shared" si="11"/>
        <v>4.4559999999999995</v>
      </c>
      <c r="Q48" s="3">
        <f t="shared" si="4"/>
        <v>5.5699999999999994</v>
      </c>
      <c r="R48" s="3">
        <f t="shared" si="12"/>
        <v>156.46129999999999</v>
      </c>
      <c r="S48" s="3">
        <f t="shared" si="13"/>
        <v>334.7013</v>
      </c>
      <c r="T48" s="3">
        <f t="shared" si="7"/>
        <v>5.1729584077233355</v>
      </c>
      <c r="U48" s="3">
        <f t="shared" si="8"/>
        <v>11.065969053759176</v>
      </c>
      <c r="X48" s="15">
        <v>10618</v>
      </c>
      <c r="Y48">
        <v>2016</v>
      </c>
      <c r="Z48" s="15" t="s">
        <v>1037</v>
      </c>
      <c r="AA48" s="15">
        <v>37</v>
      </c>
      <c r="AB48" s="15" t="s">
        <v>1038</v>
      </c>
      <c r="AC48" s="15">
        <v>76</v>
      </c>
      <c r="AD48" s="15" t="s">
        <v>973</v>
      </c>
      <c r="AE48" s="15">
        <v>41251.445899999999</v>
      </c>
      <c r="AF48" s="15">
        <v>97.5</v>
      </c>
      <c r="AG48" s="15" t="s">
        <v>974</v>
      </c>
      <c r="AH48" s="15">
        <f t="shared" si="10"/>
        <v>487.5</v>
      </c>
    </row>
    <row r="49" spans="1:37" x14ac:dyDescent="0.25">
      <c r="A49">
        <v>36</v>
      </c>
      <c r="B49">
        <v>2016</v>
      </c>
      <c r="C49" s="18" t="s">
        <v>109</v>
      </c>
      <c r="D49">
        <v>13</v>
      </c>
      <c r="F49">
        <v>2893.5</v>
      </c>
      <c r="H49" s="11">
        <v>42947</v>
      </c>
      <c r="I49" s="332">
        <v>0.28999999999999998</v>
      </c>
      <c r="J49" t="s">
        <v>821</v>
      </c>
      <c r="N49">
        <f t="shared" si="14"/>
        <v>418.5</v>
      </c>
      <c r="O49">
        <f t="shared" si="2"/>
        <v>418.1</v>
      </c>
      <c r="P49" s="3">
        <f t="shared" si="11"/>
        <v>4.181</v>
      </c>
      <c r="Q49" s="3">
        <f t="shared" si="4"/>
        <v>5.2262500000000003</v>
      </c>
      <c r="R49" s="3">
        <f t="shared" si="12"/>
        <v>146.8053625</v>
      </c>
      <c r="S49" s="3">
        <f t="shared" si="13"/>
        <v>314.04536250000001</v>
      </c>
      <c r="T49" s="3">
        <f t="shared" si="7"/>
        <v>5.0736257992051152</v>
      </c>
      <c r="U49" s="3">
        <f t="shared" si="8"/>
        <v>10.853477190254019</v>
      </c>
      <c r="X49" s="15">
        <v>10619</v>
      </c>
      <c r="Y49">
        <v>2016</v>
      </c>
      <c r="Z49" s="15" t="s">
        <v>1039</v>
      </c>
      <c r="AA49" s="15">
        <v>38</v>
      </c>
      <c r="AB49" s="15" t="s">
        <v>1040</v>
      </c>
      <c r="AC49" s="15">
        <v>77</v>
      </c>
      <c r="AD49" s="15" t="s">
        <v>973</v>
      </c>
      <c r="AE49" s="15">
        <v>58386.904499999997</v>
      </c>
      <c r="AF49" s="15">
        <v>141.4</v>
      </c>
      <c r="AG49" s="15" t="s">
        <v>974</v>
      </c>
      <c r="AH49" s="15">
        <f t="shared" si="10"/>
        <v>707</v>
      </c>
    </row>
    <row r="50" spans="1:37" x14ac:dyDescent="0.25">
      <c r="A50">
        <v>37</v>
      </c>
      <c r="B50">
        <v>2016</v>
      </c>
      <c r="C50" s="18" t="s">
        <v>109</v>
      </c>
      <c r="D50">
        <v>14</v>
      </c>
      <c r="F50">
        <v>3090.5</v>
      </c>
      <c r="H50" s="11">
        <v>42947</v>
      </c>
      <c r="I50" s="332">
        <v>0.28999999999999998</v>
      </c>
      <c r="J50" t="s">
        <v>821</v>
      </c>
      <c r="N50">
        <f t="shared" si="14"/>
        <v>487.5</v>
      </c>
      <c r="O50">
        <f t="shared" si="2"/>
        <v>487.1</v>
      </c>
      <c r="P50" s="3">
        <f t="shared" si="11"/>
        <v>4.8710000000000004</v>
      </c>
      <c r="Q50" s="3">
        <f t="shared" si="4"/>
        <v>6.088750000000001</v>
      </c>
      <c r="R50" s="3">
        <f t="shared" si="12"/>
        <v>171.03298750000002</v>
      </c>
      <c r="S50" s="3">
        <f t="shared" si="13"/>
        <v>365.87298750000008</v>
      </c>
      <c r="T50" s="3">
        <f t="shared" si="7"/>
        <v>5.5341526452030418</v>
      </c>
      <c r="U50" s="3">
        <f t="shared" si="8"/>
        <v>11.838634120692447</v>
      </c>
      <c r="X50" s="15">
        <v>10620</v>
      </c>
      <c r="Y50">
        <v>2016</v>
      </c>
      <c r="Z50" s="15" t="s">
        <v>1041</v>
      </c>
      <c r="AA50" s="15">
        <v>39</v>
      </c>
      <c r="AB50" s="15" t="s">
        <v>1042</v>
      </c>
      <c r="AC50" s="15">
        <v>78</v>
      </c>
      <c r="AD50" s="15" t="s">
        <v>973</v>
      </c>
      <c r="AE50" s="15">
        <v>56424.827899999997</v>
      </c>
      <c r="AF50" s="15">
        <v>136.4</v>
      </c>
      <c r="AG50" s="15" t="s">
        <v>974</v>
      </c>
      <c r="AH50" s="15">
        <f t="shared" si="10"/>
        <v>682</v>
      </c>
    </row>
    <row r="51" spans="1:37" x14ac:dyDescent="0.25">
      <c r="A51">
        <v>38</v>
      </c>
      <c r="B51">
        <v>2016</v>
      </c>
      <c r="C51" s="18" t="s">
        <v>109</v>
      </c>
      <c r="D51">
        <v>15</v>
      </c>
      <c r="F51">
        <v>3497.5</v>
      </c>
      <c r="H51" s="11">
        <v>42947</v>
      </c>
      <c r="I51" s="332">
        <v>0.28999999999999998</v>
      </c>
      <c r="J51" t="s">
        <v>821</v>
      </c>
      <c r="N51">
        <f t="shared" si="14"/>
        <v>707</v>
      </c>
      <c r="O51">
        <f t="shared" si="2"/>
        <v>706.6</v>
      </c>
      <c r="P51" s="3">
        <f t="shared" si="11"/>
        <v>7.0659999999999998</v>
      </c>
      <c r="Q51" s="3">
        <f t="shared" si="4"/>
        <v>8.8324999999999996</v>
      </c>
      <c r="R51" s="3">
        <f t="shared" si="12"/>
        <v>248.10492499999998</v>
      </c>
      <c r="S51" s="3">
        <f t="shared" si="13"/>
        <v>530.74492499999997</v>
      </c>
      <c r="T51" s="3">
        <f t="shared" si="7"/>
        <v>7.093779127948534</v>
      </c>
      <c r="U51" s="3">
        <f t="shared" si="8"/>
        <v>15.174979985704073</v>
      </c>
      <c r="V51" t="s">
        <v>800</v>
      </c>
      <c r="W51" t="s">
        <v>800</v>
      </c>
      <c r="X51" s="15">
        <v>10621</v>
      </c>
      <c r="Y51">
        <v>2016</v>
      </c>
      <c r="Z51" s="15" t="s">
        <v>1043</v>
      </c>
      <c r="AA51" s="15">
        <v>40</v>
      </c>
      <c r="AB51" s="15" t="s">
        <v>1044</v>
      </c>
      <c r="AC51" s="15">
        <v>79</v>
      </c>
      <c r="AD51" s="15" t="s">
        <v>973</v>
      </c>
      <c r="AE51" s="15">
        <v>62387.049599999998</v>
      </c>
      <c r="AF51" s="15">
        <v>151.69999999999999</v>
      </c>
      <c r="AG51" s="15" t="s">
        <v>974</v>
      </c>
      <c r="AH51" s="15">
        <f t="shared" si="10"/>
        <v>758.5</v>
      </c>
    </row>
    <row r="52" spans="1:37" x14ac:dyDescent="0.25">
      <c r="A52">
        <v>39</v>
      </c>
      <c r="B52">
        <v>2016</v>
      </c>
      <c r="C52" s="18" t="s">
        <v>109</v>
      </c>
      <c r="D52">
        <v>16</v>
      </c>
      <c r="E52" s="5" t="s">
        <v>822</v>
      </c>
      <c r="F52">
        <v>2634.8</v>
      </c>
      <c r="H52" s="11">
        <v>42947</v>
      </c>
      <c r="I52" s="332">
        <v>0.28999999999999998</v>
      </c>
      <c r="J52" t="s">
        <v>821</v>
      </c>
      <c r="N52">
        <f t="shared" si="14"/>
        <v>682</v>
      </c>
      <c r="O52">
        <f t="shared" si="2"/>
        <v>681.6</v>
      </c>
      <c r="P52" s="3">
        <f t="shared" si="11"/>
        <v>6.8159999999999998</v>
      </c>
      <c r="Q52" s="3">
        <f t="shared" si="4"/>
        <v>8.52</v>
      </c>
      <c r="R52" s="3">
        <f t="shared" si="12"/>
        <v>239.32679999999999</v>
      </c>
      <c r="S52" s="3">
        <f t="shared" si="13"/>
        <v>511.96679999999998</v>
      </c>
      <c r="T52" s="289">
        <f t="shared" si="7"/>
        <v>9.0833004402611195</v>
      </c>
      <c r="U52" s="289">
        <f t="shared" si="8"/>
        <v>19.430954911188703</v>
      </c>
      <c r="V52" s="3">
        <f>AVERAGE(T52:T53)</f>
        <v>9.0522385974647506</v>
      </c>
      <c r="W52" s="3">
        <f>AVERAGE(U52:U53)</f>
        <v>19.364507558620755</v>
      </c>
      <c r="X52" s="15">
        <v>10622</v>
      </c>
      <c r="Y52">
        <v>2016</v>
      </c>
      <c r="Z52" s="15" t="s">
        <v>1045</v>
      </c>
      <c r="AA52" s="15">
        <v>41</v>
      </c>
      <c r="AB52" s="15" t="s">
        <v>1046</v>
      </c>
      <c r="AC52" s="15">
        <v>131</v>
      </c>
      <c r="AD52" s="15" t="s">
        <v>973</v>
      </c>
      <c r="AE52" s="15">
        <v>46134.352099999996</v>
      </c>
      <c r="AF52" s="15">
        <v>111.1</v>
      </c>
      <c r="AG52" s="15" t="s">
        <v>974</v>
      </c>
      <c r="AH52" s="15">
        <f>(AF52*10)</f>
        <v>1111</v>
      </c>
    </row>
    <row r="53" spans="1:37" x14ac:dyDescent="0.25">
      <c r="A53">
        <v>40</v>
      </c>
      <c r="B53">
        <v>2016</v>
      </c>
      <c r="C53" s="18" t="s">
        <v>109</v>
      </c>
      <c r="D53">
        <v>16</v>
      </c>
      <c r="E53" s="5" t="s">
        <v>823</v>
      </c>
      <c r="F53">
        <v>2950.7</v>
      </c>
      <c r="H53" s="11">
        <v>42947</v>
      </c>
      <c r="I53" s="332">
        <v>0.28999999999999998</v>
      </c>
      <c r="J53" t="s">
        <v>821</v>
      </c>
      <c r="N53">
        <f t="shared" si="14"/>
        <v>758.5</v>
      </c>
      <c r="O53">
        <f t="shared" si="2"/>
        <v>758.1</v>
      </c>
      <c r="P53" s="3">
        <f t="shared" si="11"/>
        <v>7.5809999999999995</v>
      </c>
      <c r="Q53" s="3">
        <f t="shared" si="4"/>
        <v>9.4762500000000003</v>
      </c>
      <c r="R53" s="3">
        <f t="shared" si="12"/>
        <v>266.18786249999999</v>
      </c>
      <c r="S53" s="3">
        <f t="shared" si="13"/>
        <v>569.42786250000006</v>
      </c>
      <c r="T53" s="289">
        <f t="shared" si="7"/>
        <v>9.0211767546683834</v>
      </c>
      <c r="U53" s="289">
        <f t="shared" si="8"/>
        <v>19.298060206052806</v>
      </c>
      <c r="X53" s="15"/>
      <c r="Y53" s="15"/>
      <c r="Z53" s="15"/>
      <c r="AA53" s="15"/>
      <c r="AB53" s="15" t="s">
        <v>1047</v>
      </c>
      <c r="AC53" s="15">
        <v>80</v>
      </c>
      <c r="AD53" s="15" t="s">
        <v>973</v>
      </c>
      <c r="AE53" s="15">
        <v>65551.954599999997</v>
      </c>
      <c r="AF53" s="15">
        <v>159.80000000000001</v>
      </c>
      <c r="AG53" s="15" t="s">
        <v>1009</v>
      </c>
      <c r="AH53" s="15">
        <f>(AF53*5)</f>
        <v>799</v>
      </c>
    </row>
    <row r="54" spans="1:37" x14ac:dyDescent="0.25">
      <c r="A54">
        <v>41</v>
      </c>
      <c r="B54">
        <v>2016</v>
      </c>
      <c r="C54" s="18" t="s">
        <v>109</v>
      </c>
      <c r="D54">
        <v>17</v>
      </c>
      <c r="F54">
        <v>3113</v>
      </c>
      <c r="H54" s="11">
        <v>42947</v>
      </c>
      <c r="I54" s="332">
        <v>0.28999999999999998</v>
      </c>
      <c r="J54" t="s">
        <v>821</v>
      </c>
      <c r="K54" t="s">
        <v>824</v>
      </c>
      <c r="N54">
        <f t="shared" si="14"/>
        <v>1111</v>
      </c>
      <c r="O54">
        <f t="shared" si="2"/>
        <v>1110.5999999999999</v>
      </c>
      <c r="P54" s="3">
        <f t="shared" si="11"/>
        <v>11.105999999999998</v>
      </c>
      <c r="Q54" s="3">
        <f t="shared" si="4"/>
        <v>13.882499999999997</v>
      </c>
      <c r="R54" s="3">
        <f t="shared" si="12"/>
        <v>389.9594249999999</v>
      </c>
      <c r="S54" s="3">
        <f t="shared" si="13"/>
        <v>834.19942499999991</v>
      </c>
      <c r="T54" s="3">
        <f t="shared" si="7"/>
        <v>12.526804529392866</v>
      </c>
      <c r="U54" s="3">
        <f t="shared" si="8"/>
        <v>26.797283167362668</v>
      </c>
      <c r="X54" s="15">
        <v>10623</v>
      </c>
      <c r="Y54">
        <v>2016</v>
      </c>
      <c r="Z54" s="15" t="s">
        <v>1048</v>
      </c>
      <c r="AA54" s="15">
        <v>42</v>
      </c>
      <c r="AB54" s="15" t="s">
        <v>1049</v>
      </c>
      <c r="AC54" s="15">
        <v>108</v>
      </c>
      <c r="AD54" s="15" t="s">
        <v>973</v>
      </c>
      <c r="AE54" s="15">
        <v>33950.328999999998</v>
      </c>
      <c r="AF54" s="15">
        <v>78.8</v>
      </c>
      <c r="AG54" s="15" t="s">
        <v>974</v>
      </c>
      <c r="AH54" s="15">
        <f>(AF54*10)</f>
        <v>788</v>
      </c>
    </row>
    <row r="55" spans="1:37" x14ac:dyDescent="0.25">
      <c r="A55">
        <v>42</v>
      </c>
      <c r="B55">
        <v>2016</v>
      </c>
      <c r="C55" s="18" t="s">
        <v>109</v>
      </c>
      <c r="D55">
        <v>18</v>
      </c>
      <c r="F55">
        <v>2773.8</v>
      </c>
      <c r="H55" s="11">
        <v>42947</v>
      </c>
      <c r="I55" s="332">
        <v>0.28999999999999998</v>
      </c>
      <c r="J55" t="s">
        <v>821</v>
      </c>
      <c r="N55">
        <f>AH54</f>
        <v>788</v>
      </c>
      <c r="O55">
        <f t="shared" si="2"/>
        <v>787.6</v>
      </c>
      <c r="P55" s="3">
        <f t="shared" si="11"/>
        <v>7.8760000000000012</v>
      </c>
      <c r="Q55" s="3">
        <f t="shared" si="4"/>
        <v>9.8450000000000024</v>
      </c>
      <c r="R55" s="3">
        <f t="shared" si="12"/>
        <v>276.54605000000009</v>
      </c>
      <c r="S55" s="3">
        <f t="shared" si="13"/>
        <v>591.58605000000023</v>
      </c>
      <c r="T55" s="3">
        <f t="shared" si="7"/>
        <v>9.9699347465570725</v>
      </c>
      <c r="U55" s="3">
        <f t="shared" si="8"/>
        <v>21.327638979017959</v>
      </c>
      <c r="X55" s="15"/>
      <c r="Y55" s="15"/>
      <c r="Z55" s="15"/>
      <c r="AA55" s="15"/>
      <c r="AB55" s="15" t="s">
        <v>1050</v>
      </c>
      <c r="AC55" s="15">
        <v>81</v>
      </c>
      <c r="AD55" s="15" t="s">
        <v>973</v>
      </c>
      <c r="AE55" s="15">
        <v>63772.677900000002</v>
      </c>
      <c r="AF55" s="15">
        <v>155.19999999999999</v>
      </c>
      <c r="AG55" s="15" t="s">
        <v>1051</v>
      </c>
      <c r="AH55" s="15">
        <f t="shared" ref="AH55:AH67" si="15">(AF55*5)</f>
        <v>776</v>
      </c>
    </row>
    <row r="56" spans="1:37" x14ac:dyDescent="0.25">
      <c r="A56">
        <v>43</v>
      </c>
      <c r="B56">
        <v>2016</v>
      </c>
      <c r="C56" s="18" t="s">
        <v>109</v>
      </c>
      <c r="D56">
        <v>19</v>
      </c>
      <c r="F56" s="17" t="s">
        <v>720</v>
      </c>
      <c r="H56" s="11">
        <v>42947</v>
      </c>
      <c r="I56" s="332">
        <v>0.28999999999999998</v>
      </c>
      <c r="J56" t="s">
        <v>821</v>
      </c>
      <c r="N56" t="s">
        <v>900</v>
      </c>
      <c r="O56" t="s">
        <v>900</v>
      </c>
      <c r="P56" t="s">
        <v>900</v>
      </c>
      <c r="Q56" s="3"/>
      <c r="R56" s="18" t="s">
        <v>900</v>
      </c>
      <c r="S56" s="18" t="s">
        <v>900</v>
      </c>
      <c r="T56" s="18" t="s">
        <v>900</v>
      </c>
      <c r="U56" s="18" t="s">
        <v>900</v>
      </c>
      <c r="X56" s="15"/>
      <c r="Y56" s="15"/>
      <c r="Z56" s="15"/>
      <c r="AA56" s="15"/>
      <c r="AB56" s="15" t="s">
        <v>1050</v>
      </c>
      <c r="AC56" s="15">
        <v>109</v>
      </c>
      <c r="AD56" s="15" t="s">
        <v>973</v>
      </c>
      <c r="AE56" s="15">
        <v>63550.224099999999</v>
      </c>
      <c r="AF56" s="15">
        <v>154.80000000000001</v>
      </c>
      <c r="AG56" s="15" t="s">
        <v>1051</v>
      </c>
      <c r="AH56" s="15">
        <f t="shared" si="15"/>
        <v>774</v>
      </c>
    </row>
    <row r="57" spans="1:37" ht="13" x14ac:dyDescent="0.3">
      <c r="A57">
        <v>44</v>
      </c>
      <c r="B57">
        <v>2016</v>
      </c>
      <c r="C57" s="18" t="s">
        <v>109</v>
      </c>
      <c r="D57">
        <v>20</v>
      </c>
      <c r="F57" s="17" t="s">
        <v>720</v>
      </c>
      <c r="H57" s="11">
        <v>42947</v>
      </c>
      <c r="I57" s="332">
        <v>0.28999999999999998</v>
      </c>
      <c r="J57" t="s">
        <v>821</v>
      </c>
      <c r="N57" t="s">
        <v>900</v>
      </c>
      <c r="O57" t="s">
        <v>900</v>
      </c>
      <c r="P57" t="s">
        <v>900</v>
      </c>
      <c r="Q57" s="3"/>
      <c r="R57" s="18" t="s">
        <v>900</v>
      </c>
      <c r="S57" s="18" t="s">
        <v>900</v>
      </c>
      <c r="T57" s="18" t="s">
        <v>900</v>
      </c>
      <c r="U57" s="18" t="s">
        <v>900</v>
      </c>
      <c r="X57" s="15">
        <v>10624</v>
      </c>
      <c r="Y57">
        <v>2016</v>
      </c>
      <c r="Z57" s="15" t="s">
        <v>1052</v>
      </c>
      <c r="AA57" s="15">
        <v>46</v>
      </c>
      <c r="AB57" s="15" t="s">
        <v>1053</v>
      </c>
      <c r="AC57" s="15">
        <v>82</v>
      </c>
      <c r="AD57" s="15" t="s">
        <v>973</v>
      </c>
      <c r="AE57" s="15">
        <v>27242.407500000001</v>
      </c>
      <c r="AF57" s="15">
        <v>61.5</v>
      </c>
      <c r="AG57" s="15" t="s">
        <v>974</v>
      </c>
      <c r="AH57" s="15">
        <f t="shared" si="15"/>
        <v>307.5</v>
      </c>
      <c r="AI57" s="10" t="s">
        <v>3090</v>
      </c>
      <c r="AJ57" s="10"/>
      <c r="AK57" s="10" t="s">
        <v>3089</v>
      </c>
    </row>
    <row r="58" spans="1:37" x14ac:dyDescent="0.25">
      <c r="A58">
        <v>45</v>
      </c>
      <c r="B58">
        <v>2016</v>
      </c>
      <c r="C58" s="18" t="s">
        <v>109</v>
      </c>
      <c r="D58">
        <v>21</v>
      </c>
      <c r="F58" s="17" t="s">
        <v>720</v>
      </c>
      <c r="H58" s="11">
        <v>42947</v>
      </c>
      <c r="I58" s="332">
        <v>0.28999999999999998</v>
      </c>
      <c r="J58" t="s">
        <v>821</v>
      </c>
      <c r="N58" t="s">
        <v>900</v>
      </c>
      <c r="O58" t="s">
        <v>900</v>
      </c>
      <c r="P58" t="s">
        <v>900</v>
      </c>
      <c r="Q58" s="3"/>
      <c r="R58" s="18" t="s">
        <v>900</v>
      </c>
      <c r="S58" s="18" t="s">
        <v>900</v>
      </c>
      <c r="T58" s="18" t="s">
        <v>900</v>
      </c>
      <c r="U58" s="18" t="s">
        <v>900</v>
      </c>
      <c r="X58" s="15">
        <v>10625</v>
      </c>
      <c r="Y58">
        <v>2016</v>
      </c>
      <c r="Z58" s="15" t="s">
        <v>1054</v>
      </c>
      <c r="AA58" s="15">
        <v>47</v>
      </c>
      <c r="AB58" s="15" t="s">
        <v>1055</v>
      </c>
      <c r="AC58" s="15">
        <v>87</v>
      </c>
      <c r="AD58" s="15" t="s">
        <v>973</v>
      </c>
      <c r="AE58" s="15">
        <v>28141.052199999998</v>
      </c>
      <c r="AF58" s="15">
        <v>64</v>
      </c>
      <c r="AG58" s="15" t="s">
        <v>974</v>
      </c>
      <c r="AH58" s="15">
        <f t="shared" si="15"/>
        <v>320</v>
      </c>
      <c r="AI58">
        <f>AVERAGE(AH57:AH68,AH70:AH72,AH74:AH75)</f>
        <v>551.85294117647061</v>
      </c>
    </row>
    <row r="59" spans="1:37" x14ac:dyDescent="0.25">
      <c r="A59">
        <v>46</v>
      </c>
      <c r="B59">
        <v>2016</v>
      </c>
      <c r="C59" s="18" t="s">
        <v>110</v>
      </c>
      <c r="D59">
        <v>1</v>
      </c>
      <c r="F59">
        <v>2653</v>
      </c>
      <c r="H59" s="11">
        <v>42947</v>
      </c>
      <c r="I59" s="332">
        <v>0.28999999999999998</v>
      </c>
      <c r="J59" t="s">
        <v>821</v>
      </c>
      <c r="N59">
        <f t="shared" ref="N59:N70" si="16">AH57</f>
        <v>307.5</v>
      </c>
      <c r="O59">
        <f t="shared" si="2"/>
        <v>307.10000000000002</v>
      </c>
      <c r="P59" s="3">
        <f t="shared" ref="P59:P73" si="17">(O59/1000)*10</f>
        <v>3.0710000000000006</v>
      </c>
      <c r="Q59" s="3">
        <f t="shared" si="4"/>
        <v>3.838750000000001</v>
      </c>
      <c r="R59" s="3">
        <f t="shared" ref="R59:R78" si="18">Q59*28.09</f>
        <v>107.83048750000003</v>
      </c>
      <c r="S59" s="3">
        <f t="shared" ref="S59:S78" si="19">Q59*(28.09+2*16)</f>
        <v>230.67048750000006</v>
      </c>
      <c r="T59" s="3">
        <f t="shared" si="7"/>
        <v>4.0644737090086709</v>
      </c>
      <c r="U59" s="3">
        <f t="shared" si="8"/>
        <v>8.6947036373916351</v>
      </c>
      <c r="X59" s="15">
        <v>10626</v>
      </c>
      <c r="Y59">
        <v>2016</v>
      </c>
      <c r="Z59" s="15" t="s">
        <v>1056</v>
      </c>
      <c r="AA59" s="15">
        <v>48</v>
      </c>
      <c r="AB59" s="15" t="s">
        <v>1057</v>
      </c>
      <c r="AC59" s="15">
        <v>88</v>
      </c>
      <c r="AD59" s="15" t="s">
        <v>973</v>
      </c>
      <c r="AE59" s="15">
        <v>39814.461199999998</v>
      </c>
      <c r="AF59" s="15">
        <v>93.9</v>
      </c>
      <c r="AG59" s="15" t="s">
        <v>974</v>
      </c>
      <c r="AH59" s="15">
        <f t="shared" si="15"/>
        <v>469.5</v>
      </c>
      <c r="AI59" s="17" t="s">
        <v>3091</v>
      </c>
      <c r="AJ59">
        <f>MIN(AH57:AH68,AH70:AH72,AH74:AH75)</f>
        <v>307.5</v>
      </c>
    </row>
    <row r="60" spans="1:37" x14ac:dyDescent="0.25">
      <c r="A60">
        <v>47</v>
      </c>
      <c r="B60">
        <v>2016</v>
      </c>
      <c r="C60" s="18" t="s">
        <v>110</v>
      </c>
      <c r="D60">
        <v>2</v>
      </c>
      <c r="F60">
        <v>3244.7</v>
      </c>
      <c r="H60" s="11">
        <v>42947</v>
      </c>
      <c r="I60" s="332">
        <v>0.28999999999999998</v>
      </c>
      <c r="J60" t="s">
        <v>821</v>
      </c>
      <c r="N60">
        <f t="shared" si="16"/>
        <v>320</v>
      </c>
      <c r="O60">
        <f t="shared" si="2"/>
        <v>319.60000000000002</v>
      </c>
      <c r="P60" s="3">
        <f t="shared" si="17"/>
        <v>3.1959999999999997</v>
      </c>
      <c r="Q60" s="3">
        <f t="shared" si="4"/>
        <v>3.9949999999999997</v>
      </c>
      <c r="R60" s="3">
        <f t="shared" si="18"/>
        <v>112.21954999999998</v>
      </c>
      <c r="S60" s="3">
        <f t="shared" si="19"/>
        <v>240.05955</v>
      </c>
      <c r="T60" s="3">
        <f t="shared" si="7"/>
        <v>3.4585493265941376</v>
      </c>
      <c r="U60" s="3">
        <f t="shared" si="8"/>
        <v>7.3985129595956494</v>
      </c>
      <c r="X60" s="15">
        <v>10627</v>
      </c>
      <c r="Y60">
        <v>2016</v>
      </c>
      <c r="Z60" s="15" t="s">
        <v>1058</v>
      </c>
      <c r="AA60" s="15">
        <v>49</v>
      </c>
      <c r="AB60" s="15" t="s">
        <v>1059</v>
      </c>
      <c r="AC60" s="15">
        <v>89</v>
      </c>
      <c r="AD60" s="15" t="s">
        <v>973</v>
      </c>
      <c r="AE60" s="15">
        <v>45124.3678</v>
      </c>
      <c r="AF60" s="15">
        <v>107.5</v>
      </c>
      <c r="AG60" s="15" t="s">
        <v>974</v>
      </c>
      <c r="AH60" s="15">
        <f t="shared" si="15"/>
        <v>537.5</v>
      </c>
      <c r="AI60" s="17" t="s">
        <v>3092</v>
      </c>
      <c r="AJ60">
        <f>MAX(AH57:AH68,AH70:AH72,AH74:AH75)</f>
        <v>817</v>
      </c>
    </row>
    <row r="61" spans="1:37" x14ac:dyDescent="0.25">
      <c r="A61">
        <v>48</v>
      </c>
      <c r="B61">
        <v>2016</v>
      </c>
      <c r="C61" s="18" t="s">
        <v>110</v>
      </c>
      <c r="D61">
        <v>3</v>
      </c>
      <c r="F61">
        <v>3547.9</v>
      </c>
      <c r="H61" s="11">
        <v>42947</v>
      </c>
      <c r="I61" s="332">
        <v>0.28999999999999998</v>
      </c>
      <c r="J61" t="s">
        <v>821</v>
      </c>
      <c r="N61">
        <f t="shared" si="16"/>
        <v>469.5</v>
      </c>
      <c r="O61">
        <f t="shared" si="2"/>
        <v>469.1</v>
      </c>
      <c r="P61" s="3">
        <f t="shared" si="17"/>
        <v>4.6909999999999998</v>
      </c>
      <c r="Q61" s="3">
        <f t="shared" si="4"/>
        <v>5.8637499999999996</v>
      </c>
      <c r="R61" s="3">
        <f t="shared" si="18"/>
        <v>164.71273749999997</v>
      </c>
      <c r="S61" s="3">
        <f t="shared" si="19"/>
        <v>352.35273749999999</v>
      </c>
      <c r="T61" s="3">
        <f t="shared" si="7"/>
        <v>4.6425417148172148</v>
      </c>
      <c r="U61" s="3">
        <f t="shared" si="8"/>
        <v>9.9313040812875215</v>
      </c>
      <c r="X61" s="15">
        <v>10628</v>
      </c>
      <c r="Y61">
        <v>2016</v>
      </c>
      <c r="Z61" s="15" t="s">
        <v>1060</v>
      </c>
      <c r="AA61" s="15">
        <v>50</v>
      </c>
      <c r="AB61" s="15" t="s">
        <v>1061</v>
      </c>
      <c r="AC61" s="15">
        <v>90</v>
      </c>
      <c r="AD61" s="15" t="s">
        <v>973</v>
      </c>
      <c r="AE61" s="15">
        <v>35442.036399999997</v>
      </c>
      <c r="AF61" s="15">
        <v>82.6</v>
      </c>
      <c r="AG61" s="15" t="s">
        <v>974</v>
      </c>
      <c r="AH61" s="15">
        <f t="shared" si="15"/>
        <v>413</v>
      </c>
    </row>
    <row r="62" spans="1:37" x14ac:dyDescent="0.25">
      <c r="A62">
        <v>49</v>
      </c>
      <c r="B62">
        <v>2016</v>
      </c>
      <c r="C62" s="18" t="s">
        <v>110</v>
      </c>
      <c r="D62">
        <v>4</v>
      </c>
      <c r="F62">
        <v>3436.6</v>
      </c>
      <c r="H62" s="11">
        <v>42947</v>
      </c>
      <c r="I62" s="332">
        <v>0.28999999999999998</v>
      </c>
      <c r="J62" t="s">
        <v>821</v>
      </c>
      <c r="N62">
        <f t="shared" si="16"/>
        <v>537.5</v>
      </c>
      <c r="O62">
        <f t="shared" si="2"/>
        <v>537.1</v>
      </c>
      <c r="P62" s="3">
        <f t="shared" si="17"/>
        <v>5.3710000000000004</v>
      </c>
      <c r="Q62" s="3">
        <f t="shared" si="4"/>
        <v>6.713750000000001</v>
      </c>
      <c r="R62" s="3">
        <f t="shared" si="18"/>
        <v>188.58923750000002</v>
      </c>
      <c r="S62" s="3">
        <f t="shared" si="19"/>
        <v>403.42923750000006</v>
      </c>
      <c r="T62" s="3">
        <f t="shared" si="7"/>
        <v>5.4876691351917604</v>
      </c>
      <c r="U62" s="3">
        <f t="shared" si="8"/>
        <v>11.739196807891522</v>
      </c>
      <c r="X62" s="15">
        <v>10629</v>
      </c>
      <c r="Y62">
        <v>2016</v>
      </c>
      <c r="Z62" s="15" t="s">
        <v>1062</v>
      </c>
      <c r="AA62" s="15">
        <v>51</v>
      </c>
      <c r="AB62" s="15" t="s">
        <v>1063</v>
      </c>
      <c r="AC62" s="15">
        <v>91</v>
      </c>
      <c r="AD62" s="15" t="s">
        <v>973</v>
      </c>
      <c r="AE62" s="15">
        <v>39155.827700000002</v>
      </c>
      <c r="AF62" s="15">
        <v>92.2</v>
      </c>
      <c r="AG62" s="15" t="s">
        <v>974</v>
      </c>
      <c r="AH62" s="15">
        <f t="shared" si="15"/>
        <v>461</v>
      </c>
    </row>
    <row r="63" spans="1:37" x14ac:dyDescent="0.25">
      <c r="A63">
        <v>50</v>
      </c>
      <c r="B63">
        <v>2016</v>
      </c>
      <c r="C63" s="18" t="s">
        <v>110</v>
      </c>
      <c r="D63">
        <v>5</v>
      </c>
      <c r="F63">
        <v>2971.1</v>
      </c>
      <c r="H63" s="11">
        <v>42947</v>
      </c>
      <c r="I63" s="332">
        <v>0.28999999999999998</v>
      </c>
      <c r="J63" t="s">
        <v>821</v>
      </c>
      <c r="N63">
        <f t="shared" si="16"/>
        <v>413</v>
      </c>
      <c r="O63">
        <f t="shared" si="2"/>
        <v>412.6</v>
      </c>
      <c r="P63" s="3">
        <f t="shared" si="17"/>
        <v>4.1260000000000003</v>
      </c>
      <c r="Q63" s="3">
        <f t="shared" si="4"/>
        <v>5.1575000000000006</v>
      </c>
      <c r="R63" s="3">
        <f t="shared" si="18"/>
        <v>144.87417500000001</v>
      </c>
      <c r="S63" s="3">
        <f t="shared" si="19"/>
        <v>309.91417500000006</v>
      </c>
      <c r="T63" s="3">
        <f t="shared" si="7"/>
        <v>4.8761123826192323</v>
      </c>
      <c r="U63" s="3">
        <f t="shared" si="8"/>
        <v>10.430957389519035</v>
      </c>
      <c r="X63" s="15">
        <v>10630</v>
      </c>
      <c r="Y63">
        <v>2016</v>
      </c>
      <c r="Z63" s="15" t="s">
        <v>1064</v>
      </c>
      <c r="AA63" s="15">
        <v>52</v>
      </c>
      <c r="AB63" s="15" t="s">
        <v>1065</v>
      </c>
      <c r="AC63" s="15">
        <v>92</v>
      </c>
      <c r="AD63" s="15" t="s">
        <v>973</v>
      </c>
      <c r="AE63" s="15">
        <v>33404.788800000002</v>
      </c>
      <c r="AF63" s="15">
        <v>77.400000000000006</v>
      </c>
      <c r="AG63" s="15" t="s">
        <v>974</v>
      </c>
      <c r="AH63" s="15">
        <f t="shared" si="15"/>
        <v>387</v>
      </c>
    </row>
    <row r="64" spans="1:37" x14ac:dyDescent="0.25">
      <c r="A64">
        <v>51</v>
      </c>
      <c r="B64">
        <v>2016</v>
      </c>
      <c r="C64" s="18" t="s">
        <v>110</v>
      </c>
      <c r="D64">
        <v>6</v>
      </c>
      <c r="F64">
        <v>3604.9</v>
      </c>
      <c r="H64" s="11">
        <v>42947</v>
      </c>
      <c r="I64" s="332">
        <v>0.28999999999999998</v>
      </c>
      <c r="J64" t="s">
        <v>821</v>
      </c>
      <c r="N64">
        <f t="shared" si="16"/>
        <v>461</v>
      </c>
      <c r="O64">
        <f t="shared" si="2"/>
        <v>460.6</v>
      </c>
      <c r="P64" s="3">
        <f t="shared" si="17"/>
        <v>4.6059999999999999</v>
      </c>
      <c r="Q64" s="3">
        <f t="shared" si="4"/>
        <v>5.7575000000000003</v>
      </c>
      <c r="R64" s="3">
        <f t="shared" si="18"/>
        <v>161.72817499999999</v>
      </c>
      <c r="S64" s="3">
        <f t="shared" si="19"/>
        <v>345.96817500000003</v>
      </c>
      <c r="T64" s="3">
        <f t="shared" si="7"/>
        <v>4.4863428943937418</v>
      </c>
      <c r="U64" s="3">
        <f t="shared" si="8"/>
        <v>9.5971642764015659</v>
      </c>
      <c r="X64" s="15">
        <v>10631</v>
      </c>
      <c r="Y64">
        <v>2016</v>
      </c>
      <c r="Z64" s="15" t="s">
        <v>1066</v>
      </c>
      <c r="AA64" s="15">
        <v>53</v>
      </c>
      <c r="AB64" s="15" t="s">
        <v>1067</v>
      </c>
      <c r="AC64" s="15">
        <v>93</v>
      </c>
      <c r="AD64" s="15" t="s">
        <v>973</v>
      </c>
      <c r="AE64" s="15">
        <v>32947.331599999998</v>
      </c>
      <c r="AF64" s="15">
        <v>76.2</v>
      </c>
      <c r="AG64" s="15" t="s">
        <v>974</v>
      </c>
      <c r="AH64" s="15">
        <f t="shared" si="15"/>
        <v>381</v>
      </c>
    </row>
    <row r="65" spans="1:34" x14ac:dyDescent="0.25">
      <c r="A65">
        <v>52</v>
      </c>
      <c r="B65">
        <v>2016</v>
      </c>
      <c r="C65" s="18" t="s">
        <v>110</v>
      </c>
      <c r="D65">
        <v>7</v>
      </c>
      <c r="F65">
        <v>2972.5</v>
      </c>
      <c r="H65" s="11">
        <v>42947</v>
      </c>
      <c r="I65" s="332">
        <v>0.28999999999999998</v>
      </c>
      <c r="J65" t="s">
        <v>821</v>
      </c>
      <c r="N65">
        <f t="shared" si="16"/>
        <v>387</v>
      </c>
      <c r="O65">
        <f t="shared" si="2"/>
        <v>386.6</v>
      </c>
      <c r="P65" s="3">
        <f t="shared" si="17"/>
        <v>3.8660000000000001</v>
      </c>
      <c r="Q65" s="3">
        <f t="shared" si="4"/>
        <v>4.8325000000000005</v>
      </c>
      <c r="R65" s="3">
        <f t="shared" si="18"/>
        <v>135.74492500000002</v>
      </c>
      <c r="S65" s="3">
        <f t="shared" si="19"/>
        <v>290.38492500000007</v>
      </c>
      <c r="T65" s="3">
        <f t="shared" si="7"/>
        <v>4.5666921783010936</v>
      </c>
      <c r="U65" s="3">
        <f t="shared" si="8"/>
        <v>9.7690470984020212</v>
      </c>
      <c r="X65" s="15">
        <v>10632</v>
      </c>
      <c r="Y65">
        <v>2016</v>
      </c>
      <c r="Z65" s="15" t="s">
        <v>1068</v>
      </c>
      <c r="AA65" s="15">
        <v>54</v>
      </c>
      <c r="AB65" s="15" t="s">
        <v>1069</v>
      </c>
      <c r="AC65" s="15">
        <v>94</v>
      </c>
      <c r="AD65" s="15" t="s">
        <v>973</v>
      </c>
      <c r="AE65" s="15">
        <v>39764.809399999998</v>
      </c>
      <c r="AF65" s="15">
        <v>93.7</v>
      </c>
      <c r="AG65" s="15" t="s">
        <v>974</v>
      </c>
      <c r="AH65" s="15">
        <f t="shared" si="15"/>
        <v>468.5</v>
      </c>
    </row>
    <row r="66" spans="1:34" x14ac:dyDescent="0.25">
      <c r="A66">
        <v>53</v>
      </c>
      <c r="B66">
        <v>2016</v>
      </c>
      <c r="C66" s="18" t="s">
        <v>110</v>
      </c>
      <c r="D66">
        <v>8</v>
      </c>
      <c r="F66">
        <v>3157.2</v>
      </c>
      <c r="H66" s="11">
        <v>42947</v>
      </c>
      <c r="I66" s="332">
        <v>0.28999999999999998</v>
      </c>
      <c r="J66" t="s">
        <v>821</v>
      </c>
      <c r="N66">
        <f t="shared" si="16"/>
        <v>381</v>
      </c>
      <c r="O66">
        <f t="shared" si="2"/>
        <v>380.6</v>
      </c>
      <c r="P66" s="3">
        <f t="shared" si="17"/>
        <v>3.8060000000000005</v>
      </c>
      <c r="Q66" s="3">
        <f t="shared" si="4"/>
        <v>4.7575000000000003</v>
      </c>
      <c r="R66" s="3">
        <f t="shared" si="18"/>
        <v>133.63817500000002</v>
      </c>
      <c r="S66" s="3">
        <f t="shared" si="19"/>
        <v>285.87817500000006</v>
      </c>
      <c r="T66" s="3">
        <f t="shared" si="7"/>
        <v>4.2328067591536813</v>
      </c>
      <c r="U66" s="3">
        <f t="shared" si="8"/>
        <v>9.0548009312048681</v>
      </c>
      <c r="X66" s="15">
        <v>10633</v>
      </c>
      <c r="Y66">
        <v>2016</v>
      </c>
      <c r="Z66" s="15" t="s">
        <v>1070</v>
      </c>
      <c r="AA66" s="15">
        <v>55</v>
      </c>
      <c r="AB66" s="15" t="s">
        <v>1071</v>
      </c>
      <c r="AC66" s="15">
        <v>95</v>
      </c>
      <c r="AD66" s="15" t="s">
        <v>973</v>
      </c>
      <c r="AE66" s="15">
        <v>53815.260600000001</v>
      </c>
      <c r="AF66" s="15">
        <v>129.80000000000001</v>
      </c>
      <c r="AG66" s="15" t="s">
        <v>974</v>
      </c>
      <c r="AH66" s="15">
        <f t="shared" si="15"/>
        <v>649</v>
      </c>
    </row>
    <row r="67" spans="1:34" x14ac:dyDescent="0.25">
      <c r="A67">
        <v>54</v>
      </c>
      <c r="B67">
        <v>2016</v>
      </c>
      <c r="C67" s="18" t="s">
        <v>110</v>
      </c>
      <c r="D67">
        <v>9</v>
      </c>
      <c r="F67">
        <v>3419.7</v>
      </c>
      <c r="H67" s="11">
        <v>42947</v>
      </c>
      <c r="I67" s="332">
        <v>0.28999999999999998</v>
      </c>
      <c r="J67" t="s">
        <v>821</v>
      </c>
      <c r="N67">
        <f t="shared" si="16"/>
        <v>468.5</v>
      </c>
      <c r="O67">
        <f t="shared" si="2"/>
        <v>468.1</v>
      </c>
      <c r="P67" s="3">
        <f t="shared" si="17"/>
        <v>4.681</v>
      </c>
      <c r="Q67" s="3">
        <f t="shared" si="4"/>
        <v>5.8512500000000003</v>
      </c>
      <c r="R67" s="3">
        <f t="shared" si="18"/>
        <v>164.36161250000001</v>
      </c>
      <c r="S67" s="3">
        <f t="shared" si="19"/>
        <v>351.60161250000004</v>
      </c>
      <c r="T67" s="3">
        <f t="shared" si="7"/>
        <v>4.8063167090680476</v>
      </c>
      <c r="U67" s="3">
        <f t="shared" si="8"/>
        <v>10.281650802701993</v>
      </c>
      <c r="V67" t="s">
        <v>800</v>
      </c>
      <c r="W67" t="s">
        <v>800</v>
      </c>
      <c r="X67" s="15">
        <v>10634</v>
      </c>
      <c r="Y67">
        <v>2016</v>
      </c>
      <c r="Z67" s="15" t="s">
        <v>1072</v>
      </c>
      <c r="AA67" s="15">
        <v>56</v>
      </c>
      <c r="AB67" s="15" t="s">
        <v>1073</v>
      </c>
      <c r="AC67" s="15">
        <v>96</v>
      </c>
      <c r="AD67" s="15" t="s">
        <v>973</v>
      </c>
      <c r="AE67" s="15">
        <v>56155.003400000001</v>
      </c>
      <c r="AF67" s="15">
        <v>135.69999999999999</v>
      </c>
      <c r="AG67" s="15" t="s">
        <v>974</v>
      </c>
      <c r="AH67" s="15">
        <f t="shared" si="15"/>
        <v>678.5</v>
      </c>
    </row>
    <row r="68" spans="1:34" x14ac:dyDescent="0.25">
      <c r="A68">
        <v>55</v>
      </c>
      <c r="B68">
        <v>2016</v>
      </c>
      <c r="C68" s="18" t="s">
        <v>110</v>
      </c>
      <c r="D68">
        <v>10</v>
      </c>
      <c r="E68" s="5" t="s">
        <v>822</v>
      </c>
      <c r="F68">
        <v>3308.4</v>
      </c>
      <c r="H68" s="11">
        <v>42947</v>
      </c>
      <c r="I68" s="332">
        <v>0.28999999999999998</v>
      </c>
      <c r="J68" t="s">
        <v>821</v>
      </c>
      <c r="N68">
        <f t="shared" si="16"/>
        <v>649</v>
      </c>
      <c r="O68">
        <f t="shared" si="2"/>
        <v>648.6</v>
      </c>
      <c r="P68" s="3">
        <f t="shared" si="17"/>
        <v>6.4860000000000007</v>
      </c>
      <c r="Q68" s="3">
        <f t="shared" si="4"/>
        <v>8.1075000000000017</v>
      </c>
      <c r="R68" s="3">
        <f t="shared" si="18"/>
        <v>227.73967500000003</v>
      </c>
      <c r="S68" s="3">
        <f t="shared" si="19"/>
        <v>487.17967500000015</v>
      </c>
      <c r="T68" s="289">
        <f t="shared" si="7"/>
        <v>6.8836801777294161</v>
      </c>
      <c r="U68" s="289">
        <f t="shared" si="8"/>
        <v>14.725537268770406</v>
      </c>
      <c r="V68" s="3">
        <f>AVERAGE(T68:T69)</f>
        <v>6.8094656510835989</v>
      </c>
      <c r="W68" s="3">
        <f>AVERAGE(U68:U69)</f>
        <v>14.566777891549073</v>
      </c>
      <c r="X68" s="15">
        <v>10635</v>
      </c>
      <c r="Y68">
        <v>2016</v>
      </c>
      <c r="Z68" s="15" t="s">
        <v>1074</v>
      </c>
      <c r="AA68" s="15">
        <v>57</v>
      </c>
      <c r="AB68" s="15" t="s">
        <v>1075</v>
      </c>
      <c r="AC68" s="15">
        <v>132</v>
      </c>
      <c r="AD68" s="15" t="s">
        <v>973</v>
      </c>
      <c r="AE68" s="15">
        <v>34206.203099999999</v>
      </c>
      <c r="AF68" s="15">
        <v>80.3</v>
      </c>
      <c r="AG68" s="15" t="s">
        <v>974</v>
      </c>
      <c r="AH68" s="15">
        <f>(AF68*10)</f>
        <v>803</v>
      </c>
    </row>
    <row r="69" spans="1:34" x14ac:dyDescent="0.25">
      <c r="A69">
        <v>56</v>
      </c>
      <c r="B69">
        <v>2016</v>
      </c>
      <c r="C69" s="18" t="s">
        <v>110</v>
      </c>
      <c r="D69">
        <v>10</v>
      </c>
      <c r="E69" s="5" t="s">
        <v>823</v>
      </c>
      <c r="F69">
        <v>3535.1</v>
      </c>
      <c r="H69" s="11">
        <v>42947</v>
      </c>
      <c r="I69" s="332">
        <v>0.28999999999999998</v>
      </c>
      <c r="J69" t="s">
        <v>821</v>
      </c>
      <c r="N69">
        <f t="shared" si="16"/>
        <v>678.5</v>
      </c>
      <c r="O69">
        <f t="shared" si="2"/>
        <v>678.1</v>
      </c>
      <c r="P69" s="3">
        <f t="shared" si="17"/>
        <v>6.7810000000000006</v>
      </c>
      <c r="Q69" s="3">
        <f t="shared" si="4"/>
        <v>8.4762500000000003</v>
      </c>
      <c r="R69" s="3">
        <f t="shared" si="18"/>
        <v>238.09786250000002</v>
      </c>
      <c r="S69" s="3">
        <f t="shared" si="19"/>
        <v>509.33786250000003</v>
      </c>
      <c r="T69" s="289">
        <f t="shared" si="7"/>
        <v>6.7352511244377817</v>
      </c>
      <c r="U69" s="289">
        <f t="shared" si="8"/>
        <v>14.408018514327741</v>
      </c>
      <c r="X69" s="15"/>
      <c r="Y69" s="15"/>
      <c r="Z69" s="15"/>
      <c r="AA69" s="15"/>
      <c r="AB69" s="15" t="s">
        <v>1076</v>
      </c>
      <c r="AC69" s="15">
        <v>97</v>
      </c>
      <c r="AD69" s="15" t="s">
        <v>973</v>
      </c>
      <c r="AE69" s="15">
        <v>65237.629500000003</v>
      </c>
      <c r="AF69" s="15">
        <v>159</v>
      </c>
      <c r="AG69" s="15" t="s">
        <v>1009</v>
      </c>
      <c r="AH69" s="15">
        <f>(AF69*5)</f>
        <v>795</v>
      </c>
    </row>
    <row r="70" spans="1:34" x14ac:dyDescent="0.25">
      <c r="A70">
        <v>57</v>
      </c>
      <c r="B70">
        <v>2016</v>
      </c>
      <c r="C70" s="18" t="s">
        <v>110</v>
      </c>
      <c r="D70">
        <v>11</v>
      </c>
      <c r="F70">
        <v>2644.3</v>
      </c>
      <c r="H70" s="11">
        <v>42947</v>
      </c>
      <c r="I70" s="332">
        <v>0.28999999999999998</v>
      </c>
      <c r="J70" t="s">
        <v>821</v>
      </c>
      <c r="N70">
        <f t="shared" si="16"/>
        <v>803</v>
      </c>
      <c r="O70">
        <f t="shared" si="2"/>
        <v>802.6</v>
      </c>
      <c r="P70" s="3">
        <f t="shared" si="17"/>
        <v>8.0259999999999998</v>
      </c>
      <c r="Q70" s="3">
        <f t="shared" si="4"/>
        <v>10.032499999999999</v>
      </c>
      <c r="R70" s="3">
        <f t="shared" si="18"/>
        <v>281.81292499999995</v>
      </c>
      <c r="S70" s="3">
        <f t="shared" si="19"/>
        <v>602.85292499999991</v>
      </c>
      <c r="T70" s="3">
        <f t="shared" si="7"/>
        <v>10.657373406950796</v>
      </c>
      <c r="U70" s="3">
        <f t="shared" si="8"/>
        <v>22.798204628824259</v>
      </c>
      <c r="V70" t="s">
        <v>800</v>
      </c>
      <c r="W70" t="s">
        <v>800</v>
      </c>
      <c r="X70" s="15">
        <v>10636</v>
      </c>
      <c r="Y70">
        <v>2016</v>
      </c>
      <c r="Z70" s="15" t="s">
        <v>1077</v>
      </c>
      <c r="AA70" s="15">
        <v>58</v>
      </c>
      <c r="AB70" s="15" t="s">
        <v>1078</v>
      </c>
      <c r="AC70" s="15">
        <v>110</v>
      </c>
      <c r="AD70" s="15" t="s">
        <v>973</v>
      </c>
      <c r="AE70" s="15">
        <v>33700.089</v>
      </c>
      <c r="AF70" s="15">
        <v>78.099999999999994</v>
      </c>
      <c r="AG70" s="15" t="s">
        <v>974</v>
      </c>
      <c r="AH70" s="15">
        <f>(AF70*10)</f>
        <v>781</v>
      </c>
    </row>
    <row r="71" spans="1:34" x14ac:dyDescent="0.25">
      <c r="A71">
        <v>58</v>
      </c>
      <c r="B71">
        <v>2016</v>
      </c>
      <c r="C71" s="18" t="s">
        <v>110</v>
      </c>
      <c r="D71">
        <v>12</v>
      </c>
      <c r="E71" s="5" t="s">
        <v>822</v>
      </c>
      <c r="F71">
        <v>3058.6</v>
      </c>
      <c r="H71" s="11">
        <v>42947</v>
      </c>
      <c r="I71" s="332">
        <v>0.28999999999999998</v>
      </c>
      <c r="J71" t="s">
        <v>821</v>
      </c>
      <c r="N71">
        <f>AH70</f>
        <v>781</v>
      </c>
      <c r="O71">
        <f t="shared" si="2"/>
        <v>780.6</v>
      </c>
      <c r="P71" s="3">
        <f t="shared" si="17"/>
        <v>7.8060000000000009</v>
      </c>
      <c r="Q71" s="3">
        <f t="shared" si="4"/>
        <v>9.7575000000000003</v>
      </c>
      <c r="R71" s="3">
        <f t="shared" si="18"/>
        <v>274.08817499999998</v>
      </c>
      <c r="S71" s="3">
        <f t="shared" si="19"/>
        <v>586.3281750000001</v>
      </c>
      <c r="T71" s="289">
        <f t="shared" si="7"/>
        <v>8.9612298110246513</v>
      </c>
      <c r="U71" s="289">
        <f t="shared" si="8"/>
        <v>19.169821977375275</v>
      </c>
      <c r="V71" s="3">
        <f>AVERAGE(T71:T72)</f>
        <v>9.0173174623934376</v>
      </c>
      <c r="W71" s="3">
        <f>AVERAGE(U71:U72)</f>
        <v>19.289804425604192</v>
      </c>
      <c r="X71" s="15"/>
      <c r="Y71" s="15"/>
      <c r="Z71" s="15"/>
      <c r="AA71" s="15"/>
      <c r="AB71" s="15" t="s">
        <v>1079</v>
      </c>
      <c r="AC71" s="15">
        <v>98</v>
      </c>
      <c r="AD71" s="15" t="s">
        <v>973</v>
      </c>
      <c r="AE71" s="15">
        <v>63936.052000000003</v>
      </c>
      <c r="AF71" s="15">
        <v>155.6</v>
      </c>
      <c r="AG71" s="15" t="s">
        <v>974</v>
      </c>
      <c r="AH71" s="15">
        <f>(AF71*5)</f>
        <v>778</v>
      </c>
    </row>
    <row r="72" spans="1:34" x14ac:dyDescent="0.25">
      <c r="A72">
        <v>59</v>
      </c>
      <c r="B72">
        <v>2016</v>
      </c>
      <c r="C72" s="18" t="s">
        <v>110</v>
      </c>
      <c r="D72">
        <v>12</v>
      </c>
      <c r="E72" s="5" t="s">
        <v>823</v>
      </c>
      <c r="F72">
        <v>3160.1</v>
      </c>
      <c r="H72" s="11">
        <v>42947</v>
      </c>
      <c r="I72" s="332">
        <v>0.28999999999999998</v>
      </c>
      <c r="J72" t="s">
        <v>821</v>
      </c>
      <c r="N72">
        <f>AH72</f>
        <v>817</v>
      </c>
      <c r="O72">
        <f t="shared" si="2"/>
        <v>816.6</v>
      </c>
      <c r="P72" s="3">
        <f t="shared" si="17"/>
        <v>8.1660000000000004</v>
      </c>
      <c r="Q72" s="3">
        <f t="shared" si="4"/>
        <v>10.2075</v>
      </c>
      <c r="R72" s="3">
        <f t="shared" si="18"/>
        <v>286.72867500000001</v>
      </c>
      <c r="S72" s="3">
        <f t="shared" si="19"/>
        <v>613.36867500000005</v>
      </c>
      <c r="T72" s="289">
        <f t="shared" si="7"/>
        <v>9.0734051137622238</v>
      </c>
      <c r="U72" s="289">
        <f t="shared" si="8"/>
        <v>19.409786873833109</v>
      </c>
      <c r="X72" s="15">
        <v>10637</v>
      </c>
      <c r="Y72">
        <v>2016</v>
      </c>
      <c r="Z72" s="15" t="s">
        <v>1080</v>
      </c>
      <c r="AA72" s="15">
        <v>59</v>
      </c>
      <c r="AB72" s="15" t="s">
        <v>1081</v>
      </c>
      <c r="AC72" s="15">
        <v>133</v>
      </c>
      <c r="AD72" s="15" t="s">
        <v>973</v>
      </c>
      <c r="AE72" s="15">
        <v>34709.455699999999</v>
      </c>
      <c r="AF72" s="15">
        <v>81.7</v>
      </c>
      <c r="AG72" s="15" t="s">
        <v>974</v>
      </c>
      <c r="AH72" s="15">
        <f>(AF72*10)</f>
        <v>817</v>
      </c>
    </row>
    <row r="73" spans="1:34" x14ac:dyDescent="0.25">
      <c r="A73">
        <v>60</v>
      </c>
      <c r="B73">
        <v>2016</v>
      </c>
      <c r="C73" s="18" t="s">
        <v>110</v>
      </c>
      <c r="D73">
        <v>13</v>
      </c>
      <c r="F73">
        <v>2821.7</v>
      </c>
      <c r="H73" s="11">
        <v>42947</v>
      </c>
      <c r="I73" s="332">
        <v>0.28999999999999998</v>
      </c>
      <c r="J73" t="s">
        <v>821</v>
      </c>
      <c r="N73">
        <f>AH74</f>
        <v>568</v>
      </c>
      <c r="O73">
        <f t="shared" si="2"/>
        <v>567.6</v>
      </c>
      <c r="P73" s="3">
        <f t="shared" si="17"/>
        <v>5.6760000000000002</v>
      </c>
      <c r="Q73" s="3">
        <f t="shared" si="4"/>
        <v>7.0950000000000006</v>
      </c>
      <c r="R73" s="3">
        <f t="shared" si="18"/>
        <v>199.29855000000001</v>
      </c>
      <c r="S73" s="3">
        <f t="shared" si="19"/>
        <v>426.33855000000005</v>
      </c>
      <c r="T73" s="3">
        <f t="shared" si="7"/>
        <v>7.0630665910621264</v>
      </c>
      <c r="U73" s="3">
        <f t="shared" si="8"/>
        <v>15.109279866747</v>
      </c>
      <c r="X73" s="15"/>
      <c r="Y73" s="15"/>
      <c r="Z73" s="15"/>
      <c r="AA73" s="15"/>
      <c r="AB73" s="15" t="s">
        <v>1082</v>
      </c>
      <c r="AC73" s="15">
        <v>99</v>
      </c>
      <c r="AD73" s="15" t="s">
        <v>973</v>
      </c>
      <c r="AE73" s="15">
        <v>65556.125100000005</v>
      </c>
      <c r="AF73" s="15">
        <v>159.80000000000001</v>
      </c>
      <c r="AG73" s="15" t="s">
        <v>1009</v>
      </c>
      <c r="AH73" s="15">
        <f>(AF73*5)</f>
        <v>799</v>
      </c>
    </row>
    <row r="74" spans="1:34" x14ac:dyDescent="0.25">
      <c r="A74" s="360">
        <v>61</v>
      </c>
      <c r="B74" s="360"/>
      <c r="C74" s="407" t="s">
        <v>226</v>
      </c>
      <c r="D74" s="360">
        <v>1</v>
      </c>
      <c r="E74" s="408"/>
      <c r="F74" s="360">
        <v>3526.4</v>
      </c>
      <c r="G74" s="360"/>
      <c r="H74" s="409">
        <v>42947</v>
      </c>
      <c r="I74" s="410">
        <v>0.28999999999999998</v>
      </c>
      <c r="J74" s="360" t="s">
        <v>821</v>
      </c>
      <c r="K74" s="360"/>
      <c r="L74" s="360"/>
      <c r="M74" s="360"/>
      <c r="N74" s="360">
        <f>AH76</f>
        <v>407</v>
      </c>
      <c r="O74">
        <f t="shared" si="2"/>
        <v>406.6</v>
      </c>
      <c r="P74" s="289">
        <f>(O74/1000)*10</f>
        <v>4.0659999999999998</v>
      </c>
      <c r="Q74" s="3">
        <f t="shared" si="4"/>
        <v>5.0824999999999996</v>
      </c>
      <c r="R74" s="289">
        <f t="shared" si="18"/>
        <v>142.76742499999997</v>
      </c>
      <c r="S74" s="289">
        <f t="shared" si="19"/>
        <v>305.40742499999999</v>
      </c>
      <c r="T74" s="289">
        <f t="shared" si="7"/>
        <v>4.0485317887931025</v>
      </c>
      <c r="U74" s="289">
        <f t="shared" si="8"/>
        <v>8.6606007543103445</v>
      </c>
      <c r="X74" s="15">
        <v>10638</v>
      </c>
      <c r="Y74">
        <v>2016</v>
      </c>
      <c r="Z74" s="15" t="s">
        <v>1083</v>
      </c>
      <c r="AA74" s="15">
        <v>60</v>
      </c>
      <c r="AB74" s="15" t="s">
        <v>1084</v>
      </c>
      <c r="AC74" s="15">
        <v>111</v>
      </c>
      <c r="AD74" s="15" t="s">
        <v>973</v>
      </c>
      <c r="AE74" s="15">
        <v>25358.439900000001</v>
      </c>
      <c r="AF74" s="15">
        <v>56.8</v>
      </c>
      <c r="AG74" s="15" t="s">
        <v>974</v>
      </c>
      <c r="AH74" s="15">
        <f>(AF74*10)</f>
        <v>568</v>
      </c>
    </row>
    <row r="75" spans="1:34" x14ac:dyDescent="0.25">
      <c r="A75" s="360">
        <v>62</v>
      </c>
      <c r="B75" s="360"/>
      <c r="C75" s="407" t="s">
        <v>226</v>
      </c>
      <c r="D75" s="360">
        <v>2</v>
      </c>
      <c r="E75" s="408"/>
      <c r="F75" s="360">
        <v>3163.2</v>
      </c>
      <c r="G75" s="360"/>
      <c r="H75" s="409">
        <v>42947</v>
      </c>
      <c r="I75" s="410">
        <v>0.28999999999999998</v>
      </c>
      <c r="J75" s="360" t="s">
        <v>821</v>
      </c>
      <c r="K75" s="360"/>
      <c r="L75" s="360"/>
      <c r="M75" s="360"/>
      <c r="N75" s="360">
        <f>AH77</f>
        <v>379</v>
      </c>
      <c r="O75">
        <f t="shared" si="2"/>
        <v>378.6</v>
      </c>
      <c r="P75" s="289">
        <f t="shared" ref="P75:P78" si="20">(O75/1000)*10</f>
        <v>3.7860000000000005</v>
      </c>
      <c r="Q75" s="3">
        <f t="shared" si="4"/>
        <v>4.7325000000000008</v>
      </c>
      <c r="R75" s="289">
        <f t="shared" si="18"/>
        <v>132.93592500000003</v>
      </c>
      <c r="S75" s="289">
        <f t="shared" si="19"/>
        <v>284.37592500000005</v>
      </c>
      <c r="T75" s="289">
        <f t="shared" si="7"/>
        <v>4.2025772951441587</v>
      </c>
      <c r="U75" s="289">
        <f t="shared" si="8"/>
        <v>8.9901341995447659</v>
      </c>
      <c r="X75" s="15"/>
      <c r="Y75" s="15"/>
      <c r="Z75" s="15"/>
      <c r="AA75" s="15"/>
      <c r="AB75" s="15" t="s">
        <v>1085</v>
      </c>
      <c r="AC75" s="15">
        <v>100</v>
      </c>
      <c r="AD75" s="15" t="s">
        <v>973</v>
      </c>
      <c r="AE75" s="15">
        <v>47067.229399999997</v>
      </c>
      <c r="AF75" s="15">
        <v>112.4</v>
      </c>
      <c r="AG75" s="15" t="s">
        <v>974</v>
      </c>
      <c r="AH75" s="15">
        <f t="shared" ref="AH75:AH125" si="21">(AF75*5)</f>
        <v>562</v>
      </c>
    </row>
    <row r="76" spans="1:34" x14ac:dyDescent="0.25">
      <c r="A76" s="360">
        <v>63</v>
      </c>
      <c r="B76" s="360"/>
      <c r="C76" s="407" t="s">
        <v>226</v>
      </c>
      <c r="D76" s="360">
        <v>3</v>
      </c>
      <c r="E76" s="408"/>
      <c r="F76" s="360">
        <v>3401.8</v>
      </c>
      <c r="G76" s="360"/>
      <c r="H76" s="409">
        <v>42947</v>
      </c>
      <c r="I76" s="410">
        <v>0.28999999999999998</v>
      </c>
      <c r="J76" s="360" t="s">
        <v>821</v>
      </c>
      <c r="K76" s="360"/>
      <c r="L76" s="360"/>
      <c r="M76" s="360"/>
      <c r="N76" s="360">
        <f>AH21</f>
        <v>393</v>
      </c>
      <c r="O76">
        <f t="shared" si="2"/>
        <v>392.6</v>
      </c>
      <c r="P76" s="289">
        <f t="shared" si="20"/>
        <v>3.9260000000000002</v>
      </c>
      <c r="Q76" s="3">
        <f t="shared" si="4"/>
        <v>4.9075000000000006</v>
      </c>
      <c r="R76" s="289">
        <f t="shared" si="18"/>
        <v>137.85167500000003</v>
      </c>
      <c r="S76" s="289">
        <f t="shared" si="19"/>
        <v>294.89167500000008</v>
      </c>
      <c r="T76" s="289">
        <f t="shared" si="7"/>
        <v>4.0523156858133937</v>
      </c>
      <c r="U76" s="289">
        <f t="shared" si="8"/>
        <v>8.6686952495737568</v>
      </c>
      <c r="X76" s="15">
        <v>10639</v>
      </c>
      <c r="Y76" s="15"/>
      <c r="Z76" s="15" t="s">
        <v>796</v>
      </c>
      <c r="AA76" s="15">
        <v>61</v>
      </c>
      <c r="AB76" s="15" t="s">
        <v>1086</v>
      </c>
      <c r="AC76" s="15">
        <v>101</v>
      </c>
      <c r="AD76" s="15" t="s">
        <v>973</v>
      </c>
      <c r="AE76" s="15">
        <v>34977.107499999998</v>
      </c>
      <c r="AF76" s="15">
        <v>81.400000000000006</v>
      </c>
      <c r="AG76" s="15" t="s">
        <v>974</v>
      </c>
      <c r="AH76" s="15">
        <f t="shared" si="21"/>
        <v>407</v>
      </c>
    </row>
    <row r="77" spans="1:34" x14ac:dyDescent="0.25">
      <c r="A77" s="360">
        <v>64</v>
      </c>
      <c r="B77" s="360"/>
      <c r="C77" s="407" t="s">
        <v>226</v>
      </c>
      <c r="D77" s="360">
        <v>4</v>
      </c>
      <c r="E77" s="408"/>
      <c r="F77" s="360">
        <v>3801.5</v>
      </c>
      <c r="G77" s="360"/>
      <c r="H77" s="409">
        <v>42947</v>
      </c>
      <c r="I77" s="410">
        <v>0.28999999999999998</v>
      </c>
      <c r="J77" s="360" t="s">
        <v>821</v>
      </c>
      <c r="K77" s="360"/>
      <c r="L77" s="360"/>
      <c r="M77" s="360"/>
      <c r="N77" s="360">
        <f>AH78</f>
        <v>448.5</v>
      </c>
      <c r="O77">
        <f t="shared" si="2"/>
        <v>448.1</v>
      </c>
      <c r="P77" s="289">
        <f t="shared" si="20"/>
        <v>4.4809999999999999</v>
      </c>
      <c r="Q77" s="3">
        <f t="shared" si="4"/>
        <v>5.6012500000000003</v>
      </c>
      <c r="R77" s="289">
        <f t="shared" si="18"/>
        <v>157.3391125</v>
      </c>
      <c r="S77" s="289">
        <f t="shared" si="19"/>
        <v>336.57911250000001</v>
      </c>
      <c r="T77" s="289">
        <f t="shared" si="7"/>
        <v>4.1388691963698543</v>
      </c>
      <c r="U77" s="289">
        <f t="shared" si="8"/>
        <v>8.8538501249506787</v>
      </c>
      <c r="X77" s="15">
        <v>10640</v>
      </c>
      <c r="Y77" s="15"/>
      <c r="Z77" s="15" t="s">
        <v>797</v>
      </c>
      <c r="AA77" s="15">
        <v>62</v>
      </c>
      <c r="AB77" s="15" t="s">
        <v>1087</v>
      </c>
      <c r="AC77" s="15">
        <v>102</v>
      </c>
      <c r="AD77" s="15" t="s">
        <v>973</v>
      </c>
      <c r="AE77" s="15">
        <v>32760.209500000001</v>
      </c>
      <c r="AF77" s="15">
        <v>75.8</v>
      </c>
      <c r="AG77" s="15" t="s">
        <v>974</v>
      </c>
      <c r="AH77" s="15">
        <f t="shared" si="21"/>
        <v>379</v>
      </c>
    </row>
    <row r="78" spans="1:34" x14ac:dyDescent="0.25">
      <c r="A78" s="360">
        <v>65</v>
      </c>
      <c r="B78" s="360"/>
      <c r="C78" s="407" t="s">
        <v>226</v>
      </c>
      <c r="D78" s="360">
        <v>5</v>
      </c>
      <c r="E78" s="408"/>
      <c r="F78" s="360">
        <v>2319.1</v>
      </c>
      <c r="G78" s="360"/>
      <c r="H78" s="409">
        <v>42947</v>
      </c>
      <c r="I78" s="410">
        <v>0.28999999999999998</v>
      </c>
      <c r="J78" s="360" t="s">
        <v>821</v>
      </c>
      <c r="K78" s="360"/>
      <c r="L78" s="360"/>
      <c r="M78" s="360"/>
      <c r="N78" s="360">
        <f>AH79</f>
        <v>277.5</v>
      </c>
      <c r="O78">
        <f t="shared" si="2"/>
        <v>277.10000000000002</v>
      </c>
      <c r="P78" s="289">
        <f t="shared" si="20"/>
        <v>2.7709999999999999</v>
      </c>
      <c r="Q78" s="3">
        <f t="shared" si="4"/>
        <v>3.4637500000000001</v>
      </c>
      <c r="R78" s="289">
        <f t="shared" si="18"/>
        <v>97.296737500000006</v>
      </c>
      <c r="S78" s="289">
        <f t="shared" si="19"/>
        <v>208.13673750000001</v>
      </c>
      <c r="T78" s="289">
        <f t="shared" si="7"/>
        <v>4.1954524384459493</v>
      </c>
      <c r="U78" s="289">
        <f t="shared" si="8"/>
        <v>8.9748927385623745</v>
      </c>
      <c r="X78" s="15">
        <v>10641</v>
      </c>
      <c r="Y78" s="15"/>
      <c r="Z78" s="15" t="s">
        <v>1088</v>
      </c>
      <c r="AA78" s="15">
        <v>64</v>
      </c>
      <c r="AB78" s="15" t="s">
        <v>1089</v>
      </c>
      <c r="AC78" s="15">
        <v>103</v>
      </c>
      <c r="AD78" s="15" t="s">
        <v>973</v>
      </c>
      <c r="AE78" s="15">
        <v>38188.734700000001</v>
      </c>
      <c r="AF78" s="15">
        <v>89.7</v>
      </c>
      <c r="AG78" s="15" t="s">
        <v>974</v>
      </c>
      <c r="AH78" s="15">
        <f t="shared" si="21"/>
        <v>448.5</v>
      </c>
    </row>
    <row r="79" spans="1:34" x14ac:dyDescent="0.25">
      <c r="C79" s="18"/>
      <c r="I79" s="332"/>
      <c r="P79" t="s">
        <v>3086</v>
      </c>
      <c r="Q79" s="3">
        <f>AVERAGE(N14:N29,N36:N55,N59:N73)</f>
        <v>447.73333333333335</v>
      </c>
      <c r="R79" s="289"/>
      <c r="S79" s="17" t="s">
        <v>3084</v>
      </c>
      <c r="T79" s="3">
        <f>AVERAGE(T74:T78)</f>
        <v>4.127549280913291</v>
      </c>
      <c r="X79" s="15">
        <v>10642</v>
      </c>
      <c r="Y79" s="15"/>
      <c r="Z79" s="15" t="s">
        <v>1090</v>
      </c>
      <c r="AA79" s="15">
        <v>65</v>
      </c>
      <c r="AB79" s="15" t="s">
        <v>1091</v>
      </c>
      <c r="AC79" s="15">
        <v>104</v>
      </c>
      <c r="AD79" s="15" t="s">
        <v>973</v>
      </c>
      <c r="AE79" s="15">
        <v>24866.000899999999</v>
      </c>
      <c r="AF79" s="15">
        <v>55.5</v>
      </c>
      <c r="AG79" s="15" t="s">
        <v>974</v>
      </c>
      <c r="AH79" s="15">
        <f t="shared" si="21"/>
        <v>277.5</v>
      </c>
    </row>
    <row r="80" spans="1:34" x14ac:dyDescent="0.25">
      <c r="C80" s="18"/>
      <c r="I80" s="332"/>
      <c r="P80" t="s">
        <v>3085</v>
      </c>
      <c r="Q80" s="3">
        <f>_xlfn.STDEV.P(N14:N29,N36:N55,N59:N73)</f>
        <v>214.81933738008379</v>
      </c>
      <c r="R80" s="289"/>
      <c r="S80" s="17" t="s">
        <v>3085</v>
      </c>
      <c r="T80" s="289">
        <f>_xlfn.STDEV.P(T74:T78)</f>
        <v>6.6741351650824954E-2</v>
      </c>
      <c r="X80" s="15">
        <v>10643</v>
      </c>
      <c r="Y80">
        <v>2015</v>
      </c>
      <c r="Z80" s="15" t="s">
        <v>1092</v>
      </c>
      <c r="AA80" s="15">
        <v>66</v>
      </c>
      <c r="AB80" s="15" t="s">
        <v>1093</v>
      </c>
      <c r="AC80" s="15">
        <v>105</v>
      </c>
      <c r="AD80" s="15" t="s">
        <v>973</v>
      </c>
      <c r="AE80" s="15">
        <v>14754.591899999999</v>
      </c>
      <c r="AF80" s="15">
        <v>29.6</v>
      </c>
      <c r="AG80" s="15" t="s">
        <v>974</v>
      </c>
      <c r="AH80" s="15">
        <f t="shared" si="21"/>
        <v>148</v>
      </c>
    </row>
    <row r="81" spans="3:34" x14ac:dyDescent="0.25">
      <c r="C81" s="18"/>
      <c r="I81" s="332"/>
      <c r="P81" t="s">
        <v>900</v>
      </c>
      <c r="Q81">
        <f>COUNT(N14:N29,N36:N55,N59:N73)</f>
        <v>51</v>
      </c>
      <c r="X81" s="15">
        <v>10644</v>
      </c>
      <c r="Y81">
        <v>2015</v>
      </c>
      <c r="Z81" s="15" t="s">
        <v>1094</v>
      </c>
      <c r="AA81" s="15">
        <v>67</v>
      </c>
      <c r="AB81" s="15" t="s">
        <v>1095</v>
      </c>
      <c r="AC81" s="15">
        <v>106</v>
      </c>
      <c r="AD81" s="15" t="s">
        <v>973</v>
      </c>
      <c r="AE81" s="15">
        <v>19223.7045</v>
      </c>
      <c r="AF81" s="15">
        <v>41.1</v>
      </c>
      <c r="AG81" s="15" t="s">
        <v>974</v>
      </c>
      <c r="AH81" s="15">
        <f t="shared" si="21"/>
        <v>205.5</v>
      </c>
    </row>
    <row r="82" spans="3:34" x14ac:dyDescent="0.25">
      <c r="I82" s="332"/>
      <c r="S82" s="17"/>
      <c r="X82" s="15">
        <v>10645</v>
      </c>
      <c r="Y82">
        <v>2015</v>
      </c>
      <c r="Z82" s="15" t="s">
        <v>1096</v>
      </c>
      <c r="AA82" s="15">
        <v>68</v>
      </c>
      <c r="AB82" s="15" t="s">
        <v>1097</v>
      </c>
      <c r="AC82" s="15">
        <v>38</v>
      </c>
      <c r="AD82" s="15" t="s">
        <v>973</v>
      </c>
      <c r="AE82" s="15">
        <v>24212.643</v>
      </c>
      <c r="AF82" s="15">
        <v>54.4</v>
      </c>
      <c r="AG82" s="15" t="s">
        <v>974</v>
      </c>
      <c r="AH82" s="15">
        <f t="shared" si="21"/>
        <v>272</v>
      </c>
    </row>
    <row r="83" spans="3:34" x14ac:dyDescent="0.25">
      <c r="I83" s="332"/>
      <c r="Q83">
        <f>(M14/Q79)*100</f>
        <v>8.9338892197736747E-2</v>
      </c>
      <c r="S83" s="17"/>
      <c r="X83" s="15">
        <v>10646</v>
      </c>
      <c r="Y83">
        <v>2015</v>
      </c>
      <c r="Z83" s="15" t="s">
        <v>1098</v>
      </c>
      <c r="AA83" s="15">
        <v>69</v>
      </c>
      <c r="AB83" s="15" t="s">
        <v>1099</v>
      </c>
      <c r="AC83" s="15">
        <v>39</v>
      </c>
      <c r="AD83" s="15" t="s">
        <v>973</v>
      </c>
      <c r="AE83" s="15">
        <v>40563.249000000003</v>
      </c>
      <c r="AF83" s="15">
        <v>96.4</v>
      </c>
      <c r="AG83" s="15" t="s">
        <v>974</v>
      </c>
      <c r="AH83" s="15">
        <f t="shared" si="21"/>
        <v>482</v>
      </c>
    </row>
    <row r="84" spans="3:34" x14ac:dyDescent="0.25">
      <c r="I84" s="332"/>
      <c r="X84" s="15">
        <v>10647</v>
      </c>
      <c r="Y84">
        <v>2015</v>
      </c>
      <c r="Z84" s="15" t="s">
        <v>1100</v>
      </c>
      <c r="AA84" s="15">
        <v>70</v>
      </c>
      <c r="AB84" s="15" t="s">
        <v>1101</v>
      </c>
      <c r="AC84" s="15">
        <v>40</v>
      </c>
      <c r="AD84" s="15" t="s">
        <v>973</v>
      </c>
      <c r="AE84" s="15">
        <v>45138.371099999997</v>
      </c>
      <c r="AF84" s="15">
        <v>108.2</v>
      </c>
      <c r="AG84" s="15" t="s">
        <v>974</v>
      </c>
      <c r="AH84" s="15">
        <f t="shared" si="21"/>
        <v>541</v>
      </c>
    </row>
    <row r="85" spans="3:34" x14ac:dyDescent="0.25">
      <c r="I85" s="332"/>
      <c r="X85" s="15">
        <v>10648</v>
      </c>
      <c r="Y85">
        <v>2015</v>
      </c>
      <c r="Z85" s="15" t="s">
        <v>1102</v>
      </c>
      <c r="AA85" s="15">
        <v>71</v>
      </c>
      <c r="AB85" s="15" t="s">
        <v>1103</v>
      </c>
      <c r="AC85" s="15">
        <v>41</v>
      </c>
      <c r="AD85" s="15" t="s">
        <v>973</v>
      </c>
      <c r="AE85" s="15">
        <v>41431.382400000002</v>
      </c>
      <c r="AF85" s="15">
        <v>98.6</v>
      </c>
      <c r="AG85" s="15" t="s">
        <v>974</v>
      </c>
      <c r="AH85" s="15">
        <f t="shared" si="21"/>
        <v>493</v>
      </c>
    </row>
    <row r="86" spans="3:34" x14ac:dyDescent="0.25">
      <c r="I86" s="332"/>
      <c r="X86" s="15">
        <v>10649</v>
      </c>
      <c r="Y86">
        <v>2015</v>
      </c>
      <c r="Z86" s="15" t="s">
        <v>1104</v>
      </c>
      <c r="AA86" s="15">
        <v>72</v>
      </c>
      <c r="AB86" s="15" t="s">
        <v>1105</v>
      </c>
      <c r="AC86" s="15">
        <v>42</v>
      </c>
      <c r="AD86" s="15" t="s">
        <v>973</v>
      </c>
      <c r="AE86" s="15">
        <v>21404.662499999999</v>
      </c>
      <c r="AF86" s="15">
        <v>47.1</v>
      </c>
      <c r="AG86" s="15" t="s">
        <v>974</v>
      </c>
      <c r="AH86" s="15">
        <f t="shared" si="21"/>
        <v>235.5</v>
      </c>
    </row>
    <row r="87" spans="3:34" x14ac:dyDescent="0.25">
      <c r="I87" s="332"/>
      <c r="X87" s="15">
        <v>10650</v>
      </c>
      <c r="Y87">
        <v>2015</v>
      </c>
      <c r="Z87" s="15" t="s">
        <v>1106</v>
      </c>
      <c r="AA87" s="15">
        <v>73</v>
      </c>
      <c r="AB87" s="15" t="s">
        <v>1107</v>
      </c>
      <c r="AC87" s="15">
        <v>43</v>
      </c>
      <c r="AD87" s="15" t="s">
        <v>973</v>
      </c>
      <c r="AE87" s="15">
        <v>42358.7575</v>
      </c>
      <c r="AF87" s="15">
        <v>101.1</v>
      </c>
      <c r="AG87" s="15" t="s">
        <v>974</v>
      </c>
      <c r="AH87" s="15">
        <f t="shared" si="21"/>
        <v>505.5</v>
      </c>
    </row>
    <row r="88" spans="3:34" x14ac:dyDescent="0.25">
      <c r="I88" s="332"/>
      <c r="X88" s="15">
        <v>10651</v>
      </c>
      <c r="Y88">
        <v>2015</v>
      </c>
      <c r="Z88" s="15" t="s">
        <v>1108</v>
      </c>
      <c r="AA88" s="15">
        <v>74</v>
      </c>
      <c r="AB88" s="15" t="s">
        <v>1109</v>
      </c>
      <c r="AC88" s="15">
        <v>44</v>
      </c>
      <c r="AD88" s="15" t="s">
        <v>973</v>
      </c>
      <c r="AE88" s="15">
        <v>47241.857000000004</v>
      </c>
      <c r="AF88" s="15">
        <v>113.6</v>
      </c>
      <c r="AG88" s="15" t="s">
        <v>974</v>
      </c>
      <c r="AH88" s="15">
        <f t="shared" si="21"/>
        <v>568</v>
      </c>
    </row>
    <row r="89" spans="3:34" x14ac:dyDescent="0.25">
      <c r="I89" s="332"/>
      <c r="X89" s="15">
        <v>10652</v>
      </c>
      <c r="Y89">
        <v>2015</v>
      </c>
      <c r="Z89" s="15" t="s">
        <v>1110</v>
      </c>
      <c r="AA89" s="15">
        <v>75</v>
      </c>
      <c r="AB89" s="15" t="s">
        <v>1111</v>
      </c>
      <c r="AC89" s="15">
        <v>45</v>
      </c>
      <c r="AD89" s="15" t="s">
        <v>973</v>
      </c>
      <c r="AE89" s="15">
        <v>38772.3105</v>
      </c>
      <c r="AF89" s="15">
        <v>91.8</v>
      </c>
      <c r="AG89" s="15" t="s">
        <v>974</v>
      </c>
      <c r="AH89" s="15">
        <f t="shared" si="21"/>
        <v>459</v>
      </c>
    </row>
    <row r="90" spans="3:34" x14ac:dyDescent="0.25">
      <c r="I90" s="332"/>
      <c r="X90" s="15">
        <v>10653</v>
      </c>
      <c r="Y90" s="15"/>
      <c r="Z90" s="15" t="s">
        <v>796</v>
      </c>
      <c r="AA90" s="15">
        <v>76</v>
      </c>
      <c r="AB90" s="15" t="s">
        <v>1112</v>
      </c>
      <c r="AC90" s="15">
        <v>46</v>
      </c>
      <c r="AD90" s="15" t="s">
        <v>973</v>
      </c>
      <c r="AE90" s="15">
        <v>27290.379799999999</v>
      </c>
      <c r="AF90" s="15">
        <v>62.3</v>
      </c>
      <c r="AG90" s="15" t="s">
        <v>974</v>
      </c>
      <c r="AH90" s="15">
        <f t="shared" si="21"/>
        <v>311.5</v>
      </c>
    </row>
    <row r="91" spans="3:34" x14ac:dyDescent="0.25">
      <c r="I91" s="332"/>
      <c r="X91" s="15">
        <v>10654</v>
      </c>
      <c r="Y91" s="15"/>
      <c r="Z91" s="15" t="s">
        <v>797</v>
      </c>
      <c r="AA91" s="15">
        <v>77</v>
      </c>
      <c r="AB91" s="15" t="s">
        <v>1113</v>
      </c>
      <c r="AC91" s="15">
        <v>47</v>
      </c>
      <c r="AD91" s="15" t="s">
        <v>973</v>
      </c>
      <c r="AE91" s="15">
        <v>31635.3541</v>
      </c>
      <c r="AF91" s="15">
        <v>73.5</v>
      </c>
      <c r="AG91" s="15" t="s">
        <v>974</v>
      </c>
      <c r="AH91" s="15">
        <f t="shared" si="21"/>
        <v>367.5</v>
      </c>
    </row>
    <row r="92" spans="3:34" x14ac:dyDescent="0.25">
      <c r="I92" s="332"/>
      <c r="X92" s="15">
        <v>10655</v>
      </c>
      <c r="Y92">
        <v>2015</v>
      </c>
      <c r="Z92" s="15" t="s">
        <v>1114</v>
      </c>
      <c r="AA92" s="15">
        <v>78</v>
      </c>
      <c r="AB92" s="15" t="s">
        <v>1115</v>
      </c>
      <c r="AC92" s="15">
        <v>48</v>
      </c>
      <c r="AD92" s="15" t="s">
        <v>973</v>
      </c>
      <c r="AE92" s="15">
        <v>35287.256500000003</v>
      </c>
      <c r="AF92" s="15">
        <v>82.9</v>
      </c>
      <c r="AG92" s="15" t="s">
        <v>974</v>
      </c>
      <c r="AH92" s="15">
        <f t="shared" si="21"/>
        <v>414.5</v>
      </c>
    </row>
    <row r="93" spans="3:34" x14ac:dyDescent="0.25">
      <c r="I93" s="332"/>
      <c r="X93" s="15">
        <v>10656</v>
      </c>
      <c r="Y93">
        <v>2015</v>
      </c>
      <c r="Z93" s="15" t="s">
        <v>1116</v>
      </c>
      <c r="AA93" s="15">
        <v>79</v>
      </c>
      <c r="AB93" s="15" t="s">
        <v>1117</v>
      </c>
      <c r="AC93" s="15">
        <v>49</v>
      </c>
      <c r="AD93" s="15" t="s">
        <v>973</v>
      </c>
      <c r="AE93" s="15">
        <v>38167.740899999997</v>
      </c>
      <c r="AF93" s="15">
        <v>90.3</v>
      </c>
      <c r="AG93" s="15" t="s">
        <v>974</v>
      </c>
      <c r="AH93" s="15">
        <f t="shared" si="21"/>
        <v>451.5</v>
      </c>
    </row>
    <row r="94" spans="3:34" x14ac:dyDescent="0.25">
      <c r="I94" s="332"/>
      <c r="X94" s="15">
        <v>10657</v>
      </c>
      <c r="Y94">
        <v>2015</v>
      </c>
      <c r="Z94" s="15" t="s">
        <v>1118</v>
      </c>
      <c r="AA94" s="15">
        <v>80</v>
      </c>
      <c r="AB94" s="15" t="s">
        <v>1119</v>
      </c>
      <c r="AC94" s="15">
        <v>50</v>
      </c>
      <c r="AD94" s="15" t="s">
        <v>973</v>
      </c>
      <c r="AE94" s="15">
        <v>48266.245499999997</v>
      </c>
      <c r="AF94" s="15">
        <v>116.3</v>
      </c>
      <c r="AG94" s="15" t="s">
        <v>974</v>
      </c>
      <c r="AH94" s="15">
        <f t="shared" si="21"/>
        <v>581.5</v>
      </c>
    </row>
    <row r="95" spans="3:34" x14ac:dyDescent="0.25">
      <c r="I95" s="332"/>
      <c r="X95" s="15">
        <v>10658</v>
      </c>
      <c r="Y95">
        <v>2015</v>
      </c>
      <c r="Z95" s="15" t="s">
        <v>1120</v>
      </c>
      <c r="AA95" s="15">
        <v>81</v>
      </c>
      <c r="AB95" s="15" t="s">
        <v>1121</v>
      </c>
      <c r="AC95" s="15">
        <v>51</v>
      </c>
      <c r="AD95" s="15" t="s">
        <v>973</v>
      </c>
      <c r="AE95" s="15">
        <v>53247.841200000003</v>
      </c>
      <c r="AF95" s="15">
        <v>129</v>
      </c>
      <c r="AG95" s="15" t="s">
        <v>974</v>
      </c>
      <c r="AH95" s="15">
        <f t="shared" si="21"/>
        <v>645</v>
      </c>
    </row>
    <row r="96" spans="3:34" x14ac:dyDescent="0.25">
      <c r="I96" s="332"/>
      <c r="X96" s="15">
        <v>10659</v>
      </c>
      <c r="Y96">
        <v>2015</v>
      </c>
      <c r="Z96" s="15" t="s">
        <v>1122</v>
      </c>
      <c r="AA96" s="15">
        <v>82</v>
      </c>
      <c r="AB96" s="15" t="s">
        <v>1123</v>
      </c>
      <c r="AC96" s="15">
        <v>52</v>
      </c>
      <c r="AD96" s="15" t="s">
        <v>973</v>
      </c>
      <c r="AE96" s="15">
        <v>47854.670899999997</v>
      </c>
      <c r="AF96" s="15">
        <v>115.2</v>
      </c>
      <c r="AG96" s="15" t="s">
        <v>974</v>
      </c>
      <c r="AH96" s="15">
        <f t="shared" si="21"/>
        <v>576</v>
      </c>
    </row>
    <row r="97" spans="9:34" x14ac:dyDescent="0.25">
      <c r="I97" s="332"/>
      <c r="X97" s="15">
        <v>10660</v>
      </c>
      <c r="Y97">
        <v>2015</v>
      </c>
      <c r="Z97" s="15" t="s">
        <v>1124</v>
      </c>
      <c r="AA97" s="15">
        <v>83</v>
      </c>
      <c r="AB97" s="15" t="s">
        <v>1125</v>
      </c>
      <c r="AC97" s="15">
        <v>53</v>
      </c>
      <c r="AD97" s="15" t="s">
        <v>973</v>
      </c>
      <c r="AE97" s="15">
        <v>44095.287499999999</v>
      </c>
      <c r="AF97" s="15">
        <v>105.5</v>
      </c>
      <c r="AG97" s="15" t="s">
        <v>974</v>
      </c>
      <c r="AH97" s="15">
        <f t="shared" si="21"/>
        <v>527.5</v>
      </c>
    </row>
    <row r="98" spans="9:34" x14ac:dyDescent="0.25">
      <c r="I98" s="332"/>
      <c r="X98" s="15">
        <v>10661</v>
      </c>
      <c r="Y98">
        <v>2015</v>
      </c>
      <c r="Z98" s="15" t="s">
        <v>1126</v>
      </c>
      <c r="AA98" s="15">
        <v>84</v>
      </c>
      <c r="AB98" s="15" t="s">
        <v>1127</v>
      </c>
      <c r="AC98" s="15">
        <v>54</v>
      </c>
      <c r="AD98" s="15" t="s">
        <v>973</v>
      </c>
      <c r="AE98" s="15">
        <v>29557.940900000001</v>
      </c>
      <c r="AF98" s="15">
        <v>68.099999999999994</v>
      </c>
      <c r="AG98" s="15" t="s">
        <v>974</v>
      </c>
      <c r="AH98" s="15">
        <f t="shared" si="21"/>
        <v>340.5</v>
      </c>
    </row>
    <row r="99" spans="9:34" x14ac:dyDescent="0.25">
      <c r="I99" s="332"/>
      <c r="X99" s="15">
        <v>10662</v>
      </c>
      <c r="Y99">
        <v>2015</v>
      </c>
      <c r="Z99" s="15" t="s">
        <v>1128</v>
      </c>
      <c r="AA99" s="15">
        <v>85</v>
      </c>
      <c r="AB99" s="15" t="s">
        <v>1129</v>
      </c>
      <c r="AC99" s="15">
        <v>55</v>
      </c>
      <c r="AD99" s="15" t="s">
        <v>973</v>
      </c>
      <c r="AE99" s="15">
        <v>20762.549800000001</v>
      </c>
      <c r="AF99" s="15">
        <v>45.5</v>
      </c>
      <c r="AG99" s="15" t="s">
        <v>974</v>
      </c>
      <c r="AH99" s="15">
        <f t="shared" si="21"/>
        <v>227.5</v>
      </c>
    </row>
    <row r="100" spans="9:34" x14ac:dyDescent="0.25">
      <c r="I100" s="332"/>
      <c r="X100" s="15">
        <v>10663</v>
      </c>
      <c r="Y100">
        <v>2015</v>
      </c>
      <c r="Z100" s="15" t="s">
        <v>1130</v>
      </c>
      <c r="AA100" s="15">
        <v>86</v>
      </c>
      <c r="AB100" s="15" t="s">
        <v>1131</v>
      </c>
      <c r="AC100" s="15">
        <v>56</v>
      </c>
      <c r="AD100" s="15" t="s">
        <v>973</v>
      </c>
      <c r="AE100" s="15">
        <v>12472.239799999999</v>
      </c>
      <c r="AF100" s="15">
        <v>24.2</v>
      </c>
      <c r="AG100" s="15" t="s">
        <v>974</v>
      </c>
      <c r="AH100" s="15">
        <f t="shared" si="21"/>
        <v>121</v>
      </c>
    </row>
    <row r="101" spans="9:34" x14ac:dyDescent="0.25">
      <c r="I101" s="332"/>
      <c r="X101" s="15">
        <v>10664</v>
      </c>
      <c r="Y101">
        <v>2015</v>
      </c>
      <c r="Z101" s="15" t="s">
        <v>1132</v>
      </c>
      <c r="AA101" s="15">
        <v>87</v>
      </c>
      <c r="AB101" s="15" t="s">
        <v>1133</v>
      </c>
      <c r="AC101" s="15">
        <v>57</v>
      </c>
      <c r="AD101" s="15" t="s">
        <v>973</v>
      </c>
      <c r="AE101" s="15">
        <v>20779.055899999999</v>
      </c>
      <c r="AF101" s="15">
        <v>45.6</v>
      </c>
      <c r="AG101" s="15" t="s">
        <v>974</v>
      </c>
      <c r="AH101" s="15">
        <f t="shared" si="21"/>
        <v>228</v>
      </c>
    </row>
    <row r="102" spans="9:34" x14ac:dyDescent="0.25">
      <c r="I102" s="332"/>
      <c r="X102" s="15">
        <v>10665</v>
      </c>
      <c r="Y102">
        <v>2015</v>
      </c>
      <c r="Z102" s="15" t="s">
        <v>1134</v>
      </c>
      <c r="AA102" s="15">
        <v>88</v>
      </c>
      <c r="AB102" s="15" t="s">
        <v>1135</v>
      </c>
      <c r="AC102" s="15">
        <v>58</v>
      </c>
      <c r="AD102" s="15" t="s">
        <v>973</v>
      </c>
      <c r="AE102" s="15">
        <v>20026.546300000002</v>
      </c>
      <c r="AF102" s="15">
        <v>43.7</v>
      </c>
      <c r="AG102" s="15" t="s">
        <v>974</v>
      </c>
      <c r="AH102" s="15">
        <f t="shared" si="21"/>
        <v>218.5</v>
      </c>
    </row>
    <row r="103" spans="9:34" x14ac:dyDescent="0.25">
      <c r="I103" s="332"/>
      <c r="X103" s="15">
        <v>10666</v>
      </c>
      <c r="Y103" s="15"/>
      <c r="Z103" s="15" t="s">
        <v>799</v>
      </c>
      <c r="AA103" s="15">
        <v>89</v>
      </c>
      <c r="AB103" s="15" t="s">
        <v>1136</v>
      </c>
      <c r="AC103" s="15">
        <v>63</v>
      </c>
      <c r="AD103" s="15" t="s">
        <v>973</v>
      </c>
      <c r="AE103" s="15">
        <v>32338.545699999999</v>
      </c>
      <c r="AF103" s="15">
        <v>75.400000000000006</v>
      </c>
      <c r="AG103" s="15" t="s">
        <v>974</v>
      </c>
      <c r="AH103" s="15">
        <f t="shared" si="21"/>
        <v>377</v>
      </c>
    </row>
    <row r="104" spans="9:34" x14ac:dyDescent="0.25">
      <c r="I104" s="332"/>
      <c r="X104" s="15">
        <v>10667</v>
      </c>
      <c r="Y104" s="15"/>
      <c r="Z104" s="15" t="s">
        <v>1088</v>
      </c>
      <c r="AA104" s="15">
        <v>90</v>
      </c>
      <c r="AB104" s="15" t="s">
        <v>1137</v>
      </c>
      <c r="AC104" s="15">
        <v>64</v>
      </c>
      <c r="AD104" s="15" t="s">
        <v>973</v>
      </c>
      <c r="AE104" s="15">
        <v>31493.136399999999</v>
      </c>
      <c r="AF104" s="15">
        <v>73.2</v>
      </c>
      <c r="AG104" s="15" t="s">
        <v>974</v>
      </c>
      <c r="AH104" s="15">
        <f t="shared" si="21"/>
        <v>366</v>
      </c>
    </row>
    <row r="105" spans="9:34" x14ac:dyDescent="0.25">
      <c r="I105" s="332"/>
      <c r="X105" s="15">
        <v>10668</v>
      </c>
      <c r="Y105">
        <v>2015</v>
      </c>
      <c r="Z105" s="15" t="s">
        <v>1138</v>
      </c>
      <c r="AA105" s="15">
        <v>91</v>
      </c>
      <c r="AB105" s="15" t="s">
        <v>1139</v>
      </c>
      <c r="AC105" s="15">
        <v>65</v>
      </c>
      <c r="AD105" s="15" t="s">
        <v>973</v>
      </c>
      <c r="AE105" s="15">
        <v>28476.3658</v>
      </c>
      <c r="AF105" s="15">
        <v>65.400000000000006</v>
      </c>
      <c r="AG105" s="15" t="s">
        <v>974</v>
      </c>
      <c r="AH105" s="15">
        <f t="shared" si="21"/>
        <v>327</v>
      </c>
    </row>
    <row r="106" spans="9:34" x14ac:dyDescent="0.25">
      <c r="I106" s="332"/>
      <c r="X106" s="15">
        <v>10669</v>
      </c>
      <c r="Y106">
        <v>2015</v>
      </c>
      <c r="Z106" s="15" t="s">
        <v>1140</v>
      </c>
      <c r="AA106" s="15">
        <v>92</v>
      </c>
      <c r="AB106" s="15" t="s">
        <v>1141</v>
      </c>
      <c r="AC106" s="15">
        <v>66</v>
      </c>
      <c r="AD106" s="15" t="s">
        <v>973</v>
      </c>
      <c r="AE106" s="15">
        <v>42518.202599999997</v>
      </c>
      <c r="AF106" s="15">
        <v>101.5</v>
      </c>
      <c r="AG106" s="15" t="s">
        <v>974</v>
      </c>
      <c r="AH106" s="15">
        <f t="shared" si="21"/>
        <v>507.5</v>
      </c>
    </row>
    <row r="107" spans="9:34" x14ac:dyDescent="0.25">
      <c r="I107" s="332"/>
      <c r="X107" s="15">
        <v>10670</v>
      </c>
      <c r="Y107">
        <v>2015</v>
      </c>
      <c r="Z107" s="15" t="s">
        <v>1142</v>
      </c>
      <c r="AA107" s="15">
        <v>93</v>
      </c>
      <c r="AB107" s="15" t="s">
        <v>1143</v>
      </c>
      <c r="AC107" s="15">
        <v>67</v>
      </c>
      <c r="AD107" s="15" t="s">
        <v>973</v>
      </c>
      <c r="AE107" s="15">
        <v>42291.962099999997</v>
      </c>
      <c r="AF107" s="15">
        <v>100.9</v>
      </c>
      <c r="AG107" s="15" t="s">
        <v>974</v>
      </c>
      <c r="AH107" s="15">
        <f t="shared" si="21"/>
        <v>504.5</v>
      </c>
    </row>
    <row r="108" spans="9:34" x14ac:dyDescent="0.25">
      <c r="I108" s="332"/>
      <c r="X108" s="15">
        <v>10671</v>
      </c>
      <c r="Y108">
        <v>2015</v>
      </c>
      <c r="Z108" s="15" t="s">
        <v>1144</v>
      </c>
      <c r="AA108" s="15">
        <v>94</v>
      </c>
      <c r="AB108" s="15" t="s">
        <v>1145</v>
      </c>
      <c r="AC108" s="15">
        <v>68</v>
      </c>
      <c r="AD108" s="15" t="s">
        <v>973</v>
      </c>
      <c r="AE108" s="15">
        <v>49994.7258</v>
      </c>
      <c r="AF108" s="15">
        <v>120.7</v>
      </c>
      <c r="AG108" s="15" t="s">
        <v>974</v>
      </c>
      <c r="AH108" s="15">
        <f t="shared" si="21"/>
        <v>603.5</v>
      </c>
    </row>
    <row r="109" spans="9:34" x14ac:dyDescent="0.25">
      <c r="I109" s="332"/>
      <c r="X109" s="15">
        <v>10672</v>
      </c>
      <c r="Y109">
        <v>2015</v>
      </c>
      <c r="Z109" s="15" t="s">
        <v>1146</v>
      </c>
      <c r="AA109" s="15">
        <v>95</v>
      </c>
      <c r="AB109" s="15" t="s">
        <v>1147</v>
      </c>
      <c r="AC109" s="15">
        <v>69</v>
      </c>
      <c r="AD109" s="15" t="s">
        <v>973</v>
      </c>
      <c r="AE109" s="15">
        <v>43809.584000000003</v>
      </c>
      <c r="AF109" s="15">
        <v>104.8</v>
      </c>
      <c r="AG109" s="15" t="s">
        <v>974</v>
      </c>
      <c r="AH109" s="15">
        <f t="shared" si="21"/>
        <v>524</v>
      </c>
    </row>
    <row r="110" spans="9:34" x14ac:dyDescent="0.25">
      <c r="I110" s="332"/>
      <c r="X110" s="15">
        <v>10673</v>
      </c>
      <c r="Y110">
        <v>2015</v>
      </c>
      <c r="Z110" s="15" t="s">
        <v>1148</v>
      </c>
      <c r="AA110" s="15">
        <v>96</v>
      </c>
      <c r="AB110" s="15" t="s">
        <v>1149</v>
      </c>
      <c r="AC110" s="15">
        <v>70</v>
      </c>
      <c r="AD110" s="15" t="s">
        <v>973</v>
      </c>
      <c r="AE110" s="15">
        <v>39328.970999999998</v>
      </c>
      <c r="AF110" s="15">
        <v>93.3</v>
      </c>
      <c r="AG110" s="15" t="s">
        <v>974</v>
      </c>
      <c r="AH110" s="15">
        <f t="shared" si="21"/>
        <v>466.5</v>
      </c>
    </row>
    <row r="111" spans="9:34" x14ac:dyDescent="0.25">
      <c r="I111" s="332"/>
      <c r="X111" s="15">
        <v>10674</v>
      </c>
      <c r="Y111">
        <v>2015</v>
      </c>
      <c r="Z111" s="15" t="s">
        <v>1150</v>
      </c>
      <c r="AA111" s="15">
        <v>97</v>
      </c>
      <c r="AB111" s="15" t="s">
        <v>1151</v>
      </c>
      <c r="AC111" s="15">
        <v>71</v>
      </c>
      <c r="AD111" s="15" t="s">
        <v>973</v>
      </c>
      <c r="AE111" s="15">
        <v>36418.988899999997</v>
      </c>
      <c r="AF111" s="15">
        <v>85.8</v>
      </c>
      <c r="AG111" s="15" t="s">
        <v>974</v>
      </c>
      <c r="AH111" s="15">
        <f t="shared" si="21"/>
        <v>429</v>
      </c>
    </row>
    <row r="112" spans="9:34" x14ac:dyDescent="0.25">
      <c r="I112" s="332"/>
      <c r="X112" s="15">
        <v>10675</v>
      </c>
      <c r="Y112">
        <v>2015</v>
      </c>
      <c r="Z112" s="15" t="s">
        <v>1152</v>
      </c>
      <c r="AA112" s="15">
        <v>98</v>
      </c>
      <c r="AB112" s="15" t="s">
        <v>1153</v>
      </c>
      <c r="AC112" s="15">
        <v>72</v>
      </c>
      <c r="AD112" s="15" t="s">
        <v>973</v>
      </c>
      <c r="AE112" s="15">
        <v>36525.602599999998</v>
      </c>
      <c r="AF112" s="15">
        <v>86.1</v>
      </c>
      <c r="AG112" s="15" t="s">
        <v>974</v>
      </c>
      <c r="AH112" s="15">
        <f t="shared" si="21"/>
        <v>430.5</v>
      </c>
    </row>
    <row r="113" spans="9:34" x14ac:dyDescent="0.25">
      <c r="I113" s="332"/>
      <c r="X113" s="15">
        <v>10676</v>
      </c>
      <c r="Y113">
        <v>2015</v>
      </c>
      <c r="Z113" s="15" t="s">
        <v>1154</v>
      </c>
      <c r="AA113" s="15">
        <v>99</v>
      </c>
      <c r="AB113" s="15" t="s">
        <v>1155</v>
      </c>
      <c r="AC113" s="15">
        <v>73</v>
      </c>
      <c r="AD113" s="15" t="s">
        <v>973</v>
      </c>
      <c r="AE113" s="15">
        <v>45825.816899999998</v>
      </c>
      <c r="AF113" s="15">
        <v>110.1</v>
      </c>
      <c r="AG113" s="15" t="s">
        <v>974</v>
      </c>
      <c r="AH113" s="15">
        <f t="shared" si="21"/>
        <v>550.5</v>
      </c>
    </row>
    <row r="114" spans="9:34" x14ac:dyDescent="0.25">
      <c r="I114" s="332"/>
      <c r="X114" s="15">
        <v>10677</v>
      </c>
      <c r="Y114">
        <v>2015</v>
      </c>
      <c r="Z114" s="15" t="s">
        <v>1156</v>
      </c>
      <c r="AA114" s="15">
        <v>100</v>
      </c>
      <c r="AB114" s="15" t="s">
        <v>1157</v>
      </c>
      <c r="AC114" s="15">
        <v>74</v>
      </c>
      <c r="AD114" s="15" t="s">
        <v>973</v>
      </c>
      <c r="AE114" s="15">
        <v>49235.756999999998</v>
      </c>
      <c r="AF114" s="15">
        <v>118.8</v>
      </c>
      <c r="AG114" s="15" t="s">
        <v>974</v>
      </c>
      <c r="AH114" s="15">
        <f t="shared" si="21"/>
        <v>594</v>
      </c>
    </row>
    <row r="115" spans="9:34" x14ac:dyDescent="0.25">
      <c r="I115" s="332"/>
      <c r="X115" s="15">
        <v>10678</v>
      </c>
      <c r="Y115" s="15"/>
      <c r="Z115" s="15" t="s">
        <v>1090</v>
      </c>
      <c r="AA115" s="15">
        <v>101</v>
      </c>
      <c r="AB115" s="15" t="s">
        <v>1158</v>
      </c>
      <c r="AC115" s="15">
        <v>75</v>
      </c>
      <c r="AD115" s="15" t="s">
        <v>973</v>
      </c>
      <c r="AE115" s="15">
        <v>31508.043799999999</v>
      </c>
      <c r="AF115" s="15">
        <v>73.2</v>
      </c>
      <c r="AG115" s="15" t="s">
        <v>974</v>
      </c>
      <c r="AH115" s="15">
        <f t="shared" si="21"/>
        <v>366</v>
      </c>
    </row>
    <row r="116" spans="9:34" x14ac:dyDescent="0.25">
      <c r="I116" s="332"/>
      <c r="X116" s="15">
        <v>10679</v>
      </c>
      <c r="Y116" s="15"/>
      <c r="Z116" s="15" t="s">
        <v>1159</v>
      </c>
      <c r="AA116" s="15">
        <v>102</v>
      </c>
      <c r="AB116" s="15" t="s">
        <v>1160</v>
      </c>
      <c r="AC116" s="15">
        <v>76</v>
      </c>
      <c r="AD116" s="15" t="s">
        <v>973</v>
      </c>
      <c r="AE116" s="15">
        <v>31068.199199999999</v>
      </c>
      <c r="AF116" s="15">
        <v>72.099999999999994</v>
      </c>
      <c r="AG116" s="15" t="s">
        <v>974</v>
      </c>
      <c r="AH116" s="15">
        <f t="shared" si="21"/>
        <v>360.5</v>
      </c>
    </row>
    <row r="117" spans="9:34" x14ac:dyDescent="0.25">
      <c r="I117" s="332"/>
      <c r="X117" s="15">
        <v>10680</v>
      </c>
      <c r="Y117">
        <v>2015</v>
      </c>
      <c r="Z117" s="15" t="s">
        <v>1161</v>
      </c>
      <c r="AA117" s="15">
        <v>103</v>
      </c>
      <c r="AB117" s="15" t="s">
        <v>1162</v>
      </c>
      <c r="AC117" s="15">
        <v>77</v>
      </c>
      <c r="AD117" s="15" t="s">
        <v>973</v>
      </c>
      <c r="AE117" s="15">
        <v>32667.591199999999</v>
      </c>
      <c r="AF117" s="15">
        <v>76.2</v>
      </c>
      <c r="AG117" s="15" t="s">
        <v>974</v>
      </c>
      <c r="AH117" s="15">
        <f t="shared" si="21"/>
        <v>381</v>
      </c>
    </row>
    <row r="118" spans="9:34" x14ac:dyDescent="0.25">
      <c r="I118" s="332"/>
      <c r="X118" s="15">
        <v>10681</v>
      </c>
      <c r="Y118">
        <v>2015</v>
      </c>
      <c r="Z118" s="15" t="s">
        <v>1163</v>
      </c>
      <c r="AA118" s="15">
        <v>104</v>
      </c>
      <c r="AB118" s="15" t="s">
        <v>1164</v>
      </c>
      <c r="AC118" s="15">
        <v>78</v>
      </c>
      <c r="AD118" s="15" t="s">
        <v>973</v>
      </c>
      <c r="AE118" s="15">
        <v>42797.281199999998</v>
      </c>
      <c r="AF118" s="15">
        <v>102.3</v>
      </c>
      <c r="AG118" s="15" t="s">
        <v>974</v>
      </c>
      <c r="AH118" s="15">
        <f t="shared" si="21"/>
        <v>511.5</v>
      </c>
    </row>
    <row r="119" spans="9:34" x14ac:dyDescent="0.25">
      <c r="I119" s="332"/>
      <c r="X119" s="15">
        <v>10682</v>
      </c>
      <c r="Y119">
        <v>2015</v>
      </c>
      <c r="Z119" s="15" t="s">
        <v>1165</v>
      </c>
      <c r="AA119" s="15">
        <v>105</v>
      </c>
      <c r="AB119" s="15" t="s">
        <v>1166</v>
      </c>
      <c r="AC119" s="15">
        <v>79</v>
      </c>
      <c r="AD119" s="15" t="s">
        <v>973</v>
      </c>
      <c r="AE119" s="15">
        <v>40478.970099999999</v>
      </c>
      <c r="AF119" s="15">
        <v>96.3</v>
      </c>
      <c r="AG119" s="15" t="s">
        <v>974</v>
      </c>
      <c r="AH119" s="15">
        <f t="shared" si="21"/>
        <v>481.5</v>
      </c>
    </row>
    <row r="120" spans="9:34" x14ac:dyDescent="0.25">
      <c r="I120" s="332"/>
      <c r="X120" s="15">
        <v>10683</v>
      </c>
      <c r="Y120">
        <v>2015</v>
      </c>
      <c r="Z120" s="15" t="s">
        <v>1167</v>
      </c>
      <c r="AA120" s="15">
        <v>106</v>
      </c>
      <c r="AB120" s="15" t="s">
        <v>1168</v>
      </c>
      <c r="AC120" s="15">
        <v>80</v>
      </c>
      <c r="AD120" s="15" t="s">
        <v>973</v>
      </c>
      <c r="AE120" s="15">
        <v>51426.7768</v>
      </c>
      <c r="AF120" s="15">
        <v>124.5</v>
      </c>
      <c r="AG120" s="15" t="s">
        <v>974</v>
      </c>
      <c r="AH120" s="15">
        <f t="shared" si="21"/>
        <v>622.5</v>
      </c>
    </row>
    <row r="121" spans="9:34" x14ac:dyDescent="0.25">
      <c r="I121" s="332"/>
      <c r="X121" s="15">
        <v>10684</v>
      </c>
      <c r="Y121">
        <v>2015</v>
      </c>
      <c r="Z121" s="15" t="s">
        <v>1169</v>
      </c>
      <c r="AA121" s="15">
        <v>107</v>
      </c>
      <c r="AB121" s="15" t="s">
        <v>1170</v>
      </c>
      <c r="AC121" s="15">
        <v>81</v>
      </c>
      <c r="AD121" s="15" t="s">
        <v>973</v>
      </c>
      <c r="AE121" s="15">
        <v>29737.053400000001</v>
      </c>
      <c r="AF121" s="15">
        <v>68.7</v>
      </c>
      <c r="AG121" s="15" t="s">
        <v>974</v>
      </c>
      <c r="AH121" s="15">
        <f t="shared" si="21"/>
        <v>343.5</v>
      </c>
    </row>
    <row r="122" spans="9:34" x14ac:dyDescent="0.25">
      <c r="I122" s="332"/>
      <c r="X122" s="15">
        <v>10685</v>
      </c>
      <c r="Y122">
        <v>2015</v>
      </c>
      <c r="Z122" s="15" t="s">
        <v>1171</v>
      </c>
      <c r="AA122" s="15">
        <v>108</v>
      </c>
      <c r="AB122" s="15" t="s">
        <v>1172</v>
      </c>
      <c r="AC122" s="15">
        <v>82</v>
      </c>
      <c r="AD122" s="15" t="s">
        <v>973</v>
      </c>
      <c r="AE122" s="15">
        <v>53491.5409</v>
      </c>
      <c r="AF122" s="15">
        <v>129.80000000000001</v>
      </c>
      <c r="AG122" s="15" t="s">
        <v>974</v>
      </c>
      <c r="AH122" s="15">
        <f t="shared" si="21"/>
        <v>649</v>
      </c>
    </row>
    <row r="123" spans="9:34" x14ac:dyDescent="0.25">
      <c r="I123" s="332"/>
      <c r="X123" s="15">
        <v>10686</v>
      </c>
      <c r="Y123">
        <v>2015</v>
      </c>
      <c r="Z123" s="15" t="s">
        <v>1173</v>
      </c>
      <c r="AA123" s="15">
        <v>109</v>
      </c>
      <c r="AB123" s="15" t="s">
        <v>1174</v>
      </c>
      <c r="AC123" s="15">
        <v>87</v>
      </c>
      <c r="AD123" s="15" t="s">
        <v>973</v>
      </c>
      <c r="AE123" s="15">
        <v>53624.761200000001</v>
      </c>
      <c r="AF123" s="15">
        <v>130.19999999999999</v>
      </c>
      <c r="AG123" s="15" t="s">
        <v>974</v>
      </c>
      <c r="AH123" s="15">
        <f t="shared" si="21"/>
        <v>651</v>
      </c>
    </row>
    <row r="124" spans="9:34" x14ac:dyDescent="0.25">
      <c r="I124" s="332"/>
      <c r="X124" s="15">
        <v>10687</v>
      </c>
      <c r="Y124">
        <v>2015</v>
      </c>
      <c r="Z124" s="15" t="s">
        <v>1175</v>
      </c>
      <c r="AA124" s="15">
        <v>110</v>
      </c>
      <c r="AB124" s="15" t="s">
        <v>1176</v>
      </c>
      <c r="AC124" s="15">
        <v>88</v>
      </c>
      <c r="AD124" s="15" t="s">
        <v>973</v>
      </c>
      <c r="AE124" s="15">
        <v>65030.494200000001</v>
      </c>
      <c r="AF124" s="15">
        <v>159.4</v>
      </c>
      <c r="AG124" s="15" t="s">
        <v>974</v>
      </c>
      <c r="AH124" s="15">
        <f t="shared" si="21"/>
        <v>797</v>
      </c>
    </row>
    <row r="125" spans="9:34" x14ac:dyDescent="0.25">
      <c r="I125" s="332"/>
      <c r="X125" s="15">
        <v>10688</v>
      </c>
      <c r="Y125">
        <v>2015</v>
      </c>
      <c r="Z125" s="15" t="s">
        <v>1177</v>
      </c>
      <c r="AA125" s="15">
        <v>111</v>
      </c>
      <c r="AB125" s="15" t="s">
        <v>1178</v>
      </c>
      <c r="AC125" s="15">
        <v>89</v>
      </c>
      <c r="AD125" s="15" t="s">
        <v>973</v>
      </c>
      <c r="AE125" s="15">
        <v>64030.305399999997</v>
      </c>
      <c r="AF125" s="15">
        <v>156.80000000000001</v>
      </c>
      <c r="AG125" s="15" t="s">
        <v>974</v>
      </c>
      <c r="AH125" s="15">
        <f t="shared" si="21"/>
        <v>784</v>
      </c>
    </row>
    <row r="126" spans="9:34" x14ac:dyDescent="0.25">
      <c r="I126" s="332"/>
      <c r="X126" s="15">
        <v>10689</v>
      </c>
      <c r="Y126">
        <v>2015</v>
      </c>
      <c r="Z126" s="15" t="s">
        <v>1179</v>
      </c>
      <c r="AA126" s="15">
        <v>112</v>
      </c>
      <c r="AB126" s="15" t="s">
        <v>1180</v>
      </c>
      <c r="AC126" s="15">
        <v>134</v>
      </c>
      <c r="AD126" s="15" t="s">
        <v>973</v>
      </c>
      <c r="AE126" s="15">
        <v>39591.399400000002</v>
      </c>
      <c r="AF126" s="15">
        <v>94.2</v>
      </c>
      <c r="AG126" s="15" t="s">
        <v>974</v>
      </c>
      <c r="AH126" s="15">
        <f>(AF126*10)</f>
        <v>942</v>
      </c>
    </row>
    <row r="127" spans="9:34" x14ac:dyDescent="0.25">
      <c r="I127" s="332"/>
      <c r="X127" s="15"/>
      <c r="Y127" s="15"/>
      <c r="Z127" s="15"/>
      <c r="AA127" s="15"/>
      <c r="AB127" s="15" t="s">
        <v>1181</v>
      </c>
      <c r="AC127" s="15">
        <v>90</v>
      </c>
      <c r="AD127" s="15" t="s">
        <v>973</v>
      </c>
      <c r="AE127" s="15">
        <v>65557.431700000001</v>
      </c>
      <c r="AF127" s="15">
        <v>160.80000000000001</v>
      </c>
      <c r="AG127" s="15" t="s">
        <v>1009</v>
      </c>
      <c r="AH127" s="15">
        <f>(AF127*5)</f>
        <v>804</v>
      </c>
    </row>
    <row r="128" spans="9:34" x14ac:dyDescent="0.25">
      <c r="I128" s="332"/>
      <c r="X128" s="15">
        <v>10690</v>
      </c>
      <c r="Y128">
        <v>2015</v>
      </c>
      <c r="Z128" s="15" t="s">
        <v>1182</v>
      </c>
      <c r="AA128" s="15">
        <v>113</v>
      </c>
      <c r="AB128" s="15" t="s">
        <v>1183</v>
      </c>
      <c r="AC128" s="15">
        <v>91</v>
      </c>
      <c r="AD128" s="15" t="s">
        <v>973</v>
      </c>
      <c r="AE128" s="15">
        <v>51758.842700000001</v>
      </c>
      <c r="AF128" s="15">
        <v>125.3</v>
      </c>
      <c r="AG128" s="15" t="s">
        <v>974</v>
      </c>
      <c r="AH128" s="15">
        <f>(AF128*5)</f>
        <v>626.5</v>
      </c>
    </row>
    <row r="129" spans="9:34" x14ac:dyDescent="0.25">
      <c r="I129" s="332"/>
      <c r="X129" s="15">
        <v>10691</v>
      </c>
      <c r="Y129">
        <v>2015</v>
      </c>
      <c r="Z129" s="15" t="s">
        <v>1184</v>
      </c>
      <c r="AA129" s="15">
        <v>114</v>
      </c>
      <c r="AB129" s="15" t="s">
        <v>1185</v>
      </c>
      <c r="AC129" s="15">
        <v>92</v>
      </c>
      <c r="AD129" s="15" t="s">
        <v>973</v>
      </c>
      <c r="AE129" s="15">
        <v>12728.6291</v>
      </c>
      <c r="AF129" s="15">
        <v>25</v>
      </c>
      <c r="AG129" s="15" t="s">
        <v>974</v>
      </c>
      <c r="AH129" s="15">
        <f>(AF129*5)</f>
        <v>125</v>
      </c>
    </row>
    <row r="130" spans="9:34" x14ac:dyDescent="0.25">
      <c r="I130" s="332"/>
      <c r="X130" s="15">
        <v>10692</v>
      </c>
      <c r="Y130">
        <v>2015</v>
      </c>
      <c r="Z130" s="15" t="s">
        <v>1186</v>
      </c>
      <c r="AA130" s="15">
        <v>115</v>
      </c>
      <c r="AB130" s="15" t="s">
        <v>1187</v>
      </c>
      <c r="AC130" s="15">
        <v>93</v>
      </c>
      <c r="AD130" s="15" t="s">
        <v>973</v>
      </c>
      <c r="AE130" s="15">
        <v>6041.674</v>
      </c>
      <c r="AF130" s="15">
        <v>7.8</v>
      </c>
      <c r="AG130" s="15" t="s">
        <v>974</v>
      </c>
      <c r="AH130" s="15">
        <f>(AF130*5)</f>
        <v>39</v>
      </c>
    </row>
    <row r="131" spans="9:34" x14ac:dyDescent="0.25">
      <c r="I131" s="332"/>
      <c r="X131" s="15">
        <v>10693</v>
      </c>
      <c r="Y131">
        <v>2015</v>
      </c>
      <c r="Z131" s="15" t="s">
        <v>1188</v>
      </c>
      <c r="AA131" s="15">
        <v>116</v>
      </c>
      <c r="AB131" s="15">
        <v>10693</v>
      </c>
      <c r="AC131" s="15">
        <v>136</v>
      </c>
      <c r="AD131" s="15" t="s">
        <v>973</v>
      </c>
      <c r="AE131" s="15">
        <v>7212.0573999999997</v>
      </c>
      <c r="AF131" s="15">
        <v>10.9</v>
      </c>
      <c r="AG131" s="15" t="s">
        <v>974</v>
      </c>
      <c r="AH131" s="15">
        <f>(AF131)</f>
        <v>10.9</v>
      </c>
    </row>
    <row r="132" spans="9:34" x14ac:dyDescent="0.25">
      <c r="I132" s="332"/>
      <c r="X132" s="15"/>
      <c r="Y132" s="15"/>
      <c r="Z132" s="15"/>
      <c r="AA132" s="15"/>
      <c r="AB132" s="15" t="s">
        <v>1189</v>
      </c>
      <c r="AC132" s="15">
        <v>94</v>
      </c>
      <c r="AD132" s="15" t="s">
        <v>973</v>
      </c>
      <c r="AE132" s="15">
        <v>3847.6633999999999</v>
      </c>
      <c r="AF132" s="15">
        <v>2.2000000000000002</v>
      </c>
      <c r="AG132" s="15" t="s">
        <v>974</v>
      </c>
      <c r="AH132" s="15">
        <f>(AF132*5)</f>
        <v>11</v>
      </c>
    </row>
    <row r="133" spans="9:34" x14ac:dyDescent="0.25">
      <c r="I133" s="332"/>
      <c r="X133" s="15">
        <v>10694</v>
      </c>
      <c r="Y133">
        <v>2015</v>
      </c>
      <c r="Z133" s="15" t="s">
        <v>1190</v>
      </c>
      <c r="AA133" s="15">
        <v>117</v>
      </c>
      <c r="AB133" s="15">
        <v>10694</v>
      </c>
      <c r="AC133" s="15">
        <v>137</v>
      </c>
      <c r="AD133" s="15" t="s">
        <v>973</v>
      </c>
      <c r="AE133" s="15">
        <v>4350.7802000000001</v>
      </c>
      <c r="AF133" s="15">
        <v>3.5</v>
      </c>
      <c r="AG133" s="15" t="s">
        <v>974</v>
      </c>
      <c r="AH133" s="15">
        <f>(AF133)</f>
        <v>3.5</v>
      </c>
    </row>
    <row r="134" spans="9:34" x14ac:dyDescent="0.25">
      <c r="I134" s="332"/>
      <c r="X134" s="15"/>
      <c r="Y134" s="15"/>
      <c r="Z134" s="15"/>
      <c r="AA134" s="15"/>
      <c r="AB134" s="15" t="s">
        <v>1191</v>
      </c>
      <c r="AC134" s="15">
        <v>95</v>
      </c>
      <c r="AD134" s="15" t="s">
        <v>973</v>
      </c>
      <c r="AE134" s="15">
        <v>3258.4009000000001</v>
      </c>
      <c r="AF134" s="15">
        <v>0.7</v>
      </c>
      <c r="AG134" s="15" t="s">
        <v>974</v>
      </c>
      <c r="AH134" s="15">
        <f>(AF134*5)</f>
        <v>3.5</v>
      </c>
    </row>
    <row r="135" spans="9:34" x14ac:dyDescent="0.25">
      <c r="I135" s="332"/>
      <c r="X135" s="15">
        <v>10695</v>
      </c>
      <c r="Y135">
        <v>2015</v>
      </c>
      <c r="Z135" s="15" t="s">
        <v>1192</v>
      </c>
      <c r="AA135" s="15">
        <v>118</v>
      </c>
      <c r="AB135" s="15">
        <v>10695</v>
      </c>
      <c r="AC135" s="15">
        <v>138</v>
      </c>
      <c r="AD135" s="15" t="s">
        <v>973</v>
      </c>
      <c r="AE135" s="15">
        <v>9875.7425999999996</v>
      </c>
      <c r="AF135" s="15">
        <v>17.8</v>
      </c>
      <c r="AG135" s="15" t="s">
        <v>974</v>
      </c>
      <c r="AH135" s="15">
        <f>(AF135)</f>
        <v>17.8</v>
      </c>
    </row>
    <row r="136" spans="9:34" x14ac:dyDescent="0.25">
      <c r="I136" s="332"/>
      <c r="X136" s="15"/>
      <c r="Y136" s="15"/>
      <c r="Z136" s="15"/>
      <c r="AA136" s="15"/>
      <c r="AB136" s="15" t="s">
        <v>1193</v>
      </c>
      <c r="AC136" s="15">
        <v>96</v>
      </c>
      <c r="AD136" s="15" t="s">
        <v>973</v>
      </c>
      <c r="AE136" s="15">
        <v>4392.8393999999998</v>
      </c>
      <c r="AF136" s="15">
        <v>3.6</v>
      </c>
      <c r="AG136" s="15" t="s">
        <v>974</v>
      </c>
      <c r="AH136" s="15">
        <f>(AF136*5)</f>
        <v>18</v>
      </c>
    </row>
    <row r="137" spans="9:34" x14ac:dyDescent="0.25">
      <c r="I137" s="332"/>
      <c r="X137" s="15">
        <v>10696</v>
      </c>
      <c r="Y137">
        <v>2015</v>
      </c>
      <c r="Z137" s="15" t="s">
        <v>1194</v>
      </c>
      <c r="AA137" s="15">
        <v>119</v>
      </c>
      <c r="AB137" s="15" t="s">
        <v>1195</v>
      </c>
      <c r="AC137" s="15">
        <v>97</v>
      </c>
      <c r="AD137" s="15" t="s">
        <v>973</v>
      </c>
      <c r="AE137" s="15">
        <v>34458.320399999997</v>
      </c>
      <c r="AF137" s="15">
        <v>80.900000000000006</v>
      </c>
      <c r="AG137" s="15" t="s">
        <v>974</v>
      </c>
      <c r="AH137" s="15">
        <f t="shared" ref="AH137:AH160" si="22">(AF137*5)</f>
        <v>404.5</v>
      </c>
    </row>
    <row r="138" spans="9:34" x14ac:dyDescent="0.25">
      <c r="I138" s="332"/>
      <c r="X138" s="15">
        <v>10697</v>
      </c>
      <c r="Y138">
        <v>2015</v>
      </c>
      <c r="Z138" s="15" t="s">
        <v>1196</v>
      </c>
      <c r="AA138" s="15">
        <v>120</v>
      </c>
      <c r="AB138" s="15" t="s">
        <v>1197</v>
      </c>
      <c r="AC138" s="15">
        <v>98</v>
      </c>
      <c r="AD138" s="15" t="s">
        <v>973</v>
      </c>
      <c r="AE138" s="15">
        <v>33404.718999999997</v>
      </c>
      <c r="AF138" s="15">
        <v>78.099999999999994</v>
      </c>
      <c r="AG138" s="15" t="s">
        <v>974</v>
      </c>
      <c r="AH138" s="15">
        <f t="shared" si="22"/>
        <v>390.5</v>
      </c>
    </row>
    <row r="139" spans="9:34" x14ac:dyDescent="0.25">
      <c r="I139" s="332"/>
      <c r="X139" s="15">
        <v>10698</v>
      </c>
      <c r="Y139">
        <v>2015</v>
      </c>
      <c r="Z139" s="15" t="s">
        <v>1198</v>
      </c>
      <c r="AA139" s="15">
        <v>121</v>
      </c>
      <c r="AB139" s="15" t="s">
        <v>1199</v>
      </c>
      <c r="AC139" s="15">
        <v>99</v>
      </c>
      <c r="AD139" s="15" t="s">
        <v>973</v>
      </c>
      <c r="AE139" s="15">
        <v>38727.627500000002</v>
      </c>
      <c r="AF139" s="15">
        <v>91.8</v>
      </c>
      <c r="AG139" s="15" t="s">
        <v>974</v>
      </c>
      <c r="AH139" s="15">
        <f t="shared" si="22"/>
        <v>459</v>
      </c>
    </row>
    <row r="140" spans="9:34" x14ac:dyDescent="0.25">
      <c r="I140" s="332"/>
      <c r="X140" s="15">
        <v>10699</v>
      </c>
      <c r="Y140">
        <v>2015</v>
      </c>
      <c r="Z140" s="15" t="s">
        <v>1200</v>
      </c>
      <c r="AA140" s="15">
        <v>122</v>
      </c>
      <c r="AB140" s="15" t="s">
        <v>1201</v>
      </c>
      <c r="AC140" s="15">
        <v>100</v>
      </c>
      <c r="AD140" s="15" t="s">
        <v>973</v>
      </c>
      <c r="AE140" s="15">
        <v>36899.107600000003</v>
      </c>
      <c r="AF140" s="15">
        <v>87.1</v>
      </c>
      <c r="AG140" s="15" t="s">
        <v>974</v>
      </c>
      <c r="AH140" s="15">
        <f t="shared" si="22"/>
        <v>435.5</v>
      </c>
    </row>
    <row r="141" spans="9:34" x14ac:dyDescent="0.25">
      <c r="I141" s="332"/>
      <c r="X141" s="15">
        <v>10700</v>
      </c>
      <c r="Y141">
        <v>2015</v>
      </c>
      <c r="Z141" s="15" t="s">
        <v>1202</v>
      </c>
      <c r="AA141" s="15">
        <v>123</v>
      </c>
      <c r="AB141" s="15" t="s">
        <v>1203</v>
      </c>
      <c r="AC141" s="15">
        <v>101</v>
      </c>
      <c r="AD141" s="15" t="s">
        <v>973</v>
      </c>
      <c r="AE141" s="15">
        <v>53400.091399999998</v>
      </c>
      <c r="AF141" s="15">
        <v>129.5</v>
      </c>
      <c r="AG141" s="15" t="s">
        <v>974</v>
      </c>
      <c r="AH141" s="15">
        <f t="shared" si="22"/>
        <v>647.5</v>
      </c>
    </row>
    <row r="142" spans="9:34" x14ac:dyDescent="0.25">
      <c r="I142" s="332"/>
      <c r="X142" s="15">
        <v>10701</v>
      </c>
      <c r="Y142">
        <v>2015</v>
      </c>
      <c r="Z142" s="15" t="s">
        <v>1204</v>
      </c>
      <c r="AA142" s="15">
        <v>124</v>
      </c>
      <c r="AB142" s="15" t="s">
        <v>1205</v>
      </c>
      <c r="AC142" s="15">
        <v>102</v>
      </c>
      <c r="AD142" s="15" t="s">
        <v>973</v>
      </c>
      <c r="AE142" s="15">
        <v>40300.966699999997</v>
      </c>
      <c r="AF142" s="15">
        <v>95.8</v>
      </c>
      <c r="AG142" s="15" t="s">
        <v>974</v>
      </c>
      <c r="AH142" s="15">
        <f t="shared" si="22"/>
        <v>479</v>
      </c>
    </row>
    <row r="143" spans="9:34" x14ac:dyDescent="0.25">
      <c r="I143" s="332"/>
      <c r="X143" s="15">
        <v>10702</v>
      </c>
      <c r="Y143">
        <v>2015</v>
      </c>
      <c r="Z143" s="15" t="s">
        <v>1206</v>
      </c>
      <c r="AA143" s="15">
        <v>125</v>
      </c>
      <c r="AB143" s="15" t="s">
        <v>1207</v>
      </c>
      <c r="AC143" s="15">
        <v>103</v>
      </c>
      <c r="AD143" s="15" t="s">
        <v>973</v>
      </c>
      <c r="AE143" s="15">
        <v>35472.0861</v>
      </c>
      <c r="AF143" s="15">
        <v>83.4</v>
      </c>
      <c r="AG143" s="15" t="s">
        <v>974</v>
      </c>
      <c r="AH143" s="15">
        <f t="shared" si="22"/>
        <v>417</v>
      </c>
    </row>
    <row r="144" spans="9:34" x14ac:dyDescent="0.25">
      <c r="I144" s="332"/>
      <c r="X144" s="15">
        <v>10703</v>
      </c>
      <c r="Y144">
        <v>2015</v>
      </c>
      <c r="Z144" s="15" t="s">
        <v>1208</v>
      </c>
      <c r="AA144" s="15">
        <v>126</v>
      </c>
      <c r="AB144" s="15" t="s">
        <v>1209</v>
      </c>
      <c r="AC144" s="15">
        <v>104</v>
      </c>
      <c r="AD144" s="15" t="s">
        <v>973</v>
      </c>
      <c r="AE144" s="15">
        <v>27926.077399999998</v>
      </c>
      <c r="AF144" s="15">
        <v>64</v>
      </c>
      <c r="AG144" s="15" t="s">
        <v>974</v>
      </c>
      <c r="AH144" s="15">
        <f t="shared" si="22"/>
        <v>320</v>
      </c>
    </row>
    <row r="145" spans="9:34" x14ac:dyDescent="0.25">
      <c r="I145" s="332"/>
      <c r="X145" s="15">
        <v>10704</v>
      </c>
      <c r="Y145">
        <v>2015</v>
      </c>
      <c r="Z145" s="15" t="s">
        <v>1210</v>
      </c>
      <c r="AA145" s="15">
        <v>127</v>
      </c>
      <c r="AB145" s="15" t="s">
        <v>1211</v>
      </c>
      <c r="AC145" s="15">
        <v>105</v>
      </c>
      <c r="AD145" s="15" t="s">
        <v>973</v>
      </c>
      <c r="AE145" s="15">
        <v>37292.041400000002</v>
      </c>
      <c r="AF145" s="15">
        <v>88.1</v>
      </c>
      <c r="AG145" s="15" t="s">
        <v>974</v>
      </c>
      <c r="AH145" s="15">
        <f t="shared" si="22"/>
        <v>440.5</v>
      </c>
    </row>
    <row r="146" spans="9:34" x14ac:dyDescent="0.25">
      <c r="I146" s="332"/>
      <c r="X146" s="15">
        <v>10705</v>
      </c>
      <c r="Y146">
        <v>2015</v>
      </c>
      <c r="Z146" s="15" t="s">
        <v>1212</v>
      </c>
      <c r="AA146" s="15">
        <v>128</v>
      </c>
      <c r="AB146" s="15" t="s">
        <v>1213</v>
      </c>
      <c r="AC146" s="15">
        <v>106</v>
      </c>
      <c r="AD146" s="15" t="s">
        <v>973</v>
      </c>
      <c r="AE146" s="15">
        <v>28027.885399999999</v>
      </c>
      <c r="AF146" s="15">
        <v>64.2</v>
      </c>
      <c r="AG146" s="15" t="s">
        <v>974</v>
      </c>
      <c r="AH146" s="15">
        <f t="shared" si="22"/>
        <v>321</v>
      </c>
    </row>
    <row r="147" spans="9:34" x14ac:dyDescent="0.25">
      <c r="I147" s="332"/>
      <c r="X147" s="15">
        <v>10706</v>
      </c>
      <c r="Y147">
        <v>2015</v>
      </c>
      <c r="Z147" s="15" t="s">
        <v>1214</v>
      </c>
      <c r="AA147" s="15">
        <v>129</v>
      </c>
      <c r="AB147" s="15" t="s">
        <v>1215</v>
      </c>
      <c r="AC147" s="15">
        <v>111</v>
      </c>
      <c r="AD147" s="15" t="s">
        <v>973</v>
      </c>
      <c r="AE147" s="15">
        <v>21663.4895</v>
      </c>
      <c r="AF147" s="15">
        <v>48</v>
      </c>
      <c r="AG147" s="15" t="s">
        <v>974</v>
      </c>
      <c r="AH147" s="15">
        <f t="shared" si="22"/>
        <v>240</v>
      </c>
    </row>
    <row r="148" spans="9:34" x14ac:dyDescent="0.25">
      <c r="X148" s="15">
        <v>10707</v>
      </c>
      <c r="Y148">
        <v>2015</v>
      </c>
      <c r="Z148" s="15" t="s">
        <v>1216</v>
      </c>
      <c r="AA148" s="15">
        <v>130</v>
      </c>
      <c r="AB148" s="15" t="s">
        <v>1217</v>
      </c>
      <c r="AC148" s="15">
        <v>112</v>
      </c>
      <c r="AD148" s="15" t="s">
        <v>973</v>
      </c>
      <c r="AE148" s="15">
        <v>37565.2955</v>
      </c>
      <c r="AF148" s="15">
        <v>88.8</v>
      </c>
      <c r="AG148" s="15" t="s">
        <v>974</v>
      </c>
      <c r="AH148" s="15">
        <f t="shared" si="22"/>
        <v>444</v>
      </c>
    </row>
    <row r="149" spans="9:34" x14ac:dyDescent="0.25">
      <c r="X149" s="15">
        <v>10708</v>
      </c>
      <c r="Y149">
        <v>2015</v>
      </c>
      <c r="Z149" s="15" t="s">
        <v>1218</v>
      </c>
      <c r="AA149" s="15">
        <v>131</v>
      </c>
      <c r="AB149" s="15" t="s">
        <v>1219</v>
      </c>
      <c r="AC149" s="15">
        <v>113</v>
      </c>
      <c r="AD149" s="15" t="s">
        <v>973</v>
      </c>
      <c r="AE149" s="15">
        <v>44120.7376</v>
      </c>
      <c r="AF149" s="15">
        <v>105.7</v>
      </c>
      <c r="AG149" s="15" t="s">
        <v>974</v>
      </c>
      <c r="AH149" s="15">
        <f t="shared" si="22"/>
        <v>528.5</v>
      </c>
    </row>
    <row r="150" spans="9:34" x14ac:dyDescent="0.25">
      <c r="X150" s="15">
        <v>10709</v>
      </c>
      <c r="Y150">
        <v>2015</v>
      </c>
      <c r="Z150" s="15" t="s">
        <v>1220</v>
      </c>
      <c r="AA150" s="15">
        <v>132</v>
      </c>
      <c r="AB150" s="15" t="s">
        <v>1221</v>
      </c>
      <c r="AC150" s="15">
        <v>114</v>
      </c>
      <c r="AD150" s="15" t="s">
        <v>973</v>
      </c>
      <c r="AE150" s="15">
        <v>48110.115400000002</v>
      </c>
      <c r="AF150" s="15">
        <v>115.9</v>
      </c>
      <c r="AG150" s="15" t="s">
        <v>974</v>
      </c>
      <c r="AH150" s="15">
        <f t="shared" si="22"/>
        <v>579.5</v>
      </c>
    </row>
    <row r="151" spans="9:34" x14ac:dyDescent="0.25">
      <c r="X151" s="15">
        <v>10710</v>
      </c>
      <c r="Y151">
        <v>2015</v>
      </c>
      <c r="Z151" s="15" t="s">
        <v>1222</v>
      </c>
      <c r="AA151" s="15">
        <v>133</v>
      </c>
      <c r="AB151" s="15" t="s">
        <v>1223</v>
      </c>
      <c r="AC151" s="15">
        <v>115</v>
      </c>
      <c r="AD151" s="15" t="s">
        <v>973</v>
      </c>
      <c r="AE151" s="15">
        <v>37299.005100000002</v>
      </c>
      <c r="AF151" s="15">
        <v>88.1</v>
      </c>
      <c r="AG151" s="15" t="s">
        <v>974</v>
      </c>
      <c r="AH151" s="15">
        <f t="shared" si="22"/>
        <v>440.5</v>
      </c>
    </row>
    <row r="152" spans="9:34" x14ac:dyDescent="0.25">
      <c r="X152" s="15">
        <v>10711</v>
      </c>
      <c r="Y152">
        <v>2015</v>
      </c>
      <c r="Z152" s="15" t="s">
        <v>1224</v>
      </c>
      <c r="AA152" s="15">
        <v>134</v>
      </c>
      <c r="AB152" s="15" t="s">
        <v>1225</v>
      </c>
      <c r="AC152" s="15">
        <v>116</v>
      </c>
      <c r="AD152" s="15" t="s">
        <v>973</v>
      </c>
      <c r="AE152" s="15">
        <v>32859.582300000002</v>
      </c>
      <c r="AF152" s="15">
        <v>76.7</v>
      </c>
      <c r="AG152" s="15" t="s">
        <v>974</v>
      </c>
      <c r="AH152" s="15">
        <f t="shared" si="22"/>
        <v>383.5</v>
      </c>
    </row>
    <row r="153" spans="9:34" x14ac:dyDescent="0.25">
      <c r="X153" s="15">
        <v>10712</v>
      </c>
      <c r="Y153">
        <v>2015</v>
      </c>
      <c r="Z153" s="15" t="s">
        <v>1226</v>
      </c>
      <c r="AA153" s="15">
        <v>135</v>
      </c>
      <c r="AB153" s="15" t="s">
        <v>1227</v>
      </c>
      <c r="AC153" s="15">
        <v>117</v>
      </c>
      <c r="AD153" s="15" t="s">
        <v>973</v>
      </c>
      <c r="AE153" s="15">
        <v>33768.337599999999</v>
      </c>
      <c r="AF153" s="15">
        <v>79.099999999999994</v>
      </c>
      <c r="AG153" s="15" t="s">
        <v>974</v>
      </c>
      <c r="AH153" s="15">
        <f t="shared" si="22"/>
        <v>395.5</v>
      </c>
    </row>
    <row r="154" spans="9:34" x14ac:dyDescent="0.25">
      <c r="X154" s="15">
        <v>10713</v>
      </c>
      <c r="Y154">
        <v>2015</v>
      </c>
      <c r="Z154" s="15" t="s">
        <v>1228</v>
      </c>
      <c r="AA154" s="15">
        <v>136</v>
      </c>
      <c r="AB154" s="15" t="s">
        <v>1229</v>
      </c>
      <c r="AC154" s="15">
        <v>118</v>
      </c>
      <c r="AD154" s="15" t="s">
        <v>973</v>
      </c>
      <c r="AE154" s="15">
        <v>29015.2978</v>
      </c>
      <c r="AF154" s="15">
        <v>66.900000000000006</v>
      </c>
      <c r="AG154" s="15" t="s">
        <v>974</v>
      </c>
      <c r="AH154" s="15">
        <f t="shared" si="22"/>
        <v>334.5</v>
      </c>
    </row>
    <row r="155" spans="9:34" x14ac:dyDescent="0.25">
      <c r="X155" s="15">
        <v>10714</v>
      </c>
      <c r="Y155">
        <v>2015</v>
      </c>
      <c r="Z155" s="15" t="s">
        <v>1230</v>
      </c>
      <c r="AA155" s="15">
        <v>137</v>
      </c>
      <c r="AB155" s="15" t="s">
        <v>1231</v>
      </c>
      <c r="AC155" s="15">
        <v>119</v>
      </c>
      <c r="AD155" s="15" t="s">
        <v>973</v>
      </c>
      <c r="AE155" s="15">
        <v>38102.294099999999</v>
      </c>
      <c r="AF155" s="15">
        <v>90.3</v>
      </c>
      <c r="AG155" s="15" t="s">
        <v>974</v>
      </c>
      <c r="AH155" s="15">
        <f t="shared" si="22"/>
        <v>451.5</v>
      </c>
    </row>
    <row r="156" spans="9:34" x14ac:dyDescent="0.25">
      <c r="X156" s="15">
        <v>10715</v>
      </c>
      <c r="Y156">
        <v>2015</v>
      </c>
      <c r="Z156" s="15" t="s">
        <v>1232</v>
      </c>
      <c r="AA156" s="15">
        <v>138</v>
      </c>
      <c r="AB156" s="15" t="s">
        <v>1233</v>
      </c>
      <c r="AC156" s="15">
        <v>120</v>
      </c>
      <c r="AD156" s="15" t="s">
        <v>973</v>
      </c>
      <c r="AE156" s="15">
        <v>27137.561900000001</v>
      </c>
      <c r="AF156" s="15">
        <v>62</v>
      </c>
      <c r="AG156" s="15" t="s">
        <v>974</v>
      </c>
      <c r="AH156" s="15">
        <f t="shared" si="22"/>
        <v>310</v>
      </c>
    </row>
    <row r="157" spans="9:34" x14ac:dyDescent="0.25">
      <c r="X157" s="15">
        <v>10716</v>
      </c>
      <c r="Y157">
        <v>2015</v>
      </c>
      <c r="Z157" s="15" t="s">
        <v>1234</v>
      </c>
      <c r="AA157" s="15">
        <v>139</v>
      </c>
      <c r="AB157" s="15" t="s">
        <v>1235</v>
      </c>
      <c r="AC157" s="15">
        <v>121</v>
      </c>
      <c r="AD157" s="15" t="s">
        <v>973</v>
      </c>
      <c r="AE157" s="15">
        <v>25453.912400000001</v>
      </c>
      <c r="AF157" s="15">
        <v>57.7</v>
      </c>
      <c r="AG157" s="15" t="s">
        <v>974</v>
      </c>
      <c r="AH157" s="15">
        <f t="shared" si="22"/>
        <v>288.5</v>
      </c>
    </row>
    <row r="158" spans="9:34" x14ac:dyDescent="0.25">
      <c r="X158" s="15">
        <v>10717</v>
      </c>
      <c r="Y158">
        <v>2015</v>
      </c>
      <c r="Z158" s="15" t="s">
        <v>1236</v>
      </c>
      <c r="AA158" s="15">
        <v>140</v>
      </c>
      <c r="AB158" s="15" t="s">
        <v>1237</v>
      </c>
      <c r="AC158" s="15">
        <v>122</v>
      </c>
      <c r="AD158" s="15" t="s">
        <v>973</v>
      </c>
      <c r="AE158" s="15">
        <v>43729.061500000003</v>
      </c>
      <c r="AF158" s="15">
        <v>104.8</v>
      </c>
      <c r="AG158" s="15" t="s">
        <v>974</v>
      </c>
      <c r="AH158" s="15">
        <f t="shared" si="22"/>
        <v>524</v>
      </c>
    </row>
    <row r="159" spans="9:34" x14ac:dyDescent="0.25">
      <c r="X159" s="15">
        <v>10718</v>
      </c>
      <c r="Y159">
        <v>2015</v>
      </c>
      <c r="Z159" s="15" t="s">
        <v>1238</v>
      </c>
      <c r="AA159" s="15">
        <v>141</v>
      </c>
      <c r="AB159" s="15" t="s">
        <v>1239</v>
      </c>
      <c r="AC159" s="15">
        <v>123</v>
      </c>
      <c r="AD159" s="15" t="s">
        <v>973</v>
      </c>
      <c r="AE159" s="15">
        <v>42285.563800000004</v>
      </c>
      <c r="AF159" s="15">
        <v>101</v>
      </c>
      <c r="AG159" s="15" t="s">
        <v>974</v>
      </c>
      <c r="AH159" s="15">
        <f t="shared" si="22"/>
        <v>505</v>
      </c>
    </row>
    <row r="160" spans="9:34" x14ac:dyDescent="0.25">
      <c r="X160" s="15">
        <v>10719</v>
      </c>
      <c r="Y160">
        <v>2015</v>
      </c>
      <c r="Z160" s="15" t="s">
        <v>1240</v>
      </c>
      <c r="AA160" s="15">
        <v>142</v>
      </c>
      <c r="AB160" s="15" t="s">
        <v>1241</v>
      </c>
      <c r="AC160" s="15">
        <v>124</v>
      </c>
      <c r="AD160" s="15" t="s">
        <v>973</v>
      </c>
      <c r="AE160" s="15">
        <v>29748.834599999998</v>
      </c>
      <c r="AF160" s="15">
        <v>68.8</v>
      </c>
      <c r="AG160" s="15" t="s">
        <v>974</v>
      </c>
      <c r="AH160" s="15">
        <f t="shared" si="22"/>
        <v>344</v>
      </c>
    </row>
    <row r="161" spans="24:34" x14ac:dyDescent="0.25">
      <c r="X161" s="15">
        <v>10720</v>
      </c>
      <c r="Y161">
        <v>2015</v>
      </c>
      <c r="Z161" s="15" t="s">
        <v>1242</v>
      </c>
      <c r="AA161" s="15">
        <v>143</v>
      </c>
      <c r="AB161" s="15">
        <v>10720</v>
      </c>
      <c r="AC161" s="15">
        <v>135</v>
      </c>
      <c r="AD161" s="15" t="s">
        <v>973</v>
      </c>
      <c r="AE161" s="15">
        <v>5790.0285999999996</v>
      </c>
      <c r="AF161" s="15">
        <v>7.2</v>
      </c>
      <c r="AG161" s="15" t="s">
        <v>974</v>
      </c>
      <c r="AH161" s="15">
        <f>(AF161)</f>
        <v>7.2</v>
      </c>
    </row>
    <row r="162" spans="24:34" x14ac:dyDescent="0.25">
      <c r="X162" s="15"/>
      <c r="Y162" s="15"/>
      <c r="Z162" s="15"/>
      <c r="AA162" s="15"/>
      <c r="AB162" s="15" t="s">
        <v>1243</v>
      </c>
      <c r="AC162" s="15">
        <v>125</v>
      </c>
      <c r="AD162" s="15" t="s">
        <v>973</v>
      </c>
      <c r="AE162" s="15">
        <v>3649.3398000000002</v>
      </c>
      <c r="AF162" s="15">
        <v>1.6</v>
      </c>
      <c r="AG162" s="15" t="s">
        <v>974</v>
      </c>
      <c r="AH162" s="15">
        <f>(AF162*5)</f>
        <v>8</v>
      </c>
    </row>
    <row r="163" spans="24:34" x14ac:dyDescent="0.25">
      <c r="X163" s="15">
        <v>10721</v>
      </c>
      <c r="Y163">
        <v>2015</v>
      </c>
      <c r="Z163" s="15" t="s">
        <v>1244</v>
      </c>
      <c r="AA163" s="15">
        <v>144</v>
      </c>
      <c r="AB163" s="15" t="s">
        <v>1245</v>
      </c>
      <c r="AC163" s="15">
        <v>126</v>
      </c>
      <c r="AD163" s="15" t="s">
        <v>973</v>
      </c>
      <c r="AE163" s="15">
        <v>6475.1732000000002</v>
      </c>
      <c r="AF163" s="15">
        <v>9</v>
      </c>
      <c r="AG163" s="15" t="s">
        <v>974</v>
      </c>
      <c r="AH163" s="15">
        <f>(AF163*5)</f>
        <v>45</v>
      </c>
    </row>
    <row r="164" spans="24:34" x14ac:dyDescent="0.25">
      <c r="X164" s="15">
        <v>10722</v>
      </c>
      <c r="Y164" s="15"/>
      <c r="Z164" s="15" t="s">
        <v>1246</v>
      </c>
      <c r="AA164" s="15">
        <v>145</v>
      </c>
      <c r="AB164" s="15">
        <v>10722</v>
      </c>
      <c r="AC164" s="15">
        <v>127</v>
      </c>
      <c r="AD164" s="15" t="s">
        <v>973</v>
      </c>
      <c r="AE164" s="15">
        <v>3177.2285999999999</v>
      </c>
      <c r="AF164" s="15">
        <v>0.5</v>
      </c>
      <c r="AG164" s="15" t="s">
        <v>974</v>
      </c>
      <c r="AH164" s="15">
        <f>(AF164)</f>
        <v>0.5</v>
      </c>
    </row>
    <row r="165" spans="24:34" x14ac:dyDescent="0.25">
      <c r="X165" s="15">
        <v>10723</v>
      </c>
      <c r="Y165" s="15"/>
      <c r="Z165" s="15" t="s">
        <v>1247</v>
      </c>
      <c r="AA165" s="15">
        <v>146</v>
      </c>
      <c r="AB165" s="15">
        <v>10723</v>
      </c>
      <c r="AC165" s="15">
        <v>128</v>
      </c>
      <c r="AD165" s="15" t="s">
        <v>973</v>
      </c>
      <c r="AE165" s="15">
        <v>3178.3786</v>
      </c>
      <c r="AF165" s="15">
        <v>0.5</v>
      </c>
      <c r="AG165" s="15" t="s">
        <v>974</v>
      </c>
      <c r="AH165" s="15">
        <f>(AF165)</f>
        <v>0.5</v>
      </c>
    </row>
    <row r="166" spans="24:34" x14ac:dyDescent="0.25">
      <c r="X166" s="15">
        <v>10724</v>
      </c>
      <c r="Y166" s="15"/>
      <c r="Z166" s="15" t="s">
        <v>1248</v>
      </c>
      <c r="AA166" s="15">
        <v>147</v>
      </c>
      <c r="AB166" s="15">
        <v>10724</v>
      </c>
      <c r="AC166" s="15">
        <v>129</v>
      </c>
      <c r="AD166" s="15" t="s">
        <v>973</v>
      </c>
      <c r="AE166" s="15">
        <v>3189.9866000000002</v>
      </c>
      <c r="AF166" s="15">
        <v>0.5</v>
      </c>
      <c r="AG166" s="15" t="s">
        <v>974</v>
      </c>
      <c r="AH166" s="15">
        <f>(AF166)</f>
        <v>0.5</v>
      </c>
    </row>
    <row r="167" spans="24:34" x14ac:dyDescent="0.25">
      <c r="X167" s="15">
        <v>10725</v>
      </c>
      <c r="Y167" s="15"/>
      <c r="Z167" s="15" t="s">
        <v>1249</v>
      </c>
      <c r="AA167" s="15">
        <v>148</v>
      </c>
      <c r="AB167" s="15">
        <v>10725</v>
      </c>
      <c r="AC167" s="15">
        <v>130</v>
      </c>
      <c r="AD167" s="15" t="s">
        <v>973</v>
      </c>
      <c r="AE167" s="15">
        <v>3080.4663</v>
      </c>
      <c r="AF167" s="15">
        <v>0.2</v>
      </c>
      <c r="AG167" s="15" t="s">
        <v>974</v>
      </c>
      <c r="AH167" s="15">
        <f>(AF167)</f>
        <v>0.2</v>
      </c>
    </row>
  </sheetData>
  <phoneticPr fontId="0" type="noConversion"/>
  <printOptions gridLines="1"/>
  <pageMargins left="0.63" right="0.75" top="0.4" bottom="0.41" header="0.39" footer="0.4"/>
  <pageSetup paperSize="9" scale="90" orientation="portrait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C147"/>
  <sheetViews>
    <sheetView zoomScaleSheetLayoutView="80" workbookViewId="0">
      <pane xSplit="5" ySplit="4" topLeftCell="F5" activePane="bottomRight" state="frozenSplit"/>
      <selection activeCell="L21" sqref="L21"/>
      <selection pane="topRight" activeCell="L21" sqref="L21"/>
      <selection pane="bottomLeft" activeCell="L21" sqref="L21"/>
      <selection pane="bottomRight" activeCell="H6" sqref="H6"/>
    </sheetView>
  </sheetViews>
  <sheetFormatPr defaultColWidth="8.81640625" defaultRowHeight="12.5" x14ac:dyDescent="0.25"/>
  <cols>
    <col min="1" max="1" width="13.81640625" customWidth="1"/>
    <col min="3" max="3" width="7.453125" customWidth="1"/>
    <col min="4" max="4" width="11.1796875" customWidth="1"/>
    <col min="5" max="5" width="4.453125" customWidth="1"/>
    <col min="8" max="8" width="7.453125" style="289" bestFit="1" customWidth="1"/>
    <col min="9" max="9" width="4.453125" customWidth="1"/>
    <col min="10" max="11" width="8.26953125" style="19" customWidth="1"/>
    <col min="12" max="12" width="9.26953125" style="5" customWidth="1"/>
    <col min="13" max="13" width="10.453125" style="5" customWidth="1"/>
    <col min="14" max="14" width="9.26953125" customWidth="1"/>
    <col min="20" max="20" width="9.81640625" bestFit="1" customWidth="1"/>
  </cols>
  <sheetData>
    <row r="1" spans="1:29" x14ac:dyDescent="0.25">
      <c r="A1" t="s">
        <v>150</v>
      </c>
      <c r="B1" t="s">
        <v>151</v>
      </c>
      <c r="C1" t="s">
        <v>59</v>
      </c>
      <c r="D1" t="s">
        <v>54</v>
      </c>
      <c r="E1" t="s">
        <v>55</v>
      </c>
      <c r="F1" t="s">
        <v>157</v>
      </c>
      <c r="G1" t="s">
        <v>157</v>
      </c>
      <c r="H1" s="439" t="s">
        <v>840</v>
      </c>
      <c r="I1" t="s">
        <v>160</v>
      </c>
      <c r="J1" s="5" t="s">
        <v>56</v>
      </c>
      <c r="K1" s="5" t="s">
        <v>56</v>
      </c>
      <c r="L1" s="2" t="s">
        <v>149</v>
      </c>
      <c r="M1" t="s">
        <v>154</v>
      </c>
      <c r="N1" t="s">
        <v>14</v>
      </c>
      <c r="O1" t="s">
        <v>156</v>
      </c>
      <c r="V1" t="s">
        <v>836</v>
      </c>
      <c r="X1" s="3"/>
      <c r="Z1" s="5"/>
      <c r="AC1" s="11"/>
    </row>
    <row r="2" spans="1:29" x14ac:dyDescent="0.25">
      <c r="A2" t="s">
        <v>152</v>
      </c>
      <c r="C2" t="s">
        <v>666</v>
      </c>
      <c r="F2" t="s">
        <v>106</v>
      </c>
      <c r="G2" t="s">
        <v>158</v>
      </c>
      <c r="H2" s="360" t="s">
        <v>153</v>
      </c>
      <c r="J2" s="5" t="s">
        <v>15</v>
      </c>
      <c r="K2" s="5" t="s">
        <v>15</v>
      </c>
      <c r="L2" s="2" t="s">
        <v>27</v>
      </c>
      <c r="M2"/>
      <c r="N2" t="s">
        <v>155</v>
      </c>
      <c r="V2" s="17" t="s">
        <v>837</v>
      </c>
      <c r="W2" s="17"/>
      <c r="X2" s="18"/>
      <c r="Y2" s="17"/>
      <c r="Z2" s="1"/>
      <c r="AA2" s="17"/>
      <c r="AB2" s="17"/>
      <c r="AC2" s="65"/>
    </row>
    <row r="3" spans="1:29" x14ac:dyDescent="0.25">
      <c r="H3" s="360"/>
      <c r="J3" s="7" t="s">
        <v>25</v>
      </c>
      <c r="K3" s="7" t="s">
        <v>147</v>
      </c>
      <c r="L3" s="9"/>
      <c r="M3"/>
      <c r="V3" s="17" t="s">
        <v>838</v>
      </c>
      <c r="W3" s="17"/>
      <c r="X3" s="18"/>
      <c r="Y3" s="17"/>
      <c r="Z3" s="1"/>
      <c r="AA3" s="17"/>
      <c r="AB3" s="17"/>
      <c r="AC3" s="65"/>
    </row>
    <row r="4" spans="1:29" x14ac:dyDescent="0.25">
      <c r="C4" s="5"/>
      <c r="F4" t="s">
        <v>159</v>
      </c>
      <c r="G4" t="s">
        <v>159</v>
      </c>
      <c r="H4" s="439" t="s">
        <v>728</v>
      </c>
      <c r="J4" s="5" t="s">
        <v>53</v>
      </c>
      <c r="K4" s="5" t="s">
        <v>53</v>
      </c>
      <c r="L4" s="2"/>
      <c r="M4"/>
      <c r="Q4" t="s">
        <v>151</v>
      </c>
      <c r="R4" t="s">
        <v>59</v>
      </c>
      <c r="S4" t="s">
        <v>54</v>
      </c>
      <c r="T4" t="s">
        <v>55</v>
      </c>
      <c r="V4" s="17" t="s">
        <v>1258</v>
      </c>
      <c r="W4" s="17"/>
      <c r="X4" s="18"/>
      <c r="Y4" s="17"/>
      <c r="Z4" s="1"/>
      <c r="AA4" s="17"/>
      <c r="AB4" s="17"/>
      <c r="AC4" s="65"/>
    </row>
    <row r="5" spans="1:29" x14ac:dyDescent="0.25">
      <c r="C5" s="5"/>
      <c r="H5" s="360"/>
      <c r="J5" s="5"/>
      <c r="K5" s="5"/>
      <c r="L5" s="2"/>
      <c r="M5"/>
      <c r="Q5" s="15">
        <v>1</v>
      </c>
      <c r="R5">
        <v>2016</v>
      </c>
      <c r="S5" s="17" t="s">
        <v>111</v>
      </c>
      <c r="T5">
        <v>1</v>
      </c>
      <c r="V5" s="17" t="s">
        <v>839</v>
      </c>
      <c r="W5" s="17"/>
      <c r="X5" s="18"/>
      <c r="Y5" s="17"/>
      <c r="Z5" s="1"/>
      <c r="AA5" s="17"/>
      <c r="AB5" s="17"/>
      <c r="AC5" s="65"/>
    </row>
    <row r="6" spans="1:29" s="169" customFormat="1" x14ac:dyDescent="0.25">
      <c r="A6" s="335">
        <v>42951</v>
      </c>
      <c r="B6" s="17">
        <v>1</v>
      </c>
      <c r="C6">
        <v>2016</v>
      </c>
      <c r="D6" s="18" t="s">
        <v>111</v>
      </c>
      <c r="E6">
        <v>1</v>
      </c>
      <c r="F6" s="257"/>
      <c r="G6" s="257"/>
      <c r="H6" s="361">
        <f>BSi_results!F14</f>
        <v>2975.1</v>
      </c>
      <c r="I6" s="219"/>
      <c r="J6" s="277">
        <f>main!E7</f>
        <v>530.17142857142858</v>
      </c>
      <c r="K6" s="277">
        <f>mass_filt_1!R8</f>
        <v>371.12</v>
      </c>
      <c r="L6" s="255">
        <v>1</v>
      </c>
      <c r="M6" s="255"/>
      <c r="N6" s="276">
        <v>42947</v>
      </c>
      <c r="O6" s="219" t="s">
        <v>675</v>
      </c>
      <c r="Q6" s="336">
        <v>2</v>
      </c>
      <c r="R6">
        <v>2016</v>
      </c>
      <c r="S6" s="17" t="s">
        <v>111</v>
      </c>
      <c r="T6" s="17">
        <v>2</v>
      </c>
    </row>
    <row r="7" spans="1:29" x14ac:dyDescent="0.25">
      <c r="A7" s="335">
        <v>42951</v>
      </c>
      <c r="B7">
        <v>2</v>
      </c>
      <c r="C7">
        <v>2016</v>
      </c>
      <c r="D7" s="18" t="s">
        <v>111</v>
      </c>
      <c r="E7">
        <v>2</v>
      </c>
      <c r="F7" s="2"/>
      <c r="G7" s="2"/>
      <c r="H7" s="361">
        <f>BSi_results!F15</f>
        <v>3145.5</v>
      </c>
      <c r="J7" s="277">
        <f>main!E8</f>
        <v>211.89999999999995</v>
      </c>
      <c r="K7" s="277">
        <f>mass_filt_1!R9</f>
        <v>148.32999999999998</v>
      </c>
      <c r="L7" s="5">
        <v>1</v>
      </c>
      <c r="N7" s="276">
        <v>42947</v>
      </c>
      <c r="O7" s="219" t="s">
        <v>675</v>
      </c>
      <c r="Q7" s="15">
        <v>3</v>
      </c>
      <c r="R7">
        <v>2016</v>
      </c>
      <c r="S7" s="17" t="s">
        <v>111</v>
      </c>
      <c r="T7">
        <v>3</v>
      </c>
    </row>
    <row r="8" spans="1:29" x14ac:dyDescent="0.25">
      <c r="A8" s="335">
        <v>42951</v>
      </c>
      <c r="B8">
        <v>3</v>
      </c>
      <c r="C8">
        <v>2016</v>
      </c>
      <c r="D8" s="18" t="s">
        <v>111</v>
      </c>
      <c r="E8">
        <v>3</v>
      </c>
      <c r="F8" s="2"/>
      <c r="G8" s="2"/>
      <c r="H8" s="361">
        <f>BSi_results!F16</f>
        <v>3602.1</v>
      </c>
      <c r="J8" s="277">
        <f>main!E9</f>
        <v>175.27142857142857</v>
      </c>
      <c r="K8" s="277">
        <f>mass_filt_1!R10</f>
        <v>122.69</v>
      </c>
      <c r="L8" s="5">
        <v>1</v>
      </c>
      <c r="N8" s="276">
        <v>42947</v>
      </c>
      <c r="O8" s="219" t="s">
        <v>675</v>
      </c>
      <c r="Q8" s="15">
        <v>4</v>
      </c>
      <c r="R8">
        <v>2016</v>
      </c>
      <c r="S8" s="17" t="s">
        <v>111</v>
      </c>
      <c r="T8">
        <v>4</v>
      </c>
    </row>
    <row r="9" spans="1:29" x14ac:dyDescent="0.25">
      <c r="A9" s="335">
        <v>42951</v>
      </c>
      <c r="B9">
        <v>4</v>
      </c>
      <c r="C9">
        <v>2016</v>
      </c>
      <c r="D9" s="18" t="s">
        <v>111</v>
      </c>
      <c r="E9">
        <v>4</v>
      </c>
      <c r="F9" s="2"/>
      <c r="G9" s="2"/>
      <c r="H9" s="361">
        <f>BSi_results!F17</f>
        <v>2932.3</v>
      </c>
      <c r="J9" s="277">
        <f>main!E10</f>
        <v>223.42857142857139</v>
      </c>
      <c r="K9" s="277">
        <f>mass_filt_1!R11</f>
        <v>156.39999999999998</v>
      </c>
      <c r="L9" s="5">
        <v>1</v>
      </c>
      <c r="N9" s="276">
        <v>42947</v>
      </c>
      <c r="O9" s="219" t="s">
        <v>675</v>
      </c>
      <c r="Q9" s="336">
        <v>5</v>
      </c>
      <c r="R9">
        <v>2016</v>
      </c>
      <c r="S9" s="17" t="s">
        <v>111</v>
      </c>
      <c r="T9" s="17" t="s">
        <v>717</v>
      </c>
    </row>
    <row r="10" spans="1:29" x14ac:dyDescent="0.25">
      <c r="A10" s="335">
        <v>42951</v>
      </c>
      <c r="B10">
        <v>5</v>
      </c>
      <c r="C10">
        <v>2016</v>
      </c>
      <c r="D10" s="18" t="s">
        <v>111</v>
      </c>
      <c r="E10" s="17" t="s">
        <v>717</v>
      </c>
      <c r="F10" s="2"/>
      <c r="G10" s="2"/>
      <c r="H10" s="361">
        <f>BSi_results!F18</f>
        <v>2723.2</v>
      </c>
      <c r="I10" s="17" t="s">
        <v>160</v>
      </c>
      <c r="J10" s="277">
        <f>main!E11</f>
        <v>340.01428571428579</v>
      </c>
      <c r="K10" s="277">
        <f>mass_filt_1!R12</f>
        <v>238.01000000000002</v>
      </c>
      <c r="L10" s="5">
        <v>1</v>
      </c>
      <c r="N10" s="276">
        <v>42947</v>
      </c>
      <c r="O10" s="219" t="s">
        <v>675</v>
      </c>
      <c r="Q10" s="15">
        <v>6</v>
      </c>
      <c r="R10">
        <v>2016</v>
      </c>
      <c r="S10" s="17" t="s">
        <v>111</v>
      </c>
      <c r="T10" s="17" t="s">
        <v>718</v>
      </c>
    </row>
    <row r="11" spans="1:29" x14ac:dyDescent="0.25">
      <c r="A11" s="335">
        <v>42951</v>
      </c>
      <c r="B11">
        <v>6</v>
      </c>
      <c r="C11">
        <v>2016</v>
      </c>
      <c r="D11" s="18" t="s">
        <v>111</v>
      </c>
      <c r="E11" s="17" t="s">
        <v>718</v>
      </c>
      <c r="F11" s="2"/>
      <c r="G11" s="2"/>
      <c r="H11" s="361">
        <f>BSi_results!F19</f>
        <v>3385.4</v>
      </c>
      <c r="I11" s="17" t="s">
        <v>160</v>
      </c>
      <c r="N11" s="276">
        <v>42947</v>
      </c>
      <c r="O11" s="219" t="s">
        <v>675</v>
      </c>
      <c r="Q11" s="15">
        <v>7</v>
      </c>
      <c r="R11">
        <v>2016</v>
      </c>
      <c r="S11" s="17" t="s">
        <v>111</v>
      </c>
      <c r="T11">
        <v>6</v>
      </c>
    </row>
    <row r="12" spans="1:29" x14ac:dyDescent="0.25">
      <c r="A12" s="335">
        <v>42951</v>
      </c>
      <c r="B12">
        <v>7</v>
      </c>
      <c r="C12">
        <v>2016</v>
      </c>
      <c r="D12" s="18" t="s">
        <v>111</v>
      </c>
      <c r="E12">
        <v>6</v>
      </c>
      <c r="F12" s="2"/>
      <c r="G12" s="2"/>
      <c r="H12" s="361">
        <f>BSi_results!F20</f>
        <v>2685.9</v>
      </c>
      <c r="J12" s="277">
        <f>main!E12</f>
        <v>66.357142857142861</v>
      </c>
      <c r="K12" s="277">
        <f>mass_filt_1!R13</f>
        <v>46.45</v>
      </c>
      <c r="L12" s="5">
        <v>1</v>
      </c>
      <c r="N12" s="276">
        <v>42947</v>
      </c>
      <c r="O12" s="219" t="s">
        <v>675</v>
      </c>
      <c r="Q12" s="336">
        <v>8</v>
      </c>
      <c r="S12" s="18" t="s">
        <v>226</v>
      </c>
      <c r="T12" s="17" t="s">
        <v>833</v>
      </c>
    </row>
    <row r="13" spans="1:29" s="17" customFormat="1" x14ac:dyDescent="0.25">
      <c r="A13" s="335">
        <v>42955</v>
      </c>
      <c r="B13">
        <v>17</v>
      </c>
      <c r="C13" s="17">
        <v>2016</v>
      </c>
      <c r="D13" s="18" t="s">
        <v>111</v>
      </c>
      <c r="E13" s="17">
        <v>7</v>
      </c>
      <c r="H13" s="407">
        <f>BSi_results!F21</f>
        <v>1273.5</v>
      </c>
      <c r="J13" s="18">
        <f>main!E13</f>
        <v>14.12857142857143</v>
      </c>
      <c r="K13" s="18">
        <f>mass_filt_1!R14</f>
        <v>9.89</v>
      </c>
      <c r="L13" s="1">
        <v>1</v>
      </c>
      <c r="M13" s="1"/>
      <c r="N13" s="65">
        <v>42947</v>
      </c>
      <c r="O13" s="17" t="s">
        <v>675</v>
      </c>
      <c r="Q13" s="15">
        <v>9</v>
      </c>
      <c r="R13">
        <v>2016</v>
      </c>
      <c r="S13" s="17" t="s">
        <v>111</v>
      </c>
      <c r="T13" s="17">
        <v>8</v>
      </c>
    </row>
    <row r="14" spans="1:29" s="17" customFormat="1" x14ac:dyDescent="0.25">
      <c r="A14" s="335">
        <v>42951</v>
      </c>
      <c r="B14" s="17">
        <v>9</v>
      </c>
      <c r="C14" s="17">
        <v>2016</v>
      </c>
      <c r="D14" s="18" t="s">
        <v>111</v>
      </c>
      <c r="E14" s="17">
        <v>8</v>
      </c>
      <c r="F14" s="64"/>
      <c r="G14" s="64"/>
      <c r="H14" s="407">
        <f>BSi_results!F22</f>
        <v>2781.1</v>
      </c>
      <c r="J14" s="18">
        <f>main!E14</f>
        <v>179.90000000000003</v>
      </c>
      <c r="K14" s="18">
        <f>mass_filt_1!R15</f>
        <v>125.93</v>
      </c>
      <c r="L14" s="1">
        <v>1</v>
      </c>
      <c r="M14" s="1"/>
      <c r="N14" s="65">
        <v>42947</v>
      </c>
      <c r="O14" s="17" t="s">
        <v>675</v>
      </c>
      <c r="Q14" s="15">
        <v>10</v>
      </c>
      <c r="R14">
        <v>2016</v>
      </c>
      <c r="S14" s="17" t="s">
        <v>111</v>
      </c>
      <c r="T14" s="17">
        <v>9</v>
      </c>
    </row>
    <row r="15" spans="1:29" s="17" customFormat="1" x14ac:dyDescent="0.25">
      <c r="A15" s="335">
        <v>42951</v>
      </c>
      <c r="B15" s="17">
        <v>10</v>
      </c>
      <c r="C15" s="17">
        <v>2016</v>
      </c>
      <c r="D15" s="18" t="s">
        <v>111</v>
      </c>
      <c r="E15" s="17">
        <v>9</v>
      </c>
      <c r="F15" s="64"/>
      <c r="G15" s="64"/>
      <c r="H15" s="407">
        <f>BSi_results!F23</f>
        <v>3515</v>
      </c>
      <c r="J15" s="18">
        <f>main!E15</f>
        <v>124.47142857142856</v>
      </c>
      <c r="K15" s="18">
        <f>mass_filt_1!R16</f>
        <v>87.13</v>
      </c>
      <c r="L15" s="1">
        <v>1</v>
      </c>
      <c r="M15" s="1"/>
      <c r="N15" s="65">
        <v>42947</v>
      </c>
      <c r="O15" s="17" t="s">
        <v>675</v>
      </c>
      <c r="Q15" s="336">
        <v>11</v>
      </c>
      <c r="R15">
        <v>2016</v>
      </c>
      <c r="S15" s="17" t="s">
        <v>111</v>
      </c>
      <c r="T15" s="17">
        <v>10</v>
      </c>
    </row>
    <row r="16" spans="1:29" s="17" customFormat="1" x14ac:dyDescent="0.25">
      <c r="A16" s="335">
        <v>42951</v>
      </c>
      <c r="B16" s="17">
        <v>11</v>
      </c>
      <c r="C16" s="17">
        <v>2016</v>
      </c>
      <c r="D16" s="18" t="s">
        <v>111</v>
      </c>
      <c r="E16" s="17">
        <v>10</v>
      </c>
      <c r="F16" s="64"/>
      <c r="G16" s="64"/>
      <c r="H16" s="407">
        <f>BSi_results!F24</f>
        <v>3386.5</v>
      </c>
      <c r="J16" s="18">
        <f>main!E16</f>
        <v>60.557142857142843</v>
      </c>
      <c r="K16" s="18">
        <f>mass_filt_1!R17</f>
        <v>42.389999999999993</v>
      </c>
      <c r="L16" s="1">
        <v>1</v>
      </c>
      <c r="M16" s="1"/>
      <c r="N16" s="65">
        <v>42947</v>
      </c>
      <c r="O16" s="17" t="s">
        <v>675</v>
      </c>
      <c r="Q16" s="286">
        <v>12</v>
      </c>
      <c r="R16" s="219">
        <v>2016</v>
      </c>
      <c r="S16" s="219" t="s">
        <v>111</v>
      </c>
      <c r="T16" s="219">
        <v>11</v>
      </c>
    </row>
    <row r="17" spans="1:20" s="17" customFormat="1" x14ac:dyDescent="0.25">
      <c r="A17" s="335">
        <v>42951</v>
      </c>
      <c r="B17" s="17">
        <v>12</v>
      </c>
      <c r="C17" s="17">
        <v>2016</v>
      </c>
      <c r="D17" s="18" t="s">
        <v>111</v>
      </c>
      <c r="E17" s="17">
        <v>11</v>
      </c>
      <c r="F17" s="64"/>
      <c r="G17" s="64"/>
      <c r="H17" s="407">
        <f>BSi_results!F25</f>
        <v>3183.3</v>
      </c>
      <c r="J17" s="18">
        <f>main!E17</f>
        <v>147.34285714285713</v>
      </c>
      <c r="K17" s="18">
        <f>mass_filt_1!R18</f>
        <v>103.13999999999999</v>
      </c>
      <c r="L17" s="1">
        <v>1</v>
      </c>
      <c r="M17" s="1"/>
      <c r="N17" s="65">
        <v>42947</v>
      </c>
      <c r="O17" s="17" t="s">
        <v>675</v>
      </c>
      <c r="Q17" s="286">
        <v>13</v>
      </c>
      <c r="R17" s="219">
        <v>2016</v>
      </c>
      <c r="S17" s="219" t="s">
        <v>111</v>
      </c>
      <c r="T17" s="219">
        <v>12</v>
      </c>
    </row>
    <row r="18" spans="1:20" s="17" customFormat="1" x14ac:dyDescent="0.25">
      <c r="A18" s="335">
        <v>42955</v>
      </c>
      <c r="B18" s="17">
        <v>13</v>
      </c>
      <c r="C18" s="17">
        <v>2016</v>
      </c>
      <c r="D18" s="18" t="s">
        <v>111</v>
      </c>
      <c r="E18" s="17">
        <v>12</v>
      </c>
      <c r="F18" s="64"/>
      <c r="G18" s="64"/>
      <c r="H18" s="407">
        <f>BSi_results!F26</f>
        <v>2191.6</v>
      </c>
      <c r="J18" s="18">
        <f>main!E18</f>
        <v>17.842857142857156</v>
      </c>
      <c r="K18" s="18">
        <f>mass_filt_1!R19</f>
        <v>12.490000000000009</v>
      </c>
      <c r="L18" s="1">
        <v>1</v>
      </c>
      <c r="M18" s="1"/>
      <c r="N18" s="65">
        <v>42947</v>
      </c>
      <c r="O18" s="17" t="s">
        <v>675</v>
      </c>
      <c r="Q18" s="286">
        <v>14</v>
      </c>
      <c r="R18" s="219">
        <v>2016</v>
      </c>
      <c r="S18" s="219" t="s">
        <v>111</v>
      </c>
      <c r="T18" s="219">
        <v>13</v>
      </c>
    </row>
    <row r="19" spans="1:20" s="17" customFormat="1" x14ac:dyDescent="0.25">
      <c r="A19" s="335">
        <v>42955</v>
      </c>
      <c r="B19" s="17">
        <v>14</v>
      </c>
      <c r="C19" s="17">
        <v>2016</v>
      </c>
      <c r="D19" s="18" t="s">
        <v>111</v>
      </c>
      <c r="E19" s="17">
        <v>13</v>
      </c>
      <c r="H19" s="407">
        <f>BSi_results!F27</f>
        <v>768.2</v>
      </c>
      <c r="J19" s="18">
        <f>main!E19</f>
        <v>14.399999999999997</v>
      </c>
      <c r="K19" s="18">
        <f>mass_filt_1!R20</f>
        <v>10.079999999999998</v>
      </c>
      <c r="L19" s="1">
        <v>1</v>
      </c>
      <c r="M19" s="1"/>
      <c r="N19" s="65">
        <v>42947</v>
      </c>
      <c r="O19" s="17" t="s">
        <v>675</v>
      </c>
      <c r="Q19" s="286">
        <v>15</v>
      </c>
      <c r="R19" s="219">
        <v>2016</v>
      </c>
      <c r="S19" s="219" t="s">
        <v>111</v>
      </c>
      <c r="T19" s="219">
        <v>14</v>
      </c>
    </row>
    <row r="20" spans="1:20" s="17" customFormat="1" x14ac:dyDescent="0.25">
      <c r="A20" s="335">
        <v>42955</v>
      </c>
      <c r="B20" s="17">
        <v>15</v>
      </c>
      <c r="C20" s="17">
        <v>2016</v>
      </c>
      <c r="D20" s="18" t="s">
        <v>111</v>
      </c>
      <c r="E20" s="17">
        <v>14</v>
      </c>
      <c r="H20" s="407">
        <f>BSi_results!F28</f>
        <v>2715</v>
      </c>
      <c r="J20" s="18">
        <f>main!E20</f>
        <v>30.885714285714283</v>
      </c>
      <c r="K20" s="18">
        <f>mass_filt_1!R21</f>
        <v>21.619999999999997</v>
      </c>
      <c r="L20" s="1">
        <v>1</v>
      </c>
      <c r="M20" s="1"/>
      <c r="N20" s="65">
        <v>42947</v>
      </c>
      <c r="O20" s="17" t="s">
        <v>675</v>
      </c>
      <c r="Q20" s="286">
        <v>16</v>
      </c>
      <c r="R20" s="219">
        <v>2016</v>
      </c>
      <c r="S20" s="219" t="s">
        <v>111</v>
      </c>
      <c r="T20" s="219">
        <v>15</v>
      </c>
    </row>
    <row r="21" spans="1:20" s="143" customFormat="1" x14ac:dyDescent="0.25">
      <c r="A21" s="335">
        <v>42955</v>
      </c>
      <c r="B21" s="219">
        <v>16</v>
      </c>
      <c r="C21" s="219">
        <v>2016</v>
      </c>
      <c r="D21" s="277" t="s">
        <v>111</v>
      </c>
      <c r="E21" s="219">
        <v>15</v>
      </c>
      <c r="F21" s="219"/>
      <c r="G21" s="219"/>
      <c r="H21" s="361">
        <f>BSi_results!F29</f>
        <v>1504.2</v>
      </c>
      <c r="I21" s="219"/>
      <c r="J21" s="277">
        <f>main!E21</f>
        <v>13.671428571428573</v>
      </c>
      <c r="K21" s="277">
        <f>mass_filt_1!R22</f>
        <v>9.57</v>
      </c>
      <c r="L21" s="255">
        <v>1</v>
      </c>
      <c r="M21" s="255"/>
      <c r="N21" s="276">
        <v>42947</v>
      </c>
      <c r="O21" s="219" t="s">
        <v>675</v>
      </c>
      <c r="Q21" s="286">
        <v>17</v>
      </c>
      <c r="R21" s="219">
        <v>2016</v>
      </c>
      <c r="S21" s="219" t="s">
        <v>111</v>
      </c>
      <c r="T21" s="219">
        <v>7</v>
      </c>
    </row>
    <row r="22" spans="1:20" x14ac:dyDescent="0.25">
      <c r="C22" s="337">
        <v>2016</v>
      </c>
      <c r="D22" s="338" t="s">
        <v>111</v>
      </c>
      <c r="E22" s="337">
        <v>16</v>
      </c>
      <c r="F22" s="339"/>
      <c r="G22" s="339"/>
      <c r="H22" s="545" t="str">
        <f>BSi_results!F30</f>
        <v>filter only</v>
      </c>
      <c r="I22" s="337"/>
      <c r="J22" s="338">
        <f>main!E22</f>
        <v>7.1857142857142877</v>
      </c>
      <c r="K22" s="338">
        <f>mass_filt_1!R23</f>
        <v>5.0300000000000011</v>
      </c>
      <c r="L22" s="338" t="str">
        <f>H22</f>
        <v>filter only</v>
      </c>
      <c r="N22" s="276">
        <v>42947</v>
      </c>
      <c r="O22" s="219" t="s">
        <v>675</v>
      </c>
      <c r="Q22" s="286">
        <v>18</v>
      </c>
      <c r="S22" s="219" t="s">
        <v>831</v>
      </c>
      <c r="T22" s="17" t="s">
        <v>833</v>
      </c>
    </row>
    <row r="23" spans="1:20" x14ac:dyDescent="0.25">
      <c r="C23" s="337">
        <v>2016</v>
      </c>
      <c r="D23" s="338" t="s">
        <v>111</v>
      </c>
      <c r="E23" s="337">
        <v>17</v>
      </c>
      <c r="F23" s="339"/>
      <c r="G23" s="339"/>
      <c r="H23" s="545" t="str">
        <f>BSi_results!F31</f>
        <v>filter only</v>
      </c>
      <c r="I23" s="337"/>
      <c r="J23" s="338">
        <f>main!E23</f>
        <v>5.3857142857142906</v>
      </c>
      <c r="K23" s="338">
        <f>mass_filt_1!R24</f>
        <v>3.7700000000000031</v>
      </c>
      <c r="L23" s="338" t="str">
        <f t="shared" ref="L23:L27" si="0">H23</f>
        <v>filter only</v>
      </c>
      <c r="N23" s="276">
        <v>42947</v>
      </c>
      <c r="O23" s="219" t="s">
        <v>675</v>
      </c>
      <c r="Q23" s="336">
        <v>23</v>
      </c>
      <c r="R23">
        <v>2016</v>
      </c>
      <c r="S23" s="18" t="s">
        <v>109</v>
      </c>
      <c r="T23">
        <v>1</v>
      </c>
    </row>
    <row r="24" spans="1:20" x14ac:dyDescent="0.25">
      <c r="C24" s="337">
        <v>2016</v>
      </c>
      <c r="D24" s="338" t="s">
        <v>111</v>
      </c>
      <c r="E24" s="337">
        <v>18</v>
      </c>
      <c r="F24" s="337"/>
      <c r="G24" s="337"/>
      <c r="H24" s="545" t="str">
        <f>BSi_results!F32</f>
        <v>filter only</v>
      </c>
      <c r="I24" s="337"/>
      <c r="J24" s="338">
        <f>main!E24</f>
        <v>2.9285714285714346</v>
      </c>
      <c r="K24" s="338">
        <f>mass_filt_1!R25</f>
        <v>2.0500000000000043</v>
      </c>
      <c r="L24" s="338" t="str">
        <f t="shared" si="0"/>
        <v>filter only</v>
      </c>
      <c r="N24" s="276">
        <v>42947</v>
      </c>
      <c r="O24" s="219" t="s">
        <v>675</v>
      </c>
      <c r="Q24" s="15">
        <v>24</v>
      </c>
      <c r="R24">
        <v>2016</v>
      </c>
      <c r="S24" s="18" t="s">
        <v>109</v>
      </c>
      <c r="T24">
        <v>2</v>
      </c>
    </row>
    <row r="25" spans="1:20" x14ac:dyDescent="0.25">
      <c r="C25" s="337">
        <v>2016</v>
      </c>
      <c r="D25" s="338" t="s">
        <v>111</v>
      </c>
      <c r="E25" s="337">
        <v>19</v>
      </c>
      <c r="F25" s="337"/>
      <c r="G25" s="337"/>
      <c r="H25" s="545" t="str">
        <f>BSi_results!F33</f>
        <v>filter only</v>
      </c>
      <c r="I25" s="337"/>
      <c r="J25" s="338">
        <f>main!E25</f>
        <v>3.8285714285714385</v>
      </c>
      <c r="K25" s="338">
        <f>mass_filt_1!R26</f>
        <v>2.6800000000000068</v>
      </c>
      <c r="L25" s="338" t="str">
        <f t="shared" si="0"/>
        <v>filter only</v>
      </c>
      <c r="N25" s="276">
        <v>42947</v>
      </c>
      <c r="O25" s="219" t="s">
        <v>675</v>
      </c>
      <c r="Q25" s="15">
        <v>25</v>
      </c>
      <c r="R25">
        <v>2016</v>
      </c>
      <c r="S25" s="18" t="s">
        <v>109</v>
      </c>
      <c r="T25">
        <v>3</v>
      </c>
    </row>
    <row r="26" spans="1:20" x14ac:dyDescent="0.25">
      <c r="C26" s="337">
        <v>2016</v>
      </c>
      <c r="D26" s="338" t="s">
        <v>111</v>
      </c>
      <c r="E26" s="337">
        <v>20</v>
      </c>
      <c r="F26" s="337"/>
      <c r="G26" s="337"/>
      <c r="H26" s="545" t="str">
        <f>BSi_results!F34</f>
        <v>filter only</v>
      </c>
      <c r="I26" s="337"/>
      <c r="J26" s="338">
        <f>main!E26</f>
        <v>2.2142857142857104</v>
      </c>
      <c r="K26" s="338">
        <f>mass_filt_1!R27</f>
        <v>1.5499999999999972</v>
      </c>
      <c r="L26" s="338" t="str">
        <f t="shared" si="0"/>
        <v>filter only</v>
      </c>
      <c r="N26" s="276">
        <v>42947</v>
      </c>
      <c r="O26" s="219" t="s">
        <v>675</v>
      </c>
      <c r="Q26" s="336">
        <v>26</v>
      </c>
      <c r="R26">
        <v>2016</v>
      </c>
      <c r="S26" s="18" t="s">
        <v>109</v>
      </c>
      <c r="T26">
        <v>4</v>
      </c>
    </row>
    <row r="27" spans="1:20" s="84" customFormat="1" ht="13" x14ac:dyDescent="0.3">
      <c r="C27" s="340">
        <v>2016</v>
      </c>
      <c r="D27" s="341" t="s">
        <v>111</v>
      </c>
      <c r="E27" s="340">
        <v>21</v>
      </c>
      <c r="F27" s="342"/>
      <c r="G27" s="342"/>
      <c r="H27" s="546" t="str">
        <f>BSi_results!F35</f>
        <v>filter only</v>
      </c>
      <c r="I27" s="343"/>
      <c r="J27" s="341">
        <f>main!E27</f>
        <v>1.5285714285714289</v>
      </c>
      <c r="K27" s="341">
        <f>mass_filt_1!R28</f>
        <v>1.0700000000000003</v>
      </c>
      <c r="L27" s="341" t="str">
        <f t="shared" si="0"/>
        <v>filter only</v>
      </c>
      <c r="N27" s="276">
        <v>42947</v>
      </c>
      <c r="O27" s="219" t="s">
        <v>675</v>
      </c>
      <c r="Q27" s="15">
        <v>27</v>
      </c>
      <c r="R27">
        <v>2016</v>
      </c>
      <c r="S27" s="18" t="s">
        <v>109</v>
      </c>
      <c r="T27" s="17" t="s">
        <v>717</v>
      </c>
    </row>
    <row r="28" spans="1:20" x14ac:dyDescent="0.25">
      <c r="A28" s="30">
        <v>42954</v>
      </c>
      <c r="B28">
        <v>23</v>
      </c>
      <c r="C28">
        <v>2016</v>
      </c>
      <c r="D28" s="18" t="s">
        <v>109</v>
      </c>
      <c r="E28">
        <v>1</v>
      </c>
      <c r="F28" s="2"/>
      <c r="G28" s="2"/>
      <c r="H28" s="361">
        <f>BSi_results!F36</f>
        <v>3456.6</v>
      </c>
      <c r="J28" s="3">
        <f>main!E31</f>
        <v>260.89999999999998</v>
      </c>
      <c r="K28" s="3">
        <f>mass_filt_1!R34</f>
        <v>156.93999999999997</v>
      </c>
      <c r="L28" s="255">
        <v>1</v>
      </c>
      <c r="M28"/>
      <c r="N28" s="276">
        <v>42947</v>
      </c>
      <c r="O28" s="219" t="s">
        <v>675</v>
      </c>
      <c r="Q28" s="15">
        <v>28</v>
      </c>
      <c r="R28">
        <v>2016</v>
      </c>
      <c r="S28" s="18" t="s">
        <v>109</v>
      </c>
      <c r="T28" s="17" t="s">
        <v>718</v>
      </c>
    </row>
    <row r="29" spans="1:20" x14ac:dyDescent="0.25">
      <c r="A29" s="30">
        <v>42954</v>
      </c>
      <c r="B29">
        <v>24</v>
      </c>
      <c r="C29">
        <v>2016</v>
      </c>
      <c r="D29" s="18" t="s">
        <v>109</v>
      </c>
      <c r="E29">
        <v>2</v>
      </c>
      <c r="F29" s="2"/>
      <c r="G29" s="2"/>
      <c r="H29" s="361">
        <f>BSi_results!F37</f>
        <v>3085.3</v>
      </c>
      <c r="J29" s="3">
        <f>main!E32</f>
        <v>261.28571428571428</v>
      </c>
      <c r="K29" s="3">
        <f>mass_filt_1!R35</f>
        <v>182.9</v>
      </c>
      <c r="L29" s="5">
        <v>1</v>
      </c>
      <c r="M29"/>
      <c r="N29" s="276">
        <v>42947</v>
      </c>
      <c r="O29" s="219" t="s">
        <v>675</v>
      </c>
      <c r="Q29" s="336">
        <v>29</v>
      </c>
      <c r="R29">
        <v>2016</v>
      </c>
      <c r="S29" s="18" t="s">
        <v>109</v>
      </c>
      <c r="T29">
        <v>6</v>
      </c>
    </row>
    <row r="30" spans="1:20" x14ac:dyDescent="0.25">
      <c r="A30" s="30">
        <v>42954</v>
      </c>
      <c r="B30">
        <v>25</v>
      </c>
      <c r="C30">
        <v>2016</v>
      </c>
      <c r="D30" s="18" t="s">
        <v>109</v>
      </c>
      <c r="E30">
        <v>3</v>
      </c>
      <c r="F30" s="2"/>
      <c r="G30" s="2"/>
      <c r="H30" s="361">
        <f>BSi_results!F38</f>
        <v>3525.5</v>
      </c>
      <c r="J30" s="3">
        <f>main!E33</f>
        <v>327.95714285714286</v>
      </c>
      <c r="K30" s="3">
        <f>mass_filt_1!R36</f>
        <v>229.57</v>
      </c>
      <c r="L30" s="5">
        <v>1</v>
      </c>
      <c r="M30"/>
      <c r="N30" s="276">
        <v>42947</v>
      </c>
      <c r="O30" s="219" t="s">
        <v>675</v>
      </c>
      <c r="Q30" s="15">
        <v>30</v>
      </c>
      <c r="R30">
        <v>2016</v>
      </c>
      <c r="S30" s="18" t="s">
        <v>109</v>
      </c>
      <c r="T30">
        <v>7</v>
      </c>
    </row>
    <row r="31" spans="1:20" x14ac:dyDescent="0.25">
      <c r="A31" s="30">
        <v>42954</v>
      </c>
      <c r="B31">
        <v>26</v>
      </c>
      <c r="C31">
        <v>2016</v>
      </c>
      <c r="D31" s="18" t="s">
        <v>109</v>
      </c>
      <c r="E31">
        <v>4</v>
      </c>
      <c r="F31" s="2"/>
      <c r="G31" s="2"/>
      <c r="H31" s="361">
        <f>BSi_results!F39</f>
        <v>3404.8</v>
      </c>
      <c r="J31" s="3">
        <f>main!E34</f>
        <v>393.98571428571432</v>
      </c>
      <c r="K31" s="3">
        <f>mass_filt_1!R37</f>
        <v>275.79000000000002</v>
      </c>
      <c r="L31" s="5">
        <v>1</v>
      </c>
      <c r="M31"/>
      <c r="N31" s="276">
        <v>42947</v>
      </c>
      <c r="O31" s="219" t="s">
        <v>675</v>
      </c>
      <c r="Q31" s="15">
        <v>31</v>
      </c>
      <c r="R31">
        <v>2016</v>
      </c>
      <c r="S31" s="18" t="s">
        <v>109</v>
      </c>
      <c r="T31">
        <v>8</v>
      </c>
    </row>
    <row r="32" spans="1:20" x14ac:dyDescent="0.25">
      <c r="A32" s="30">
        <v>42954</v>
      </c>
      <c r="B32">
        <v>27</v>
      </c>
      <c r="C32">
        <v>2016</v>
      </c>
      <c r="D32" s="18" t="s">
        <v>109</v>
      </c>
      <c r="E32" s="17" t="s">
        <v>717</v>
      </c>
      <c r="F32" s="2"/>
      <c r="G32" s="2"/>
      <c r="H32" s="361">
        <f>BSi_results!F40</f>
        <v>3232.1</v>
      </c>
      <c r="I32" s="17" t="s">
        <v>160</v>
      </c>
      <c r="J32" s="3">
        <f>main!E35</f>
        <v>535.21428571428567</v>
      </c>
      <c r="K32" s="3">
        <f>mass_filt_1!R38</f>
        <v>374.65</v>
      </c>
      <c r="L32" s="5">
        <v>1</v>
      </c>
      <c r="M32"/>
      <c r="N32" s="276">
        <v>42947</v>
      </c>
      <c r="O32" s="219" t="s">
        <v>675</v>
      </c>
      <c r="Q32" s="336">
        <v>32</v>
      </c>
      <c r="R32">
        <v>2016</v>
      </c>
      <c r="S32" s="18" t="s">
        <v>109</v>
      </c>
      <c r="T32">
        <v>9</v>
      </c>
    </row>
    <row r="33" spans="1:20" x14ac:dyDescent="0.25">
      <c r="A33" s="30">
        <v>42954</v>
      </c>
      <c r="B33">
        <v>28</v>
      </c>
      <c r="C33">
        <v>2016</v>
      </c>
      <c r="D33" s="18" t="s">
        <v>109</v>
      </c>
      <c r="E33" s="17" t="s">
        <v>718</v>
      </c>
      <c r="F33" s="2"/>
      <c r="G33" s="2"/>
      <c r="H33" s="361">
        <f>BSi_results!F41</f>
        <v>3176.8</v>
      </c>
      <c r="I33" s="17" t="s">
        <v>160</v>
      </c>
      <c r="M33"/>
      <c r="N33" s="276">
        <v>42947</v>
      </c>
      <c r="O33" s="219" t="s">
        <v>675</v>
      </c>
      <c r="Q33" s="15">
        <v>33</v>
      </c>
      <c r="R33">
        <v>2016</v>
      </c>
      <c r="S33" s="18" t="s">
        <v>109</v>
      </c>
      <c r="T33">
        <v>10</v>
      </c>
    </row>
    <row r="34" spans="1:20" x14ac:dyDescent="0.25">
      <c r="A34" s="30">
        <v>42954</v>
      </c>
      <c r="B34">
        <v>29</v>
      </c>
      <c r="C34">
        <v>2016</v>
      </c>
      <c r="D34" s="18" t="s">
        <v>109</v>
      </c>
      <c r="E34">
        <v>6</v>
      </c>
      <c r="F34" s="2"/>
      <c r="G34" s="2"/>
      <c r="H34" s="361">
        <f>BSi_results!F42</f>
        <v>2691.6</v>
      </c>
      <c r="J34" s="3">
        <f>main!E36</f>
        <v>385.25714285714287</v>
      </c>
      <c r="K34" s="3">
        <f>mass_filt_1!R39</f>
        <v>269.68</v>
      </c>
      <c r="L34" s="255">
        <v>1</v>
      </c>
      <c r="M34"/>
      <c r="N34" s="276">
        <v>42947</v>
      </c>
      <c r="O34" s="219" t="s">
        <v>675</v>
      </c>
      <c r="Q34" s="15">
        <v>34</v>
      </c>
      <c r="R34">
        <v>2016</v>
      </c>
      <c r="S34" s="18" t="s">
        <v>109</v>
      </c>
      <c r="T34">
        <v>11</v>
      </c>
    </row>
    <row r="35" spans="1:20" x14ac:dyDescent="0.25">
      <c r="A35" s="30">
        <v>42954</v>
      </c>
      <c r="B35">
        <v>30</v>
      </c>
      <c r="C35">
        <v>2016</v>
      </c>
      <c r="D35" s="18" t="s">
        <v>109</v>
      </c>
      <c r="E35">
        <v>7</v>
      </c>
      <c r="F35" s="2"/>
      <c r="G35" s="2"/>
      <c r="H35" s="361">
        <f>BSi_results!F43</f>
        <v>3472.5</v>
      </c>
      <c r="J35" s="3">
        <f>main!E37</f>
        <v>266.32857142857137</v>
      </c>
      <c r="K35" s="3">
        <f>mass_filt_1!R40</f>
        <v>186.42999999999998</v>
      </c>
      <c r="L35" s="5">
        <v>1</v>
      </c>
      <c r="M35"/>
      <c r="N35" s="276">
        <v>42947</v>
      </c>
      <c r="O35" s="219" t="s">
        <v>675</v>
      </c>
      <c r="Q35" s="336">
        <v>35</v>
      </c>
      <c r="R35">
        <v>2016</v>
      </c>
      <c r="S35" s="18" t="s">
        <v>109</v>
      </c>
      <c r="T35">
        <v>12</v>
      </c>
    </row>
    <row r="36" spans="1:20" x14ac:dyDescent="0.25">
      <c r="A36" s="30">
        <v>42954</v>
      </c>
      <c r="B36">
        <v>31</v>
      </c>
      <c r="C36">
        <v>2016</v>
      </c>
      <c r="D36" s="18" t="s">
        <v>109</v>
      </c>
      <c r="E36">
        <v>8</v>
      </c>
      <c r="F36" s="2"/>
      <c r="G36" s="2"/>
      <c r="H36" s="361">
        <f>BSi_results!F44</f>
        <v>2640.1</v>
      </c>
      <c r="J36" s="3">
        <f>main!E38</f>
        <v>354.48571428571432</v>
      </c>
      <c r="K36" s="3">
        <f>mass_filt_1!R41</f>
        <v>248.14000000000001</v>
      </c>
      <c r="L36" s="5">
        <v>1</v>
      </c>
      <c r="M36"/>
      <c r="N36" s="276">
        <v>42947</v>
      </c>
      <c r="O36" s="219" t="s">
        <v>675</v>
      </c>
      <c r="Q36" s="15">
        <v>36</v>
      </c>
      <c r="R36">
        <v>2016</v>
      </c>
      <c r="S36" s="18" t="s">
        <v>109</v>
      </c>
      <c r="T36">
        <v>13</v>
      </c>
    </row>
    <row r="37" spans="1:20" x14ac:dyDescent="0.25">
      <c r="A37" s="30">
        <v>42954</v>
      </c>
      <c r="B37">
        <v>32</v>
      </c>
      <c r="C37">
        <v>2016</v>
      </c>
      <c r="D37" s="18" t="s">
        <v>109</v>
      </c>
      <c r="E37">
        <v>9</v>
      </c>
      <c r="F37" s="2"/>
      <c r="G37" s="2"/>
      <c r="H37" s="361">
        <f>BSi_results!F45</f>
        <v>3612.7</v>
      </c>
      <c r="J37" s="3">
        <f>main!E39</f>
        <v>238.10000000000005</v>
      </c>
      <c r="K37" s="3">
        <f>mass_filt_1!R42</f>
        <v>166.67000000000002</v>
      </c>
      <c r="L37" s="5">
        <v>1</v>
      </c>
      <c r="M37"/>
      <c r="N37" s="276">
        <v>42947</v>
      </c>
      <c r="O37" s="219" t="s">
        <v>675</v>
      </c>
      <c r="Q37" s="15">
        <v>37</v>
      </c>
      <c r="R37">
        <v>2016</v>
      </c>
      <c r="S37" s="18" t="s">
        <v>109</v>
      </c>
      <c r="T37">
        <v>14</v>
      </c>
    </row>
    <row r="38" spans="1:20" x14ac:dyDescent="0.25">
      <c r="A38" s="30">
        <v>42954</v>
      </c>
      <c r="B38">
        <v>33</v>
      </c>
      <c r="C38">
        <v>2016</v>
      </c>
      <c r="D38" s="18" t="s">
        <v>109</v>
      </c>
      <c r="E38">
        <v>10</v>
      </c>
      <c r="F38" s="2"/>
      <c r="G38" s="2"/>
      <c r="H38" s="361">
        <f>BSi_results!F46</f>
        <v>3144.1</v>
      </c>
      <c r="J38" s="3">
        <f>main!E40</f>
        <v>347.98571428571421</v>
      </c>
      <c r="K38" s="3">
        <f>mass_filt_1!R43</f>
        <v>243.58999999999997</v>
      </c>
      <c r="L38" s="5">
        <v>1</v>
      </c>
      <c r="M38"/>
      <c r="N38" s="276">
        <v>42947</v>
      </c>
      <c r="O38" s="219" t="s">
        <v>675</v>
      </c>
      <c r="Q38" s="336">
        <v>38</v>
      </c>
      <c r="R38">
        <v>2016</v>
      </c>
      <c r="S38" s="18" t="s">
        <v>109</v>
      </c>
      <c r="T38">
        <v>15</v>
      </c>
    </row>
    <row r="39" spans="1:20" x14ac:dyDescent="0.25">
      <c r="A39" s="30">
        <v>42954</v>
      </c>
      <c r="B39">
        <v>34</v>
      </c>
      <c r="C39">
        <v>2016</v>
      </c>
      <c r="D39" s="18" t="s">
        <v>109</v>
      </c>
      <c r="E39">
        <v>11</v>
      </c>
      <c r="F39" s="2"/>
      <c r="G39" s="2"/>
      <c r="H39" s="361">
        <f>BSi_results!F47</f>
        <v>3080.8</v>
      </c>
      <c r="J39" s="3">
        <f>main!E41</f>
        <v>309.05714285714294</v>
      </c>
      <c r="K39" s="3">
        <f>mass_filt_1!R44</f>
        <v>216.34000000000003</v>
      </c>
      <c r="L39" s="255">
        <v>1</v>
      </c>
      <c r="M39"/>
      <c r="N39" s="276">
        <v>42947</v>
      </c>
      <c r="O39" s="219" t="s">
        <v>675</v>
      </c>
      <c r="Q39" s="15">
        <v>39</v>
      </c>
      <c r="R39">
        <v>2016</v>
      </c>
      <c r="S39" s="18" t="s">
        <v>109</v>
      </c>
      <c r="T39" s="17" t="s">
        <v>711</v>
      </c>
    </row>
    <row r="40" spans="1:20" x14ac:dyDescent="0.25">
      <c r="A40" s="30">
        <v>42954</v>
      </c>
      <c r="B40">
        <v>35</v>
      </c>
      <c r="C40">
        <v>2016</v>
      </c>
      <c r="D40" s="18" t="s">
        <v>109</v>
      </c>
      <c r="E40">
        <v>12</v>
      </c>
      <c r="F40" s="2"/>
      <c r="G40" s="2"/>
      <c r="H40" s="361">
        <f>BSi_results!F48</f>
        <v>3024.6</v>
      </c>
      <c r="J40" s="3">
        <f>main!E42</f>
        <v>363.97142857142859</v>
      </c>
      <c r="K40" s="3">
        <f>mass_filt_1!R45</f>
        <v>254.78</v>
      </c>
      <c r="L40" s="5">
        <v>1</v>
      </c>
      <c r="M40"/>
      <c r="N40" s="276">
        <v>42947</v>
      </c>
      <c r="O40" s="219" t="s">
        <v>675</v>
      </c>
      <c r="Q40" s="15">
        <v>40</v>
      </c>
      <c r="R40">
        <v>2016</v>
      </c>
      <c r="S40" s="18" t="s">
        <v>109</v>
      </c>
      <c r="T40" s="17" t="s">
        <v>712</v>
      </c>
    </row>
    <row r="41" spans="1:20" x14ac:dyDescent="0.25">
      <c r="A41" s="30">
        <v>42954</v>
      </c>
      <c r="B41">
        <v>36</v>
      </c>
      <c r="C41">
        <v>2016</v>
      </c>
      <c r="D41" s="18" t="s">
        <v>109</v>
      </c>
      <c r="E41">
        <v>13</v>
      </c>
      <c r="F41" s="2"/>
      <c r="G41" s="2"/>
      <c r="H41" s="361">
        <f>BSi_results!F49</f>
        <v>2893.5</v>
      </c>
      <c r="J41" s="3">
        <f>main!E43</f>
        <v>517.97142857142853</v>
      </c>
      <c r="K41" s="3">
        <f>mass_filt_1!R46</f>
        <v>362.58</v>
      </c>
      <c r="L41" s="5">
        <v>1</v>
      </c>
      <c r="M41"/>
      <c r="N41" s="276">
        <v>42947</v>
      </c>
      <c r="O41" s="219" t="s">
        <v>675</v>
      </c>
      <c r="Q41" s="336">
        <v>41</v>
      </c>
      <c r="R41">
        <v>2016</v>
      </c>
      <c r="S41" s="18" t="s">
        <v>109</v>
      </c>
      <c r="T41">
        <v>17</v>
      </c>
    </row>
    <row r="42" spans="1:20" x14ac:dyDescent="0.25">
      <c r="A42" s="30">
        <v>42954</v>
      </c>
      <c r="B42">
        <v>37</v>
      </c>
      <c r="C42">
        <v>2016</v>
      </c>
      <c r="D42" s="18" t="s">
        <v>109</v>
      </c>
      <c r="E42">
        <v>14</v>
      </c>
      <c r="F42" s="2"/>
      <c r="G42" s="2"/>
      <c r="H42" s="361">
        <f>BSi_results!F50</f>
        <v>3090.5</v>
      </c>
      <c r="J42" s="3">
        <f>main!E44</f>
        <v>724.85714285714289</v>
      </c>
      <c r="K42" s="3">
        <f>mass_filt_1!R47</f>
        <v>507.40000000000003</v>
      </c>
      <c r="L42" s="5">
        <v>1</v>
      </c>
      <c r="M42"/>
      <c r="N42" s="276">
        <v>42947</v>
      </c>
      <c r="O42" s="219" t="s">
        <v>675</v>
      </c>
      <c r="Q42" s="15">
        <v>42</v>
      </c>
      <c r="R42">
        <v>2016</v>
      </c>
      <c r="S42" s="18" t="s">
        <v>109</v>
      </c>
      <c r="T42">
        <v>18</v>
      </c>
    </row>
    <row r="43" spans="1:20" ht="13" x14ac:dyDescent="0.3">
      <c r="A43" s="30">
        <v>42954</v>
      </c>
      <c r="B43">
        <v>38</v>
      </c>
      <c r="C43">
        <v>2016</v>
      </c>
      <c r="D43" s="18" t="s">
        <v>109</v>
      </c>
      <c r="E43">
        <v>15</v>
      </c>
      <c r="F43" s="2"/>
      <c r="G43" s="2"/>
      <c r="H43" s="361">
        <f>BSi_results!F51</f>
        <v>3497.5</v>
      </c>
      <c r="I43" s="10"/>
      <c r="J43" s="3">
        <f>main!E45</f>
        <v>1210.6571428571428</v>
      </c>
      <c r="K43" s="3">
        <f>mass_filt_1!R50</f>
        <v>847.46</v>
      </c>
      <c r="L43" s="5">
        <v>1</v>
      </c>
      <c r="M43"/>
      <c r="N43" s="276">
        <v>42947</v>
      </c>
      <c r="O43" s="219" t="s">
        <v>675</v>
      </c>
      <c r="Q43" s="15">
        <v>46</v>
      </c>
      <c r="R43">
        <v>2016</v>
      </c>
      <c r="S43" s="18" t="s">
        <v>110</v>
      </c>
      <c r="T43">
        <v>1</v>
      </c>
    </row>
    <row r="44" spans="1:20" x14ac:dyDescent="0.25">
      <c r="A44" s="30">
        <v>42954</v>
      </c>
      <c r="B44">
        <v>39</v>
      </c>
      <c r="C44">
        <v>2016</v>
      </c>
      <c r="D44" s="18" t="s">
        <v>109</v>
      </c>
      <c r="E44" s="17" t="s">
        <v>711</v>
      </c>
      <c r="F44" s="2"/>
      <c r="G44" s="2"/>
      <c r="H44" s="361">
        <f>BSi_results!F52</f>
        <v>2634.8</v>
      </c>
      <c r="J44" s="3">
        <f>main!E46</f>
        <v>1365.542857142857</v>
      </c>
      <c r="K44" s="3">
        <f>mass_filt_1!R53</f>
        <v>955.88</v>
      </c>
      <c r="L44" s="255">
        <v>1</v>
      </c>
      <c r="M44"/>
      <c r="N44" s="276">
        <v>42947</v>
      </c>
      <c r="O44" s="219" t="s">
        <v>675</v>
      </c>
      <c r="Q44" s="336">
        <v>47</v>
      </c>
      <c r="R44">
        <v>2016</v>
      </c>
      <c r="S44" s="18" t="s">
        <v>110</v>
      </c>
      <c r="T44">
        <v>2</v>
      </c>
    </row>
    <row r="45" spans="1:20" x14ac:dyDescent="0.25">
      <c r="A45" s="30">
        <v>42954</v>
      </c>
      <c r="B45">
        <v>40</v>
      </c>
      <c r="C45">
        <v>2016</v>
      </c>
      <c r="D45" s="18" t="s">
        <v>109</v>
      </c>
      <c r="E45" s="17" t="s">
        <v>712</v>
      </c>
      <c r="F45" s="2"/>
      <c r="G45" s="2"/>
      <c r="H45" s="361">
        <f>BSi_results!F53</f>
        <v>2950.7</v>
      </c>
      <c r="I45" s="17" t="s">
        <v>160</v>
      </c>
      <c r="M45"/>
      <c r="N45" s="276">
        <v>42947</v>
      </c>
      <c r="O45" s="219" t="s">
        <v>675</v>
      </c>
      <c r="Q45" s="15">
        <v>48</v>
      </c>
      <c r="R45">
        <v>2016</v>
      </c>
      <c r="S45" s="18" t="s">
        <v>110</v>
      </c>
      <c r="T45">
        <v>3</v>
      </c>
    </row>
    <row r="46" spans="1:20" x14ac:dyDescent="0.25">
      <c r="A46" s="30">
        <v>42954</v>
      </c>
      <c r="B46">
        <v>41</v>
      </c>
      <c r="C46">
        <v>2016</v>
      </c>
      <c r="D46" s="18" t="s">
        <v>109</v>
      </c>
      <c r="E46">
        <v>17</v>
      </c>
      <c r="F46" s="2"/>
      <c r="G46" s="2"/>
      <c r="H46" s="361">
        <f>BSi_results!F54</f>
        <v>3113</v>
      </c>
      <c r="J46" s="3">
        <f>main!E47</f>
        <v>1584.0571428571427</v>
      </c>
      <c r="K46" s="3">
        <f>mass_filt_1!R56</f>
        <v>1108.8399999999999</v>
      </c>
      <c r="L46" s="5">
        <v>1</v>
      </c>
      <c r="M46"/>
      <c r="N46" s="276">
        <v>42947</v>
      </c>
      <c r="O46" s="219" t="s">
        <v>675</v>
      </c>
      <c r="Q46" s="15">
        <v>49</v>
      </c>
      <c r="R46">
        <v>2016</v>
      </c>
      <c r="S46" s="18" t="s">
        <v>110</v>
      </c>
      <c r="T46">
        <v>4</v>
      </c>
    </row>
    <row r="47" spans="1:20" x14ac:dyDescent="0.25">
      <c r="A47" s="30">
        <v>42954</v>
      </c>
      <c r="B47">
        <v>42</v>
      </c>
      <c r="C47">
        <v>2016</v>
      </c>
      <c r="D47" s="18" t="s">
        <v>109</v>
      </c>
      <c r="E47">
        <v>18</v>
      </c>
      <c r="F47" s="2"/>
      <c r="G47" s="2"/>
      <c r="H47" s="361">
        <f>BSi_results!F55</f>
        <v>2773.8</v>
      </c>
      <c r="J47" s="3">
        <f>main!E48</f>
        <v>713.67142857142846</v>
      </c>
      <c r="K47" s="3">
        <f>mass_filt_1!R59</f>
        <v>499.56999999999994</v>
      </c>
      <c r="L47" s="5">
        <v>1</v>
      </c>
      <c r="M47"/>
      <c r="N47" s="276">
        <v>42947</v>
      </c>
      <c r="O47" s="219" t="s">
        <v>675</v>
      </c>
      <c r="Q47" s="15">
        <v>50</v>
      </c>
      <c r="R47">
        <v>2016</v>
      </c>
      <c r="S47" s="18" t="s">
        <v>110</v>
      </c>
      <c r="T47">
        <v>5</v>
      </c>
    </row>
    <row r="48" spans="1:20" x14ac:dyDescent="0.25">
      <c r="C48" s="337">
        <v>2016</v>
      </c>
      <c r="D48" s="338" t="s">
        <v>109</v>
      </c>
      <c r="E48" s="337">
        <v>19</v>
      </c>
      <c r="F48" s="339"/>
      <c r="G48" s="339"/>
      <c r="H48" s="545" t="str">
        <f>BSi_results!F56</f>
        <v>filter only</v>
      </c>
      <c r="I48" s="337"/>
      <c r="J48" s="338">
        <f>main!E49</f>
        <v>6.5142857142857178</v>
      </c>
      <c r="K48" s="338">
        <f>mass_filt_1!R60</f>
        <v>4.5600000000000023</v>
      </c>
      <c r="L48" s="344" t="str">
        <f>H48</f>
        <v>filter only</v>
      </c>
      <c r="M48"/>
      <c r="N48" s="276">
        <v>42947</v>
      </c>
      <c r="O48" s="219" t="s">
        <v>675</v>
      </c>
      <c r="Q48" s="13">
        <v>51</v>
      </c>
      <c r="R48">
        <v>2016</v>
      </c>
      <c r="S48" s="18" t="s">
        <v>110</v>
      </c>
      <c r="T48">
        <v>6</v>
      </c>
    </row>
    <row r="49" spans="1:20" x14ac:dyDescent="0.25">
      <c r="C49" s="337">
        <v>2016</v>
      </c>
      <c r="D49" s="338" t="s">
        <v>109</v>
      </c>
      <c r="E49" s="337">
        <v>20</v>
      </c>
      <c r="F49" s="339"/>
      <c r="G49" s="339"/>
      <c r="H49" s="545" t="str">
        <f>BSi_results!F57</f>
        <v>filter only</v>
      </c>
      <c r="I49" s="337"/>
      <c r="J49" s="338">
        <f>main!E50</f>
        <v>2.2428571428571433</v>
      </c>
      <c r="K49" s="338">
        <f>mass_filt_1!R61</f>
        <v>1.5700000000000003</v>
      </c>
      <c r="L49" s="344" t="str">
        <f>H49</f>
        <v>filter only</v>
      </c>
      <c r="M49"/>
      <c r="N49" s="276">
        <v>42947</v>
      </c>
      <c r="O49" s="219" t="s">
        <v>675</v>
      </c>
      <c r="Q49" s="15">
        <v>52</v>
      </c>
      <c r="R49">
        <v>2016</v>
      </c>
      <c r="S49" s="18" t="s">
        <v>110</v>
      </c>
      <c r="T49">
        <v>7</v>
      </c>
    </row>
    <row r="50" spans="1:20" s="84" customFormat="1" x14ac:dyDescent="0.25">
      <c r="C50" s="340">
        <v>2016</v>
      </c>
      <c r="D50" s="341" t="s">
        <v>109</v>
      </c>
      <c r="E50" s="340">
        <v>21</v>
      </c>
      <c r="F50" s="342"/>
      <c r="G50" s="342"/>
      <c r="H50" s="546" t="str">
        <f>BSi_results!F58</f>
        <v>filter only</v>
      </c>
      <c r="I50" s="340"/>
      <c r="J50" s="341">
        <f>main!E51</f>
        <v>1.5142857142857176</v>
      </c>
      <c r="K50" s="341">
        <f>mass_filt_1!R62</f>
        <v>1.0600000000000023</v>
      </c>
      <c r="L50" s="344" t="str">
        <f>H50</f>
        <v>filter only</v>
      </c>
      <c r="N50" s="276">
        <v>42947</v>
      </c>
      <c r="O50" s="219" t="s">
        <v>675</v>
      </c>
      <c r="Q50" s="15">
        <v>53</v>
      </c>
      <c r="R50">
        <v>2016</v>
      </c>
      <c r="S50" s="18" t="s">
        <v>110</v>
      </c>
      <c r="T50">
        <v>8</v>
      </c>
    </row>
    <row r="51" spans="1:20" x14ac:dyDescent="0.25">
      <c r="A51" s="30">
        <v>42954</v>
      </c>
      <c r="B51">
        <v>46</v>
      </c>
      <c r="C51">
        <v>2016</v>
      </c>
      <c r="D51" s="18" t="s">
        <v>110</v>
      </c>
      <c r="E51">
        <v>1</v>
      </c>
      <c r="F51" s="2"/>
      <c r="G51" s="2"/>
      <c r="H51" s="361">
        <f>BSi_results!F59</f>
        <v>2653</v>
      </c>
      <c r="J51" s="3">
        <f>main!E55</f>
        <v>451.30000000000007</v>
      </c>
      <c r="K51" s="3">
        <f>mass_filt_1!R66</f>
        <v>315.91000000000003</v>
      </c>
      <c r="L51" s="5">
        <v>1</v>
      </c>
      <c r="M51"/>
      <c r="N51" s="276">
        <v>42947</v>
      </c>
      <c r="O51" s="219" t="s">
        <v>675</v>
      </c>
      <c r="Q51" s="13">
        <v>54</v>
      </c>
      <c r="R51">
        <v>2016</v>
      </c>
      <c r="S51" s="18" t="s">
        <v>110</v>
      </c>
      <c r="T51">
        <v>9</v>
      </c>
    </row>
    <row r="52" spans="1:20" x14ac:dyDescent="0.25">
      <c r="A52" s="30">
        <v>42954</v>
      </c>
      <c r="B52">
        <v>47</v>
      </c>
      <c r="C52">
        <v>2016</v>
      </c>
      <c r="D52" s="18" t="s">
        <v>110</v>
      </c>
      <c r="E52">
        <v>2</v>
      </c>
      <c r="F52" s="2"/>
      <c r="G52" s="2"/>
      <c r="H52" s="361">
        <f>BSi_results!F60</f>
        <v>3244.7</v>
      </c>
      <c r="J52" s="3">
        <f>main!E56</f>
        <v>554.51428571428562</v>
      </c>
      <c r="K52" s="3">
        <f>mass_filt_1!R67</f>
        <v>388.15999999999997</v>
      </c>
      <c r="L52" s="5">
        <v>1</v>
      </c>
      <c r="M52"/>
      <c r="N52" s="276">
        <v>42947</v>
      </c>
      <c r="O52" s="219" t="s">
        <v>675</v>
      </c>
      <c r="Q52" s="15">
        <v>55</v>
      </c>
      <c r="R52">
        <v>2016</v>
      </c>
      <c r="S52" s="18" t="s">
        <v>110</v>
      </c>
      <c r="T52" s="17" t="s">
        <v>713</v>
      </c>
    </row>
    <row r="53" spans="1:20" x14ac:dyDescent="0.25">
      <c r="A53" s="30">
        <v>42954</v>
      </c>
      <c r="B53">
        <v>48</v>
      </c>
      <c r="C53">
        <v>2016</v>
      </c>
      <c r="D53" s="18" t="s">
        <v>110</v>
      </c>
      <c r="E53">
        <v>3</v>
      </c>
      <c r="F53" s="2"/>
      <c r="G53" s="2"/>
      <c r="H53" s="361">
        <f>BSi_results!F61</f>
        <v>3547.9</v>
      </c>
      <c r="J53" s="3">
        <f>main!E57</f>
        <v>710.14285714285711</v>
      </c>
      <c r="K53" s="3">
        <f>mass_filt_1!R68</f>
        <v>497.09999999999997</v>
      </c>
      <c r="L53" s="5">
        <v>1</v>
      </c>
      <c r="M53"/>
      <c r="N53" s="276">
        <v>42947</v>
      </c>
      <c r="O53" s="219" t="s">
        <v>675</v>
      </c>
      <c r="Q53" s="15">
        <v>56</v>
      </c>
      <c r="R53">
        <v>2016</v>
      </c>
      <c r="S53" s="18" t="s">
        <v>110</v>
      </c>
      <c r="T53" s="17" t="s">
        <v>714</v>
      </c>
    </row>
    <row r="54" spans="1:20" x14ac:dyDescent="0.25">
      <c r="A54" s="335">
        <v>42955</v>
      </c>
      <c r="B54">
        <v>49</v>
      </c>
      <c r="C54">
        <v>2016</v>
      </c>
      <c r="D54" s="18" t="s">
        <v>110</v>
      </c>
      <c r="E54">
        <v>4</v>
      </c>
      <c r="F54" s="2"/>
      <c r="G54" s="2"/>
      <c r="H54" s="361">
        <f>BSi_results!F62</f>
        <v>3436.6</v>
      </c>
      <c r="J54" s="3">
        <f>main!E58</f>
        <v>641.98571428571427</v>
      </c>
      <c r="K54" s="3">
        <f>mass_filt_1!R69</f>
        <v>449.39</v>
      </c>
      <c r="L54" s="5">
        <v>1</v>
      </c>
      <c r="M54"/>
      <c r="N54" s="276">
        <v>42947</v>
      </c>
      <c r="O54" s="219" t="s">
        <v>675</v>
      </c>
      <c r="Q54" s="13">
        <v>57</v>
      </c>
      <c r="R54">
        <v>2016</v>
      </c>
      <c r="S54" s="18" t="s">
        <v>110</v>
      </c>
      <c r="T54">
        <v>11</v>
      </c>
    </row>
    <row r="55" spans="1:20" x14ac:dyDescent="0.25">
      <c r="A55" s="335">
        <v>42955</v>
      </c>
      <c r="B55">
        <v>50</v>
      </c>
      <c r="C55">
        <v>2016</v>
      </c>
      <c r="D55" s="18" t="s">
        <v>110</v>
      </c>
      <c r="E55">
        <v>5</v>
      </c>
      <c r="F55" s="2"/>
      <c r="G55" s="2"/>
      <c r="H55" s="361">
        <f>BSi_results!F63</f>
        <v>2971.1</v>
      </c>
      <c r="J55" s="3">
        <f>main!E59</f>
        <v>540.52857142857135</v>
      </c>
      <c r="K55" s="3">
        <f>mass_filt_1!R70</f>
        <v>378.37</v>
      </c>
      <c r="L55" s="5">
        <v>1</v>
      </c>
      <c r="M55"/>
      <c r="N55" s="276">
        <v>42947</v>
      </c>
      <c r="O55" s="219" t="s">
        <v>675</v>
      </c>
      <c r="Q55" s="15">
        <v>58</v>
      </c>
      <c r="R55">
        <v>2016</v>
      </c>
      <c r="S55" s="18" t="s">
        <v>110</v>
      </c>
      <c r="T55" s="17" t="s">
        <v>715</v>
      </c>
    </row>
    <row r="56" spans="1:20" x14ac:dyDescent="0.25">
      <c r="A56" s="335">
        <v>42955</v>
      </c>
      <c r="B56">
        <v>51</v>
      </c>
      <c r="C56">
        <v>2016</v>
      </c>
      <c r="D56" s="18" t="s">
        <v>110</v>
      </c>
      <c r="E56">
        <v>6</v>
      </c>
      <c r="F56" s="2"/>
      <c r="G56" s="2"/>
      <c r="H56" s="361">
        <f>BSi_results!F64</f>
        <v>3604.9</v>
      </c>
      <c r="J56" s="3">
        <f>main!E60</f>
        <v>436.58571428571423</v>
      </c>
      <c r="K56" s="3">
        <f>mass_filt_1!R71</f>
        <v>305.60999999999996</v>
      </c>
      <c r="L56" s="5">
        <v>1</v>
      </c>
      <c r="M56"/>
      <c r="N56" s="276">
        <v>42947</v>
      </c>
      <c r="O56" s="219" t="s">
        <v>675</v>
      </c>
      <c r="Q56" s="15">
        <v>59</v>
      </c>
      <c r="R56">
        <v>2016</v>
      </c>
      <c r="S56" s="18" t="s">
        <v>110</v>
      </c>
      <c r="T56" s="17" t="s">
        <v>716</v>
      </c>
    </row>
    <row r="57" spans="1:20" x14ac:dyDescent="0.25">
      <c r="A57" s="335">
        <v>42955</v>
      </c>
      <c r="B57">
        <v>52</v>
      </c>
      <c r="C57">
        <v>2016</v>
      </c>
      <c r="D57" s="18" t="s">
        <v>110</v>
      </c>
      <c r="E57">
        <v>7</v>
      </c>
      <c r="F57" s="2"/>
      <c r="G57" s="2"/>
      <c r="H57" s="361">
        <f>BSi_results!F65</f>
        <v>2972.5</v>
      </c>
      <c r="J57" s="3">
        <f>main!E61</f>
        <v>431.51428571428562</v>
      </c>
      <c r="K57" s="3">
        <f>mass_filt_1!R72</f>
        <v>302.05999999999995</v>
      </c>
      <c r="L57" s="5">
        <v>1</v>
      </c>
      <c r="M57"/>
      <c r="N57" s="276">
        <v>42947</v>
      </c>
      <c r="O57" s="219" t="s">
        <v>675</v>
      </c>
      <c r="Q57" s="13">
        <v>60</v>
      </c>
      <c r="R57">
        <v>2016</v>
      </c>
      <c r="S57" s="18" t="s">
        <v>110</v>
      </c>
      <c r="T57">
        <v>13</v>
      </c>
    </row>
    <row r="58" spans="1:20" ht="13" x14ac:dyDescent="0.3">
      <c r="A58" s="335">
        <v>42955</v>
      </c>
      <c r="B58">
        <v>53</v>
      </c>
      <c r="C58">
        <v>2016</v>
      </c>
      <c r="D58" s="18" t="s">
        <v>110</v>
      </c>
      <c r="E58">
        <v>8</v>
      </c>
      <c r="F58" s="2"/>
      <c r="G58" s="2"/>
      <c r="H58" s="361">
        <f>BSi_results!F66</f>
        <v>3157.2</v>
      </c>
      <c r="I58" s="10"/>
      <c r="J58" s="3">
        <f>main!E62</f>
        <v>492.55714285714282</v>
      </c>
      <c r="K58" s="3">
        <f>mass_filt_1!R73</f>
        <v>344.78999999999996</v>
      </c>
      <c r="L58" s="5">
        <v>1</v>
      </c>
      <c r="M58"/>
      <c r="N58" s="276">
        <v>42947</v>
      </c>
      <c r="O58" s="219" t="s">
        <v>675</v>
      </c>
      <c r="Q58" s="15">
        <v>61</v>
      </c>
      <c r="S58" s="18" t="s">
        <v>226</v>
      </c>
      <c r="T58" s="17" t="s">
        <v>834</v>
      </c>
    </row>
    <row r="59" spans="1:20" x14ac:dyDescent="0.25">
      <c r="A59" s="335">
        <v>42955</v>
      </c>
      <c r="B59">
        <v>54</v>
      </c>
      <c r="C59">
        <v>2016</v>
      </c>
      <c r="D59" s="18" t="s">
        <v>110</v>
      </c>
      <c r="E59">
        <v>9</v>
      </c>
      <c r="F59" s="2"/>
      <c r="G59" s="2"/>
      <c r="H59" s="361">
        <f>BSi_results!F67</f>
        <v>3419.7</v>
      </c>
      <c r="J59" s="3">
        <f>main!E63</f>
        <v>561.61428571428576</v>
      </c>
      <c r="K59" s="3">
        <f>mass_filt_1!R74</f>
        <v>393.13</v>
      </c>
      <c r="L59" s="5">
        <v>1</v>
      </c>
      <c r="N59" s="276">
        <v>42947</v>
      </c>
      <c r="O59" s="219" t="s">
        <v>675</v>
      </c>
      <c r="Q59" s="15">
        <v>62</v>
      </c>
      <c r="R59" s="5"/>
      <c r="S59" s="18" t="s">
        <v>226</v>
      </c>
      <c r="T59" s="17" t="s">
        <v>835</v>
      </c>
    </row>
    <row r="60" spans="1:20" x14ac:dyDescent="0.25">
      <c r="A60" s="335">
        <v>42955</v>
      </c>
      <c r="B60">
        <v>55</v>
      </c>
      <c r="C60">
        <v>2016</v>
      </c>
      <c r="D60" s="18" t="s">
        <v>110</v>
      </c>
      <c r="E60" s="17" t="s">
        <v>713</v>
      </c>
      <c r="F60" s="2"/>
      <c r="G60" s="2"/>
      <c r="H60" s="361">
        <f>BSi_results!F68</f>
        <v>3308.4</v>
      </c>
      <c r="I60" s="17" t="s">
        <v>160</v>
      </c>
      <c r="J60" s="3">
        <f>main!E64</f>
        <v>1514.2857142857142</v>
      </c>
      <c r="K60" s="3">
        <f>mass_filt_1!R75</f>
        <v>1060</v>
      </c>
      <c r="L60" s="5">
        <v>1</v>
      </c>
      <c r="N60" s="276">
        <v>42947</v>
      </c>
      <c r="O60" s="219" t="s">
        <v>675</v>
      </c>
      <c r="Q60" s="15">
        <v>64</v>
      </c>
      <c r="S60" s="18" t="s">
        <v>226</v>
      </c>
      <c r="T60" s="17" t="s">
        <v>832</v>
      </c>
    </row>
    <row r="61" spans="1:20" x14ac:dyDescent="0.25">
      <c r="A61" s="335">
        <v>42955</v>
      </c>
      <c r="B61">
        <v>56</v>
      </c>
      <c r="C61">
        <v>2016</v>
      </c>
      <c r="D61" s="18" t="s">
        <v>110</v>
      </c>
      <c r="E61" s="17" t="s">
        <v>714</v>
      </c>
      <c r="F61" s="2"/>
      <c r="G61" s="2"/>
      <c r="H61" s="361">
        <f>BSi_results!F69</f>
        <v>3535.1</v>
      </c>
      <c r="I61" s="17" t="s">
        <v>160</v>
      </c>
      <c r="J61" s="326"/>
      <c r="K61" s="3"/>
      <c r="N61" s="276">
        <v>42947</v>
      </c>
      <c r="O61" s="219" t="s">
        <v>675</v>
      </c>
      <c r="Q61" s="15">
        <v>65</v>
      </c>
      <c r="S61" s="18" t="s">
        <v>226</v>
      </c>
      <c r="T61" s="17" t="s">
        <v>841</v>
      </c>
    </row>
    <row r="62" spans="1:20" x14ac:dyDescent="0.25">
      <c r="A62" s="335">
        <v>42955</v>
      </c>
      <c r="B62">
        <v>57</v>
      </c>
      <c r="C62">
        <v>2016</v>
      </c>
      <c r="D62" s="18" t="s">
        <v>110</v>
      </c>
      <c r="E62">
        <v>11</v>
      </c>
      <c r="F62" s="2"/>
      <c r="G62" s="2"/>
      <c r="H62" s="361">
        <f>BSi_results!F70</f>
        <v>2644.3</v>
      </c>
      <c r="J62" s="3">
        <f>main!E65</f>
        <v>1724.3857142857141</v>
      </c>
      <c r="K62" s="3">
        <f>mass_filt_1!R78</f>
        <v>1207.07</v>
      </c>
      <c r="L62" s="5">
        <v>1</v>
      </c>
      <c r="N62" s="276">
        <v>42947</v>
      </c>
      <c r="O62" s="219" t="s">
        <v>675</v>
      </c>
    </row>
    <row r="63" spans="1:20" x14ac:dyDescent="0.25">
      <c r="A63" s="335">
        <v>42955</v>
      </c>
      <c r="B63">
        <v>58</v>
      </c>
      <c r="C63">
        <v>2016</v>
      </c>
      <c r="D63" s="18" t="s">
        <v>110</v>
      </c>
      <c r="E63" s="17" t="s">
        <v>715</v>
      </c>
      <c r="F63" s="2"/>
      <c r="G63" s="2"/>
      <c r="H63" s="361">
        <f>BSi_results!F71</f>
        <v>3058.6</v>
      </c>
      <c r="I63" s="17" t="s">
        <v>160</v>
      </c>
      <c r="J63" s="3">
        <f>main!E66</f>
        <v>1376.1571428571426</v>
      </c>
      <c r="K63" s="3">
        <f>mass_filt_1!R81</f>
        <v>963.31</v>
      </c>
      <c r="L63" s="5">
        <v>1</v>
      </c>
      <c r="N63" s="276">
        <v>42947</v>
      </c>
      <c r="O63" s="219" t="s">
        <v>675</v>
      </c>
    </row>
    <row r="64" spans="1:20" x14ac:dyDescent="0.25">
      <c r="A64" s="335">
        <v>42955</v>
      </c>
      <c r="B64">
        <v>59</v>
      </c>
      <c r="C64">
        <v>2016</v>
      </c>
      <c r="D64" s="18" t="s">
        <v>110</v>
      </c>
      <c r="E64" s="17" t="s">
        <v>716</v>
      </c>
      <c r="H64" s="361">
        <f>BSi_results!F72</f>
        <v>3160.1</v>
      </c>
      <c r="I64" s="17" t="s">
        <v>160</v>
      </c>
      <c r="J64" s="326"/>
      <c r="K64" s="3"/>
      <c r="N64" s="276">
        <v>42947</v>
      </c>
      <c r="O64" s="219" t="s">
        <v>675</v>
      </c>
    </row>
    <row r="65" spans="1:15" x14ac:dyDescent="0.25">
      <c r="A65" s="335">
        <v>42955</v>
      </c>
      <c r="B65">
        <v>60</v>
      </c>
      <c r="C65">
        <v>2016</v>
      </c>
      <c r="D65" s="18" t="s">
        <v>110</v>
      </c>
      <c r="E65">
        <v>13</v>
      </c>
      <c r="H65" s="361">
        <f>BSi_results!F73</f>
        <v>2821.7</v>
      </c>
      <c r="J65" s="3">
        <f>main!E67</f>
        <v>930.34285714285704</v>
      </c>
      <c r="K65" s="3">
        <f>mass_filt_1!R84</f>
        <v>651.24</v>
      </c>
      <c r="L65" s="5">
        <v>1</v>
      </c>
      <c r="N65" s="276">
        <v>42947</v>
      </c>
      <c r="O65" s="219" t="s">
        <v>675</v>
      </c>
    </row>
    <row r="66" spans="1:15" x14ac:dyDescent="0.25">
      <c r="A66" s="30">
        <v>42950</v>
      </c>
      <c r="B66">
        <v>61</v>
      </c>
      <c r="D66" s="18" t="s">
        <v>226</v>
      </c>
      <c r="E66">
        <v>1</v>
      </c>
      <c r="H66" s="361">
        <f>BSi_results!F74</f>
        <v>3526.4</v>
      </c>
      <c r="J66" s="5"/>
      <c r="K66" s="5"/>
      <c r="N66" s="276">
        <v>42947</v>
      </c>
      <c r="O66" s="219" t="s">
        <v>675</v>
      </c>
    </row>
    <row r="67" spans="1:15" x14ac:dyDescent="0.25">
      <c r="A67" s="30">
        <v>42950</v>
      </c>
      <c r="B67">
        <v>62</v>
      </c>
      <c r="D67" s="18" t="s">
        <v>226</v>
      </c>
      <c r="E67">
        <v>2</v>
      </c>
      <c r="H67" s="361">
        <f>BSi_results!F75</f>
        <v>3163.2</v>
      </c>
      <c r="J67" s="5"/>
      <c r="K67" s="5"/>
      <c r="L67"/>
      <c r="N67" s="276">
        <v>42947</v>
      </c>
      <c r="O67" s="219" t="s">
        <v>675</v>
      </c>
    </row>
    <row r="68" spans="1:15" x14ac:dyDescent="0.25">
      <c r="A68" s="30">
        <v>42951</v>
      </c>
      <c r="B68">
        <v>8</v>
      </c>
      <c r="D68" s="18" t="s">
        <v>226</v>
      </c>
      <c r="E68">
        <v>3</v>
      </c>
      <c r="H68" s="361">
        <f>BSi_results!F76</f>
        <v>3401.8</v>
      </c>
      <c r="J68" s="5"/>
      <c r="N68" s="276">
        <v>42947</v>
      </c>
      <c r="O68" s="219" t="s">
        <v>675</v>
      </c>
    </row>
    <row r="69" spans="1:15" x14ac:dyDescent="0.25">
      <c r="A69" s="335">
        <v>42955</v>
      </c>
      <c r="B69">
        <v>64</v>
      </c>
      <c r="D69" s="18" t="s">
        <v>226</v>
      </c>
      <c r="E69">
        <v>4</v>
      </c>
      <c r="H69" s="361">
        <f>BSi_results!F77</f>
        <v>3801.5</v>
      </c>
      <c r="J69" s="5"/>
      <c r="K69" s="20"/>
      <c r="N69" s="276">
        <v>42947</v>
      </c>
      <c r="O69" s="219" t="s">
        <v>675</v>
      </c>
    </row>
    <row r="70" spans="1:15" x14ac:dyDescent="0.25">
      <c r="A70" s="30">
        <v>42954</v>
      </c>
      <c r="B70">
        <v>65</v>
      </c>
      <c r="D70" s="18" t="s">
        <v>226</v>
      </c>
      <c r="E70">
        <v>5</v>
      </c>
      <c r="H70" s="361">
        <f>BSi_results!F78</f>
        <v>2319.1</v>
      </c>
      <c r="J70" s="5"/>
      <c r="K70"/>
      <c r="L70"/>
      <c r="M70"/>
      <c r="N70" s="276">
        <v>42947</v>
      </c>
      <c r="O70" s="219" t="s">
        <v>675</v>
      </c>
    </row>
    <row r="71" spans="1:15" x14ac:dyDescent="0.25">
      <c r="J71" s="5"/>
      <c r="K71"/>
      <c r="L71"/>
      <c r="M71"/>
      <c r="N71" s="11"/>
    </row>
    <row r="72" spans="1:15" x14ac:dyDescent="0.25">
      <c r="J72" s="5"/>
      <c r="K72"/>
      <c r="L72"/>
      <c r="M72"/>
      <c r="N72" s="11"/>
    </row>
    <row r="73" spans="1:15" x14ac:dyDescent="0.25">
      <c r="J73" s="5"/>
      <c r="K73"/>
      <c r="L73"/>
      <c r="M73"/>
      <c r="N73" s="11"/>
    </row>
    <row r="74" spans="1:15" x14ac:dyDescent="0.25">
      <c r="J74" s="5"/>
      <c r="K74"/>
      <c r="L74"/>
      <c r="M74"/>
      <c r="N74" s="11"/>
    </row>
    <row r="75" spans="1:15" x14ac:dyDescent="0.25">
      <c r="D75" s="2"/>
      <c r="E75" s="20"/>
      <c r="I75" s="20"/>
      <c r="J75" s="5"/>
      <c r="K75"/>
      <c r="L75"/>
      <c r="M75"/>
      <c r="N75" s="11"/>
    </row>
    <row r="76" spans="1:15" x14ac:dyDescent="0.25">
      <c r="C76" s="5"/>
      <c r="J76" s="5"/>
      <c r="K76"/>
      <c r="L76"/>
      <c r="M76"/>
      <c r="N76" s="11"/>
    </row>
    <row r="77" spans="1:15" x14ac:dyDescent="0.25">
      <c r="C77" s="5"/>
      <c r="J77" s="5"/>
      <c r="K77"/>
      <c r="L77"/>
      <c r="M77"/>
      <c r="N77" s="11"/>
    </row>
    <row r="78" spans="1:15" x14ac:dyDescent="0.25">
      <c r="J78" s="5"/>
      <c r="K78"/>
      <c r="L78"/>
      <c r="M78"/>
      <c r="N78" s="11"/>
    </row>
    <row r="79" spans="1:15" x14ac:dyDescent="0.25">
      <c r="C79" s="5"/>
      <c r="J79" s="5"/>
      <c r="K79"/>
      <c r="L79"/>
      <c r="M79"/>
    </row>
    <row r="80" spans="1:15" x14ac:dyDescent="0.25">
      <c r="C80" s="2"/>
      <c r="E80" s="5"/>
      <c r="I80" s="5"/>
      <c r="J80" s="5"/>
      <c r="K80"/>
      <c r="L80"/>
      <c r="M80"/>
    </row>
    <row r="81" spans="1:13" x14ac:dyDescent="0.25">
      <c r="C81" s="2"/>
      <c r="E81" s="5"/>
      <c r="I81" s="5"/>
      <c r="J81" s="5"/>
      <c r="K81"/>
      <c r="L81"/>
      <c r="M81"/>
    </row>
    <row r="82" spans="1:13" x14ac:dyDescent="0.25">
      <c r="A82" s="169"/>
      <c r="B82" s="169"/>
      <c r="C82" s="169"/>
      <c r="D82" s="169"/>
      <c r="E82" s="173"/>
      <c r="I82" s="5"/>
      <c r="J82" s="5"/>
      <c r="K82"/>
      <c r="L82"/>
      <c r="M82"/>
    </row>
    <row r="83" spans="1:13" x14ac:dyDescent="0.25">
      <c r="A83" s="169"/>
      <c r="B83" s="169"/>
      <c r="C83" s="169"/>
      <c r="D83" s="173"/>
      <c r="E83" s="169"/>
      <c r="J83" s="5"/>
      <c r="K83"/>
      <c r="L83"/>
      <c r="M83"/>
    </row>
    <row r="84" spans="1:13" x14ac:dyDescent="0.25">
      <c r="A84" s="169"/>
      <c r="B84" s="169"/>
      <c r="C84" s="169"/>
      <c r="D84" s="173"/>
      <c r="E84" s="169"/>
      <c r="J84" s="5"/>
      <c r="K84"/>
      <c r="L84"/>
      <c r="M84"/>
    </row>
    <row r="85" spans="1:13" x14ac:dyDescent="0.25">
      <c r="A85" s="169"/>
      <c r="B85" s="169"/>
      <c r="C85" s="169"/>
      <c r="D85" s="173"/>
      <c r="E85" s="169"/>
      <c r="J85" s="5"/>
      <c r="K85"/>
      <c r="L85"/>
      <c r="M85"/>
    </row>
    <row r="86" spans="1:13" x14ac:dyDescent="0.25">
      <c r="A86" s="169"/>
      <c r="B86" s="169"/>
      <c r="C86" s="169"/>
      <c r="D86" s="173"/>
      <c r="E86" s="169"/>
      <c r="J86" s="5"/>
      <c r="K86"/>
      <c r="L86"/>
      <c r="M86"/>
    </row>
    <row r="87" spans="1:13" x14ac:dyDescent="0.25">
      <c r="D87" s="5"/>
      <c r="J87" s="5"/>
      <c r="K87"/>
      <c r="L87"/>
      <c r="M87"/>
    </row>
    <row r="88" spans="1:13" x14ac:dyDescent="0.25">
      <c r="D88" s="5"/>
      <c r="J88" s="5"/>
      <c r="K88"/>
      <c r="L88"/>
      <c r="M88"/>
    </row>
    <row r="89" spans="1:13" x14ac:dyDescent="0.25">
      <c r="D89" s="5"/>
      <c r="J89" s="5"/>
      <c r="K89"/>
      <c r="L89"/>
      <c r="M89"/>
    </row>
    <row r="90" spans="1:13" x14ac:dyDescent="0.25">
      <c r="D90" s="5"/>
      <c r="J90" s="5"/>
      <c r="K90"/>
      <c r="L90"/>
      <c r="M90"/>
    </row>
    <row r="91" spans="1:13" x14ac:dyDescent="0.25">
      <c r="C91" s="5"/>
      <c r="D91" s="5"/>
      <c r="J91" s="5"/>
      <c r="K91"/>
      <c r="L91"/>
      <c r="M91"/>
    </row>
    <row r="92" spans="1:13" x14ac:dyDescent="0.25">
      <c r="C92" s="5"/>
      <c r="D92" s="5"/>
      <c r="J92" s="5"/>
      <c r="K92"/>
      <c r="L92"/>
      <c r="M92"/>
    </row>
    <row r="93" spans="1:13" x14ac:dyDescent="0.25">
      <c r="C93" s="5"/>
      <c r="D93" s="5"/>
      <c r="J93" s="5"/>
      <c r="K93"/>
      <c r="L93"/>
      <c r="M93"/>
    </row>
    <row r="94" spans="1:13" x14ac:dyDescent="0.25">
      <c r="C94" s="5"/>
      <c r="D94" s="5"/>
      <c r="J94" s="5"/>
      <c r="K94"/>
      <c r="L94"/>
      <c r="M94"/>
    </row>
    <row r="95" spans="1:13" x14ac:dyDescent="0.25">
      <c r="C95" s="5"/>
      <c r="D95" s="5"/>
      <c r="J95" s="5"/>
      <c r="K95"/>
      <c r="L95"/>
      <c r="M95"/>
    </row>
    <row r="96" spans="1:13" x14ac:dyDescent="0.25">
      <c r="C96" s="5"/>
      <c r="D96" s="5"/>
      <c r="J96" s="5"/>
      <c r="K96"/>
      <c r="L96"/>
      <c r="M96"/>
    </row>
    <row r="97" spans="3:13" x14ac:dyDescent="0.25">
      <c r="C97" s="5"/>
      <c r="D97" s="5"/>
      <c r="J97"/>
      <c r="K97"/>
      <c r="L97"/>
      <c r="M97"/>
    </row>
    <row r="98" spans="3:13" x14ac:dyDescent="0.25">
      <c r="C98" s="5"/>
      <c r="D98" s="5"/>
      <c r="J98"/>
      <c r="K98"/>
      <c r="L98"/>
      <c r="M98"/>
    </row>
    <row r="99" spans="3:13" x14ac:dyDescent="0.25">
      <c r="C99" s="5"/>
      <c r="D99" s="5"/>
      <c r="J99"/>
      <c r="K99"/>
      <c r="L99"/>
      <c r="M99"/>
    </row>
    <row r="100" spans="3:13" x14ac:dyDescent="0.25">
      <c r="C100" s="5"/>
      <c r="D100" s="5"/>
      <c r="J100"/>
      <c r="K100"/>
      <c r="L100"/>
      <c r="M100"/>
    </row>
    <row r="101" spans="3:13" x14ac:dyDescent="0.25">
      <c r="C101" s="5"/>
      <c r="D101" s="5"/>
      <c r="J101" s="5"/>
      <c r="K101"/>
      <c r="L101"/>
      <c r="M101"/>
    </row>
    <row r="102" spans="3:13" x14ac:dyDescent="0.25">
      <c r="C102" s="5"/>
      <c r="D102" s="5"/>
      <c r="J102" s="5"/>
      <c r="K102"/>
      <c r="L102"/>
      <c r="M102"/>
    </row>
    <row r="103" spans="3:13" x14ac:dyDescent="0.25">
      <c r="J103" s="5"/>
      <c r="K103"/>
      <c r="L103"/>
      <c r="M103"/>
    </row>
    <row r="104" spans="3:13" x14ac:dyDescent="0.25">
      <c r="D104" s="5"/>
      <c r="J104" s="5"/>
      <c r="K104"/>
      <c r="L104"/>
      <c r="M104"/>
    </row>
    <row r="105" spans="3:13" x14ac:dyDescent="0.25">
      <c r="D105" s="5"/>
      <c r="J105" s="5"/>
      <c r="K105"/>
      <c r="L105"/>
      <c r="M105"/>
    </row>
    <row r="106" spans="3:13" x14ac:dyDescent="0.25">
      <c r="D106" s="5"/>
      <c r="J106" s="5"/>
      <c r="K106"/>
      <c r="L106"/>
      <c r="M106"/>
    </row>
    <row r="107" spans="3:13" x14ac:dyDescent="0.25">
      <c r="D107" s="5"/>
      <c r="J107" s="5"/>
      <c r="K107"/>
      <c r="L107"/>
      <c r="M107"/>
    </row>
    <row r="108" spans="3:13" x14ac:dyDescent="0.25">
      <c r="D108" s="5"/>
      <c r="J108" s="5"/>
      <c r="K108"/>
      <c r="L108"/>
      <c r="M108"/>
    </row>
    <row r="109" spans="3:13" x14ac:dyDescent="0.25">
      <c r="D109" s="5"/>
      <c r="J109" s="5"/>
      <c r="K109"/>
      <c r="L109"/>
      <c r="M109"/>
    </row>
    <row r="110" spans="3:13" x14ac:dyDescent="0.25">
      <c r="D110" s="5"/>
      <c r="J110" s="5"/>
      <c r="K110"/>
      <c r="L110"/>
      <c r="M110"/>
    </row>
    <row r="111" spans="3:13" x14ac:dyDescent="0.25">
      <c r="D111" s="5"/>
      <c r="J111" s="5"/>
      <c r="K111"/>
      <c r="L111"/>
      <c r="M111"/>
    </row>
    <row r="112" spans="3:13" x14ac:dyDescent="0.25">
      <c r="D112" s="5"/>
      <c r="J112" s="5"/>
      <c r="K112"/>
      <c r="L112"/>
      <c r="M112"/>
    </row>
    <row r="113" spans="3:13" x14ac:dyDescent="0.25">
      <c r="D113" s="5"/>
      <c r="J113" s="5"/>
      <c r="K113"/>
      <c r="L113"/>
      <c r="M113"/>
    </row>
    <row r="114" spans="3:13" x14ac:dyDescent="0.25">
      <c r="D114" s="5"/>
      <c r="J114" s="5"/>
      <c r="K114"/>
      <c r="L114"/>
      <c r="M114"/>
    </row>
    <row r="115" spans="3:13" x14ac:dyDescent="0.25">
      <c r="D115" s="5"/>
      <c r="J115" s="5"/>
      <c r="K115"/>
      <c r="L115"/>
      <c r="M115"/>
    </row>
    <row r="116" spans="3:13" x14ac:dyDescent="0.25">
      <c r="D116" s="5"/>
      <c r="J116" s="5"/>
      <c r="K116"/>
      <c r="L116"/>
      <c r="M116"/>
    </row>
    <row r="117" spans="3:13" x14ac:dyDescent="0.25">
      <c r="D117" s="5"/>
      <c r="J117" s="5"/>
      <c r="K117"/>
      <c r="L117"/>
      <c r="M117"/>
    </row>
    <row r="118" spans="3:13" x14ac:dyDescent="0.25">
      <c r="D118" s="5"/>
      <c r="J118" s="5"/>
      <c r="K118"/>
      <c r="L118"/>
      <c r="M118"/>
    </row>
    <row r="119" spans="3:13" x14ac:dyDescent="0.25">
      <c r="D119" s="5"/>
      <c r="J119" s="5"/>
      <c r="K119"/>
      <c r="L119"/>
      <c r="M119"/>
    </row>
    <row r="120" spans="3:13" x14ac:dyDescent="0.25">
      <c r="D120" s="5"/>
      <c r="J120" s="5"/>
      <c r="K120"/>
      <c r="L120"/>
      <c r="M120"/>
    </row>
    <row r="121" spans="3:13" x14ac:dyDescent="0.25">
      <c r="D121" s="5"/>
      <c r="J121" s="5"/>
      <c r="K121"/>
      <c r="L121"/>
      <c r="M121"/>
    </row>
    <row r="122" spans="3:13" x14ac:dyDescent="0.25">
      <c r="D122" s="5"/>
      <c r="J122" s="5"/>
      <c r="K122"/>
      <c r="L122"/>
      <c r="M122"/>
    </row>
    <row r="123" spans="3:13" x14ac:dyDescent="0.25">
      <c r="D123" s="5"/>
      <c r="J123" s="5"/>
      <c r="K123"/>
      <c r="L123"/>
      <c r="M123"/>
    </row>
    <row r="124" spans="3:13" x14ac:dyDescent="0.25">
      <c r="D124" s="5"/>
      <c r="J124" s="5"/>
      <c r="K124"/>
      <c r="L124"/>
      <c r="M124"/>
    </row>
    <row r="125" spans="3:13" x14ac:dyDescent="0.25">
      <c r="C125" s="5"/>
      <c r="J125" s="5"/>
      <c r="K125"/>
      <c r="L125"/>
      <c r="M125"/>
    </row>
    <row r="126" spans="3:13" x14ac:dyDescent="0.25">
      <c r="J126" s="5"/>
      <c r="K126"/>
      <c r="L126"/>
      <c r="M126"/>
    </row>
    <row r="127" spans="3:13" x14ac:dyDescent="0.25">
      <c r="D127" s="5"/>
      <c r="J127" s="5"/>
      <c r="K127"/>
      <c r="L127"/>
      <c r="M127"/>
    </row>
    <row r="128" spans="3:13" x14ac:dyDescent="0.25">
      <c r="D128" s="5"/>
      <c r="J128" s="5"/>
      <c r="K128"/>
      <c r="L128"/>
      <c r="M128"/>
    </row>
    <row r="129" spans="4:13" x14ac:dyDescent="0.25">
      <c r="D129" s="5"/>
      <c r="J129" s="5"/>
      <c r="K129"/>
      <c r="L129"/>
      <c r="M129"/>
    </row>
    <row r="130" spans="4:13" x14ac:dyDescent="0.25">
      <c r="D130" s="5"/>
      <c r="J130" s="5"/>
      <c r="K130"/>
      <c r="L130"/>
      <c r="M130"/>
    </row>
    <row r="131" spans="4:13" x14ac:dyDescent="0.25">
      <c r="D131" s="5"/>
      <c r="J131" s="5"/>
      <c r="K131"/>
      <c r="L131"/>
      <c r="M131"/>
    </row>
    <row r="132" spans="4:13" x14ac:dyDescent="0.25">
      <c r="D132" s="5"/>
      <c r="J132" s="5"/>
      <c r="K132"/>
      <c r="L132"/>
      <c r="M132"/>
    </row>
    <row r="133" spans="4:13" x14ac:dyDescent="0.25">
      <c r="D133" s="5"/>
      <c r="J133" s="5"/>
      <c r="K133"/>
      <c r="L133"/>
      <c r="M133"/>
    </row>
    <row r="134" spans="4:13" x14ac:dyDescent="0.25">
      <c r="D134" s="5"/>
      <c r="J134" s="5"/>
      <c r="K134"/>
      <c r="L134"/>
      <c r="M134"/>
    </row>
    <row r="135" spans="4:13" x14ac:dyDescent="0.25">
      <c r="D135" s="5"/>
      <c r="J135" s="5"/>
      <c r="K135"/>
      <c r="L135"/>
      <c r="M135"/>
    </row>
    <row r="136" spans="4:13" x14ac:dyDescent="0.25">
      <c r="D136" s="5"/>
      <c r="J136" s="5"/>
      <c r="K136"/>
      <c r="L136"/>
      <c r="M136"/>
    </row>
    <row r="137" spans="4:13" x14ac:dyDescent="0.25">
      <c r="D137" s="5"/>
      <c r="J137" s="5"/>
      <c r="K137"/>
      <c r="L137"/>
      <c r="M137"/>
    </row>
    <row r="138" spans="4:13" x14ac:dyDescent="0.25">
      <c r="D138" s="5"/>
      <c r="J138" s="5"/>
      <c r="K138"/>
      <c r="L138"/>
      <c r="M138"/>
    </row>
    <row r="139" spans="4:13" x14ac:dyDescent="0.25">
      <c r="D139" s="5"/>
      <c r="J139" s="5"/>
      <c r="K139"/>
      <c r="L139"/>
      <c r="M139"/>
    </row>
    <row r="140" spans="4:13" x14ac:dyDescent="0.25">
      <c r="D140" s="5"/>
      <c r="J140" s="5"/>
      <c r="K140"/>
      <c r="L140"/>
      <c r="M140"/>
    </row>
    <row r="141" spans="4:13" x14ac:dyDescent="0.25">
      <c r="D141" s="5"/>
      <c r="J141" s="5"/>
      <c r="K141"/>
      <c r="L141"/>
      <c r="M141"/>
    </row>
    <row r="142" spans="4:13" x14ac:dyDescent="0.25">
      <c r="D142" s="5"/>
      <c r="J142" s="5"/>
      <c r="K142"/>
      <c r="L142"/>
      <c r="M142"/>
    </row>
    <row r="143" spans="4:13" x14ac:dyDescent="0.25">
      <c r="D143" s="5"/>
      <c r="J143" s="5"/>
      <c r="K143"/>
      <c r="L143"/>
      <c r="M143"/>
    </row>
    <row r="144" spans="4:13" x14ac:dyDescent="0.25">
      <c r="D144" s="5"/>
      <c r="J144" s="5"/>
      <c r="K144"/>
      <c r="L144"/>
      <c r="M144"/>
    </row>
    <row r="145" spans="4:13" x14ac:dyDescent="0.25">
      <c r="D145" s="5"/>
      <c r="J145" s="5"/>
      <c r="K145"/>
      <c r="L145"/>
      <c r="M145"/>
    </row>
    <row r="146" spans="4:13" x14ac:dyDescent="0.25">
      <c r="D146" s="5"/>
      <c r="J146" s="5"/>
      <c r="K146"/>
      <c r="L146"/>
      <c r="M146"/>
    </row>
    <row r="147" spans="4:13" x14ac:dyDescent="0.25">
      <c r="D147" s="5"/>
      <c r="J147" s="5"/>
      <c r="K147"/>
      <c r="L147"/>
      <c r="M147"/>
    </row>
  </sheetData>
  <phoneticPr fontId="0" type="noConversion"/>
  <printOptions gridLines="1"/>
  <pageMargins left="0.39370078740157" right="0.41" top="0.32" bottom="0.39" header="0.27559055118109999" footer="0.23622047244093999"/>
  <pageSetup paperSize="9" scale="85" orientation="portrait"/>
  <headerFooter alignWithMargins="0">
    <oddFooter>&amp;L&amp;F,  &amp;A&amp;C&amp;D&amp;R&amp;P/&amp;N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workbookViewId="0">
      <selection activeCell="S101" sqref="S101"/>
    </sheetView>
  </sheetViews>
  <sheetFormatPr defaultColWidth="8.81640625" defaultRowHeight="12.5" x14ac:dyDescent="0.25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AT675"/>
  <sheetViews>
    <sheetView topLeftCell="M1" workbookViewId="0">
      <pane ySplit="3" topLeftCell="A4" activePane="bottomLeft" state="frozen"/>
      <selection pane="bottomLeft" activeCell="X31" sqref="X31"/>
    </sheetView>
  </sheetViews>
  <sheetFormatPr defaultColWidth="8.81640625" defaultRowHeight="13" x14ac:dyDescent="0.3"/>
  <cols>
    <col min="1" max="1" width="8.7265625" customWidth="1"/>
    <col min="2" max="2" width="9.1796875" customWidth="1"/>
    <col min="3" max="3" width="11.453125" customWidth="1"/>
    <col min="4" max="4" width="11.81640625" customWidth="1"/>
    <col min="5" max="5" width="8.81640625" customWidth="1"/>
    <col min="6" max="6" width="10.26953125" customWidth="1"/>
    <col min="7" max="7" width="13.26953125" style="3" customWidth="1"/>
    <col min="8" max="8" width="13" style="18" customWidth="1"/>
    <col min="9" max="9" width="10.1796875" style="11" bestFit="1" customWidth="1"/>
    <col min="10" max="11" width="9.7265625" style="11" bestFit="1" customWidth="1"/>
    <col min="12" max="12" width="5.1796875" style="2" customWidth="1"/>
    <col min="13" max="13" width="6.1796875" style="2" customWidth="1"/>
    <col min="14" max="14" width="29.1796875" style="2" customWidth="1"/>
    <col min="15" max="15" width="20.453125" customWidth="1"/>
    <col min="16" max="16" width="6.1796875" customWidth="1"/>
    <col min="17" max="17" width="29.1796875" customWidth="1"/>
    <col min="18" max="20" width="8.81640625" style="3"/>
    <col min="22" max="24" width="8.81640625" style="10"/>
  </cols>
  <sheetData>
    <row r="1" spans="1:46" x14ac:dyDescent="0.3">
      <c r="A1" t="s">
        <v>64</v>
      </c>
      <c r="B1" t="s">
        <v>51</v>
      </c>
      <c r="C1" t="s">
        <v>17</v>
      </c>
      <c r="D1" t="s">
        <v>15</v>
      </c>
      <c r="E1" t="s">
        <v>10</v>
      </c>
      <c r="F1" t="s">
        <v>10</v>
      </c>
      <c r="G1" s="3" t="s">
        <v>52</v>
      </c>
      <c r="H1" s="18" t="s">
        <v>52</v>
      </c>
      <c r="I1" s="11" t="s">
        <v>14</v>
      </c>
      <c r="J1" s="11" t="s">
        <v>14</v>
      </c>
      <c r="K1" t="s">
        <v>4</v>
      </c>
      <c r="L1" s="2" t="s">
        <v>5</v>
      </c>
      <c r="M1" s="2" t="s">
        <v>6</v>
      </c>
      <c r="N1" s="2" t="s">
        <v>126</v>
      </c>
      <c r="O1" t="s">
        <v>113</v>
      </c>
      <c r="P1" t="s">
        <v>127</v>
      </c>
      <c r="Q1" t="s">
        <v>34</v>
      </c>
      <c r="R1" s="3" t="s">
        <v>52</v>
      </c>
      <c r="S1" s="3" t="s">
        <v>52</v>
      </c>
      <c r="T1" s="3" t="s">
        <v>52</v>
      </c>
      <c r="V1" s="36" t="s">
        <v>52</v>
      </c>
      <c r="W1" s="36" t="s">
        <v>52</v>
      </c>
      <c r="X1" s="36" t="s">
        <v>52</v>
      </c>
    </row>
    <row r="2" spans="1:46" x14ac:dyDescent="0.3">
      <c r="B2" t="s">
        <v>24</v>
      </c>
      <c r="C2" t="s">
        <v>670</v>
      </c>
      <c r="D2" t="s">
        <v>24</v>
      </c>
      <c r="E2" t="s">
        <v>11</v>
      </c>
      <c r="F2" t="s">
        <v>12</v>
      </c>
      <c r="G2" s="3" t="s">
        <v>7</v>
      </c>
      <c r="H2" s="18" t="s">
        <v>8</v>
      </c>
      <c r="I2" s="11" t="s">
        <v>7</v>
      </c>
      <c r="J2" s="11" t="s">
        <v>23</v>
      </c>
      <c r="K2" t="s">
        <v>13</v>
      </c>
      <c r="L2" s="2" t="s">
        <v>45</v>
      </c>
      <c r="M2" s="2" t="s">
        <v>9</v>
      </c>
      <c r="O2" t="s">
        <v>128</v>
      </c>
      <c r="R2" s="3" t="s">
        <v>129</v>
      </c>
      <c r="S2" s="3" t="s">
        <v>166</v>
      </c>
      <c r="T2" s="3" t="s">
        <v>167</v>
      </c>
      <c r="V2" s="36" t="s">
        <v>806</v>
      </c>
      <c r="W2" s="36" t="s">
        <v>684</v>
      </c>
      <c r="X2" s="36" t="s">
        <v>684</v>
      </c>
    </row>
    <row r="3" spans="1:46" x14ac:dyDescent="0.3">
      <c r="A3" s="17"/>
      <c r="B3" s="17"/>
      <c r="C3" s="17"/>
      <c r="D3" s="1"/>
      <c r="E3" s="1"/>
      <c r="F3" s="17"/>
      <c r="G3" s="18" t="s">
        <v>42</v>
      </c>
      <c r="H3" s="18" t="s">
        <v>42</v>
      </c>
      <c r="I3" s="65"/>
      <c r="J3" s="65"/>
      <c r="K3" s="17"/>
      <c r="L3" s="64"/>
      <c r="M3" s="64"/>
      <c r="N3" s="64"/>
      <c r="O3" s="17"/>
      <c r="P3" s="17"/>
      <c r="Q3" s="17"/>
      <c r="R3" s="18" t="s">
        <v>42</v>
      </c>
      <c r="S3" s="3" t="s">
        <v>42</v>
      </c>
      <c r="T3" s="3" t="s">
        <v>42</v>
      </c>
      <c r="U3" s="17"/>
      <c r="V3" s="36" t="s">
        <v>42</v>
      </c>
      <c r="W3" s="36" t="s">
        <v>42</v>
      </c>
      <c r="X3" s="36" t="s">
        <v>45</v>
      </c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</row>
    <row r="4" spans="1:46" x14ac:dyDescent="0.3">
      <c r="A4" s="17"/>
      <c r="B4" s="17"/>
      <c r="C4" s="17"/>
      <c r="D4" s="1"/>
      <c r="E4" s="1"/>
      <c r="F4" s="17"/>
      <c r="G4" s="18"/>
      <c r="I4" s="65"/>
      <c r="J4" s="65"/>
      <c r="K4" s="17"/>
      <c r="L4" s="64"/>
      <c r="M4" s="64"/>
      <c r="N4" s="64"/>
      <c r="O4" s="17"/>
      <c r="P4" s="17"/>
      <c r="Q4" s="17"/>
      <c r="R4" s="18"/>
      <c r="U4" s="17"/>
      <c r="V4" s="36"/>
      <c r="W4" s="36"/>
      <c r="X4" s="36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</row>
    <row r="5" spans="1:46" x14ac:dyDescent="0.3">
      <c r="A5" s="169"/>
      <c r="B5" s="269" t="s">
        <v>677</v>
      </c>
      <c r="C5" s="169"/>
      <c r="D5" s="169"/>
      <c r="E5" s="240" t="s">
        <v>678</v>
      </c>
      <c r="F5" s="173"/>
      <c r="G5" s="170"/>
      <c r="H5" s="170"/>
      <c r="I5" s="181"/>
      <c r="J5" s="181"/>
      <c r="K5" s="181"/>
      <c r="L5" s="173"/>
      <c r="M5" s="171"/>
      <c r="N5" s="169"/>
      <c r="O5" s="169"/>
      <c r="P5" s="169"/>
      <c r="Q5" s="169"/>
      <c r="R5" s="170"/>
      <c r="S5" s="170"/>
      <c r="T5" s="170"/>
      <c r="U5" s="169"/>
      <c r="V5" s="218"/>
      <c r="W5" s="218"/>
      <c r="X5" s="218"/>
      <c r="Y5" s="169"/>
      <c r="Z5" s="169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</row>
    <row r="6" spans="1:46" x14ac:dyDescent="0.3">
      <c r="A6" s="169"/>
      <c r="B6" s="219">
        <v>2016</v>
      </c>
      <c r="C6" s="255" t="s">
        <v>111</v>
      </c>
      <c r="D6" s="256" t="s">
        <v>682</v>
      </c>
      <c r="E6" s="241">
        <v>4</v>
      </c>
      <c r="F6" s="255">
        <v>7</v>
      </c>
      <c r="G6" s="277">
        <f>0.0415*1000</f>
        <v>41.5</v>
      </c>
      <c r="H6" s="277">
        <v>253.4</v>
      </c>
      <c r="I6" s="276">
        <v>42867</v>
      </c>
      <c r="J6" s="276">
        <v>42870</v>
      </c>
      <c r="K6" s="276">
        <v>42870</v>
      </c>
      <c r="L6" s="255">
        <v>38</v>
      </c>
      <c r="M6" s="257">
        <v>20.8</v>
      </c>
      <c r="N6" s="219" t="s">
        <v>161</v>
      </c>
      <c r="O6" s="219" t="s">
        <v>162</v>
      </c>
      <c r="P6" s="219" t="s">
        <v>675</v>
      </c>
      <c r="Q6" s="169"/>
      <c r="R6" s="277"/>
      <c r="S6" s="277"/>
      <c r="T6" s="277"/>
      <c r="U6" s="169"/>
      <c r="V6" s="218"/>
      <c r="W6" s="218"/>
      <c r="X6" s="218"/>
      <c r="Y6" s="169"/>
      <c r="Z6" s="169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</row>
    <row r="7" spans="1:46" x14ac:dyDescent="0.3">
      <c r="A7" s="169"/>
      <c r="B7" s="219">
        <v>2016</v>
      </c>
      <c r="C7" s="238" t="s">
        <v>111</v>
      </c>
      <c r="D7" s="268" t="s">
        <v>683</v>
      </c>
      <c r="E7" s="241">
        <v>8</v>
      </c>
      <c r="F7" s="255">
        <v>10</v>
      </c>
      <c r="G7" s="277">
        <f>0.0393*1000</f>
        <v>39.300000000000004</v>
      </c>
      <c r="H7" s="277">
        <v>198.52</v>
      </c>
      <c r="I7" s="276">
        <v>42867</v>
      </c>
      <c r="J7" s="276">
        <v>42870</v>
      </c>
      <c r="K7" s="276">
        <v>42870</v>
      </c>
      <c r="L7" s="255">
        <v>38</v>
      </c>
      <c r="M7" s="257">
        <v>20.8</v>
      </c>
      <c r="N7" s="219" t="s">
        <v>161</v>
      </c>
      <c r="O7" s="219" t="s">
        <v>162</v>
      </c>
      <c r="P7" s="219" t="s">
        <v>675</v>
      </c>
      <c r="Q7" s="169"/>
      <c r="S7" s="277"/>
      <c r="T7" s="277"/>
      <c r="U7" s="169"/>
      <c r="V7" s="218"/>
      <c r="W7" s="218"/>
      <c r="X7" s="218"/>
      <c r="Y7" s="169"/>
      <c r="Z7" s="169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</row>
    <row r="8" spans="1:46" x14ac:dyDescent="0.3">
      <c r="A8" s="169"/>
      <c r="B8" s="219">
        <v>2016</v>
      </c>
      <c r="C8" s="238" t="s">
        <v>111</v>
      </c>
      <c r="D8" s="45">
        <v>1</v>
      </c>
      <c r="E8" s="241"/>
      <c r="F8" s="255"/>
      <c r="G8" s="280">
        <f>SUM(G6:G7)</f>
        <v>80.800000000000011</v>
      </c>
      <c r="H8" s="280">
        <f>SUM(H6:H7)</f>
        <v>451.92</v>
      </c>
      <c r="I8" s="276"/>
      <c r="J8" s="276"/>
      <c r="K8" s="276"/>
      <c r="L8" s="255"/>
      <c r="M8" s="257"/>
      <c r="N8" s="219" t="s">
        <v>161</v>
      </c>
      <c r="O8" s="219" t="s">
        <v>162</v>
      </c>
      <c r="P8" s="219" t="s">
        <v>675</v>
      </c>
      <c r="Q8" s="280" t="s">
        <v>165</v>
      </c>
      <c r="R8" s="277">
        <f>H8-G8</f>
        <v>371.12</v>
      </c>
      <c r="S8" s="277">
        <f t="shared" ref="S8" si="0">10*R8/7</f>
        <v>530.17142857142858</v>
      </c>
      <c r="T8" s="277">
        <f>R8/7</f>
        <v>53.017142857142858</v>
      </c>
      <c r="U8" s="169"/>
      <c r="V8" s="218"/>
      <c r="W8" s="218"/>
      <c r="X8" s="218"/>
      <c r="Y8" s="169"/>
      <c r="Z8" s="169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</row>
    <row r="9" spans="1:46" x14ac:dyDescent="0.3">
      <c r="A9" s="169"/>
      <c r="B9" s="219">
        <v>2016</v>
      </c>
      <c r="C9" s="238" t="s">
        <v>111</v>
      </c>
      <c r="D9" s="269">
        <v>2</v>
      </c>
      <c r="E9" s="241">
        <v>4</v>
      </c>
      <c r="F9" s="255">
        <v>10</v>
      </c>
      <c r="G9" s="277">
        <f>0.0399*1000</f>
        <v>39.9</v>
      </c>
      <c r="H9" s="277">
        <v>188.23</v>
      </c>
      <c r="I9" s="276">
        <v>42867</v>
      </c>
      <c r="J9" s="276">
        <v>42870</v>
      </c>
      <c r="K9" s="276">
        <v>42870</v>
      </c>
      <c r="L9" s="255">
        <v>38</v>
      </c>
      <c r="M9" s="257">
        <v>20.8</v>
      </c>
      <c r="N9" s="219" t="s">
        <v>161</v>
      </c>
      <c r="O9" s="219" t="s">
        <v>162</v>
      </c>
      <c r="P9" s="219" t="s">
        <v>675</v>
      </c>
      <c r="Q9" s="169"/>
      <c r="R9" s="277">
        <f t="shared" ref="R9:R28" si="1">H9-G9</f>
        <v>148.32999999999998</v>
      </c>
      <c r="S9" s="277">
        <f t="shared" ref="S9:S22" si="2">10*R9/7</f>
        <v>211.89999999999995</v>
      </c>
      <c r="T9" s="277">
        <f t="shared" ref="T9:T22" si="3">R9/7</f>
        <v>21.189999999999998</v>
      </c>
      <c r="U9" s="169"/>
      <c r="V9" s="218"/>
      <c r="W9" s="218"/>
      <c r="X9" s="218"/>
      <c r="Y9" s="169"/>
      <c r="Z9" s="169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</row>
    <row r="10" spans="1:46" x14ac:dyDescent="0.3">
      <c r="A10" s="169"/>
      <c r="B10" s="219">
        <v>2016</v>
      </c>
      <c r="C10" s="238" t="s">
        <v>111</v>
      </c>
      <c r="D10" s="269">
        <v>3</v>
      </c>
      <c r="E10" s="241">
        <v>4</v>
      </c>
      <c r="F10" s="255">
        <v>10</v>
      </c>
      <c r="G10" s="277">
        <f>0.0388*1000</f>
        <v>38.800000000000004</v>
      </c>
      <c r="H10" s="277">
        <f>1105.51-944.02</f>
        <v>161.49</v>
      </c>
      <c r="I10" s="276">
        <v>42867</v>
      </c>
      <c r="J10" s="276">
        <v>42870</v>
      </c>
      <c r="K10" s="276">
        <v>42870</v>
      </c>
      <c r="L10" s="255">
        <v>38</v>
      </c>
      <c r="M10" s="257">
        <v>20.8</v>
      </c>
      <c r="N10" s="219" t="s">
        <v>161</v>
      </c>
      <c r="O10" s="219" t="s">
        <v>162</v>
      </c>
      <c r="P10" s="219" t="s">
        <v>675</v>
      </c>
      <c r="Q10" s="169"/>
      <c r="R10" s="277">
        <f t="shared" si="1"/>
        <v>122.69</v>
      </c>
      <c r="S10" s="277">
        <f t="shared" si="2"/>
        <v>175.27142857142857</v>
      </c>
      <c r="T10" s="277">
        <f t="shared" si="3"/>
        <v>17.527142857142856</v>
      </c>
      <c r="U10" s="169"/>
      <c r="V10" s="218"/>
      <c r="W10" s="218"/>
      <c r="X10" s="218"/>
      <c r="Y10" s="169"/>
      <c r="Z10" s="169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</row>
    <row r="11" spans="1:46" x14ac:dyDescent="0.3">
      <c r="A11" s="169"/>
      <c r="B11" s="219">
        <v>2016</v>
      </c>
      <c r="C11" s="238" t="s">
        <v>111</v>
      </c>
      <c r="D11" s="269">
        <v>4</v>
      </c>
      <c r="E11" s="241">
        <v>4</v>
      </c>
      <c r="F11" s="255">
        <v>10</v>
      </c>
      <c r="G11" s="277">
        <f>0.0403*1000</f>
        <v>40.300000000000004</v>
      </c>
      <c r="H11" s="277">
        <v>196.7</v>
      </c>
      <c r="I11" s="276">
        <v>42867</v>
      </c>
      <c r="J11" s="276">
        <v>42870</v>
      </c>
      <c r="K11" s="276">
        <v>42870</v>
      </c>
      <c r="L11" s="255">
        <v>38</v>
      </c>
      <c r="M11" s="257">
        <v>20.8</v>
      </c>
      <c r="N11" s="219" t="s">
        <v>161</v>
      </c>
      <c r="O11" s="219" t="s">
        <v>162</v>
      </c>
      <c r="P11" s="219" t="s">
        <v>675</v>
      </c>
      <c r="Q11" s="169"/>
      <c r="R11" s="277">
        <f t="shared" si="1"/>
        <v>156.39999999999998</v>
      </c>
      <c r="S11" s="277">
        <f t="shared" si="2"/>
        <v>223.42857142857139</v>
      </c>
      <c r="T11" s="277">
        <f t="shared" si="3"/>
        <v>22.342857142857138</v>
      </c>
      <c r="U11" s="169"/>
      <c r="V11" s="218"/>
      <c r="W11" s="218"/>
      <c r="X11" s="218"/>
      <c r="Y11" s="169"/>
      <c r="Z11" s="169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</row>
    <row r="12" spans="1:46" x14ac:dyDescent="0.3">
      <c r="A12" s="169"/>
      <c r="B12" s="219">
        <v>2016</v>
      </c>
      <c r="C12" s="238" t="s">
        <v>111</v>
      </c>
      <c r="D12" s="269">
        <v>5</v>
      </c>
      <c r="E12" s="241">
        <v>4</v>
      </c>
      <c r="F12" s="255">
        <v>10</v>
      </c>
      <c r="G12" s="277">
        <f>0.0414*1000</f>
        <v>41.4</v>
      </c>
      <c r="H12" s="277">
        <v>279.41000000000003</v>
      </c>
      <c r="I12" s="276">
        <v>42867</v>
      </c>
      <c r="J12" s="276">
        <v>42870</v>
      </c>
      <c r="K12" s="276">
        <v>42870</v>
      </c>
      <c r="L12" s="255">
        <v>38</v>
      </c>
      <c r="M12" s="257">
        <v>20.8</v>
      </c>
      <c r="N12" s="219" t="s">
        <v>161</v>
      </c>
      <c r="O12" s="219" t="s">
        <v>162</v>
      </c>
      <c r="P12" s="219" t="s">
        <v>675</v>
      </c>
      <c r="Q12" s="169"/>
      <c r="R12" s="277">
        <f t="shared" si="1"/>
        <v>238.01000000000002</v>
      </c>
      <c r="S12" s="277">
        <f t="shared" si="2"/>
        <v>340.01428571428579</v>
      </c>
      <c r="T12" s="277">
        <f t="shared" si="3"/>
        <v>34.001428571428576</v>
      </c>
      <c r="U12" s="169"/>
      <c r="V12" s="218"/>
      <c r="W12" s="218"/>
      <c r="X12" s="218"/>
      <c r="Y12" s="169"/>
      <c r="Z12" s="169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</row>
    <row r="13" spans="1:46" x14ac:dyDescent="0.3">
      <c r="A13" s="169"/>
      <c r="B13" s="219">
        <v>2016</v>
      </c>
      <c r="C13" s="238" t="s">
        <v>111</v>
      </c>
      <c r="D13" s="269">
        <v>6</v>
      </c>
      <c r="E13" s="241">
        <v>4</v>
      </c>
      <c r="F13" s="255">
        <v>10</v>
      </c>
      <c r="G13" s="277">
        <f>0.0411*1000</f>
        <v>41.099999999999994</v>
      </c>
      <c r="H13" s="277">
        <v>87.55</v>
      </c>
      <c r="I13" s="276">
        <v>42870</v>
      </c>
      <c r="J13" s="276">
        <v>42872</v>
      </c>
      <c r="K13" s="276">
        <v>42872</v>
      </c>
      <c r="L13" s="255">
        <v>32</v>
      </c>
      <c r="M13" s="257">
        <v>18.5</v>
      </c>
      <c r="N13" s="219" t="s">
        <v>161</v>
      </c>
      <c r="O13" s="219" t="s">
        <v>162</v>
      </c>
      <c r="P13" s="219" t="s">
        <v>675</v>
      </c>
      <c r="Q13" s="169"/>
      <c r="R13" s="277">
        <f t="shared" si="1"/>
        <v>46.45</v>
      </c>
      <c r="S13" s="277">
        <f t="shared" si="2"/>
        <v>66.357142857142861</v>
      </c>
      <c r="T13" s="277">
        <f t="shared" si="3"/>
        <v>6.6357142857142861</v>
      </c>
      <c r="U13" s="169"/>
      <c r="V13" s="218"/>
      <c r="W13" s="218"/>
      <c r="X13" s="218"/>
      <c r="Y13" s="169"/>
      <c r="Z13" s="169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</row>
    <row r="14" spans="1:46" x14ac:dyDescent="0.3">
      <c r="A14" s="169"/>
      <c r="B14" s="219">
        <v>2016</v>
      </c>
      <c r="C14" s="238" t="s">
        <v>111</v>
      </c>
      <c r="D14" s="269">
        <v>7</v>
      </c>
      <c r="E14" s="241">
        <v>4</v>
      </c>
      <c r="F14" s="255">
        <v>10</v>
      </c>
      <c r="G14" s="277">
        <f>0.0394*1000</f>
        <v>39.4</v>
      </c>
      <c r="H14" s="277">
        <v>49.29</v>
      </c>
      <c r="I14" s="276">
        <v>42870</v>
      </c>
      <c r="J14" s="276">
        <v>42872</v>
      </c>
      <c r="K14" s="276">
        <v>42872</v>
      </c>
      <c r="L14" s="255">
        <v>32</v>
      </c>
      <c r="M14" s="257">
        <v>18.5</v>
      </c>
      <c r="N14" s="219" t="s">
        <v>161</v>
      </c>
      <c r="O14" s="219" t="s">
        <v>162</v>
      </c>
      <c r="P14" s="219" t="s">
        <v>675</v>
      </c>
      <c r="Q14" s="169"/>
      <c r="R14" s="277">
        <f t="shared" si="1"/>
        <v>9.89</v>
      </c>
      <c r="S14" s="277">
        <f t="shared" si="2"/>
        <v>14.12857142857143</v>
      </c>
      <c r="T14" s="277">
        <f t="shared" si="3"/>
        <v>1.412857142857143</v>
      </c>
      <c r="U14" s="169"/>
      <c r="V14" s="218"/>
      <c r="W14" s="218"/>
      <c r="X14" s="218"/>
      <c r="Y14" s="169"/>
      <c r="Z14" s="169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</row>
    <row r="15" spans="1:46" x14ac:dyDescent="0.3">
      <c r="A15" s="169"/>
      <c r="B15" s="219">
        <v>2016</v>
      </c>
      <c r="C15" s="238" t="s">
        <v>111</v>
      </c>
      <c r="D15" s="269">
        <v>8</v>
      </c>
      <c r="E15" s="241">
        <v>4</v>
      </c>
      <c r="F15" s="255">
        <v>10</v>
      </c>
      <c r="G15" s="277">
        <f>0.0405*1000</f>
        <v>40.5</v>
      </c>
      <c r="H15" s="277">
        <v>166.43</v>
      </c>
      <c r="I15" s="276">
        <v>42870</v>
      </c>
      <c r="J15" s="276">
        <v>42872</v>
      </c>
      <c r="K15" s="276">
        <v>42872</v>
      </c>
      <c r="L15" s="255">
        <v>32</v>
      </c>
      <c r="M15" s="257">
        <v>18.5</v>
      </c>
      <c r="N15" s="219" t="s">
        <v>161</v>
      </c>
      <c r="O15" s="219" t="s">
        <v>162</v>
      </c>
      <c r="P15" s="219" t="s">
        <v>675</v>
      </c>
      <c r="Q15" s="169"/>
      <c r="R15" s="277">
        <f t="shared" si="1"/>
        <v>125.93</v>
      </c>
      <c r="S15" s="277">
        <f t="shared" si="2"/>
        <v>179.90000000000003</v>
      </c>
      <c r="T15" s="277">
        <f t="shared" si="3"/>
        <v>17.990000000000002</v>
      </c>
      <c r="U15" s="169"/>
      <c r="V15" s="218"/>
      <c r="W15" s="218"/>
      <c r="X15" s="218"/>
      <c r="Y15" s="169"/>
      <c r="Z15" s="169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</row>
    <row r="16" spans="1:46" x14ac:dyDescent="0.3">
      <c r="A16" s="169"/>
      <c r="B16" s="219">
        <v>2016</v>
      </c>
      <c r="C16" s="238" t="s">
        <v>111</v>
      </c>
      <c r="D16" s="269">
        <v>9</v>
      </c>
      <c r="E16" s="241">
        <v>4</v>
      </c>
      <c r="F16" s="255">
        <v>10</v>
      </c>
      <c r="G16" s="277">
        <f>0.0395*1000</f>
        <v>39.5</v>
      </c>
      <c r="H16" s="277">
        <v>126.63</v>
      </c>
      <c r="I16" s="276">
        <v>42870</v>
      </c>
      <c r="J16" s="276">
        <v>42872</v>
      </c>
      <c r="K16" s="276">
        <v>42872</v>
      </c>
      <c r="L16" s="255">
        <v>32</v>
      </c>
      <c r="M16" s="257">
        <v>18.5</v>
      </c>
      <c r="N16" s="219" t="s">
        <v>161</v>
      </c>
      <c r="O16" s="219" t="s">
        <v>162</v>
      </c>
      <c r="P16" s="219" t="s">
        <v>675</v>
      </c>
      <c r="Q16" s="169"/>
      <c r="R16" s="277">
        <f t="shared" si="1"/>
        <v>87.13</v>
      </c>
      <c r="S16" s="277">
        <f t="shared" si="2"/>
        <v>124.47142857142856</v>
      </c>
      <c r="T16" s="277">
        <f t="shared" si="3"/>
        <v>12.447142857142856</v>
      </c>
      <c r="U16" s="169"/>
      <c r="V16" s="218"/>
      <c r="W16" s="218"/>
      <c r="X16" s="218"/>
      <c r="Y16" s="169"/>
      <c r="Z16" s="169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</row>
    <row r="17" spans="1:46" x14ac:dyDescent="0.3">
      <c r="A17" s="169"/>
      <c r="B17" s="219">
        <v>2016</v>
      </c>
      <c r="C17" s="238" t="s">
        <v>111</v>
      </c>
      <c r="D17" s="269">
        <v>10</v>
      </c>
      <c r="E17" s="241">
        <v>4</v>
      </c>
      <c r="F17" s="255">
        <v>10</v>
      </c>
      <c r="G17" s="277">
        <f>0.0388*1000</f>
        <v>38.800000000000004</v>
      </c>
      <c r="H17" s="277">
        <v>81.19</v>
      </c>
      <c r="I17" s="276">
        <v>42870</v>
      </c>
      <c r="J17" s="276">
        <v>42872</v>
      </c>
      <c r="K17" s="276">
        <v>42872</v>
      </c>
      <c r="L17" s="255">
        <v>32</v>
      </c>
      <c r="M17" s="257">
        <v>18.5</v>
      </c>
      <c r="N17" s="219" t="s">
        <v>161</v>
      </c>
      <c r="O17" s="219" t="s">
        <v>162</v>
      </c>
      <c r="P17" s="219" t="s">
        <v>675</v>
      </c>
      <c r="Q17" s="169"/>
      <c r="R17" s="277">
        <f t="shared" si="1"/>
        <v>42.389999999999993</v>
      </c>
      <c r="S17" s="277">
        <f t="shared" si="2"/>
        <v>60.557142857142843</v>
      </c>
      <c r="T17" s="277">
        <f t="shared" si="3"/>
        <v>6.0557142857142852</v>
      </c>
      <c r="U17" s="169"/>
      <c r="V17" s="218"/>
      <c r="W17" s="218"/>
      <c r="X17" s="218"/>
      <c r="Y17" s="169"/>
      <c r="Z17" s="169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</row>
    <row r="18" spans="1:46" x14ac:dyDescent="0.3">
      <c r="A18" s="169"/>
      <c r="B18" s="219">
        <v>2016</v>
      </c>
      <c r="C18" s="238" t="s">
        <v>111</v>
      </c>
      <c r="D18" s="269">
        <v>11</v>
      </c>
      <c r="E18" s="241">
        <v>4</v>
      </c>
      <c r="F18" s="255">
        <v>10</v>
      </c>
      <c r="G18" s="277">
        <f>0.0405*1000</f>
        <v>40.5</v>
      </c>
      <c r="H18" s="277">
        <v>143.63999999999999</v>
      </c>
      <c r="I18" s="276">
        <v>42870</v>
      </c>
      <c r="J18" s="276">
        <v>42872</v>
      </c>
      <c r="K18" s="276">
        <v>42872</v>
      </c>
      <c r="L18" s="255">
        <v>32</v>
      </c>
      <c r="M18" s="257">
        <v>18.5</v>
      </c>
      <c r="N18" s="219" t="s">
        <v>161</v>
      </c>
      <c r="O18" s="219" t="s">
        <v>162</v>
      </c>
      <c r="P18" s="219" t="s">
        <v>675</v>
      </c>
      <c r="Q18" s="169"/>
      <c r="R18" s="277">
        <f t="shared" si="1"/>
        <v>103.13999999999999</v>
      </c>
      <c r="S18" s="277">
        <f t="shared" si="2"/>
        <v>147.34285714285713</v>
      </c>
      <c r="T18" s="277">
        <f t="shared" si="3"/>
        <v>14.734285714285713</v>
      </c>
      <c r="U18" s="169"/>
      <c r="V18" s="218"/>
      <c r="W18" s="218"/>
      <c r="X18" s="218"/>
      <c r="Y18" s="169"/>
      <c r="Z18" s="169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</row>
    <row r="19" spans="1:46" x14ac:dyDescent="0.3">
      <c r="A19" s="169"/>
      <c r="B19" s="219">
        <v>2016</v>
      </c>
      <c r="C19" s="238" t="s">
        <v>111</v>
      </c>
      <c r="D19" s="269">
        <v>12</v>
      </c>
      <c r="E19" s="241">
        <v>4</v>
      </c>
      <c r="F19" s="255">
        <v>10</v>
      </c>
      <c r="G19" s="277">
        <f>0.0395*1000</f>
        <v>39.5</v>
      </c>
      <c r="H19" s="277">
        <f>996.01-944.02</f>
        <v>51.990000000000009</v>
      </c>
      <c r="I19" s="276">
        <v>42870</v>
      </c>
      <c r="J19" s="276">
        <v>42872</v>
      </c>
      <c r="K19" s="276">
        <v>42872</v>
      </c>
      <c r="L19" s="255">
        <v>32</v>
      </c>
      <c r="M19" s="257">
        <v>18.5</v>
      </c>
      <c r="N19" s="219" t="s">
        <v>161</v>
      </c>
      <c r="O19" s="219" t="s">
        <v>162</v>
      </c>
      <c r="P19" s="219" t="s">
        <v>675</v>
      </c>
      <c r="Q19" s="169"/>
      <c r="R19" s="277">
        <f t="shared" si="1"/>
        <v>12.490000000000009</v>
      </c>
      <c r="S19" s="277">
        <f t="shared" si="2"/>
        <v>17.842857142857156</v>
      </c>
      <c r="T19" s="277">
        <f t="shared" si="3"/>
        <v>1.7842857142857156</v>
      </c>
      <c r="U19" s="169"/>
      <c r="V19" s="218"/>
      <c r="W19" s="218"/>
      <c r="X19" s="218"/>
      <c r="Y19" s="169"/>
      <c r="Z19" s="169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</row>
    <row r="20" spans="1:46" x14ac:dyDescent="0.3">
      <c r="A20" s="169"/>
      <c r="B20" s="219">
        <v>2016</v>
      </c>
      <c r="C20" s="238" t="s">
        <v>111</v>
      </c>
      <c r="D20" s="269">
        <v>13</v>
      </c>
      <c r="E20" s="241">
        <v>4</v>
      </c>
      <c r="F20" s="255">
        <v>10</v>
      </c>
      <c r="G20" s="277">
        <f>0.0393*1000</f>
        <v>39.300000000000004</v>
      </c>
      <c r="H20" s="277">
        <v>49.38</v>
      </c>
      <c r="I20" s="276">
        <v>42870</v>
      </c>
      <c r="J20" s="276">
        <v>42872</v>
      </c>
      <c r="K20" s="276">
        <v>42872</v>
      </c>
      <c r="L20" s="255">
        <v>32</v>
      </c>
      <c r="M20" s="257">
        <v>18.5</v>
      </c>
      <c r="N20" s="219" t="s">
        <v>161</v>
      </c>
      <c r="O20" s="219" t="s">
        <v>162</v>
      </c>
      <c r="P20" s="219" t="s">
        <v>675</v>
      </c>
      <c r="Q20" s="169"/>
      <c r="R20" s="277">
        <f t="shared" si="1"/>
        <v>10.079999999999998</v>
      </c>
      <c r="S20" s="277">
        <f t="shared" si="2"/>
        <v>14.399999999999997</v>
      </c>
      <c r="T20" s="277">
        <f t="shared" si="3"/>
        <v>1.4399999999999997</v>
      </c>
      <c r="U20" s="169"/>
      <c r="V20" s="218"/>
      <c r="W20" s="218"/>
      <c r="X20" s="218"/>
      <c r="Y20" s="169"/>
      <c r="Z20" s="169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</row>
    <row r="21" spans="1:46" x14ac:dyDescent="0.3">
      <c r="A21" s="169"/>
      <c r="B21" s="219">
        <v>2016</v>
      </c>
      <c r="C21" s="238" t="s">
        <v>111</v>
      </c>
      <c r="D21" s="269">
        <v>14</v>
      </c>
      <c r="E21" s="241">
        <v>4</v>
      </c>
      <c r="F21" s="255">
        <v>10</v>
      </c>
      <c r="G21" s="277">
        <f>0.0403*1000</f>
        <v>40.300000000000004</v>
      </c>
      <c r="H21" s="277">
        <v>61.92</v>
      </c>
      <c r="I21" s="276">
        <v>42870</v>
      </c>
      <c r="J21" s="276">
        <v>42872</v>
      </c>
      <c r="K21" s="276">
        <v>42872</v>
      </c>
      <c r="L21" s="255">
        <v>32</v>
      </c>
      <c r="M21" s="257">
        <v>18.5</v>
      </c>
      <c r="N21" s="219" t="s">
        <v>161</v>
      </c>
      <c r="O21" s="219" t="s">
        <v>162</v>
      </c>
      <c r="P21" s="219" t="s">
        <v>675</v>
      </c>
      <c r="Q21" s="169"/>
      <c r="R21" s="277">
        <f t="shared" si="1"/>
        <v>21.619999999999997</v>
      </c>
      <c r="S21" s="277">
        <f t="shared" si="2"/>
        <v>30.885714285714283</v>
      </c>
      <c r="T21" s="277">
        <f t="shared" si="3"/>
        <v>3.0885714285714281</v>
      </c>
      <c r="U21" s="169"/>
      <c r="V21" s="218"/>
      <c r="W21" s="218"/>
      <c r="X21" s="218"/>
      <c r="Y21" s="169"/>
      <c r="Z21" s="169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</row>
    <row r="22" spans="1:46" x14ac:dyDescent="0.3">
      <c r="A22" s="169"/>
      <c r="B22" s="219">
        <v>2016</v>
      </c>
      <c r="C22" s="238" t="s">
        <v>111</v>
      </c>
      <c r="D22" s="269">
        <v>15</v>
      </c>
      <c r="E22" s="241">
        <v>4</v>
      </c>
      <c r="F22" s="255">
        <v>10</v>
      </c>
      <c r="G22" s="277">
        <f>0.0415*1000</f>
        <v>41.5</v>
      </c>
      <c r="H22" s="277">
        <v>51.07</v>
      </c>
      <c r="I22" s="276">
        <v>42870</v>
      </c>
      <c r="J22" s="276">
        <v>42872</v>
      </c>
      <c r="K22" s="276">
        <v>42872</v>
      </c>
      <c r="L22" s="255">
        <v>32</v>
      </c>
      <c r="M22" s="257">
        <v>18.5</v>
      </c>
      <c r="N22" s="219" t="s">
        <v>161</v>
      </c>
      <c r="O22" s="219" t="s">
        <v>162</v>
      </c>
      <c r="P22" s="219" t="s">
        <v>675</v>
      </c>
      <c r="Q22" s="169"/>
      <c r="R22" s="277">
        <f t="shared" si="1"/>
        <v>9.57</v>
      </c>
      <c r="S22" s="277">
        <f t="shared" si="2"/>
        <v>13.671428571428573</v>
      </c>
      <c r="T22" s="277">
        <f t="shared" si="3"/>
        <v>1.3671428571428572</v>
      </c>
      <c r="U22" s="169"/>
      <c r="V22" s="218"/>
      <c r="W22" s="218"/>
      <c r="X22" s="218"/>
      <c r="Y22" s="169"/>
      <c r="Z22" s="169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</row>
    <row r="23" spans="1:46" x14ac:dyDescent="0.3">
      <c r="A23" s="169"/>
      <c r="B23" s="219">
        <v>2016</v>
      </c>
      <c r="C23" s="238" t="s">
        <v>111</v>
      </c>
      <c r="D23" s="269">
        <v>16</v>
      </c>
      <c r="E23" s="241">
        <v>4</v>
      </c>
      <c r="F23" s="255">
        <v>10</v>
      </c>
      <c r="G23" s="277">
        <f>0.0405*1000</f>
        <v>40.5</v>
      </c>
      <c r="H23" s="277">
        <v>45.53</v>
      </c>
      <c r="I23" s="276">
        <v>42870</v>
      </c>
      <c r="J23" s="276">
        <v>42872</v>
      </c>
      <c r="K23" s="276">
        <v>42872</v>
      </c>
      <c r="L23" s="255">
        <v>32</v>
      </c>
      <c r="M23" s="257">
        <v>18.5</v>
      </c>
      <c r="N23" s="219" t="s">
        <v>161</v>
      </c>
      <c r="O23" s="219" t="s">
        <v>162</v>
      </c>
      <c r="P23" s="219" t="s">
        <v>675</v>
      </c>
      <c r="Q23" s="169"/>
      <c r="R23" s="277">
        <f t="shared" si="1"/>
        <v>5.0300000000000011</v>
      </c>
      <c r="S23" s="277">
        <f t="shared" ref="S23:S28" si="4">10*R23/7</f>
        <v>7.1857142857142877</v>
      </c>
      <c r="T23" s="277">
        <f t="shared" ref="T23:T28" si="5">R23/7</f>
        <v>0.71857142857142875</v>
      </c>
      <c r="U23" s="169"/>
      <c r="V23" s="218"/>
      <c r="W23" s="218"/>
      <c r="X23" s="218"/>
      <c r="Y23" s="169"/>
      <c r="Z23" s="169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</row>
    <row r="24" spans="1:46" x14ac:dyDescent="0.3">
      <c r="A24" s="169"/>
      <c r="B24" s="219">
        <v>2016</v>
      </c>
      <c r="C24" s="238" t="s">
        <v>111</v>
      </c>
      <c r="D24" s="269">
        <v>17</v>
      </c>
      <c r="E24" s="241">
        <v>4</v>
      </c>
      <c r="F24" s="255">
        <v>10</v>
      </c>
      <c r="G24" s="277">
        <f>0.039*1000</f>
        <v>39</v>
      </c>
      <c r="H24" s="277">
        <v>42.77</v>
      </c>
      <c r="I24" s="276">
        <v>42870</v>
      </c>
      <c r="J24" s="276">
        <v>42872</v>
      </c>
      <c r="K24" s="276">
        <v>42872</v>
      </c>
      <c r="L24" s="255">
        <v>32</v>
      </c>
      <c r="M24" s="257">
        <v>18.5</v>
      </c>
      <c r="N24" s="219" t="s">
        <v>161</v>
      </c>
      <c r="O24" s="219" t="s">
        <v>162</v>
      </c>
      <c r="P24" s="219" t="s">
        <v>675</v>
      </c>
      <c r="Q24" s="169"/>
      <c r="R24" s="277">
        <f t="shared" si="1"/>
        <v>3.7700000000000031</v>
      </c>
      <c r="S24" s="277">
        <f t="shared" si="4"/>
        <v>5.3857142857142906</v>
      </c>
      <c r="T24" s="277">
        <f t="shared" si="5"/>
        <v>0.53857142857142903</v>
      </c>
      <c r="U24" s="169"/>
      <c r="V24" s="218"/>
      <c r="W24" s="218"/>
      <c r="X24" s="218"/>
      <c r="Y24" s="169"/>
      <c r="Z24" s="169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</row>
    <row r="25" spans="1:46" x14ac:dyDescent="0.3">
      <c r="A25" s="169"/>
      <c r="B25" s="219">
        <v>2016</v>
      </c>
      <c r="C25" s="238" t="s">
        <v>111</v>
      </c>
      <c r="D25" s="269">
        <v>18</v>
      </c>
      <c r="E25" s="241">
        <v>4</v>
      </c>
      <c r="F25" s="255">
        <v>10</v>
      </c>
      <c r="G25" s="277">
        <f>0.0409*1000</f>
        <v>40.9</v>
      </c>
      <c r="H25" s="277">
        <v>42.95</v>
      </c>
      <c r="I25" s="276">
        <v>42870</v>
      </c>
      <c r="J25" s="276">
        <v>42872</v>
      </c>
      <c r="K25" s="276">
        <v>42872</v>
      </c>
      <c r="L25" s="255">
        <v>32</v>
      </c>
      <c r="M25" s="257">
        <v>18.5</v>
      </c>
      <c r="N25" s="219" t="s">
        <v>161</v>
      </c>
      <c r="O25" s="219" t="s">
        <v>162</v>
      </c>
      <c r="P25" s="219" t="s">
        <v>675</v>
      </c>
      <c r="Q25" s="169"/>
      <c r="R25" s="277">
        <f t="shared" si="1"/>
        <v>2.0500000000000043</v>
      </c>
      <c r="S25" s="277">
        <f t="shared" si="4"/>
        <v>2.9285714285714346</v>
      </c>
      <c r="T25" s="277">
        <f t="shared" si="5"/>
        <v>0.29285714285714348</v>
      </c>
      <c r="U25" s="169"/>
      <c r="V25" s="218"/>
      <c r="W25" s="218"/>
      <c r="X25" s="218"/>
      <c r="Y25" s="169"/>
      <c r="Z25" s="169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</row>
    <row r="26" spans="1:46" x14ac:dyDescent="0.3">
      <c r="A26" s="169"/>
      <c r="B26" s="219">
        <v>2016</v>
      </c>
      <c r="C26" s="238" t="s">
        <v>111</v>
      </c>
      <c r="D26" s="269">
        <v>19</v>
      </c>
      <c r="E26" s="241">
        <v>4</v>
      </c>
      <c r="F26" s="255">
        <v>10</v>
      </c>
      <c r="G26" s="277">
        <f>0.0401*1000</f>
        <v>40.099999999999994</v>
      </c>
      <c r="H26" s="277">
        <v>42.78</v>
      </c>
      <c r="I26" s="276">
        <v>42870</v>
      </c>
      <c r="J26" s="276">
        <v>42872</v>
      </c>
      <c r="K26" s="276">
        <v>42872</v>
      </c>
      <c r="L26" s="255">
        <v>32</v>
      </c>
      <c r="M26" s="257">
        <v>18.5</v>
      </c>
      <c r="N26" s="219" t="s">
        <v>161</v>
      </c>
      <c r="O26" s="219" t="s">
        <v>162</v>
      </c>
      <c r="P26" s="219" t="s">
        <v>675</v>
      </c>
      <c r="Q26" s="169"/>
      <c r="R26" s="277">
        <f t="shared" si="1"/>
        <v>2.6800000000000068</v>
      </c>
      <c r="S26" s="277">
        <f t="shared" si="4"/>
        <v>3.8285714285714385</v>
      </c>
      <c r="T26" s="277">
        <f t="shared" si="5"/>
        <v>0.38285714285714384</v>
      </c>
      <c r="U26" s="169"/>
      <c r="V26" s="218"/>
      <c r="W26" s="218"/>
      <c r="X26" s="218"/>
      <c r="Y26" s="169"/>
      <c r="Z26" s="169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</row>
    <row r="27" spans="1:46" x14ac:dyDescent="0.3">
      <c r="A27" s="169"/>
      <c r="B27" s="219">
        <v>2016</v>
      </c>
      <c r="C27" s="238" t="s">
        <v>111</v>
      </c>
      <c r="D27" s="269">
        <v>20</v>
      </c>
      <c r="E27" s="241">
        <v>4</v>
      </c>
      <c r="F27" s="255">
        <v>10</v>
      </c>
      <c r="G27" s="277">
        <f>0.0386*1000</f>
        <v>38.6</v>
      </c>
      <c r="H27" s="277">
        <v>40.15</v>
      </c>
      <c r="I27" s="276">
        <v>42870</v>
      </c>
      <c r="J27" s="276">
        <v>42872</v>
      </c>
      <c r="K27" s="276">
        <v>42872</v>
      </c>
      <c r="L27" s="255">
        <v>32</v>
      </c>
      <c r="M27" s="257">
        <v>18.5</v>
      </c>
      <c r="N27" s="219" t="s">
        <v>161</v>
      </c>
      <c r="O27" s="219" t="s">
        <v>162</v>
      </c>
      <c r="P27" s="219" t="s">
        <v>675</v>
      </c>
      <c r="Q27" s="169"/>
      <c r="R27" s="277">
        <f t="shared" si="1"/>
        <v>1.5499999999999972</v>
      </c>
      <c r="S27" s="277">
        <f t="shared" si="4"/>
        <v>2.2142857142857104</v>
      </c>
      <c r="T27" s="277">
        <f t="shared" si="5"/>
        <v>0.22142857142857103</v>
      </c>
      <c r="U27" s="169"/>
      <c r="V27" s="218"/>
      <c r="W27" s="218"/>
      <c r="X27" s="218"/>
      <c r="Y27" s="169"/>
      <c r="Z27" s="169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</row>
    <row r="28" spans="1:46" x14ac:dyDescent="0.3">
      <c r="A28" s="169"/>
      <c r="B28" s="219">
        <v>2016</v>
      </c>
      <c r="C28" s="238" t="s">
        <v>111</v>
      </c>
      <c r="D28" s="269">
        <v>21</v>
      </c>
      <c r="E28" s="241">
        <v>4</v>
      </c>
      <c r="F28" s="255">
        <v>10</v>
      </c>
      <c r="G28" s="277">
        <f>0.0399*1000</f>
        <v>39.9</v>
      </c>
      <c r="H28" s="277">
        <v>40.97</v>
      </c>
      <c r="I28" s="276">
        <v>42870</v>
      </c>
      <c r="J28" s="276">
        <v>42872</v>
      </c>
      <c r="K28" s="276">
        <v>42872</v>
      </c>
      <c r="L28" s="255">
        <v>32</v>
      </c>
      <c r="M28" s="257">
        <v>18.5</v>
      </c>
      <c r="N28" s="219" t="s">
        <v>161</v>
      </c>
      <c r="O28" s="219" t="s">
        <v>162</v>
      </c>
      <c r="P28" s="219" t="s">
        <v>675</v>
      </c>
      <c r="Q28" s="169"/>
      <c r="R28" s="277">
        <f t="shared" si="1"/>
        <v>1.0700000000000003</v>
      </c>
      <c r="S28" s="277">
        <f t="shared" si="4"/>
        <v>1.5285714285714289</v>
      </c>
      <c r="T28" s="277">
        <f t="shared" si="5"/>
        <v>0.15285714285714289</v>
      </c>
      <c r="U28" s="169"/>
      <c r="V28" s="218"/>
      <c r="W28" s="218"/>
      <c r="X28" s="218"/>
      <c r="Y28" s="169"/>
      <c r="Z28" s="169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</row>
    <row r="29" spans="1:46" x14ac:dyDescent="0.3">
      <c r="A29" s="17"/>
      <c r="B29" s="17"/>
      <c r="C29" s="17"/>
      <c r="D29" s="1"/>
      <c r="E29" s="1"/>
      <c r="F29" s="17"/>
      <c r="G29" s="18"/>
      <c r="I29" s="65"/>
      <c r="J29" s="65"/>
      <c r="K29" s="17"/>
      <c r="L29" s="64"/>
      <c r="M29" s="64"/>
      <c r="N29" s="64"/>
      <c r="O29" s="17"/>
      <c r="P29" s="17"/>
      <c r="Q29" s="17"/>
      <c r="R29" s="18"/>
      <c r="U29" s="17"/>
      <c r="V29" s="36"/>
      <c r="W29" s="36"/>
      <c r="X29" s="36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</row>
    <row r="30" spans="1:46" x14ac:dyDescent="0.3">
      <c r="A30" s="17"/>
      <c r="B30" s="17"/>
      <c r="C30" s="17"/>
      <c r="D30" s="1"/>
      <c r="E30" s="1"/>
      <c r="F30" s="17"/>
      <c r="G30" s="18"/>
      <c r="I30" s="65"/>
      <c r="J30" s="65"/>
      <c r="K30" s="17"/>
      <c r="L30" s="64"/>
      <c r="M30" s="64"/>
      <c r="N30" s="64"/>
      <c r="O30" s="17"/>
      <c r="P30" s="17"/>
      <c r="Q30" s="17"/>
      <c r="R30" s="18"/>
      <c r="U30" s="17"/>
      <c r="V30" s="36"/>
      <c r="W30" s="36"/>
      <c r="X30" s="36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</row>
    <row r="31" spans="1:46" x14ac:dyDescent="0.3">
      <c r="A31" s="169"/>
      <c r="B31" s="269" t="s">
        <v>677</v>
      </c>
      <c r="C31" s="169"/>
      <c r="D31" s="169"/>
      <c r="E31" s="240" t="s">
        <v>685</v>
      </c>
      <c r="F31" s="173"/>
      <c r="G31" s="170"/>
      <c r="H31" s="170"/>
      <c r="I31" s="181"/>
      <c r="J31" s="181"/>
      <c r="K31" s="181"/>
      <c r="L31" s="173"/>
      <c r="M31" s="171"/>
      <c r="N31" s="169"/>
      <c r="O31" s="169"/>
      <c r="P31" s="169"/>
      <c r="Q31" s="169"/>
      <c r="R31" s="170"/>
      <c r="S31" s="170"/>
      <c r="T31" s="170"/>
      <c r="U31" s="169"/>
      <c r="V31" s="218"/>
      <c r="W31" s="218"/>
      <c r="X31" s="218"/>
      <c r="Y31" s="169"/>
      <c r="Z31" s="169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</row>
    <row r="32" spans="1:46" x14ac:dyDescent="0.3">
      <c r="A32" s="169"/>
      <c r="B32" s="219">
        <v>2016</v>
      </c>
      <c r="C32" s="255" t="s">
        <v>109</v>
      </c>
      <c r="D32" s="256" t="s">
        <v>682</v>
      </c>
      <c r="E32" s="284">
        <v>4</v>
      </c>
      <c r="F32" s="279">
        <v>7</v>
      </c>
      <c r="G32" s="277">
        <v>41.32</v>
      </c>
      <c r="H32" s="275">
        <v>119.99</v>
      </c>
      <c r="I32" s="276">
        <v>42877</v>
      </c>
      <c r="J32" s="181"/>
      <c r="K32" s="181"/>
      <c r="L32" s="255">
        <v>42</v>
      </c>
      <c r="M32" s="257">
        <v>20.7</v>
      </c>
      <c r="N32" s="219" t="s">
        <v>161</v>
      </c>
      <c r="O32" s="219" t="s">
        <v>162</v>
      </c>
      <c r="P32" s="219" t="s">
        <v>675</v>
      </c>
      <c r="Q32" s="553" t="s">
        <v>694</v>
      </c>
      <c r="R32" s="277"/>
      <c r="S32" s="277"/>
      <c r="T32" s="277"/>
      <c r="U32" s="169"/>
      <c r="V32" s="218"/>
      <c r="W32" s="218"/>
      <c r="X32" s="218"/>
      <c r="Y32" s="169"/>
      <c r="Z32" s="169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</row>
    <row r="33" spans="1:38" x14ac:dyDescent="0.3">
      <c r="A33" s="169"/>
      <c r="B33" s="219">
        <v>2016</v>
      </c>
      <c r="C33" s="255" t="s">
        <v>109</v>
      </c>
      <c r="D33" s="256" t="s">
        <v>683</v>
      </c>
      <c r="E33" s="284">
        <v>8</v>
      </c>
      <c r="F33" s="279">
        <v>10</v>
      </c>
      <c r="G33" s="277">
        <v>38.83</v>
      </c>
      <c r="H33" s="275">
        <v>117.1</v>
      </c>
      <c r="I33" s="276">
        <v>42877</v>
      </c>
      <c r="J33" s="181"/>
      <c r="K33" s="181"/>
      <c r="L33" s="255">
        <v>38</v>
      </c>
      <c r="M33" s="257">
        <v>21.5</v>
      </c>
      <c r="N33" s="219" t="s">
        <v>161</v>
      </c>
      <c r="O33" s="219" t="s">
        <v>162</v>
      </c>
      <c r="P33" s="219" t="s">
        <v>675</v>
      </c>
      <c r="Q33" s="553"/>
      <c r="R33" s="277"/>
      <c r="S33" s="277"/>
      <c r="T33" s="277"/>
      <c r="U33" s="169"/>
      <c r="V33" s="218"/>
      <c r="W33" s="218"/>
      <c r="X33" s="218"/>
      <c r="Y33" s="169"/>
      <c r="Z33" s="169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</row>
    <row r="34" spans="1:38" ht="96" customHeight="1" x14ac:dyDescent="0.3">
      <c r="A34" s="169"/>
      <c r="B34" s="219">
        <v>2016</v>
      </c>
      <c r="C34" s="255" t="s">
        <v>109</v>
      </c>
      <c r="D34" s="282">
        <v>1</v>
      </c>
      <c r="E34" s="182"/>
      <c r="F34" s="173"/>
      <c r="G34" s="280">
        <f>SUM(G32:G33)</f>
        <v>80.150000000000006</v>
      </c>
      <c r="H34" s="36">
        <f>SUM(H32:H33)</f>
        <v>237.08999999999997</v>
      </c>
      <c r="I34" s="276"/>
      <c r="J34" s="181"/>
      <c r="K34" s="181"/>
      <c r="L34" s="173"/>
      <c r="M34" s="171"/>
      <c r="N34" s="219"/>
      <c r="O34" s="219"/>
      <c r="P34" s="219"/>
      <c r="Q34" s="553"/>
      <c r="R34" s="277">
        <f>H34-G34</f>
        <v>156.93999999999997</v>
      </c>
      <c r="S34" s="283">
        <f>10*(H33-G33)/3</f>
        <v>260.89999999999998</v>
      </c>
      <c r="T34" s="283">
        <f>S34/3</f>
        <v>86.966666666666654</v>
      </c>
      <c r="U34" s="169"/>
      <c r="V34" s="218"/>
      <c r="W34" s="218"/>
      <c r="X34" s="218"/>
      <c r="Y34" s="169"/>
      <c r="Z34" s="169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</row>
    <row r="35" spans="1:38" x14ac:dyDescent="0.3">
      <c r="A35" s="169"/>
      <c r="B35" s="219">
        <v>2016</v>
      </c>
      <c r="C35" s="255" t="s">
        <v>109</v>
      </c>
      <c r="D35" s="219">
        <v>2</v>
      </c>
      <c r="E35" s="241">
        <v>4</v>
      </c>
      <c r="F35" s="255">
        <v>10</v>
      </c>
      <c r="G35" s="277">
        <v>38.93</v>
      </c>
      <c r="H35" s="275">
        <v>221.83</v>
      </c>
      <c r="I35" s="276">
        <v>42877</v>
      </c>
      <c r="J35" s="181"/>
      <c r="K35" s="181"/>
      <c r="L35" s="255">
        <v>39</v>
      </c>
      <c r="M35" s="257">
        <v>20.100000000000001</v>
      </c>
      <c r="N35" s="219" t="s">
        <v>161</v>
      </c>
      <c r="O35" s="219" t="s">
        <v>162</v>
      </c>
      <c r="P35" s="219" t="s">
        <v>675</v>
      </c>
      <c r="Q35" s="169"/>
      <c r="R35" s="277">
        <f t="shared" ref="R35" si="6">H35-G35</f>
        <v>182.9</v>
      </c>
      <c r="S35" s="277">
        <f t="shared" ref="S35" si="7">10*R35/7</f>
        <v>261.28571428571428</v>
      </c>
      <c r="T35" s="277">
        <f t="shared" ref="T35" si="8">R35/7</f>
        <v>26.12857142857143</v>
      </c>
      <c r="U35" s="169"/>
      <c r="V35" s="218"/>
      <c r="W35" s="218"/>
      <c r="X35" s="218"/>
      <c r="Y35" s="169"/>
      <c r="Z35" s="169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</row>
    <row r="36" spans="1:38" x14ac:dyDescent="0.3">
      <c r="A36" s="169"/>
      <c r="B36" s="219">
        <v>2016</v>
      </c>
      <c r="C36" s="255" t="s">
        <v>109</v>
      </c>
      <c r="D36" s="219">
        <v>3</v>
      </c>
      <c r="E36" s="241">
        <v>4</v>
      </c>
      <c r="F36" s="255">
        <v>10</v>
      </c>
      <c r="G36" s="277">
        <v>40.450000000000003</v>
      </c>
      <c r="H36" s="275">
        <v>270.02</v>
      </c>
      <c r="I36" s="276">
        <v>42877</v>
      </c>
      <c r="J36" s="181"/>
      <c r="K36" s="181"/>
      <c r="L36" s="255">
        <v>39</v>
      </c>
      <c r="M36" s="257">
        <v>20.100000000000001</v>
      </c>
      <c r="N36" s="219" t="s">
        <v>161</v>
      </c>
      <c r="O36" s="219" t="s">
        <v>162</v>
      </c>
      <c r="P36" s="219" t="s">
        <v>675</v>
      </c>
      <c r="Q36" s="169"/>
      <c r="R36" s="277">
        <f t="shared" ref="R36:R61" si="9">H36-G36</f>
        <v>229.57</v>
      </c>
      <c r="S36" s="277">
        <f t="shared" ref="S36:S62" si="10">10*R36/7</f>
        <v>327.95714285714286</v>
      </c>
      <c r="T36" s="277">
        <f t="shared" ref="T36:T62" si="11">R36/7</f>
        <v>32.795714285714283</v>
      </c>
      <c r="U36" s="169"/>
      <c r="V36" s="218"/>
      <c r="W36" s="218"/>
      <c r="X36" s="218"/>
      <c r="Y36" s="169"/>
      <c r="Z36" s="169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</row>
    <row r="37" spans="1:38" x14ac:dyDescent="0.3">
      <c r="A37" s="169"/>
      <c r="B37" s="219">
        <v>2016</v>
      </c>
      <c r="C37" s="255" t="s">
        <v>109</v>
      </c>
      <c r="D37" s="219">
        <v>4</v>
      </c>
      <c r="E37" s="241">
        <v>4</v>
      </c>
      <c r="F37" s="255">
        <v>10</v>
      </c>
      <c r="G37" s="277">
        <v>39.880000000000003</v>
      </c>
      <c r="H37" s="275">
        <v>315.67</v>
      </c>
      <c r="I37" s="276">
        <v>42877</v>
      </c>
      <c r="J37" s="181"/>
      <c r="K37" s="181"/>
      <c r="L37" s="255">
        <v>39</v>
      </c>
      <c r="M37" s="257">
        <v>20.100000000000001</v>
      </c>
      <c r="N37" s="219" t="s">
        <v>161</v>
      </c>
      <c r="O37" s="219" t="s">
        <v>162</v>
      </c>
      <c r="P37" s="219" t="s">
        <v>675</v>
      </c>
      <c r="Q37" s="169"/>
      <c r="R37" s="277">
        <f t="shared" si="9"/>
        <v>275.79000000000002</v>
      </c>
      <c r="S37" s="277">
        <f t="shared" si="10"/>
        <v>393.98571428571432</v>
      </c>
      <c r="T37" s="277">
        <f t="shared" si="11"/>
        <v>39.398571428571429</v>
      </c>
      <c r="U37" s="169"/>
      <c r="V37" s="218"/>
      <c r="W37" s="218"/>
      <c r="X37" s="218"/>
      <c r="Y37" s="169"/>
      <c r="Z37" s="169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</row>
    <row r="38" spans="1:38" x14ac:dyDescent="0.3">
      <c r="A38" s="169"/>
      <c r="B38" s="219">
        <v>2016</v>
      </c>
      <c r="C38" s="255" t="s">
        <v>109</v>
      </c>
      <c r="D38" s="219">
        <v>5</v>
      </c>
      <c r="E38" s="241">
        <v>4</v>
      </c>
      <c r="F38" s="255">
        <v>10</v>
      </c>
      <c r="G38" s="277">
        <v>38.68</v>
      </c>
      <c r="H38" s="275">
        <v>413.33</v>
      </c>
      <c r="I38" s="276">
        <v>42877</v>
      </c>
      <c r="J38" s="181"/>
      <c r="K38" s="181"/>
      <c r="L38" s="255">
        <v>39</v>
      </c>
      <c r="M38" s="257">
        <v>20.100000000000001</v>
      </c>
      <c r="N38" s="219" t="s">
        <v>161</v>
      </c>
      <c r="O38" s="219" t="s">
        <v>162</v>
      </c>
      <c r="P38" s="219" t="s">
        <v>675</v>
      </c>
      <c r="Q38" s="169"/>
      <c r="R38" s="277">
        <f t="shared" si="9"/>
        <v>374.65</v>
      </c>
      <c r="S38" s="277">
        <f t="shared" si="10"/>
        <v>535.21428571428567</v>
      </c>
      <c r="T38" s="277">
        <f t="shared" si="11"/>
        <v>53.521428571428565</v>
      </c>
      <c r="U38" s="169"/>
      <c r="V38" s="218"/>
      <c r="W38" s="218"/>
      <c r="X38" s="218"/>
      <c r="Y38" s="169"/>
      <c r="Z38" s="169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</row>
    <row r="39" spans="1:38" x14ac:dyDescent="0.3">
      <c r="A39" s="169"/>
      <c r="B39" s="219">
        <v>2016</v>
      </c>
      <c r="C39" s="255" t="s">
        <v>109</v>
      </c>
      <c r="D39" s="219">
        <v>6</v>
      </c>
      <c r="E39" s="241">
        <v>4</v>
      </c>
      <c r="F39" s="255">
        <v>10</v>
      </c>
      <c r="G39" s="277">
        <v>40.49</v>
      </c>
      <c r="H39" s="275">
        <v>310.17</v>
      </c>
      <c r="I39" s="276">
        <v>42877</v>
      </c>
      <c r="J39" s="181"/>
      <c r="K39" s="181"/>
      <c r="L39" s="255">
        <v>39</v>
      </c>
      <c r="M39" s="257">
        <v>20.100000000000001</v>
      </c>
      <c r="N39" s="219" t="s">
        <v>161</v>
      </c>
      <c r="O39" s="219" t="s">
        <v>162</v>
      </c>
      <c r="P39" s="219" t="s">
        <v>675</v>
      </c>
      <c r="Q39" s="169"/>
      <c r="R39" s="277">
        <f t="shared" si="9"/>
        <v>269.68</v>
      </c>
      <c r="S39" s="277">
        <f t="shared" si="10"/>
        <v>385.25714285714287</v>
      </c>
      <c r="T39" s="277">
        <f t="shared" si="11"/>
        <v>38.525714285714287</v>
      </c>
      <c r="U39" s="169"/>
      <c r="V39" s="218"/>
      <c r="W39" s="218"/>
      <c r="X39" s="218"/>
      <c r="Y39" s="169"/>
      <c r="Z39" s="169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</row>
    <row r="40" spans="1:38" x14ac:dyDescent="0.3">
      <c r="A40" s="169"/>
      <c r="B40" s="219">
        <v>2016</v>
      </c>
      <c r="C40" s="255" t="s">
        <v>109</v>
      </c>
      <c r="D40" s="219">
        <v>7</v>
      </c>
      <c r="E40" s="241">
        <v>4</v>
      </c>
      <c r="F40" s="255">
        <v>10</v>
      </c>
      <c r="G40" s="277">
        <v>39.520000000000003</v>
      </c>
      <c r="H40" s="275">
        <v>225.95</v>
      </c>
      <c r="I40" s="276">
        <v>42877</v>
      </c>
      <c r="J40" s="181"/>
      <c r="K40" s="181"/>
      <c r="L40" s="255">
        <v>39</v>
      </c>
      <c r="M40" s="257">
        <v>20.100000000000001</v>
      </c>
      <c r="N40" s="219" t="s">
        <v>161</v>
      </c>
      <c r="O40" s="219" t="s">
        <v>162</v>
      </c>
      <c r="P40" s="219" t="s">
        <v>675</v>
      </c>
      <c r="Q40" s="169"/>
      <c r="R40" s="277">
        <f t="shared" si="9"/>
        <v>186.42999999999998</v>
      </c>
      <c r="S40" s="277">
        <f t="shared" si="10"/>
        <v>266.32857142857137</v>
      </c>
      <c r="T40" s="277">
        <f t="shared" si="11"/>
        <v>26.632857142857141</v>
      </c>
      <c r="U40" s="169"/>
      <c r="V40" s="218"/>
      <c r="W40" s="218"/>
      <c r="X40" s="218"/>
      <c r="Y40" s="169"/>
      <c r="Z40" s="169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</row>
    <row r="41" spans="1:38" x14ac:dyDescent="0.3">
      <c r="A41" s="169"/>
      <c r="B41" s="219">
        <v>2016</v>
      </c>
      <c r="C41" s="255" t="s">
        <v>109</v>
      </c>
      <c r="D41" s="219">
        <v>8</v>
      </c>
      <c r="E41" s="241">
        <v>4</v>
      </c>
      <c r="F41" s="255">
        <v>10</v>
      </c>
      <c r="G41" s="277">
        <v>39.979999999999997</v>
      </c>
      <c r="H41" s="275">
        <v>288.12</v>
      </c>
      <c r="I41" s="276">
        <v>42877</v>
      </c>
      <c r="J41" s="181"/>
      <c r="K41" s="181"/>
      <c r="L41" s="255">
        <v>39</v>
      </c>
      <c r="M41" s="257">
        <v>20.100000000000001</v>
      </c>
      <c r="N41" s="219" t="s">
        <v>161</v>
      </c>
      <c r="O41" s="219" t="s">
        <v>162</v>
      </c>
      <c r="P41" s="219" t="s">
        <v>675</v>
      </c>
      <c r="Q41" s="169"/>
      <c r="R41" s="277">
        <f t="shared" si="9"/>
        <v>248.14000000000001</v>
      </c>
      <c r="S41" s="277">
        <f t="shared" si="10"/>
        <v>354.48571428571432</v>
      </c>
      <c r="T41" s="277">
        <f t="shared" si="11"/>
        <v>35.448571428571434</v>
      </c>
      <c r="U41" s="169"/>
      <c r="V41" s="218"/>
      <c r="W41" s="218"/>
      <c r="X41" s="218"/>
      <c r="Y41" s="169"/>
      <c r="Z41" s="169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</row>
    <row r="42" spans="1:38" x14ac:dyDescent="0.3">
      <c r="A42" s="169"/>
      <c r="B42" s="219">
        <v>2016</v>
      </c>
      <c r="C42" s="255" t="s">
        <v>109</v>
      </c>
      <c r="D42" s="219">
        <v>9</v>
      </c>
      <c r="E42" s="241">
        <v>4</v>
      </c>
      <c r="F42" s="255">
        <v>10</v>
      </c>
      <c r="G42" s="277">
        <v>40.07</v>
      </c>
      <c r="H42" s="275">
        <v>206.74</v>
      </c>
      <c r="I42" s="276">
        <v>42877</v>
      </c>
      <c r="J42" s="181"/>
      <c r="K42" s="181"/>
      <c r="L42" s="255">
        <v>39</v>
      </c>
      <c r="M42" s="257">
        <v>20.100000000000001</v>
      </c>
      <c r="N42" s="219" t="s">
        <v>161</v>
      </c>
      <c r="O42" s="219" t="s">
        <v>162</v>
      </c>
      <c r="P42" s="219" t="s">
        <v>675</v>
      </c>
      <c r="Q42" s="169"/>
      <c r="R42" s="277">
        <f t="shared" si="9"/>
        <v>166.67000000000002</v>
      </c>
      <c r="S42" s="277">
        <f t="shared" si="10"/>
        <v>238.10000000000005</v>
      </c>
      <c r="T42" s="277">
        <f t="shared" si="11"/>
        <v>23.810000000000002</v>
      </c>
      <c r="U42" s="169"/>
      <c r="V42" s="218"/>
      <c r="W42" s="218"/>
      <c r="X42" s="218"/>
      <c r="Y42" s="169"/>
      <c r="Z42" s="169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</row>
    <row r="43" spans="1:38" x14ac:dyDescent="0.3">
      <c r="A43" s="169"/>
      <c r="B43" s="219">
        <v>2016</v>
      </c>
      <c r="C43" s="255" t="s">
        <v>109</v>
      </c>
      <c r="D43" s="219">
        <v>10</v>
      </c>
      <c r="E43" s="241">
        <v>4</v>
      </c>
      <c r="F43" s="255">
        <v>10</v>
      </c>
      <c r="G43" s="277">
        <v>41.37</v>
      </c>
      <c r="H43" s="275">
        <v>284.95999999999998</v>
      </c>
      <c r="I43" s="276">
        <v>42877</v>
      </c>
      <c r="J43" s="181"/>
      <c r="K43" s="181"/>
      <c r="L43" s="255">
        <v>39</v>
      </c>
      <c r="M43" s="257">
        <v>20.100000000000001</v>
      </c>
      <c r="N43" s="219" t="s">
        <v>161</v>
      </c>
      <c r="O43" s="219" t="s">
        <v>162</v>
      </c>
      <c r="P43" s="219" t="s">
        <v>675</v>
      </c>
      <c r="Q43" s="169"/>
      <c r="R43" s="277">
        <f t="shared" si="9"/>
        <v>243.58999999999997</v>
      </c>
      <c r="S43" s="277">
        <f t="shared" si="10"/>
        <v>347.98571428571421</v>
      </c>
      <c r="T43" s="277">
        <f t="shared" si="11"/>
        <v>34.798571428571428</v>
      </c>
      <c r="U43" s="169"/>
      <c r="V43" s="218"/>
      <c r="W43" s="218"/>
      <c r="X43" s="218"/>
      <c r="Y43" s="169"/>
      <c r="Z43" s="169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</row>
    <row r="44" spans="1:38" x14ac:dyDescent="0.3">
      <c r="A44" s="169"/>
      <c r="B44" s="219">
        <v>2016</v>
      </c>
      <c r="C44" s="255" t="s">
        <v>109</v>
      </c>
      <c r="D44" s="219">
        <v>11</v>
      </c>
      <c r="E44" s="241">
        <v>4</v>
      </c>
      <c r="F44" s="255">
        <v>10</v>
      </c>
      <c r="G44" s="277">
        <v>41.2</v>
      </c>
      <c r="H44" s="275">
        <v>257.54000000000002</v>
      </c>
      <c r="I44" s="276">
        <v>42877</v>
      </c>
      <c r="J44" s="181"/>
      <c r="K44" s="181"/>
      <c r="L44" s="255">
        <v>39</v>
      </c>
      <c r="M44" s="257">
        <v>20.100000000000001</v>
      </c>
      <c r="N44" s="219" t="s">
        <v>161</v>
      </c>
      <c r="O44" s="219" t="s">
        <v>162</v>
      </c>
      <c r="P44" s="219" t="s">
        <v>675</v>
      </c>
      <c r="Q44" s="169"/>
      <c r="R44" s="277">
        <f t="shared" si="9"/>
        <v>216.34000000000003</v>
      </c>
      <c r="S44" s="277">
        <f t="shared" si="10"/>
        <v>309.05714285714294</v>
      </c>
      <c r="T44" s="277">
        <f t="shared" si="11"/>
        <v>30.905714285714289</v>
      </c>
      <c r="U44" s="169"/>
      <c r="V44" s="218"/>
      <c r="W44" s="218"/>
      <c r="X44" s="218"/>
      <c r="Y44" s="169"/>
      <c r="Z44" s="169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</row>
    <row r="45" spans="1:38" x14ac:dyDescent="0.3">
      <c r="A45" s="169"/>
      <c r="B45" s="219">
        <v>2016</v>
      </c>
      <c r="C45" s="255" t="s">
        <v>109</v>
      </c>
      <c r="D45" s="219">
        <v>12</v>
      </c>
      <c r="E45" s="241">
        <v>4</v>
      </c>
      <c r="F45" s="255">
        <v>10</v>
      </c>
      <c r="G45" s="277">
        <v>38.909999999999997</v>
      </c>
      <c r="H45" s="275">
        <v>293.69</v>
      </c>
      <c r="I45" s="276">
        <v>42877</v>
      </c>
      <c r="J45" s="181"/>
      <c r="K45" s="181"/>
      <c r="L45" s="255">
        <v>39</v>
      </c>
      <c r="M45" s="257">
        <v>20.100000000000001</v>
      </c>
      <c r="N45" s="219" t="s">
        <v>161</v>
      </c>
      <c r="O45" s="219" t="s">
        <v>162</v>
      </c>
      <c r="P45" s="219" t="s">
        <v>675</v>
      </c>
      <c r="Q45" s="169"/>
      <c r="R45" s="277">
        <f t="shared" si="9"/>
        <v>254.78</v>
      </c>
      <c r="S45" s="277">
        <f t="shared" si="10"/>
        <v>363.97142857142859</v>
      </c>
      <c r="T45" s="277">
        <f t="shared" si="11"/>
        <v>36.39714285714286</v>
      </c>
      <c r="U45" s="169"/>
      <c r="V45" s="218"/>
      <c r="W45" s="218"/>
      <c r="X45" s="218"/>
      <c r="Y45" s="169"/>
      <c r="Z45" s="169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</row>
    <row r="46" spans="1:38" x14ac:dyDescent="0.3">
      <c r="A46" s="169"/>
      <c r="B46" s="219">
        <v>2016</v>
      </c>
      <c r="C46" s="255" t="s">
        <v>109</v>
      </c>
      <c r="D46" s="219">
        <v>13</v>
      </c>
      <c r="E46" s="241">
        <v>4</v>
      </c>
      <c r="F46" s="255">
        <v>10</v>
      </c>
      <c r="G46" s="277">
        <v>40.86</v>
      </c>
      <c r="H46" s="275">
        <v>403.44</v>
      </c>
      <c r="I46" s="276">
        <v>42877</v>
      </c>
      <c r="J46" s="181"/>
      <c r="K46" s="181"/>
      <c r="L46" s="255">
        <v>39</v>
      </c>
      <c r="M46" s="257">
        <v>20.100000000000001</v>
      </c>
      <c r="N46" s="219" t="s">
        <v>161</v>
      </c>
      <c r="O46" s="219" t="s">
        <v>162</v>
      </c>
      <c r="P46" s="219" t="s">
        <v>675</v>
      </c>
      <c r="Q46" s="169"/>
      <c r="R46" s="277">
        <f t="shared" si="9"/>
        <v>362.58</v>
      </c>
      <c r="S46" s="277">
        <f t="shared" si="10"/>
        <v>517.97142857142853</v>
      </c>
      <c r="T46" s="277">
        <f t="shared" si="11"/>
        <v>51.797142857142852</v>
      </c>
      <c r="U46" s="169"/>
      <c r="V46" s="218"/>
      <c r="W46" s="218"/>
      <c r="X46" s="218"/>
      <c r="Y46" s="169"/>
      <c r="Z46" s="169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</row>
    <row r="47" spans="1:38" x14ac:dyDescent="0.3">
      <c r="A47" s="169"/>
      <c r="B47" s="219">
        <v>2016</v>
      </c>
      <c r="C47" s="255" t="s">
        <v>109</v>
      </c>
      <c r="D47" s="219">
        <v>14</v>
      </c>
      <c r="E47" s="241">
        <v>4</v>
      </c>
      <c r="F47" s="255">
        <v>10</v>
      </c>
      <c r="G47" s="277">
        <v>40.44</v>
      </c>
      <c r="H47" s="275">
        <v>547.84</v>
      </c>
      <c r="I47" s="276">
        <v>42877</v>
      </c>
      <c r="J47" s="181"/>
      <c r="K47" s="181"/>
      <c r="L47" s="255">
        <v>39</v>
      </c>
      <c r="M47" s="257">
        <v>20.100000000000001</v>
      </c>
      <c r="N47" s="219" t="s">
        <v>161</v>
      </c>
      <c r="O47" s="219" t="s">
        <v>162</v>
      </c>
      <c r="P47" s="219" t="s">
        <v>675</v>
      </c>
      <c r="Q47" s="169"/>
      <c r="R47" s="277">
        <f t="shared" si="9"/>
        <v>507.40000000000003</v>
      </c>
      <c r="S47" s="277">
        <f t="shared" si="10"/>
        <v>724.85714285714289</v>
      </c>
      <c r="T47" s="277">
        <f t="shared" si="11"/>
        <v>72.485714285714295</v>
      </c>
      <c r="U47" s="169"/>
      <c r="V47" s="218"/>
      <c r="W47" s="218"/>
      <c r="X47" s="218"/>
      <c r="Y47" s="169"/>
      <c r="Z47" s="169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</row>
    <row r="48" spans="1:38" x14ac:dyDescent="0.3">
      <c r="A48" s="169"/>
      <c r="B48" s="219">
        <v>2016</v>
      </c>
      <c r="C48" s="255" t="s">
        <v>109</v>
      </c>
      <c r="D48" s="219" t="s">
        <v>686</v>
      </c>
      <c r="E48" s="145">
        <v>4</v>
      </c>
      <c r="F48" s="34">
        <v>7</v>
      </c>
      <c r="G48" s="277">
        <v>38.72</v>
      </c>
      <c r="H48" s="275">
        <v>523.28</v>
      </c>
      <c r="I48" s="276">
        <v>42878</v>
      </c>
      <c r="J48" s="181"/>
      <c r="K48" s="181"/>
      <c r="L48" s="255">
        <v>39</v>
      </c>
      <c r="M48" s="257">
        <v>20.100000000000001</v>
      </c>
      <c r="N48" s="219" t="s">
        <v>161</v>
      </c>
      <c r="O48" s="219" t="s">
        <v>162</v>
      </c>
      <c r="P48" s="219" t="s">
        <v>675</v>
      </c>
      <c r="Q48" s="169"/>
      <c r="R48" s="277"/>
      <c r="S48" s="277"/>
      <c r="T48" s="277"/>
      <c r="U48" s="169"/>
      <c r="V48" s="218"/>
      <c r="W48" s="218"/>
      <c r="X48" s="218"/>
      <c r="Y48" s="169"/>
      <c r="Z48" s="169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</row>
    <row r="49" spans="1:46" x14ac:dyDescent="0.3">
      <c r="A49" s="169"/>
      <c r="B49" s="219">
        <v>2016</v>
      </c>
      <c r="C49" s="255" t="s">
        <v>109</v>
      </c>
      <c r="D49" s="219" t="s">
        <v>687</v>
      </c>
      <c r="E49" s="145">
        <v>8</v>
      </c>
      <c r="F49" s="34">
        <v>10</v>
      </c>
      <c r="G49" s="277">
        <v>40.31</v>
      </c>
      <c r="H49" s="275">
        <v>403.21</v>
      </c>
      <c r="I49" s="276">
        <v>42878</v>
      </c>
      <c r="J49" s="181"/>
      <c r="K49" s="181"/>
      <c r="L49" s="255">
        <v>39</v>
      </c>
      <c r="M49" s="257">
        <v>20.100000000000001</v>
      </c>
      <c r="N49" s="219" t="s">
        <v>161</v>
      </c>
      <c r="O49" s="219" t="s">
        <v>162</v>
      </c>
      <c r="P49" s="219" t="s">
        <v>675</v>
      </c>
      <c r="Q49" s="169"/>
      <c r="R49" s="277"/>
      <c r="S49" s="277"/>
      <c r="T49" s="277"/>
      <c r="U49" s="169"/>
      <c r="V49" s="218"/>
      <c r="W49" s="218"/>
      <c r="X49" s="218"/>
      <c r="Y49" s="169"/>
      <c r="Z49" s="169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</row>
    <row r="50" spans="1:46" x14ac:dyDescent="0.3">
      <c r="A50" s="169"/>
      <c r="B50" s="219">
        <v>2016</v>
      </c>
      <c r="C50" s="255" t="s">
        <v>109</v>
      </c>
      <c r="D50" s="221">
        <v>15</v>
      </c>
      <c r="E50" s="240"/>
      <c r="F50" s="238"/>
      <c r="G50" s="280">
        <f>SUM(G48:G49)</f>
        <v>79.03</v>
      </c>
      <c r="H50" s="36">
        <f>SUM(H48:H49)</f>
        <v>926.49</v>
      </c>
      <c r="I50" s="276"/>
      <c r="J50" s="181"/>
      <c r="K50" s="181"/>
      <c r="L50" s="255"/>
      <c r="M50" s="257"/>
      <c r="N50" s="219" t="s">
        <v>161</v>
      </c>
      <c r="O50" s="219" t="s">
        <v>162</v>
      </c>
      <c r="P50" s="219" t="s">
        <v>675</v>
      </c>
      <c r="Q50" s="169"/>
      <c r="R50" s="277">
        <f>H50-G50</f>
        <v>847.46</v>
      </c>
      <c r="S50" s="277">
        <f>10*R50/7</f>
        <v>1210.6571428571428</v>
      </c>
      <c r="T50" s="277">
        <f>R50/7</f>
        <v>121.06571428571429</v>
      </c>
      <c r="U50" s="169"/>
      <c r="V50" s="218"/>
      <c r="W50" s="218"/>
      <c r="X50" s="218"/>
      <c r="Y50" s="169"/>
      <c r="Z50" s="169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</row>
    <row r="51" spans="1:46" x14ac:dyDescent="0.3">
      <c r="A51" s="169"/>
      <c r="B51" s="219">
        <v>2016</v>
      </c>
      <c r="C51" s="255" t="s">
        <v>109</v>
      </c>
      <c r="D51" s="219" t="s">
        <v>688</v>
      </c>
      <c r="E51" s="145">
        <v>4</v>
      </c>
      <c r="F51" s="34">
        <v>7</v>
      </c>
      <c r="G51" s="277">
        <v>39.96</v>
      </c>
      <c r="H51" s="275">
        <v>569.62</v>
      </c>
      <c r="I51" s="276">
        <v>42878</v>
      </c>
      <c r="J51" s="181"/>
      <c r="K51" s="181"/>
      <c r="L51" s="255">
        <v>39</v>
      </c>
      <c r="M51" s="257">
        <v>20.100000000000001</v>
      </c>
      <c r="N51" s="219" t="s">
        <v>161</v>
      </c>
      <c r="O51" s="219" t="s">
        <v>162</v>
      </c>
      <c r="P51" s="219" t="s">
        <v>675</v>
      </c>
      <c r="Q51" s="169"/>
      <c r="R51" s="277"/>
      <c r="S51" s="277"/>
      <c r="T51" s="277"/>
      <c r="U51" s="169"/>
      <c r="V51" s="218"/>
      <c r="W51" s="218"/>
      <c r="X51" s="218"/>
      <c r="Y51" s="169"/>
      <c r="Z51" s="169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</row>
    <row r="52" spans="1:46" x14ac:dyDescent="0.3">
      <c r="A52" s="169"/>
      <c r="B52" s="219">
        <v>2016</v>
      </c>
      <c r="C52" s="255" t="s">
        <v>109</v>
      </c>
      <c r="D52" s="219" t="s">
        <v>689</v>
      </c>
      <c r="E52" s="145">
        <v>8</v>
      </c>
      <c r="F52" s="34">
        <v>10</v>
      </c>
      <c r="G52" s="277">
        <v>40.450000000000003</v>
      </c>
      <c r="H52" s="275">
        <v>466.67</v>
      </c>
      <c r="I52" s="276">
        <v>42878</v>
      </c>
      <c r="J52" s="181"/>
      <c r="K52" s="181"/>
      <c r="L52" s="255">
        <v>39</v>
      </c>
      <c r="M52" s="257">
        <v>20.100000000000001</v>
      </c>
      <c r="N52" s="219" t="s">
        <v>161</v>
      </c>
      <c r="O52" s="219" t="s">
        <v>162</v>
      </c>
      <c r="P52" s="219" t="s">
        <v>675</v>
      </c>
      <c r="Q52" s="169"/>
      <c r="R52" s="277"/>
      <c r="S52" s="277"/>
      <c r="T52" s="277"/>
      <c r="U52" s="169"/>
      <c r="V52" s="218"/>
      <c r="W52" s="218"/>
      <c r="X52" s="218"/>
      <c r="Y52" s="169"/>
      <c r="Z52" s="169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</row>
    <row r="53" spans="1:46" x14ac:dyDescent="0.3">
      <c r="A53" s="169"/>
      <c r="B53" s="219">
        <v>2016</v>
      </c>
      <c r="C53" s="255" t="s">
        <v>109</v>
      </c>
      <c r="D53" s="221">
        <v>16</v>
      </c>
      <c r="E53" s="240"/>
      <c r="F53" s="238"/>
      <c r="G53" s="280">
        <f>SUM(G51:G52)</f>
        <v>80.41</v>
      </c>
      <c r="H53" s="36">
        <f>SUM(H51:H52)</f>
        <v>1036.29</v>
      </c>
      <c r="I53" s="276"/>
      <c r="J53" s="181"/>
      <c r="K53" s="181"/>
      <c r="L53" s="255"/>
      <c r="M53" s="257"/>
      <c r="N53" s="219" t="s">
        <v>161</v>
      </c>
      <c r="O53" s="219" t="s">
        <v>162</v>
      </c>
      <c r="P53" s="219" t="s">
        <v>675</v>
      </c>
      <c r="Q53" s="169"/>
      <c r="R53" s="277">
        <f>H53-G53</f>
        <v>955.88</v>
      </c>
      <c r="S53" s="277">
        <f t="shared" ref="S53" si="12">10*R53/7</f>
        <v>1365.542857142857</v>
      </c>
      <c r="T53" s="277">
        <f>R53/7</f>
        <v>136.55428571428573</v>
      </c>
      <c r="U53" s="169"/>
      <c r="V53" s="218"/>
      <c r="W53" s="218"/>
      <c r="X53" s="218"/>
      <c r="Y53" s="169"/>
      <c r="Z53" s="169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</row>
    <row r="54" spans="1:46" x14ac:dyDescent="0.3">
      <c r="A54" s="169"/>
      <c r="B54" s="219">
        <v>2016</v>
      </c>
      <c r="C54" s="255" t="s">
        <v>109</v>
      </c>
      <c r="D54" s="219" t="s">
        <v>690</v>
      </c>
      <c r="E54" s="145">
        <v>4</v>
      </c>
      <c r="F54" s="34">
        <v>7</v>
      </c>
      <c r="G54" s="277">
        <v>39.17</v>
      </c>
      <c r="H54" s="275">
        <v>679.63</v>
      </c>
      <c r="I54" s="276">
        <v>42878</v>
      </c>
      <c r="J54" s="181"/>
      <c r="K54" s="181"/>
      <c r="L54" s="255">
        <v>39</v>
      </c>
      <c r="M54" s="257">
        <v>20.100000000000001</v>
      </c>
      <c r="N54" s="219" t="s">
        <v>161</v>
      </c>
      <c r="O54" s="219" t="s">
        <v>162</v>
      </c>
      <c r="P54" s="219" t="s">
        <v>675</v>
      </c>
      <c r="Q54" s="169"/>
      <c r="R54" s="277"/>
      <c r="S54" s="277"/>
      <c r="T54" s="277"/>
      <c r="U54" s="169"/>
      <c r="V54" s="218"/>
      <c r="W54" s="218"/>
      <c r="X54" s="218"/>
      <c r="Y54" s="169"/>
      <c r="Z54" s="169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</row>
    <row r="55" spans="1:46" x14ac:dyDescent="0.3">
      <c r="A55" s="169"/>
      <c r="B55" s="219">
        <v>2016</v>
      </c>
      <c r="C55" s="255" t="s">
        <v>109</v>
      </c>
      <c r="D55" s="219" t="s">
        <v>691</v>
      </c>
      <c r="E55" s="145">
        <v>8</v>
      </c>
      <c r="F55" s="34">
        <v>10</v>
      </c>
      <c r="G55" s="277">
        <v>39.340000000000003</v>
      </c>
      <c r="H55" s="275">
        <v>507.72</v>
      </c>
      <c r="I55" s="276">
        <v>42878</v>
      </c>
      <c r="J55" s="181"/>
      <c r="K55" s="181"/>
      <c r="L55" s="255">
        <v>39</v>
      </c>
      <c r="M55" s="257">
        <v>20.100000000000001</v>
      </c>
      <c r="N55" s="219" t="s">
        <v>161</v>
      </c>
      <c r="O55" s="219" t="s">
        <v>162</v>
      </c>
      <c r="P55" s="219" t="s">
        <v>675</v>
      </c>
      <c r="Q55" s="169"/>
      <c r="R55" s="277"/>
      <c r="S55" s="277"/>
      <c r="T55" s="277"/>
      <c r="U55" s="169"/>
      <c r="V55" s="218"/>
      <c r="W55" s="218"/>
      <c r="X55" s="218"/>
      <c r="Y55" s="169"/>
      <c r="Z55" s="169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</row>
    <row r="56" spans="1:46" x14ac:dyDescent="0.3">
      <c r="A56" s="169"/>
      <c r="B56" s="219">
        <v>2016</v>
      </c>
      <c r="C56" s="255" t="s">
        <v>109</v>
      </c>
      <c r="D56" s="221">
        <v>17</v>
      </c>
      <c r="E56" s="240"/>
      <c r="F56" s="238"/>
      <c r="G56" s="280">
        <f>SUM(G54:G55)</f>
        <v>78.510000000000005</v>
      </c>
      <c r="H56" s="36">
        <f>SUM(H54:H55)</f>
        <v>1187.3499999999999</v>
      </c>
      <c r="I56" s="276"/>
      <c r="J56" s="181"/>
      <c r="K56" s="181"/>
      <c r="L56" s="255"/>
      <c r="M56" s="257"/>
      <c r="N56" s="219" t="s">
        <v>161</v>
      </c>
      <c r="O56" s="219" t="s">
        <v>162</v>
      </c>
      <c r="P56" s="219" t="s">
        <v>675</v>
      </c>
      <c r="Q56" s="169"/>
      <c r="R56" s="277">
        <f>H56-G56</f>
        <v>1108.8399999999999</v>
      </c>
      <c r="S56" s="277">
        <f t="shared" ref="S56" si="13">10*R56/7</f>
        <v>1584.0571428571427</v>
      </c>
      <c r="T56" s="277">
        <f>R56/7</f>
        <v>158.40571428571428</v>
      </c>
      <c r="U56" s="169"/>
      <c r="V56" s="218"/>
      <c r="W56" s="218"/>
      <c r="X56" s="218"/>
      <c r="Y56" s="169"/>
      <c r="Z56" s="169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</row>
    <row r="57" spans="1:46" x14ac:dyDescent="0.3">
      <c r="A57" s="169"/>
      <c r="B57" s="219">
        <v>2016</v>
      </c>
      <c r="C57" s="255" t="s">
        <v>109</v>
      </c>
      <c r="D57" s="219" t="s">
        <v>692</v>
      </c>
      <c r="E57" s="145">
        <v>4</v>
      </c>
      <c r="F57" s="34">
        <v>6</v>
      </c>
      <c r="G57" s="277">
        <v>39.659999999999997</v>
      </c>
      <c r="H57" s="275">
        <v>243.56</v>
      </c>
      <c r="I57" s="276">
        <v>42878</v>
      </c>
      <c r="J57" s="181"/>
      <c r="K57" s="181"/>
      <c r="L57" s="255">
        <v>39</v>
      </c>
      <c r="M57" s="257">
        <v>20.100000000000001</v>
      </c>
      <c r="N57" s="219" t="s">
        <v>161</v>
      </c>
      <c r="O57" s="219" t="s">
        <v>162</v>
      </c>
      <c r="P57" s="219" t="s">
        <v>675</v>
      </c>
      <c r="Q57" s="169"/>
      <c r="R57" s="277"/>
      <c r="S57" s="277"/>
      <c r="T57" s="277"/>
      <c r="U57" s="169"/>
      <c r="V57" s="218"/>
      <c r="W57" s="218"/>
      <c r="X57" s="218"/>
      <c r="Y57" s="169"/>
      <c r="Z57" s="169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</row>
    <row r="58" spans="1:46" x14ac:dyDescent="0.3">
      <c r="A58" s="169"/>
      <c r="B58" s="219">
        <v>2016</v>
      </c>
      <c r="C58" s="255" t="s">
        <v>109</v>
      </c>
      <c r="D58" s="219" t="s">
        <v>693</v>
      </c>
      <c r="E58" s="145">
        <v>7</v>
      </c>
      <c r="F58" s="34">
        <v>10</v>
      </c>
      <c r="G58" s="277">
        <v>40.06</v>
      </c>
      <c r="H58" s="275">
        <v>335.73</v>
      </c>
      <c r="I58" s="276">
        <v>42878</v>
      </c>
      <c r="J58" s="181"/>
      <c r="K58" s="181"/>
      <c r="L58" s="255">
        <v>39</v>
      </c>
      <c r="M58" s="257">
        <v>20.100000000000001</v>
      </c>
      <c r="N58" s="219" t="s">
        <v>161</v>
      </c>
      <c r="O58" s="219" t="s">
        <v>162</v>
      </c>
      <c r="P58" s="219" t="s">
        <v>675</v>
      </c>
      <c r="Q58" s="169"/>
      <c r="R58" s="277"/>
      <c r="S58" s="277"/>
      <c r="T58" s="277"/>
      <c r="U58" s="169"/>
      <c r="V58" s="218"/>
      <c r="W58" s="218"/>
      <c r="X58" s="218"/>
      <c r="Y58" s="169"/>
      <c r="Z58" s="169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</row>
    <row r="59" spans="1:46" x14ac:dyDescent="0.3">
      <c r="A59" s="169"/>
      <c r="B59" s="219">
        <v>2016</v>
      </c>
      <c r="C59" s="255" t="s">
        <v>109</v>
      </c>
      <c r="D59" s="221">
        <v>18</v>
      </c>
      <c r="E59" s="240"/>
      <c r="F59" s="238"/>
      <c r="G59" s="280">
        <f>SUM(G57:G58)</f>
        <v>79.72</v>
      </c>
      <c r="H59" s="36">
        <f>SUM(H57:H58)</f>
        <v>579.29</v>
      </c>
      <c r="I59" s="276"/>
      <c r="J59" s="181"/>
      <c r="K59" s="181"/>
      <c r="L59" s="255"/>
      <c r="M59" s="257"/>
      <c r="N59" s="219" t="s">
        <v>161</v>
      </c>
      <c r="O59" s="219" t="s">
        <v>162</v>
      </c>
      <c r="P59" s="219" t="s">
        <v>675</v>
      </c>
      <c r="Q59" s="169"/>
      <c r="R59" s="277">
        <f>H59-G59</f>
        <v>499.56999999999994</v>
      </c>
      <c r="S59" s="277">
        <f t="shared" ref="S59" si="14">10*R59/7</f>
        <v>713.67142857142846</v>
      </c>
      <c r="T59" s="277">
        <f>R59/7</f>
        <v>71.367142857142852</v>
      </c>
      <c r="U59" s="169"/>
      <c r="V59" s="218"/>
      <c r="W59" s="218"/>
      <c r="X59" s="218"/>
      <c r="Y59" s="169"/>
      <c r="Z59" s="169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</row>
    <row r="60" spans="1:46" x14ac:dyDescent="0.3">
      <c r="A60" s="169"/>
      <c r="B60" s="219">
        <v>2016</v>
      </c>
      <c r="C60" s="255" t="s">
        <v>109</v>
      </c>
      <c r="D60" s="219">
        <v>19</v>
      </c>
      <c r="E60" s="241">
        <v>4</v>
      </c>
      <c r="F60" s="255">
        <v>10</v>
      </c>
      <c r="G60" s="277">
        <v>40.04</v>
      </c>
      <c r="H60" s="275">
        <v>44.6</v>
      </c>
      <c r="I60" s="276">
        <v>42877</v>
      </c>
      <c r="J60" s="181"/>
      <c r="K60" s="181"/>
      <c r="L60" s="255">
        <v>39</v>
      </c>
      <c r="M60" s="257">
        <v>20.100000000000001</v>
      </c>
      <c r="N60" s="219" t="s">
        <v>161</v>
      </c>
      <c r="O60" s="219" t="s">
        <v>162</v>
      </c>
      <c r="P60" s="219" t="s">
        <v>675</v>
      </c>
      <c r="Q60" s="169"/>
      <c r="R60" s="277">
        <f t="shared" si="9"/>
        <v>4.5600000000000023</v>
      </c>
      <c r="S60" s="277">
        <f t="shared" si="10"/>
        <v>6.5142857142857178</v>
      </c>
      <c r="T60" s="277">
        <f t="shared" si="11"/>
        <v>0.6514285714285718</v>
      </c>
      <c r="U60" s="169"/>
      <c r="V60" s="218"/>
      <c r="W60" s="218"/>
      <c r="X60" s="218"/>
      <c r="Y60" s="169"/>
      <c r="Z60" s="169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</row>
    <row r="61" spans="1:46" ht="12.75" customHeight="1" x14ac:dyDescent="0.3">
      <c r="A61" s="169"/>
      <c r="B61" s="219">
        <v>2016</v>
      </c>
      <c r="C61" s="255" t="s">
        <v>109</v>
      </c>
      <c r="D61" s="219">
        <v>20</v>
      </c>
      <c r="E61" s="241">
        <v>4</v>
      </c>
      <c r="F61" s="255">
        <v>10</v>
      </c>
      <c r="G61" s="277">
        <v>41.24</v>
      </c>
      <c r="H61" s="275">
        <v>42.81</v>
      </c>
      <c r="I61" s="276">
        <v>42877</v>
      </c>
      <c r="J61" s="181"/>
      <c r="K61" s="181"/>
      <c r="L61" s="255">
        <v>39</v>
      </c>
      <c r="M61" s="257">
        <v>20.100000000000001</v>
      </c>
      <c r="N61" s="219" t="s">
        <v>161</v>
      </c>
      <c r="O61" s="219" t="s">
        <v>162</v>
      </c>
      <c r="P61" s="219" t="s">
        <v>675</v>
      </c>
      <c r="Q61" s="169"/>
      <c r="R61" s="277">
        <f t="shared" si="9"/>
        <v>1.5700000000000003</v>
      </c>
      <c r="S61" s="277">
        <f t="shared" si="10"/>
        <v>2.2428571428571433</v>
      </c>
      <c r="T61" s="277">
        <f t="shared" si="11"/>
        <v>0.22428571428571434</v>
      </c>
      <c r="U61" s="169"/>
      <c r="V61" s="218"/>
      <c r="W61" s="218"/>
      <c r="X61" s="218"/>
      <c r="Y61" s="169"/>
      <c r="Z61" s="169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</row>
    <row r="62" spans="1:46" x14ac:dyDescent="0.3">
      <c r="A62" s="169"/>
      <c r="B62" s="219">
        <v>2016</v>
      </c>
      <c r="C62" s="255" t="s">
        <v>109</v>
      </c>
      <c r="D62" s="219">
        <v>21</v>
      </c>
      <c r="E62" s="241">
        <v>4</v>
      </c>
      <c r="F62" s="255">
        <v>10</v>
      </c>
      <c r="G62" s="277">
        <v>41.51</v>
      </c>
      <c r="H62" s="275">
        <v>42.57</v>
      </c>
      <c r="I62" s="276">
        <v>42877</v>
      </c>
      <c r="J62" s="181"/>
      <c r="K62" s="181"/>
      <c r="L62" s="255">
        <v>39</v>
      </c>
      <c r="M62" s="257">
        <v>20.100000000000001</v>
      </c>
      <c r="N62" s="219" t="s">
        <v>161</v>
      </c>
      <c r="O62" s="219" t="s">
        <v>162</v>
      </c>
      <c r="P62" s="219" t="s">
        <v>675</v>
      </c>
      <c r="Q62" s="169"/>
      <c r="R62" s="277">
        <f>(H62-G62)+(H143-G143)</f>
        <v>1.0600000000000023</v>
      </c>
      <c r="S62" s="277">
        <f t="shared" si="10"/>
        <v>1.5142857142857176</v>
      </c>
      <c r="T62" s="277">
        <f t="shared" si="11"/>
        <v>0.15142857142857175</v>
      </c>
      <c r="U62" s="169"/>
      <c r="V62" s="218"/>
      <c r="W62" s="218"/>
      <c r="X62" s="218"/>
      <c r="Y62" s="169"/>
      <c r="Z62" s="169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</row>
    <row r="63" spans="1:46" x14ac:dyDescent="0.3">
      <c r="A63" s="17"/>
      <c r="B63" s="17"/>
      <c r="C63" s="17"/>
      <c r="D63" s="1"/>
      <c r="E63" s="1"/>
      <c r="F63" s="17"/>
      <c r="G63" s="18"/>
      <c r="I63" s="65"/>
      <c r="J63" s="65"/>
      <c r="K63" s="17"/>
      <c r="L63" s="64"/>
      <c r="M63" s="64"/>
      <c r="N63" s="64"/>
      <c r="O63" s="17"/>
      <c r="P63" s="17"/>
      <c r="Q63" s="17"/>
      <c r="R63" s="18"/>
      <c r="U63" s="17"/>
      <c r="V63" s="36"/>
      <c r="W63" s="36"/>
      <c r="X63" s="36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</row>
    <row r="64" spans="1:46" x14ac:dyDescent="0.3">
      <c r="A64" s="17"/>
      <c r="B64" s="17"/>
      <c r="C64" s="17"/>
      <c r="D64" s="1"/>
      <c r="E64" s="1"/>
      <c r="F64" s="17"/>
      <c r="G64" s="18"/>
      <c r="I64" s="65"/>
      <c r="J64" s="65"/>
      <c r="K64" s="17"/>
      <c r="L64" s="64"/>
      <c r="M64" s="64"/>
      <c r="N64" s="64"/>
      <c r="O64" s="17"/>
      <c r="P64" s="17"/>
      <c r="Q64" s="17"/>
      <c r="R64" s="18"/>
      <c r="U64" s="17"/>
      <c r="V64" s="36"/>
      <c r="W64" s="36"/>
      <c r="X64" s="36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</row>
    <row r="65" spans="1:46" x14ac:dyDescent="0.3">
      <c r="A65" s="169"/>
      <c r="B65" s="269" t="s">
        <v>677</v>
      </c>
      <c r="C65" s="169"/>
      <c r="D65" s="169"/>
      <c r="E65" s="240" t="s">
        <v>679</v>
      </c>
      <c r="F65" s="173"/>
      <c r="G65" s="170"/>
      <c r="H65" s="170"/>
      <c r="I65" s="181"/>
      <c r="J65" s="181"/>
      <c r="K65" s="169"/>
      <c r="L65" s="171"/>
      <c r="M65" s="171"/>
      <c r="N65" s="171"/>
      <c r="O65" s="169"/>
      <c r="P65" s="169"/>
      <c r="Q65" s="169"/>
      <c r="R65" s="170"/>
      <c r="S65" s="170"/>
      <c r="T65" s="170"/>
      <c r="U65" s="169"/>
      <c r="V65" s="218"/>
      <c r="W65" s="218"/>
      <c r="X65" s="218"/>
      <c r="Y65" s="169"/>
      <c r="Z65" s="169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</row>
    <row r="66" spans="1:46" x14ac:dyDescent="0.3">
      <c r="A66" s="169"/>
      <c r="B66" s="219">
        <v>2016</v>
      </c>
      <c r="C66" s="219" t="s">
        <v>110</v>
      </c>
      <c r="D66" s="255">
        <v>1</v>
      </c>
      <c r="E66" s="255">
        <v>4</v>
      </c>
      <c r="F66" s="219">
        <v>10</v>
      </c>
      <c r="G66" s="277">
        <f>0.0402*1000</f>
        <v>40.200000000000003</v>
      </c>
      <c r="H66" s="277">
        <v>356.11</v>
      </c>
      <c r="I66" s="276">
        <v>42865</v>
      </c>
      <c r="J66" s="276">
        <v>42866</v>
      </c>
      <c r="K66" s="276">
        <v>42867</v>
      </c>
      <c r="L66" s="255">
        <v>33</v>
      </c>
      <c r="M66" s="257">
        <v>20.6</v>
      </c>
      <c r="N66" s="219" t="s">
        <v>161</v>
      </c>
      <c r="O66" s="219" t="s">
        <v>162</v>
      </c>
      <c r="P66" s="219" t="s">
        <v>675</v>
      </c>
      <c r="Q66" s="169"/>
      <c r="R66" s="277">
        <f>H66-G66</f>
        <v>315.91000000000003</v>
      </c>
      <c r="S66" s="277">
        <f>10*R66/7</f>
        <v>451.30000000000007</v>
      </c>
      <c r="T66" s="277">
        <f>R66/7</f>
        <v>45.13</v>
      </c>
      <c r="U66" s="169"/>
      <c r="V66" s="221">
        <v>41.46</v>
      </c>
      <c r="W66" s="280">
        <f>V66-G66</f>
        <v>1.259999999999998</v>
      </c>
      <c r="X66" s="221">
        <f>(W66/R66)*100</f>
        <v>0.39884777309993286</v>
      </c>
      <c r="Y66" s="169"/>
      <c r="Z66" s="169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</row>
    <row r="67" spans="1:46" x14ac:dyDescent="0.3">
      <c r="A67" s="169"/>
      <c r="B67" s="219">
        <v>2016</v>
      </c>
      <c r="C67" s="219" t="s">
        <v>110</v>
      </c>
      <c r="D67" s="255">
        <v>2</v>
      </c>
      <c r="E67" s="255">
        <v>4</v>
      </c>
      <c r="F67" s="219">
        <v>10</v>
      </c>
      <c r="G67" s="277">
        <f>0.0391*1000</f>
        <v>39.1</v>
      </c>
      <c r="H67" s="277">
        <v>427.26</v>
      </c>
      <c r="I67" s="276">
        <v>42865</v>
      </c>
      <c r="J67" s="276">
        <v>42866</v>
      </c>
      <c r="K67" s="276">
        <v>42867</v>
      </c>
      <c r="L67" s="255">
        <v>33</v>
      </c>
      <c r="M67" s="257">
        <v>20.6</v>
      </c>
      <c r="N67" s="219" t="s">
        <v>161</v>
      </c>
      <c r="O67" s="219" t="s">
        <v>162</v>
      </c>
      <c r="P67" s="219" t="s">
        <v>675</v>
      </c>
      <c r="Q67" s="169"/>
      <c r="R67" s="277">
        <f t="shared" ref="R67:R84" si="15">H67-G67</f>
        <v>388.15999999999997</v>
      </c>
      <c r="S67" s="277">
        <f t="shared" ref="S67:S84" si="16">10*R67/7</f>
        <v>554.51428571428562</v>
      </c>
      <c r="T67" s="277">
        <f t="shared" ref="T67:T84" si="17">R67/7</f>
        <v>55.451428571428565</v>
      </c>
      <c r="U67" s="169"/>
      <c r="V67" s="221">
        <v>40.200000000000003</v>
      </c>
      <c r="W67" s="280">
        <f t="shared" ref="W67:W77" si="18">V67-G67</f>
        <v>1.1000000000000014</v>
      </c>
      <c r="X67" s="221">
        <f t="shared" ref="X67:X75" si="19">(W67/R67)*100</f>
        <v>0.28338829348722216</v>
      </c>
      <c r="Y67" s="169"/>
      <c r="Z67" s="169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</row>
    <row r="68" spans="1:46" x14ac:dyDescent="0.3">
      <c r="A68" s="169"/>
      <c r="B68" s="219">
        <v>2016</v>
      </c>
      <c r="C68" s="219" t="s">
        <v>110</v>
      </c>
      <c r="D68" s="255">
        <v>3</v>
      </c>
      <c r="E68" s="255">
        <v>4</v>
      </c>
      <c r="F68" s="219">
        <v>10</v>
      </c>
      <c r="G68" s="277">
        <f>0.0398*1000</f>
        <v>39.800000000000004</v>
      </c>
      <c r="H68" s="277">
        <v>536.9</v>
      </c>
      <c r="I68" s="276">
        <v>42865</v>
      </c>
      <c r="J68" s="276">
        <v>42866</v>
      </c>
      <c r="K68" s="276">
        <v>42867</v>
      </c>
      <c r="L68" s="255">
        <v>33</v>
      </c>
      <c r="M68" s="257">
        <v>20.6</v>
      </c>
      <c r="N68" s="219" t="s">
        <v>161</v>
      </c>
      <c r="O68" s="219" t="s">
        <v>162</v>
      </c>
      <c r="P68" s="219" t="s">
        <v>675</v>
      </c>
      <c r="Q68" s="169"/>
      <c r="R68" s="277">
        <f t="shared" si="15"/>
        <v>497.09999999999997</v>
      </c>
      <c r="S68" s="277">
        <f t="shared" si="16"/>
        <v>710.14285714285711</v>
      </c>
      <c r="T68" s="277">
        <f t="shared" si="17"/>
        <v>71.014285714285705</v>
      </c>
      <c r="U68" s="169"/>
      <c r="V68" s="221">
        <v>40.75</v>
      </c>
      <c r="W68" s="280">
        <f t="shared" si="18"/>
        <v>0.94999999999999574</v>
      </c>
      <c r="X68" s="221">
        <f t="shared" si="19"/>
        <v>0.19110842888754692</v>
      </c>
      <c r="Y68" s="169"/>
      <c r="Z68" s="169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</row>
    <row r="69" spans="1:46" x14ac:dyDescent="0.3">
      <c r="A69" s="169"/>
      <c r="B69" s="219">
        <v>2016</v>
      </c>
      <c r="C69" s="219" t="s">
        <v>110</v>
      </c>
      <c r="D69" s="255">
        <v>4</v>
      </c>
      <c r="E69" s="255">
        <v>4</v>
      </c>
      <c r="F69" s="219">
        <v>10</v>
      </c>
      <c r="G69" s="277">
        <f>0.0415*1000</f>
        <v>41.5</v>
      </c>
      <c r="H69" s="277">
        <v>490.89</v>
      </c>
      <c r="I69" s="276">
        <v>42865</v>
      </c>
      <c r="J69" s="276">
        <v>42866</v>
      </c>
      <c r="K69" s="276">
        <v>42867</v>
      </c>
      <c r="L69" s="255">
        <v>33</v>
      </c>
      <c r="M69" s="257">
        <v>20.6</v>
      </c>
      <c r="N69" s="219" t="s">
        <v>161</v>
      </c>
      <c r="O69" s="219" t="s">
        <v>162</v>
      </c>
      <c r="P69" s="219" t="s">
        <v>675</v>
      </c>
      <c r="Q69" s="169"/>
      <c r="R69" s="277">
        <f t="shared" si="15"/>
        <v>449.39</v>
      </c>
      <c r="S69" s="277">
        <f t="shared" si="16"/>
        <v>641.98571428571427</v>
      </c>
      <c r="T69" s="277">
        <f t="shared" si="17"/>
        <v>64.198571428571427</v>
      </c>
      <c r="U69" s="169"/>
      <c r="V69" s="221">
        <v>42.21</v>
      </c>
      <c r="W69" s="280">
        <f t="shared" si="18"/>
        <v>0.71000000000000085</v>
      </c>
      <c r="X69" s="221">
        <f t="shared" si="19"/>
        <v>0.15799194463606242</v>
      </c>
      <c r="Y69" s="169"/>
      <c r="Z69" s="169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</row>
    <row r="70" spans="1:46" x14ac:dyDescent="0.3">
      <c r="A70" s="169"/>
      <c r="B70" s="219">
        <v>2016</v>
      </c>
      <c r="C70" s="219" t="s">
        <v>110</v>
      </c>
      <c r="D70" s="255">
        <v>5</v>
      </c>
      <c r="E70" s="255">
        <v>4</v>
      </c>
      <c r="F70" s="219">
        <v>10</v>
      </c>
      <c r="G70" s="277">
        <f>0.0398*1000</f>
        <v>39.800000000000004</v>
      </c>
      <c r="H70" s="277">
        <v>418.17</v>
      </c>
      <c r="I70" s="276">
        <v>42865</v>
      </c>
      <c r="J70" s="276">
        <v>42866</v>
      </c>
      <c r="K70" s="276">
        <v>42867</v>
      </c>
      <c r="L70" s="255">
        <v>33</v>
      </c>
      <c r="M70" s="257">
        <v>20.6</v>
      </c>
      <c r="N70" s="219" t="s">
        <v>161</v>
      </c>
      <c r="O70" s="219" t="s">
        <v>162</v>
      </c>
      <c r="P70" s="219" t="s">
        <v>675</v>
      </c>
      <c r="Q70" s="169"/>
      <c r="R70" s="277">
        <f t="shared" si="15"/>
        <v>378.37</v>
      </c>
      <c r="S70" s="277">
        <f t="shared" si="16"/>
        <v>540.52857142857135</v>
      </c>
      <c r="T70" s="277">
        <f t="shared" si="17"/>
        <v>54.052857142857142</v>
      </c>
      <c r="U70" s="169"/>
      <c r="V70" s="221">
        <v>40.89</v>
      </c>
      <c r="W70" s="280">
        <f t="shared" si="18"/>
        <v>1.0899999999999963</v>
      </c>
      <c r="X70" s="221">
        <f t="shared" si="19"/>
        <v>0.28807780743716371</v>
      </c>
      <c r="Y70" s="169"/>
      <c r="Z70" s="169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</row>
    <row r="71" spans="1:46" x14ac:dyDescent="0.3">
      <c r="A71" s="169"/>
      <c r="B71" s="219">
        <v>2016</v>
      </c>
      <c r="C71" s="219" t="s">
        <v>110</v>
      </c>
      <c r="D71" s="255">
        <v>6</v>
      </c>
      <c r="E71" s="255">
        <v>4</v>
      </c>
      <c r="F71" s="219">
        <v>10</v>
      </c>
      <c r="G71" s="277">
        <f>0.0391*1000</f>
        <v>39.1</v>
      </c>
      <c r="H71" s="277">
        <v>344.71</v>
      </c>
      <c r="I71" s="276">
        <v>42866</v>
      </c>
      <c r="J71" s="276">
        <v>42867</v>
      </c>
      <c r="K71" s="276">
        <v>42870</v>
      </c>
      <c r="L71" s="255">
        <v>39</v>
      </c>
      <c r="M71" s="257">
        <v>20.399999999999999</v>
      </c>
      <c r="N71" s="219" t="s">
        <v>161</v>
      </c>
      <c r="O71" s="219" t="s">
        <v>162</v>
      </c>
      <c r="P71" s="219" t="s">
        <v>675</v>
      </c>
      <c r="Q71" s="169"/>
      <c r="R71" s="277">
        <f t="shared" si="15"/>
        <v>305.60999999999996</v>
      </c>
      <c r="S71" s="277">
        <f t="shared" si="16"/>
        <v>436.58571428571423</v>
      </c>
      <c r="T71" s="277">
        <f t="shared" si="17"/>
        <v>43.65857142857142</v>
      </c>
      <c r="U71" s="169"/>
      <c r="V71" s="221">
        <v>39.97</v>
      </c>
      <c r="W71" s="280">
        <f t="shared" si="18"/>
        <v>0.86999999999999744</v>
      </c>
      <c r="X71" s="221">
        <f t="shared" si="19"/>
        <v>0.28467654854225893</v>
      </c>
      <c r="Y71" s="169"/>
      <c r="Z71" s="169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</row>
    <row r="72" spans="1:46" x14ac:dyDescent="0.3">
      <c r="A72" s="169"/>
      <c r="B72" s="219">
        <v>2016</v>
      </c>
      <c r="C72" s="219" t="s">
        <v>110</v>
      </c>
      <c r="D72" s="255">
        <v>7</v>
      </c>
      <c r="E72" s="255">
        <v>4</v>
      </c>
      <c r="F72" s="219">
        <v>10</v>
      </c>
      <c r="G72" s="277">
        <f>0.0415*1000</f>
        <v>41.5</v>
      </c>
      <c r="H72" s="277">
        <f>1287.53-943.97</f>
        <v>343.55999999999995</v>
      </c>
      <c r="I72" s="276">
        <v>42866</v>
      </c>
      <c r="J72" s="276">
        <v>42867</v>
      </c>
      <c r="K72" s="276">
        <v>42870</v>
      </c>
      <c r="L72" s="255">
        <v>39</v>
      </c>
      <c r="M72" s="257">
        <v>20.399999999999999</v>
      </c>
      <c r="N72" s="219" t="s">
        <v>161</v>
      </c>
      <c r="O72" s="219" t="s">
        <v>162</v>
      </c>
      <c r="P72" s="219" t="s">
        <v>675</v>
      </c>
      <c r="Q72" s="169"/>
      <c r="R72" s="277">
        <f t="shared" si="15"/>
        <v>302.05999999999995</v>
      </c>
      <c r="S72" s="277">
        <f t="shared" si="16"/>
        <v>431.51428571428562</v>
      </c>
      <c r="T72" s="277">
        <f t="shared" si="17"/>
        <v>43.151428571428561</v>
      </c>
      <c r="U72" s="169"/>
      <c r="V72" s="221">
        <v>43.15</v>
      </c>
      <c r="W72" s="280">
        <f t="shared" si="18"/>
        <v>1.6499999999999986</v>
      </c>
      <c r="X72" s="221">
        <f t="shared" si="19"/>
        <v>0.5462490895848503</v>
      </c>
      <c r="Y72" s="169"/>
      <c r="Z72" s="169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</row>
    <row r="73" spans="1:46" x14ac:dyDescent="0.3">
      <c r="A73" s="169"/>
      <c r="B73" s="219">
        <v>2016</v>
      </c>
      <c r="C73" s="219" t="s">
        <v>110</v>
      </c>
      <c r="D73" s="255">
        <v>8</v>
      </c>
      <c r="E73" s="255">
        <v>4</v>
      </c>
      <c r="F73" s="219">
        <v>10</v>
      </c>
      <c r="G73" s="277">
        <f>0.0418*1000</f>
        <v>41.8</v>
      </c>
      <c r="H73" s="277">
        <v>386.59</v>
      </c>
      <c r="I73" s="276">
        <v>42866</v>
      </c>
      <c r="J73" s="276">
        <v>42867</v>
      </c>
      <c r="K73" s="276">
        <v>42870</v>
      </c>
      <c r="L73" s="255">
        <v>39</v>
      </c>
      <c r="M73" s="257">
        <v>20.399999999999999</v>
      </c>
      <c r="N73" s="219" t="s">
        <v>161</v>
      </c>
      <c r="O73" s="219" t="s">
        <v>162</v>
      </c>
      <c r="P73" s="219" t="s">
        <v>675</v>
      </c>
      <c r="Q73" s="169"/>
      <c r="R73" s="277">
        <f t="shared" si="15"/>
        <v>344.78999999999996</v>
      </c>
      <c r="S73" s="277">
        <f t="shared" si="16"/>
        <v>492.55714285714282</v>
      </c>
      <c r="T73" s="277">
        <f t="shared" si="17"/>
        <v>49.255714285714284</v>
      </c>
      <c r="U73" s="169"/>
      <c r="V73" s="221">
        <v>42.95</v>
      </c>
      <c r="W73" s="280">
        <f t="shared" si="18"/>
        <v>1.1500000000000057</v>
      </c>
      <c r="X73" s="221">
        <f t="shared" si="19"/>
        <v>0.33353635546274712</v>
      </c>
      <c r="Y73" s="169"/>
      <c r="Z73" s="169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</row>
    <row r="74" spans="1:46" x14ac:dyDescent="0.3">
      <c r="A74" s="169"/>
      <c r="B74" s="219">
        <v>2016</v>
      </c>
      <c r="C74" s="219" t="s">
        <v>110</v>
      </c>
      <c r="D74" s="255">
        <v>9</v>
      </c>
      <c r="E74" s="255">
        <v>4</v>
      </c>
      <c r="F74" s="219">
        <v>10</v>
      </c>
      <c r="G74" s="277">
        <f>0.0405*1000</f>
        <v>40.5</v>
      </c>
      <c r="H74" s="277">
        <v>433.63</v>
      </c>
      <c r="I74" s="276">
        <v>42866</v>
      </c>
      <c r="J74" s="276">
        <v>42867</v>
      </c>
      <c r="K74" s="276">
        <v>42870</v>
      </c>
      <c r="L74" s="255">
        <v>39</v>
      </c>
      <c r="M74" s="257">
        <v>20.399999999999999</v>
      </c>
      <c r="N74" s="219" t="s">
        <v>161</v>
      </c>
      <c r="O74" s="219" t="s">
        <v>162</v>
      </c>
      <c r="P74" s="219" t="s">
        <v>675</v>
      </c>
      <c r="Q74" s="169"/>
      <c r="R74" s="277">
        <f t="shared" si="15"/>
        <v>393.13</v>
      </c>
      <c r="S74" s="277">
        <f t="shared" si="16"/>
        <v>561.61428571428576</v>
      </c>
      <c r="T74" s="277">
        <f t="shared" si="17"/>
        <v>56.161428571428573</v>
      </c>
      <c r="U74" s="169"/>
      <c r="V74" s="221">
        <v>41.74</v>
      </c>
      <c r="W74" s="280">
        <f t="shared" si="18"/>
        <v>1.240000000000002</v>
      </c>
      <c r="X74" s="221">
        <f t="shared" si="19"/>
        <v>0.31541729198992752</v>
      </c>
      <c r="Y74" s="169"/>
      <c r="Z74" s="169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</row>
    <row r="75" spans="1:46" x14ac:dyDescent="0.3">
      <c r="A75" s="169"/>
      <c r="B75" s="219">
        <v>2016</v>
      </c>
      <c r="C75" s="219" t="s">
        <v>110</v>
      </c>
      <c r="D75" s="255">
        <v>10</v>
      </c>
      <c r="E75" s="255">
        <v>4</v>
      </c>
      <c r="F75" s="219">
        <v>10</v>
      </c>
      <c r="G75" s="277">
        <f>0.0403*1000</f>
        <v>40.300000000000004</v>
      </c>
      <c r="H75" s="277">
        <f>2044.29-943.99</f>
        <v>1100.3</v>
      </c>
      <c r="I75" s="276">
        <v>42866</v>
      </c>
      <c r="J75" s="276">
        <v>42867</v>
      </c>
      <c r="K75" s="276">
        <v>42870</v>
      </c>
      <c r="L75" s="255">
        <v>39</v>
      </c>
      <c r="M75" s="257">
        <v>20.399999999999999</v>
      </c>
      <c r="N75" s="219" t="s">
        <v>161</v>
      </c>
      <c r="O75" s="219" t="s">
        <v>162</v>
      </c>
      <c r="P75" s="219" t="s">
        <v>675</v>
      </c>
      <c r="Q75" s="169"/>
      <c r="R75" s="277">
        <f t="shared" si="15"/>
        <v>1060</v>
      </c>
      <c r="S75" s="277">
        <f t="shared" si="16"/>
        <v>1514.2857142857142</v>
      </c>
      <c r="T75" s="277">
        <f t="shared" si="17"/>
        <v>151.42857142857142</v>
      </c>
      <c r="U75" s="169"/>
      <c r="V75" s="221">
        <v>41.42</v>
      </c>
      <c r="W75" s="280">
        <f t="shared" si="18"/>
        <v>1.1199999999999974</v>
      </c>
      <c r="X75" s="221">
        <f t="shared" si="19"/>
        <v>0.10566037735849033</v>
      </c>
      <c r="Y75" s="169"/>
      <c r="Z75" s="169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</row>
    <row r="76" spans="1:46" x14ac:dyDescent="0.3">
      <c r="A76" s="169"/>
      <c r="B76" s="219">
        <v>2016</v>
      </c>
      <c r="C76" s="219" t="s">
        <v>110</v>
      </c>
      <c r="D76" s="255" t="s">
        <v>671</v>
      </c>
      <c r="E76" s="255">
        <v>4</v>
      </c>
      <c r="F76" s="219">
        <v>6</v>
      </c>
      <c r="G76" s="277">
        <f>0.0387*1000</f>
        <v>38.699999999999996</v>
      </c>
      <c r="H76" s="277">
        <v>563.62</v>
      </c>
      <c r="I76" s="276">
        <v>42866</v>
      </c>
      <c r="J76" s="276">
        <v>42867</v>
      </c>
      <c r="K76" s="276">
        <v>42870</v>
      </c>
      <c r="L76" s="255">
        <v>39</v>
      </c>
      <c r="M76" s="257">
        <v>20.399999999999999</v>
      </c>
      <c r="N76" s="219" t="s">
        <v>161</v>
      </c>
      <c r="O76" s="219" t="s">
        <v>162</v>
      </c>
      <c r="P76" s="219" t="s">
        <v>675</v>
      </c>
      <c r="Q76" s="169"/>
      <c r="R76" s="277"/>
      <c r="S76" s="277"/>
      <c r="T76" s="277"/>
      <c r="U76" s="169"/>
      <c r="V76" s="221">
        <v>40.340000000000003</v>
      </c>
      <c r="W76" s="280">
        <f t="shared" si="18"/>
        <v>1.6400000000000077</v>
      </c>
      <c r="X76" s="221"/>
      <c r="Y76" s="169"/>
      <c r="Z76" s="169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</row>
    <row r="77" spans="1:46" x14ac:dyDescent="0.3">
      <c r="A77" s="169"/>
      <c r="B77" s="219">
        <v>2016</v>
      </c>
      <c r="C77" s="219" t="s">
        <v>110</v>
      </c>
      <c r="D77" s="255" t="s">
        <v>672</v>
      </c>
      <c r="E77" s="255">
        <v>7</v>
      </c>
      <c r="F77" s="219">
        <v>10</v>
      </c>
      <c r="G77" s="277">
        <f>0.0417*1000</f>
        <v>41.7</v>
      </c>
      <c r="H77" s="277">
        <v>723.85</v>
      </c>
      <c r="I77" s="276">
        <v>42866</v>
      </c>
      <c r="J77" s="276">
        <v>42867</v>
      </c>
      <c r="K77" s="276">
        <v>42870</v>
      </c>
      <c r="L77" s="255">
        <v>39</v>
      </c>
      <c r="M77" s="257">
        <v>20.399999999999999</v>
      </c>
      <c r="N77" s="219" t="s">
        <v>161</v>
      </c>
      <c r="O77" s="219" t="s">
        <v>162</v>
      </c>
      <c r="P77" s="219" t="s">
        <v>675</v>
      </c>
      <c r="Q77" s="169"/>
      <c r="S77" s="277"/>
      <c r="T77" s="277"/>
      <c r="U77" s="169"/>
      <c r="V77" s="221">
        <v>43.41</v>
      </c>
      <c r="W77" s="280">
        <f t="shared" si="18"/>
        <v>1.7099999999999937</v>
      </c>
      <c r="X77" s="221">
        <f>(SUM(W76:W77)/R78)*100</f>
        <v>0.27753154332391672</v>
      </c>
      <c r="Y77" s="169"/>
      <c r="Z77" s="169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</row>
    <row r="78" spans="1:46" s="10" customFormat="1" x14ac:dyDescent="0.3">
      <c r="A78" s="220"/>
      <c r="B78" s="219">
        <v>2016</v>
      </c>
      <c r="C78" s="219" t="s">
        <v>110</v>
      </c>
      <c r="D78" s="279">
        <v>11</v>
      </c>
      <c r="E78" s="279"/>
      <c r="F78" s="221"/>
      <c r="G78" s="280">
        <f>SUM(G76:G77)</f>
        <v>80.400000000000006</v>
      </c>
      <c r="H78" s="280">
        <f>SUM(H76:H77)</f>
        <v>1287.47</v>
      </c>
      <c r="I78" s="281">
        <v>42866</v>
      </c>
      <c r="J78" s="281">
        <v>42867</v>
      </c>
      <c r="K78" s="276">
        <v>42870</v>
      </c>
      <c r="L78" s="255">
        <v>39</v>
      </c>
      <c r="M78" s="257">
        <v>20.399999999999999</v>
      </c>
      <c r="N78" s="219" t="s">
        <v>161</v>
      </c>
      <c r="O78" s="219" t="s">
        <v>162</v>
      </c>
      <c r="P78" s="219" t="s">
        <v>675</v>
      </c>
      <c r="Q78" s="280" t="s">
        <v>165</v>
      </c>
      <c r="R78" s="277">
        <f>H78-G78</f>
        <v>1207.07</v>
      </c>
      <c r="S78" s="277">
        <f t="shared" si="16"/>
        <v>1724.3857142857141</v>
      </c>
      <c r="T78" s="277">
        <f t="shared" si="17"/>
        <v>172.43857142857141</v>
      </c>
      <c r="U78" s="220"/>
      <c r="V78" s="218"/>
      <c r="W78" s="218"/>
      <c r="X78" s="218"/>
      <c r="Y78" s="220"/>
      <c r="Z78" s="220"/>
    </row>
    <row r="79" spans="1:46" x14ac:dyDescent="0.3">
      <c r="A79" s="169"/>
      <c r="B79" s="219">
        <v>2016</v>
      </c>
      <c r="C79" s="219" t="s">
        <v>110</v>
      </c>
      <c r="D79" s="255" t="s">
        <v>673</v>
      </c>
      <c r="E79" s="255">
        <v>4</v>
      </c>
      <c r="F79" s="219">
        <v>7</v>
      </c>
      <c r="G79" s="277">
        <f>0.0394*1000</f>
        <v>39.4</v>
      </c>
      <c r="H79" s="277">
        <v>599.87</v>
      </c>
      <c r="I79" s="276">
        <v>42866</v>
      </c>
      <c r="J79" s="276">
        <v>42867</v>
      </c>
      <c r="K79" s="276">
        <v>42870</v>
      </c>
      <c r="L79" s="255">
        <v>39</v>
      </c>
      <c r="M79" s="257">
        <v>20.399999999999999</v>
      </c>
      <c r="N79" s="219" t="s">
        <v>161</v>
      </c>
      <c r="O79" s="219" t="s">
        <v>162</v>
      </c>
      <c r="P79" s="219" t="s">
        <v>675</v>
      </c>
      <c r="Q79" s="169"/>
      <c r="R79" s="277"/>
      <c r="S79" s="277"/>
      <c r="T79" s="277"/>
      <c r="U79" s="169"/>
      <c r="V79" s="218"/>
      <c r="W79" s="218"/>
      <c r="X79" s="218"/>
      <c r="Y79" s="169"/>
      <c r="Z79" s="169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</row>
    <row r="80" spans="1:46" x14ac:dyDescent="0.3">
      <c r="A80" s="169"/>
      <c r="B80" s="219">
        <v>2016</v>
      </c>
      <c r="C80" s="219" t="s">
        <v>110</v>
      </c>
      <c r="D80" s="255" t="s">
        <v>674</v>
      </c>
      <c r="E80" s="255">
        <v>8</v>
      </c>
      <c r="F80" s="219">
        <v>10</v>
      </c>
      <c r="G80" s="277">
        <f>0.0401*1000</f>
        <v>40.099999999999994</v>
      </c>
      <c r="H80" s="277">
        <v>442.94</v>
      </c>
      <c r="I80" s="276">
        <v>42866</v>
      </c>
      <c r="J80" s="276">
        <v>42867</v>
      </c>
      <c r="K80" s="276">
        <v>42870</v>
      </c>
      <c r="L80" s="255">
        <v>39</v>
      </c>
      <c r="M80" s="257">
        <v>20.399999999999999</v>
      </c>
      <c r="N80" s="219" t="s">
        <v>161</v>
      </c>
      <c r="O80" s="219" t="s">
        <v>162</v>
      </c>
      <c r="P80" s="219" t="s">
        <v>675</v>
      </c>
      <c r="Q80" s="169"/>
      <c r="S80" s="277"/>
      <c r="T80" s="277"/>
      <c r="U80" s="169"/>
      <c r="V80" s="218"/>
      <c r="W80" s="218"/>
      <c r="X80" s="218"/>
      <c r="Y80" s="169"/>
      <c r="Z80" s="169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</row>
    <row r="81" spans="1:46" s="10" customFormat="1" x14ac:dyDescent="0.3">
      <c r="A81" s="220"/>
      <c r="B81" s="219">
        <v>2016</v>
      </c>
      <c r="C81" s="219" t="s">
        <v>110</v>
      </c>
      <c r="D81" s="279">
        <v>12</v>
      </c>
      <c r="E81" s="279"/>
      <c r="F81" s="221"/>
      <c r="G81" s="280">
        <f>SUM(G79:G80)</f>
        <v>79.5</v>
      </c>
      <c r="H81" s="280">
        <f>SUM(H79:H80)</f>
        <v>1042.81</v>
      </c>
      <c r="I81" s="281">
        <v>42866</v>
      </c>
      <c r="J81" s="281">
        <v>42867</v>
      </c>
      <c r="K81" s="276">
        <v>42870</v>
      </c>
      <c r="L81" s="255">
        <v>39</v>
      </c>
      <c r="M81" s="257">
        <v>20.399999999999999</v>
      </c>
      <c r="N81" s="219" t="s">
        <v>161</v>
      </c>
      <c r="O81" s="219" t="s">
        <v>162</v>
      </c>
      <c r="P81" s="219" t="s">
        <v>675</v>
      </c>
      <c r="Q81" s="280" t="s">
        <v>165</v>
      </c>
      <c r="R81" s="277">
        <f t="shared" si="15"/>
        <v>963.31</v>
      </c>
      <c r="S81" s="277">
        <f t="shared" si="16"/>
        <v>1376.1571428571426</v>
      </c>
      <c r="T81" s="277">
        <f t="shared" si="17"/>
        <v>137.61571428571429</v>
      </c>
      <c r="U81" s="220"/>
      <c r="V81" s="218"/>
      <c r="W81" s="218"/>
      <c r="X81" s="218"/>
      <c r="Y81" s="220"/>
      <c r="Z81" s="220"/>
    </row>
    <row r="82" spans="1:46" x14ac:dyDescent="0.3">
      <c r="A82" s="169"/>
      <c r="B82" s="219">
        <v>2016</v>
      </c>
      <c r="C82" s="219" t="s">
        <v>110</v>
      </c>
      <c r="D82" s="255" t="s">
        <v>680</v>
      </c>
      <c r="E82" s="255">
        <v>4</v>
      </c>
      <c r="F82" s="219">
        <v>7</v>
      </c>
      <c r="G82" s="277">
        <f>0.041*1000</f>
        <v>41</v>
      </c>
      <c r="H82" s="277">
        <v>414.28</v>
      </c>
      <c r="I82" s="276">
        <v>42866</v>
      </c>
      <c r="J82" s="276">
        <v>42867</v>
      </c>
      <c r="K82" s="276">
        <v>42870</v>
      </c>
      <c r="L82" s="255">
        <v>39</v>
      </c>
      <c r="M82" s="257">
        <v>20.399999999999999</v>
      </c>
      <c r="N82" s="219" t="s">
        <v>161</v>
      </c>
      <c r="O82" s="219" t="s">
        <v>162</v>
      </c>
      <c r="P82" s="219" t="s">
        <v>675</v>
      </c>
      <c r="Q82" s="169"/>
      <c r="R82" s="277"/>
      <c r="S82" s="277"/>
      <c r="T82" s="277"/>
      <c r="U82" s="169"/>
      <c r="V82" s="218"/>
      <c r="W82" s="218"/>
      <c r="X82" s="218"/>
      <c r="Y82" s="169"/>
      <c r="Z82" s="169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</row>
    <row r="83" spans="1:46" x14ac:dyDescent="0.3">
      <c r="A83" s="169"/>
      <c r="B83" s="219">
        <v>2016</v>
      </c>
      <c r="C83" s="219" t="s">
        <v>110</v>
      </c>
      <c r="D83" s="255" t="s">
        <v>681</v>
      </c>
      <c r="E83" s="255">
        <v>8</v>
      </c>
      <c r="F83" s="219">
        <v>10</v>
      </c>
      <c r="G83" s="277">
        <f>0.0393*1000</f>
        <v>39.300000000000004</v>
      </c>
      <c r="H83" s="277">
        <v>317.26</v>
      </c>
      <c r="I83" s="276">
        <v>42866</v>
      </c>
      <c r="J83" s="276">
        <v>42867</v>
      </c>
      <c r="K83" s="276">
        <v>42870</v>
      </c>
      <c r="L83" s="255">
        <v>39</v>
      </c>
      <c r="M83" s="257">
        <v>20.399999999999999</v>
      </c>
      <c r="N83" s="219" t="s">
        <v>161</v>
      </c>
      <c r="O83" s="219" t="s">
        <v>162</v>
      </c>
      <c r="P83" s="219" t="s">
        <v>675</v>
      </c>
      <c r="Q83" s="169"/>
      <c r="S83" s="277"/>
      <c r="T83" s="277"/>
      <c r="U83" s="169"/>
      <c r="V83" s="218"/>
      <c r="W83" s="218"/>
      <c r="X83" s="218"/>
      <c r="Y83" s="169"/>
      <c r="Z83" s="169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</row>
    <row r="84" spans="1:46" x14ac:dyDescent="0.3">
      <c r="A84" s="169"/>
      <c r="B84" s="219">
        <v>2016</v>
      </c>
      <c r="C84" s="219" t="s">
        <v>110</v>
      </c>
      <c r="D84" s="279">
        <v>13</v>
      </c>
      <c r="E84" s="173"/>
      <c r="F84" s="169"/>
      <c r="G84" s="280">
        <f>SUM(G82:G83)</f>
        <v>80.300000000000011</v>
      </c>
      <c r="H84" s="280">
        <f>SUM(H82:H83)</f>
        <v>731.54</v>
      </c>
      <c r="I84" s="276">
        <v>42866</v>
      </c>
      <c r="J84" s="276">
        <v>42867</v>
      </c>
      <c r="K84" s="276">
        <v>42870</v>
      </c>
      <c r="L84" s="255">
        <v>39</v>
      </c>
      <c r="M84" s="257">
        <v>20.399999999999999</v>
      </c>
      <c r="N84" s="219" t="s">
        <v>161</v>
      </c>
      <c r="O84" s="219" t="s">
        <v>162</v>
      </c>
      <c r="P84" s="219" t="s">
        <v>675</v>
      </c>
      <c r="Q84" s="280" t="s">
        <v>165</v>
      </c>
      <c r="R84" s="277">
        <f t="shared" si="15"/>
        <v>651.24</v>
      </c>
      <c r="S84" s="277">
        <f t="shared" si="16"/>
        <v>930.34285714285704</v>
      </c>
      <c r="T84" s="277">
        <f t="shared" si="17"/>
        <v>93.034285714285716</v>
      </c>
      <c r="U84" s="169"/>
      <c r="W84" s="218"/>
      <c r="X84" s="218"/>
      <c r="Y84" s="169"/>
      <c r="Z84" s="169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</row>
    <row r="85" spans="1:46" x14ac:dyDescent="0.3">
      <c r="A85" s="169"/>
      <c r="B85" s="169"/>
      <c r="C85" s="169"/>
      <c r="D85" s="169"/>
      <c r="E85" s="169"/>
      <c r="F85" s="169"/>
      <c r="G85" s="170"/>
      <c r="H85" s="170"/>
      <c r="I85" s="181"/>
      <c r="J85" s="181"/>
      <c r="K85" s="181"/>
      <c r="L85" s="169"/>
      <c r="M85" s="169"/>
      <c r="N85" s="169"/>
      <c r="O85" s="169"/>
      <c r="P85" s="169"/>
      <c r="Q85" s="169"/>
      <c r="R85" s="170"/>
      <c r="S85" s="170"/>
      <c r="T85" s="170"/>
      <c r="U85" s="169"/>
      <c r="V85" s="218"/>
      <c r="W85" s="218"/>
      <c r="X85" s="218"/>
      <c r="Y85" s="169"/>
      <c r="Z85" s="169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</row>
    <row r="110" spans="1:38" x14ac:dyDescent="0.3">
      <c r="A110" s="169"/>
      <c r="B110" s="169"/>
      <c r="C110" s="169"/>
      <c r="D110" s="173"/>
      <c r="E110" s="169"/>
      <c r="F110" s="169"/>
      <c r="G110" s="170"/>
      <c r="H110" s="170"/>
      <c r="I110" s="181"/>
      <c r="J110" s="181"/>
      <c r="K110" s="181"/>
      <c r="L110" s="173"/>
      <c r="M110" s="171"/>
      <c r="N110" s="169"/>
      <c r="O110" s="169"/>
      <c r="P110" s="169"/>
      <c r="Q110" s="169"/>
      <c r="R110" s="170"/>
      <c r="S110" s="170"/>
      <c r="T110" s="170"/>
      <c r="U110" s="169"/>
      <c r="V110" s="218"/>
      <c r="W110" s="218"/>
      <c r="X110" s="218"/>
      <c r="Y110" s="169"/>
      <c r="Z110" s="169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</row>
    <row r="143" spans="1:38" x14ac:dyDescent="0.3">
      <c r="A143" s="169"/>
      <c r="B143" s="219"/>
      <c r="C143" s="255"/>
      <c r="D143" s="219"/>
      <c r="E143" s="241"/>
      <c r="F143" s="255"/>
      <c r="G143" s="277"/>
      <c r="H143" s="170"/>
      <c r="I143" s="276"/>
      <c r="J143" s="181"/>
      <c r="K143" s="181"/>
      <c r="L143" s="255"/>
      <c r="M143" s="257"/>
      <c r="N143" s="219"/>
      <c r="O143" s="219"/>
      <c r="P143" s="219"/>
      <c r="Q143" s="169"/>
      <c r="R143" s="277"/>
      <c r="S143" s="277"/>
      <c r="T143" s="277"/>
      <c r="U143" s="169"/>
      <c r="V143" s="218"/>
      <c r="W143" s="218"/>
      <c r="X143" s="218"/>
      <c r="Y143" s="169"/>
      <c r="Z143" s="169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</row>
    <row r="144" spans="1:38" x14ac:dyDescent="0.3">
      <c r="A144" s="169"/>
      <c r="B144" s="173"/>
      <c r="C144" s="169"/>
      <c r="D144" s="173"/>
      <c r="E144" s="173"/>
      <c r="F144" s="169"/>
      <c r="G144" s="170"/>
      <c r="H144" s="170"/>
      <c r="I144" s="181"/>
      <c r="J144" s="181"/>
      <c r="K144" s="181"/>
      <c r="L144" s="173"/>
      <c r="M144" s="171"/>
      <c r="N144" s="219"/>
      <c r="O144" s="219"/>
      <c r="P144" s="219"/>
      <c r="Q144" s="169"/>
      <c r="R144" s="277"/>
      <c r="S144" s="277"/>
      <c r="T144" s="277"/>
      <c r="U144" s="169"/>
      <c r="V144" s="218"/>
      <c r="W144" s="218"/>
      <c r="X144" s="218"/>
      <c r="Y144" s="169"/>
      <c r="Z144" s="169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</row>
    <row r="145" spans="1:38" x14ac:dyDescent="0.3">
      <c r="A145" s="169"/>
      <c r="B145" s="169"/>
      <c r="C145" s="169"/>
      <c r="D145" s="169"/>
      <c r="E145" s="169"/>
      <c r="F145" s="169"/>
      <c r="G145" s="170"/>
      <c r="H145" s="170"/>
      <c r="I145" s="181"/>
      <c r="J145" s="181"/>
      <c r="K145" s="181"/>
      <c r="L145" s="171"/>
      <c r="M145" s="171"/>
      <c r="N145" s="171"/>
      <c r="O145" s="169"/>
      <c r="P145" s="169"/>
      <c r="Q145" s="169"/>
      <c r="R145" s="170"/>
      <c r="S145" s="170"/>
      <c r="T145" s="170"/>
      <c r="U145" s="169"/>
      <c r="V145" s="218"/>
      <c r="W145" s="218"/>
      <c r="X145" s="218"/>
      <c r="Y145" s="169"/>
      <c r="Z145" s="169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</row>
    <row r="146" spans="1:38" x14ac:dyDescent="0.3">
      <c r="A146" s="169"/>
      <c r="B146" s="169"/>
      <c r="C146" s="169"/>
      <c r="D146" s="169"/>
      <c r="E146" s="169"/>
      <c r="F146" s="169"/>
      <c r="G146" s="170"/>
      <c r="H146" s="170"/>
      <c r="I146" s="181"/>
      <c r="J146" s="181"/>
      <c r="K146" s="181"/>
      <c r="L146" s="171"/>
      <c r="M146" s="171"/>
      <c r="N146" s="171"/>
      <c r="O146" s="169"/>
      <c r="P146" s="169"/>
      <c r="Q146" s="169"/>
      <c r="R146" s="170"/>
      <c r="S146" s="170"/>
      <c r="T146" s="170"/>
      <c r="U146" s="169"/>
      <c r="V146" s="218"/>
      <c r="W146" s="218"/>
      <c r="X146" s="218"/>
      <c r="Y146" s="169"/>
      <c r="Z146" s="169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</row>
    <row r="147" spans="1:38" x14ac:dyDescent="0.3">
      <c r="A147" s="169"/>
      <c r="B147" s="169"/>
      <c r="C147" s="169"/>
      <c r="D147" s="169"/>
      <c r="E147" s="169"/>
      <c r="F147" s="169"/>
      <c r="G147" s="170"/>
      <c r="H147" s="170"/>
      <c r="I147" s="181"/>
      <c r="J147" s="181"/>
      <c r="K147" s="181"/>
      <c r="L147" s="171"/>
      <c r="M147" s="171"/>
      <c r="N147" s="171"/>
      <c r="O147" s="169"/>
      <c r="P147" s="169"/>
      <c r="Q147" s="169"/>
      <c r="R147" s="170"/>
      <c r="S147" s="170"/>
      <c r="T147" s="170"/>
      <c r="U147" s="169"/>
      <c r="V147" s="218"/>
      <c r="W147" s="218"/>
      <c r="X147" s="218"/>
      <c r="Y147" s="169"/>
      <c r="Z147" s="169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</row>
    <row r="148" spans="1:38" x14ac:dyDescent="0.3">
      <c r="A148" s="169"/>
      <c r="B148" s="169"/>
      <c r="C148" s="169"/>
      <c r="D148" s="169"/>
      <c r="E148" s="169"/>
      <c r="F148" s="169"/>
      <c r="G148" s="170"/>
      <c r="H148" s="170"/>
      <c r="I148" s="181"/>
      <c r="J148" s="181"/>
      <c r="K148" s="181"/>
      <c r="L148" s="171"/>
      <c r="M148" s="171"/>
      <c r="N148" s="171"/>
      <c r="O148" s="169"/>
      <c r="P148" s="169"/>
      <c r="Q148" s="169"/>
      <c r="R148" s="170"/>
      <c r="S148" s="170"/>
      <c r="T148" s="170"/>
      <c r="U148" s="169"/>
      <c r="V148" s="218"/>
      <c r="W148" s="218"/>
      <c r="X148" s="218"/>
      <c r="Y148" s="169"/>
      <c r="Z148" s="169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</row>
    <row r="149" spans="1:38" x14ac:dyDescent="0.3">
      <c r="A149" s="169"/>
      <c r="B149" s="169"/>
      <c r="C149" s="169"/>
      <c r="D149" s="169"/>
      <c r="E149" s="169"/>
      <c r="F149" s="169"/>
      <c r="G149" s="170"/>
      <c r="H149" s="170"/>
      <c r="I149" s="181"/>
      <c r="J149" s="181"/>
      <c r="K149" s="181"/>
      <c r="L149" s="171"/>
      <c r="M149" s="171"/>
      <c r="N149" s="171"/>
      <c r="O149" s="169"/>
      <c r="P149" s="169"/>
      <c r="Q149" s="169"/>
      <c r="R149" s="170"/>
      <c r="S149" s="170"/>
      <c r="T149" s="170"/>
      <c r="U149" s="169"/>
      <c r="V149" s="218"/>
      <c r="W149" s="218"/>
      <c r="X149" s="218"/>
      <c r="Y149" s="169"/>
      <c r="Z149" s="169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</row>
    <row r="150" spans="1:38" x14ac:dyDescent="0.3">
      <c r="A150" s="169"/>
      <c r="B150" s="169"/>
      <c r="C150" s="169"/>
      <c r="D150" s="169"/>
      <c r="E150" s="169"/>
      <c r="F150" s="169"/>
      <c r="G150" s="170"/>
      <c r="H150" s="170"/>
      <c r="I150" s="181"/>
      <c r="J150" s="181"/>
      <c r="K150" s="181"/>
      <c r="L150" s="171"/>
      <c r="M150" s="171"/>
      <c r="N150" s="171"/>
      <c r="O150" s="169"/>
      <c r="P150" s="169"/>
      <c r="Q150" s="169"/>
      <c r="R150" s="170"/>
      <c r="S150" s="170"/>
      <c r="T150" s="170"/>
      <c r="U150" s="169"/>
      <c r="V150" s="218"/>
      <c r="W150" s="218"/>
      <c r="X150" s="218"/>
      <c r="Y150" s="169"/>
      <c r="Z150" s="169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</row>
    <row r="151" spans="1:38" x14ac:dyDescent="0.3">
      <c r="A151" s="17"/>
      <c r="B151" s="17"/>
      <c r="C151" s="17"/>
      <c r="D151" s="17"/>
      <c r="E151" s="17"/>
      <c r="F151" s="17"/>
      <c r="G151" s="18"/>
      <c r="I151" s="65"/>
      <c r="J151" s="65"/>
      <c r="K151" s="65"/>
      <c r="L151" s="64"/>
      <c r="M151" s="64"/>
      <c r="N151" s="64"/>
      <c r="O151" s="17"/>
      <c r="P151" s="17"/>
      <c r="Q151" s="17"/>
      <c r="R151" s="18"/>
      <c r="S151" s="18"/>
      <c r="T151" s="18"/>
      <c r="U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</row>
    <row r="152" spans="1:38" x14ac:dyDescent="0.3">
      <c r="A152" s="17"/>
      <c r="B152" s="17"/>
      <c r="C152" s="17"/>
      <c r="D152" s="17"/>
      <c r="E152" s="17"/>
      <c r="F152" s="17"/>
      <c r="G152" s="18"/>
      <c r="I152" s="65"/>
      <c r="J152" s="65"/>
      <c r="K152" s="65"/>
      <c r="L152" s="64"/>
      <c r="M152" s="64"/>
      <c r="N152" s="64"/>
      <c r="O152" s="17"/>
      <c r="P152" s="17"/>
      <c r="Q152" s="17"/>
      <c r="R152" s="18"/>
      <c r="S152" s="18"/>
      <c r="T152" s="18"/>
      <c r="U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</row>
    <row r="153" spans="1:38" x14ac:dyDescent="0.3">
      <c r="A153" s="17"/>
      <c r="B153" s="17"/>
      <c r="C153" s="17"/>
      <c r="D153" s="17"/>
      <c r="E153" s="17"/>
      <c r="F153" s="17"/>
      <c r="G153" s="18"/>
      <c r="I153" s="65"/>
      <c r="J153" s="65"/>
      <c r="K153" s="65"/>
      <c r="L153" s="64"/>
      <c r="M153" s="64"/>
      <c r="N153" s="64"/>
      <c r="O153" s="17"/>
      <c r="P153" s="17"/>
      <c r="Q153" s="17"/>
      <c r="R153" s="18"/>
      <c r="S153" s="18"/>
      <c r="T153" s="18"/>
      <c r="U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</row>
    <row r="154" spans="1:38" x14ac:dyDescent="0.3">
      <c r="A154" s="17"/>
      <c r="B154" s="17"/>
      <c r="C154" s="17"/>
      <c r="D154" s="17"/>
      <c r="E154" s="17"/>
      <c r="F154" s="17"/>
      <c r="G154" s="18"/>
      <c r="I154" s="65"/>
      <c r="J154" s="65"/>
      <c r="K154" s="65"/>
      <c r="L154" s="64"/>
      <c r="M154" s="64"/>
      <c r="N154" s="64"/>
      <c r="O154" s="17"/>
      <c r="P154" s="17"/>
      <c r="Q154" s="17"/>
      <c r="R154" s="18"/>
      <c r="S154" s="18"/>
      <c r="T154" s="18"/>
      <c r="U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</row>
    <row r="155" spans="1:38" x14ac:dyDescent="0.3">
      <c r="A155" s="17"/>
      <c r="B155" s="17"/>
      <c r="C155" s="17"/>
      <c r="D155" s="17"/>
      <c r="E155" s="17"/>
      <c r="F155" s="17"/>
      <c r="G155" s="18"/>
      <c r="I155" s="65"/>
      <c r="J155" s="65"/>
      <c r="K155" s="65"/>
      <c r="L155" s="64"/>
      <c r="M155" s="64"/>
      <c r="N155" s="64"/>
      <c r="O155" s="17"/>
      <c r="P155" s="17"/>
      <c r="Q155" s="17"/>
      <c r="R155" s="18"/>
      <c r="S155" s="18"/>
      <c r="T155" s="18"/>
      <c r="U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</row>
    <row r="156" spans="1:38" x14ac:dyDescent="0.3">
      <c r="A156" s="17"/>
      <c r="B156" s="17"/>
      <c r="C156" s="17"/>
      <c r="D156" s="17"/>
      <c r="E156" s="17"/>
      <c r="F156" s="17"/>
      <c r="G156" s="18"/>
      <c r="I156" s="65"/>
      <c r="J156" s="65"/>
      <c r="K156" s="65"/>
      <c r="L156" s="64"/>
      <c r="M156" s="64"/>
      <c r="N156" s="64"/>
      <c r="O156" s="17"/>
      <c r="P156" s="17"/>
      <c r="Q156" s="17"/>
      <c r="R156" s="18"/>
      <c r="S156" s="18"/>
      <c r="T156" s="18"/>
      <c r="U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</row>
    <row r="157" spans="1:38" x14ac:dyDescent="0.3">
      <c r="A157" s="17"/>
      <c r="B157" s="17"/>
      <c r="C157" s="17"/>
      <c r="D157" s="17"/>
      <c r="E157" s="17"/>
      <c r="F157" s="17"/>
      <c r="G157" s="18"/>
      <c r="I157" s="65"/>
      <c r="J157" s="65"/>
      <c r="K157" s="65"/>
      <c r="L157" s="64"/>
      <c r="M157" s="64"/>
      <c r="N157" s="64"/>
      <c r="O157" s="17"/>
      <c r="P157" s="17"/>
      <c r="Q157" s="17"/>
      <c r="R157" s="18"/>
      <c r="S157" s="18"/>
      <c r="T157" s="18"/>
      <c r="U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</row>
    <row r="158" spans="1:38" x14ac:dyDescent="0.3">
      <c r="A158" s="17"/>
      <c r="B158" s="17"/>
      <c r="C158" s="17"/>
      <c r="D158" s="17"/>
      <c r="E158" s="17"/>
      <c r="F158" s="17"/>
      <c r="G158" s="18"/>
      <c r="I158" s="65"/>
      <c r="J158" s="65"/>
      <c r="K158" s="65"/>
      <c r="L158" s="64"/>
      <c r="M158" s="64"/>
      <c r="N158" s="64"/>
      <c r="O158" s="66"/>
      <c r="P158" s="66"/>
      <c r="Q158" s="67"/>
      <c r="R158" s="68"/>
      <c r="S158" s="68"/>
      <c r="T158" s="68"/>
      <c r="U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</row>
    <row r="159" spans="1:38" x14ac:dyDescent="0.3">
      <c r="A159" s="67"/>
      <c r="B159" s="67"/>
      <c r="C159" s="67"/>
      <c r="D159" s="67"/>
      <c r="E159" s="67"/>
      <c r="F159" s="67"/>
      <c r="G159" s="68"/>
      <c r="I159" s="70"/>
      <c r="J159" s="70"/>
      <c r="K159" s="70"/>
      <c r="L159" s="69"/>
      <c r="M159" s="69"/>
      <c r="N159" s="69"/>
      <c r="O159" s="67"/>
      <c r="P159" s="67"/>
      <c r="Q159" s="67"/>
      <c r="R159" s="68"/>
      <c r="S159" s="68"/>
      <c r="T159" s="68"/>
      <c r="U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</row>
    <row r="160" spans="1:38" x14ac:dyDescent="0.3">
      <c r="A160" s="67"/>
      <c r="B160" s="67"/>
      <c r="C160" s="67"/>
      <c r="D160" s="67"/>
      <c r="E160" s="67"/>
      <c r="F160" s="67"/>
      <c r="G160" s="68"/>
      <c r="I160" s="70"/>
      <c r="J160" s="70"/>
      <c r="K160" s="70"/>
      <c r="L160" s="69"/>
      <c r="M160" s="69"/>
      <c r="N160" s="69"/>
      <c r="O160" s="67"/>
      <c r="P160" s="67"/>
      <c r="Q160" s="67"/>
      <c r="R160" s="68"/>
      <c r="S160" s="68"/>
      <c r="T160" s="68"/>
      <c r="U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</row>
    <row r="161" spans="1:38" x14ac:dyDescent="0.3">
      <c r="A161" s="67"/>
      <c r="B161" s="67"/>
      <c r="C161" s="67"/>
      <c r="D161" s="67"/>
      <c r="E161" s="67"/>
      <c r="F161" s="67"/>
      <c r="G161" s="68"/>
      <c r="I161" s="70"/>
      <c r="J161" s="70"/>
      <c r="K161" s="70"/>
      <c r="L161" s="69"/>
      <c r="M161" s="69"/>
      <c r="N161" s="69"/>
      <c r="O161" s="67"/>
      <c r="P161" s="67"/>
      <c r="Q161" s="67"/>
      <c r="R161" s="68"/>
      <c r="S161" s="68"/>
      <c r="T161" s="68"/>
      <c r="U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</row>
    <row r="162" spans="1:38" x14ac:dyDescent="0.3">
      <c r="A162" s="67"/>
      <c r="B162" s="67"/>
      <c r="C162" s="67"/>
      <c r="D162" s="67"/>
      <c r="E162" s="67"/>
      <c r="F162" s="67"/>
      <c r="G162" s="68"/>
      <c r="I162" s="70"/>
      <c r="J162" s="70"/>
      <c r="K162" s="70"/>
      <c r="L162" s="69"/>
      <c r="M162" s="69"/>
      <c r="N162" s="69"/>
      <c r="O162" s="67"/>
      <c r="P162" s="67"/>
      <c r="Q162" s="67"/>
      <c r="R162" s="68"/>
      <c r="S162" s="68"/>
      <c r="T162" s="68"/>
      <c r="U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</row>
    <row r="163" spans="1:38" x14ac:dyDescent="0.3">
      <c r="A163" s="67"/>
      <c r="B163" s="67"/>
      <c r="C163" s="67"/>
      <c r="D163" s="67"/>
      <c r="E163" s="67"/>
      <c r="F163" s="67"/>
      <c r="G163" s="68"/>
      <c r="I163" s="70"/>
      <c r="J163" s="70"/>
      <c r="K163" s="70"/>
      <c r="L163" s="69"/>
      <c r="M163" s="69"/>
      <c r="N163" s="69"/>
      <c r="O163" s="67"/>
      <c r="P163" s="67"/>
      <c r="Q163" s="67"/>
      <c r="R163" s="68"/>
      <c r="S163" s="68"/>
      <c r="T163" s="68"/>
      <c r="U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</row>
    <row r="164" spans="1:38" x14ac:dyDescent="0.3">
      <c r="A164" s="67"/>
      <c r="B164" s="67"/>
      <c r="C164" s="67"/>
      <c r="D164" s="67"/>
      <c r="E164" s="67"/>
      <c r="F164" s="67"/>
      <c r="G164" s="68"/>
      <c r="I164" s="70"/>
      <c r="J164" s="70"/>
      <c r="K164" s="70"/>
      <c r="L164" s="69"/>
      <c r="M164" s="69"/>
      <c r="N164" s="69"/>
      <c r="O164" s="67"/>
      <c r="P164" s="67"/>
      <c r="Q164" s="67"/>
      <c r="R164" s="68"/>
      <c r="S164" s="68"/>
      <c r="T164" s="68"/>
      <c r="U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</row>
    <row r="165" spans="1:38" x14ac:dyDescent="0.3">
      <c r="A165" s="67"/>
      <c r="B165" s="67"/>
      <c r="C165" s="67"/>
      <c r="D165" s="67"/>
      <c r="E165" s="67"/>
      <c r="F165" s="67"/>
      <c r="G165" s="68"/>
      <c r="I165" s="70"/>
      <c r="J165" s="70"/>
      <c r="K165" s="70"/>
      <c r="L165" s="69"/>
      <c r="M165" s="69"/>
      <c r="N165" s="69"/>
      <c r="O165" s="67"/>
      <c r="P165" s="67"/>
      <c r="Q165" s="67"/>
      <c r="R165" s="68"/>
      <c r="S165" s="68"/>
      <c r="T165" s="68"/>
      <c r="U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</row>
    <row r="166" spans="1:38" x14ac:dyDescent="0.3">
      <c r="A166" s="67"/>
      <c r="B166" s="67"/>
      <c r="C166" s="67"/>
      <c r="D166" s="67"/>
      <c r="E166" s="67"/>
      <c r="F166" s="67"/>
      <c r="G166" s="68"/>
      <c r="I166" s="70"/>
      <c r="J166" s="70"/>
      <c r="K166" s="70"/>
      <c r="L166" s="69"/>
      <c r="M166" s="69"/>
      <c r="N166" s="69"/>
      <c r="O166" s="67"/>
      <c r="P166" s="67"/>
      <c r="Q166" s="67"/>
      <c r="R166" s="68"/>
      <c r="S166" s="68"/>
      <c r="T166" s="68"/>
      <c r="U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</row>
    <row r="167" spans="1:38" x14ac:dyDescent="0.3">
      <c r="A167" s="67"/>
      <c r="B167" s="67"/>
      <c r="C167" s="67"/>
      <c r="D167" s="67"/>
      <c r="E167" s="67"/>
      <c r="F167" s="67"/>
      <c r="G167" s="68"/>
      <c r="I167" s="70"/>
      <c r="J167" s="70"/>
      <c r="K167" s="70"/>
      <c r="L167" s="69"/>
      <c r="M167" s="69"/>
      <c r="N167" s="69"/>
      <c r="O167" s="67"/>
      <c r="P167" s="67"/>
      <c r="Q167" s="67"/>
      <c r="R167" s="68"/>
      <c r="S167" s="68"/>
      <c r="T167" s="68"/>
      <c r="U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</row>
    <row r="168" spans="1:38" x14ac:dyDescent="0.3">
      <c r="A168" s="67"/>
      <c r="B168" s="67"/>
      <c r="C168" s="67"/>
      <c r="D168" s="67"/>
      <c r="E168" s="67"/>
      <c r="F168" s="67"/>
      <c r="G168" s="68"/>
      <c r="I168" s="70"/>
      <c r="J168" s="70"/>
      <c r="K168" s="70"/>
      <c r="L168" s="69"/>
      <c r="M168" s="69"/>
      <c r="N168" s="69"/>
      <c r="O168" s="67"/>
      <c r="P168" s="67"/>
      <c r="Q168" s="67"/>
      <c r="R168" s="68"/>
      <c r="S168" s="68"/>
      <c r="T168" s="68"/>
      <c r="U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</row>
    <row r="169" spans="1:38" x14ac:dyDescent="0.3">
      <c r="A169" s="67"/>
      <c r="B169" s="67"/>
      <c r="C169" s="67"/>
      <c r="D169" s="67"/>
      <c r="E169" s="67"/>
      <c r="F169" s="67"/>
      <c r="G169" s="68"/>
      <c r="I169" s="70"/>
      <c r="J169" s="70"/>
      <c r="K169" s="70"/>
      <c r="L169" s="69"/>
      <c r="M169" s="69"/>
      <c r="N169" s="69"/>
      <c r="O169" s="67"/>
      <c r="P169" s="67"/>
      <c r="Q169" s="67"/>
      <c r="R169" s="68"/>
      <c r="S169" s="68"/>
      <c r="T169" s="68"/>
      <c r="U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</row>
    <row r="170" spans="1:38" x14ac:dyDescent="0.3">
      <c r="A170" s="67"/>
      <c r="B170" s="67"/>
      <c r="C170" s="67"/>
      <c r="D170" s="67"/>
      <c r="E170" s="67"/>
      <c r="F170" s="67"/>
      <c r="G170" s="68"/>
      <c r="I170" s="70"/>
      <c r="J170" s="70"/>
      <c r="K170" s="70"/>
      <c r="L170" s="69"/>
      <c r="M170" s="69"/>
      <c r="N170" s="69"/>
      <c r="O170" s="67"/>
      <c r="P170" s="67"/>
      <c r="Q170" s="67"/>
      <c r="R170" s="68"/>
      <c r="S170" s="68"/>
      <c r="T170" s="68"/>
      <c r="U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</row>
    <row r="171" spans="1:38" x14ac:dyDescent="0.3">
      <c r="A171" s="67"/>
      <c r="B171" s="67"/>
      <c r="C171" s="67"/>
      <c r="D171" s="67"/>
      <c r="E171" s="67"/>
      <c r="F171" s="67"/>
      <c r="G171" s="68"/>
      <c r="I171" s="70"/>
      <c r="J171" s="70"/>
      <c r="K171" s="70"/>
      <c r="L171" s="69"/>
      <c r="M171" s="69"/>
      <c r="N171" s="69"/>
      <c r="O171" s="67"/>
      <c r="P171" s="67"/>
      <c r="Q171" s="67"/>
      <c r="R171" s="68"/>
      <c r="S171" s="68"/>
      <c r="T171" s="68"/>
      <c r="U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</row>
    <row r="172" spans="1:38" x14ac:dyDescent="0.3">
      <c r="A172" s="67"/>
      <c r="B172" s="67"/>
      <c r="C172" s="67"/>
      <c r="D172" s="67"/>
      <c r="E172" s="67"/>
      <c r="F172" s="67"/>
      <c r="G172" s="68"/>
      <c r="I172" s="70"/>
      <c r="J172" s="70"/>
      <c r="K172" s="70"/>
      <c r="L172" s="69"/>
      <c r="M172" s="69"/>
      <c r="N172" s="69"/>
      <c r="O172" s="67"/>
      <c r="P172" s="67"/>
      <c r="Q172" s="67"/>
      <c r="R172" s="68"/>
      <c r="S172" s="68"/>
      <c r="T172" s="68"/>
      <c r="U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</row>
    <row r="173" spans="1:38" x14ac:dyDescent="0.3">
      <c r="A173" s="67"/>
      <c r="B173" s="67"/>
      <c r="C173" s="67"/>
      <c r="D173" s="67"/>
      <c r="E173" s="67"/>
      <c r="F173" s="67"/>
      <c r="G173" s="68"/>
      <c r="I173" s="70"/>
      <c r="J173" s="70"/>
      <c r="K173" s="70"/>
      <c r="L173" s="69"/>
      <c r="M173" s="69"/>
      <c r="N173" s="69"/>
      <c r="O173" s="67"/>
      <c r="P173" s="67"/>
      <c r="Q173" s="67"/>
      <c r="R173" s="68"/>
      <c r="S173" s="68"/>
      <c r="T173" s="68"/>
      <c r="U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</row>
    <row r="174" spans="1:38" x14ac:dyDescent="0.3">
      <c r="A174" s="67"/>
      <c r="B174" s="67"/>
      <c r="C174" s="67"/>
      <c r="D174" s="67"/>
      <c r="E174" s="67"/>
      <c r="F174" s="71"/>
      <c r="G174" s="68"/>
      <c r="I174" s="70"/>
      <c r="J174" s="70"/>
      <c r="K174" s="70"/>
      <c r="L174" s="69"/>
      <c r="M174" s="69"/>
      <c r="N174" s="69"/>
      <c r="O174" s="67"/>
      <c r="P174" s="67"/>
      <c r="Q174" s="67"/>
      <c r="R174" s="68"/>
      <c r="S174" s="68"/>
      <c r="T174" s="68"/>
      <c r="U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</row>
    <row r="175" spans="1:38" x14ac:dyDescent="0.3">
      <c r="A175" s="67"/>
      <c r="B175" s="67"/>
      <c r="C175" s="67"/>
      <c r="D175" s="67"/>
      <c r="E175" s="67"/>
      <c r="F175" s="71"/>
      <c r="G175" s="68"/>
      <c r="I175" s="70"/>
      <c r="J175" s="70"/>
      <c r="K175" s="70"/>
      <c r="L175" s="69"/>
      <c r="M175" s="69"/>
      <c r="N175" s="69"/>
      <c r="O175" s="67"/>
      <c r="P175" s="67"/>
      <c r="Q175" s="67"/>
      <c r="R175" s="68"/>
      <c r="S175" s="68"/>
      <c r="T175" s="68"/>
      <c r="U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</row>
    <row r="176" spans="1:38" x14ac:dyDescent="0.3">
      <c r="A176" s="67"/>
      <c r="B176" s="67"/>
      <c r="C176" s="67"/>
      <c r="D176" s="67"/>
      <c r="E176" s="67"/>
      <c r="F176" s="71"/>
      <c r="G176" s="68"/>
      <c r="I176" s="70"/>
      <c r="J176" s="70"/>
      <c r="K176" s="70"/>
      <c r="L176" s="69"/>
      <c r="M176" s="69"/>
      <c r="N176" s="69"/>
      <c r="O176" s="67"/>
      <c r="P176" s="67"/>
      <c r="Q176" s="67"/>
      <c r="R176" s="68"/>
      <c r="S176" s="68"/>
      <c r="T176" s="68"/>
      <c r="U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</row>
    <row r="177" spans="1:38" x14ac:dyDescent="0.3">
      <c r="A177" s="67"/>
      <c r="B177" s="67"/>
      <c r="C177" s="67"/>
      <c r="D177" s="67"/>
      <c r="E177" s="67"/>
      <c r="F177" s="67"/>
      <c r="G177" s="68"/>
      <c r="I177" s="70"/>
      <c r="J177" s="70"/>
      <c r="K177" s="70"/>
      <c r="L177" s="69"/>
      <c r="M177" s="69"/>
      <c r="N177" s="69"/>
      <c r="O177" s="67"/>
      <c r="P177" s="67"/>
      <c r="Q177" s="67"/>
      <c r="R177" s="68"/>
      <c r="S177" s="68"/>
      <c r="T177" s="68"/>
      <c r="U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</row>
    <row r="178" spans="1:38" x14ac:dyDescent="0.3">
      <c r="A178" s="67"/>
      <c r="B178" s="67"/>
      <c r="C178" s="67"/>
      <c r="D178" s="67"/>
      <c r="E178" s="67"/>
      <c r="F178" s="67"/>
      <c r="G178" s="68"/>
      <c r="I178" s="70"/>
      <c r="J178" s="70"/>
      <c r="K178" s="70"/>
      <c r="L178" s="69"/>
      <c r="M178" s="69"/>
      <c r="N178" s="69"/>
      <c r="O178" s="67"/>
      <c r="P178" s="67"/>
      <c r="Q178" s="67"/>
      <c r="R178" s="68"/>
      <c r="S178" s="68"/>
      <c r="T178" s="68"/>
      <c r="U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</row>
    <row r="179" spans="1:38" x14ac:dyDescent="0.3">
      <c r="A179" s="67"/>
      <c r="B179" s="67"/>
      <c r="C179" s="67"/>
      <c r="D179" s="67"/>
      <c r="E179" s="67"/>
      <c r="F179" s="67"/>
      <c r="G179" s="68"/>
      <c r="I179" s="70"/>
      <c r="J179" s="70"/>
      <c r="K179" s="70"/>
      <c r="L179" s="69"/>
      <c r="M179" s="69"/>
      <c r="N179" s="69"/>
      <c r="O179" s="67"/>
      <c r="P179" s="67"/>
      <c r="Q179" s="67"/>
      <c r="R179" s="68"/>
      <c r="S179" s="68"/>
      <c r="T179" s="68"/>
      <c r="U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</row>
    <row r="180" spans="1:38" x14ac:dyDescent="0.3">
      <c r="A180" s="67"/>
      <c r="B180" s="67"/>
      <c r="C180" s="67"/>
      <c r="D180" s="67"/>
      <c r="E180" s="67"/>
      <c r="F180" s="67"/>
      <c r="G180" s="68"/>
      <c r="I180" s="70"/>
      <c r="J180" s="70"/>
      <c r="K180" s="70"/>
      <c r="L180" s="69"/>
      <c r="M180" s="69"/>
      <c r="N180" s="69"/>
      <c r="O180" s="67"/>
      <c r="P180" s="67"/>
      <c r="Q180" s="67"/>
      <c r="R180" s="68"/>
      <c r="S180" s="68"/>
      <c r="T180" s="68"/>
      <c r="U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</row>
    <row r="181" spans="1:38" x14ac:dyDescent="0.3">
      <c r="A181" s="67"/>
      <c r="B181" s="66"/>
      <c r="C181" s="67"/>
      <c r="D181" s="67"/>
      <c r="E181" s="67"/>
      <c r="F181" s="67"/>
      <c r="G181" s="68"/>
      <c r="I181" s="70"/>
      <c r="J181" s="70"/>
      <c r="K181" s="70"/>
      <c r="L181" s="69"/>
      <c r="M181" s="69"/>
      <c r="N181" s="69"/>
      <c r="O181" s="67"/>
      <c r="P181" s="67"/>
      <c r="Q181" s="67"/>
      <c r="R181" s="68"/>
      <c r="S181" s="68"/>
      <c r="T181" s="68"/>
      <c r="U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</row>
    <row r="182" spans="1:38" x14ac:dyDescent="0.3">
      <c r="A182" s="67"/>
      <c r="B182" s="67"/>
      <c r="C182" s="67"/>
      <c r="D182" s="67"/>
      <c r="E182" s="67"/>
      <c r="F182" s="67"/>
      <c r="G182" s="68"/>
      <c r="I182" s="70"/>
      <c r="J182" s="70"/>
      <c r="K182" s="70"/>
      <c r="L182" s="69"/>
      <c r="M182" s="69"/>
      <c r="N182" s="69"/>
      <c r="O182" s="67"/>
      <c r="P182" s="67"/>
      <c r="Q182" s="67"/>
      <c r="R182" s="68"/>
      <c r="S182" s="68"/>
      <c r="T182" s="68"/>
      <c r="U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</row>
    <row r="183" spans="1:38" x14ac:dyDescent="0.3">
      <c r="A183" s="67"/>
      <c r="B183" s="67"/>
      <c r="C183" s="67"/>
      <c r="D183" s="67"/>
      <c r="E183" s="67"/>
      <c r="F183" s="67"/>
      <c r="G183" s="68"/>
      <c r="I183" s="70"/>
      <c r="J183" s="70"/>
      <c r="K183" s="70"/>
      <c r="L183" s="69"/>
      <c r="M183" s="69"/>
      <c r="N183" s="69"/>
      <c r="O183" s="67"/>
      <c r="P183" s="67"/>
      <c r="Q183" s="67"/>
      <c r="R183" s="68"/>
      <c r="S183" s="68"/>
      <c r="T183" s="68"/>
      <c r="U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</row>
    <row r="184" spans="1:38" x14ac:dyDescent="0.3">
      <c r="A184" s="67"/>
      <c r="B184" s="67"/>
      <c r="C184" s="67"/>
      <c r="D184" s="67"/>
      <c r="E184" s="67"/>
      <c r="F184" s="67"/>
      <c r="G184" s="68"/>
      <c r="I184" s="70"/>
      <c r="J184" s="70"/>
      <c r="K184" s="70"/>
      <c r="L184" s="69"/>
      <c r="M184" s="69"/>
      <c r="N184" s="69"/>
      <c r="O184" s="67"/>
      <c r="P184" s="67"/>
      <c r="Q184" s="67"/>
      <c r="R184" s="68"/>
      <c r="S184" s="68"/>
      <c r="T184" s="68"/>
      <c r="U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</row>
    <row r="185" spans="1:38" x14ac:dyDescent="0.3">
      <c r="A185" s="67"/>
      <c r="B185" s="67"/>
      <c r="C185" s="67"/>
      <c r="D185" s="67"/>
      <c r="E185" s="67"/>
      <c r="F185" s="71"/>
      <c r="G185" s="68"/>
      <c r="I185" s="70"/>
      <c r="J185" s="70"/>
      <c r="K185" s="70"/>
      <c r="L185" s="69"/>
      <c r="M185" s="69"/>
      <c r="N185" s="69"/>
      <c r="O185" s="67"/>
      <c r="P185" s="67"/>
      <c r="Q185" s="67"/>
      <c r="R185" s="68"/>
      <c r="S185" s="68"/>
      <c r="T185" s="68"/>
      <c r="U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</row>
    <row r="186" spans="1:38" x14ac:dyDescent="0.3">
      <c r="A186" s="67"/>
      <c r="B186" s="67"/>
      <c r="C186" s="67"/>
      <c r="D186" s="67"/>
      <c r="E186" s="67"/>
      <c r="F186" s="71"/>
      <c r="G186" s="68"/>
      <c r="I186" s="70"/>
      <c r="J186" s="70"/>
      <c r="K186" s="70"/>
      <c r="L186" s="69"/>
      <c r="M186" s="69"/>
      <c r="N186" s="69"/>
      <c r="O186" s="67"/>
      <c r="P186" s="67"/>
      <c r="Q186" s="67"/>
      <c r="R186" s="68"/>
      <c r="S186" s="68"/>
      <c r="T186" s="68"/>
      <c r="U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</row>
    <row r="187" spans="1:38" x14ac:dyDescent="0.3">
      <c r="A187" s="67"/>
      <c r="B187" s="67"/>
      <c r="C187" s="67"/>
      <c r="D187" s="67"/>
      <c r="E187" s="67"/>
      <c r="F187" s="71"/>
      <c r="G187" s="68"/>
      <c r="I187" s="70"/>
      <c r="J187" s="70"/>
      <c r="K187" s="70"/>
      <c r="L187" s="69"/>
      <c r="M187" s="69"/>
      <c r="N187" s="69"/>
      <c r="O187" s="67"/>
      <c r="P187" s="67"/>
      <c r="Q187" s="67"/>
      <c r="R187" s="68"/>
      <c r="S187" s="68"/>
      <c r="T187" s="68"/>
      <c r="U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</row>
    <row r="188" spans="1:38" x14ac:dyDescent="0.3">
      <c r="A188" s="67"/>
      <c r="B188" s="67"/>
      <c r="C188" s="67"/>
      <c r="D188" s="67"/>
      <c r="E188" s="67"/>
      <c r="F188" s="71"/>
      <c r="G188" s="68"/>
      <c r="I188" s="70"/>
      <c r="J188" s="70"/>
      <c r="K188" s="70"/>
      <c r="L188" s="69"/>
      <c r="M188" s="69"/>
      <c r="N188" s="69"/>
      <c r="O188" s="67"/>
      <c r="P188" s="67"/>
      <c r="Q188" s="67"/>
      <c r="R188" s="68"/>
      <c r="S188" s="68"/>
      <c r="T188" s="68"/>
      <c r="U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</row>
    <row r="189" spans="1:38" x14ac:dyDescent="0.3">
      <c r="A189" s="67"/>
      <c r="B189" s="67"/>
      <c r="C189" s="67"/>
      <c r="D189" s="67"/>
      <c r="E189" s="67"/>
      <c r="F189" s="67"/>
      <c r="G189" s="68"/>
      <c r="I189" s="70"/>
      <c r="J189" s="70"/>
      <c r="K189" s="70"/>
      <c r="L189" s="69"/>
      <c r="M189" s="69"/>
      <c r="N189" s="69"/>
      <c r="O189" s="67"/>
      <c r="P189" s="67"/>
      <c r="Q189" s="67"/>
      <c r="R189" s="68"/>
      <c r="S189" s="68"/>
      <c r="T189" s="68"/>
      <c r="U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</row>
    <row r="190" spans="1:38" x14ac:dyDescent="0.3">
      <c r="A190" s="67"/>
      <c r="B190" s="67"/>
      <c r="C190" s="67"/>
      <c r="D190" s="67"/>
      <c r="E190" s="67"/>
      <c r="F190" s="67"/>
      <c r="G190" s="68"/>
      <c r="I190" s="70"/>
      <c r="J190" s="70"/>
      <c r="K190" s="70"/>
      <c r="L190" s="69"/>
      <c r="M190" s="69"/>
      <c r="N190" s="69"/>
      <c r="O190" s="67"/>
      <c r="P190" s="67"/>
      <c r="Q190" s="67"/>
      <c r="R190" s="68"/>
      <c r="S190" s="68"/>
      <c r="T190" s="68"/>
      <c r="U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</row>
    <row r="191" spans="1:38" x14ac:dyDescent="0.3">
      <c r="A191" s="67"/>
      <c r="B191" s="67"/>
      <c r="C191" s="67"/>
      <c r="D191" s="67"/>
      <c r="E191" s="67"/>
      <c r="F191" s="67"/>
      <c r="G191" s="68"/>
      <c r="I191" s="70"/>
      <c r="J191" s="70"/>
      <c r="K191" s="70"/>
      <c r="L191" s="69"/>
      <c r="M191" s="69"/>
      <c r="N191" s="69"/>
      <c r="O191" s="67"/>
      <c r="P191" s="67"/>
      <c r="Q191" s="67"/>
      <c r="R191" s="68"/>
      <c r="S191" s="68"/>
      <c r="T191" s="68"/>
      <c r="U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</row>
    <row r="192" spans="1:38" x14ac:dyDescent="0.3">
      <c r="A192" s="67"/>
      <c r="B192" s="67"/>
      <c r="C192" s="67"/>
      <c r="D192" s="67"/>
      <c r="E192" s="67"/>
      <c r="F192" s="67"/>
      <c r="G192" s="68"/>
      <c r="I192" s="70"/>
      <c r="J192" s="70"/>
      <c r="K192" s="70"/>
      <c r="L192" s="69"/>
      <c r="M192" s="69"/>
      <c r="N192" s="69"/>
      <c r="O192" s="67"/>
      <c r="P192" s="67"/>
      <c r="Q192" s="67"/>
      <c r="R192" s="68"/>
      <c r="S192" s="68"/>
      <c r="T192" s="68"/>
      <c r="U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</row>
    <row r="193" spans="1:38" x14ac:dyDescent="0.3">
      <c r="A193" s="67"/>
      <c r="B193" s="67"/>
      <c r="C193" s="67"/>
      <c r="D193" s="67"/>
      <c r="E193" s="67"/>
      <c r="F193" s="67"/>
      <c r="G193" s="68"/>
      <c r="I193" s="70"/>
      <c r="J193" s="70"/>
      <c r="K193" s="70"/>
      <c r="L193" s="69"/>
      <c r="M193" s="69"/>
      <c r="N193" s="69"/>
      <c r="O193" s="67"/>
      <c r="P193" s="67"/>
      <c r="Q193" s="67"/>
      <c r="R193" s="68"/>
      <c r="S193" s="68"/>
      <c r="T193" s="68"/>
      <c r="U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</row>
    <row r="194" spans="1:38" x14ac:dyDescent="0.3">
      <c r="A194" s="67"/>
      <c r="B194" s="67"/>
      <c r="C194" s="67"/>
      <c r="D194" s="67"/>
      <c r="E194" s="67"/>
      <c r="F194" s="67"/>
      <c r="G194" s="68"/>
      <c r="I194" s="70"/>
      <c r="J194" s="70"/>
      <c r="K194" s="70"/>
      <c r="L194" s="69"/>
      <c r="M194" s="69"/>
      <c r="N194" s="69"/>
      <c r="O194" s="67"/>
      <c r="P194" s="67"/>
      <c r="Q194" s="67"/>
      <c r="R194" s="68"/>
      <c r="S194" s="68"/>
      <c r="T194" s="68"/>
      <c r="U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</row>
    <row r="195" spans="1:38" x14ac:dyDescent="0.3">
      <c r="A195" s="67"/>
      <c r="B195" s="67"/>
      <c r="C195" s="67"/>
      <c r="D195" s="67"/>
      <c r="E195" s="67"/>
      <c r="F195" s="67"/>
      <c r="G195" s="68"/>
      <c r="I195" s="70"/>
      <c r="J195" s="70"/>
      <c r="K195" s="70"/>
      <c r="L195" s="69"/>
      <c r="M195" s="69"/>
      <c r="N195" s="69"/>
      <c r="O195" s="67"/>
      <c r="P195" s="67"/>
      <c r="Q195" s="67"/>
      <c r="R195" s="68"/>
      <c r="S195" s="68"/>
      <c r="T195" s="68"/>
      <c r="U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</row>
    <row r="196" spans="1:38" x14ac:dyDescent="0.3">
      <c r="A196" s="67"/>
      <c r="B196" s="67"/>
      <c r="C196" s="67"/>
      <c r="D196" s="67"/>
      <c r="E196" s="67"/>
      <c r="F196" s="67"/>
      <c r="G196" s="68"/>
      <c r="I196" s="70"/>
      <c r="J196" s="70"/>
      <c r="K196" s="70"/>
      <c r="L196" s="69"/>
      <c r="M196" s="69"/>
      <c r="N196" s="69"/>
      <c r="O196" s="67"/>
      <c r="P196" s="67"/>
      <c r="Q196" s="67"/>
      <c r="R196" s="68"/>
      <c r="S196" s="68"/>
      <c r="T196" s="68"/>
      <c r="U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</row>
    <row r="197" spans="1:38" x14ac:dyDescent="0.3">
      <c r="A197" s="67"/>
      <c r="B197" s="67"/>
      <c r="C197" s="67"/>
      <c r="D197" s="67"/>
      <c r="E197" s="67"/>
      <c r="F197" s="67"/>
      <c r="G197" s="68"/>
      <c r="I197" s="70"/>
      <c r="J197" s="70"/>
      <c r="K197" s="70"/>
      <c r="L197" s="69"/>
      <c r="M197" s="69"/>
      <c r="N197" s="69"/>
      <c r="O197" s="67"/>
      <c r="P197" s="67"/>
      <c r="Q197" s="67"/>
      <c r="R197" s="68"/>
      <c r="S197" s="68"/>
      <c r="T197" s="68"/>
      <c r="U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</row>
    <row r="198" spans="1:38" x14ac:dyDescent="0.3">
      <c r="A198" s="67"/>
      <c r="B198" s="67"/>
      <c r="C198" s="67"/>
      <c r="D198" s="67"/>
      <c r="E198" s="67"/>
      <c r="F198" s="67"/>
      <c r="G198" s="68"/>
      <c r="I198" s="70"/>
      <c r="J198" s="70"/>
      <c r="K198" s="70"/>
      <c r="L198" s="69"/>
      <c r="M198" s="69"/>
      <c r="N198" s="69"/>
      <c r="O198" s="67"/>
      <c r="P198" s="67"/>
      <c r="Q198" s="67"/>
      <c r="R198" s="68"/>
      <c r="S198" s="68"/>
      <c r="T198" s="68"/>
      <c r="U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</row>
    <row r="199" spans="1:38" x14ac:dyDescent="0.3">
      <c r="A199" s="67"/>
      <c r="B199" s="67"/>
      <c r="C199" s="67"/>
      <c r="D199" s="67"/>
      <c r="E199" s="67"/>
      <c r="F199" s="67"/>
      <c r="G199" s="68"/>
      <c r="I199" s="70"/>
      <c r="J199" s="70"/>
      <c r="K199" s="70"/>
      <c r="L199" s="69"/>
      <c r="M199" s="69"/>
      <c r="N199" s="69"/>
      <c r="O199" s="67"/>
      <c r="P199" s="67"/>
      <c r="Q199" s="67"/>
      <c r="R199" s="68"/>
      <c r="S199" s="68"/>
      <c r="T199" s="68"/>
      <c r="U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</row>
    <row r="200" spans="1:38" x14ac:dyDescent="0.3">
      <c r="A200" s="67"/>
      <c r="B200" s="67"/>
      <c r="C200" s="67"/>
      <c r="D200" s="67"/>
      <c r="E200" s="67"/>
      <c r="F200" s="67"/>
      <c r="G200" s="68"/>
      <c r="I200" s="70"/>
      <c r="J200" s="70"/>
      <c r="K200" s="70"/>
      <c r="L200" s="69"/>
      <c r="M200" s="69"/>
      <c r="N200" s="69"/>
      <c r="O200" s="67"/>
      <c r="P200" s="67"/>
      <c r="Q200" s="67"/>
      <c r="R200" s="68"/>
      <c r="S200" s="68"/>
      <c r="T200" s="68"/>
      <c r="U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</row>
    <row r="201" spans="1:38" x14ac:dyDescent="0.3">
      <c r="A201" s="67"/>
      <c r="B201" s="67"/>
      <c r="C201" s="67"/>
      <c r="D201" s="67"/>
      <c r="E201" s="67"/>
      <c r="F201" s="67"/>
      <c r="G201" s="68"/>
      <c r="I201" s="70"/>
      <c r="J201" s="70"/>
      <c r="K201" s="70"/>
      <c r="L201" s="69"/>
      <c r="M201" s="69"/>
      <c r="N201" s="69"/>
      <c r="O201" s="67"/>
      <c r="P201" s="67"/>
      <c r="Q201" s="67"/>
      <c r="R201" s="68"/>
      <c r="S201" s="68"/>
      <c r="T201" s="68"/>
      <c r="U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</row>
    <row r="202" spans="1:38" x14ac:dyDescent="0.3">
      <c r="A202" s="67"/>
      <c r="B202" s="67"/>
      <c r="C202" s="67"/>
      <c r="D202" s="67"/>
      <c r="E202" s="67"/>
      <c r="F202" s="71"/>
      <c r="G202" s="68"/>
      <c r="I202" s="70"/>
      <c r="J202" s="70"/>
      <c r="K202" s="70"/>
      <c r="L202" s="69"/>
      <c r="M202" s="69"/>
      <c r="N202" s="69"/>
      <c r="O202" s="67"/>
      <c r="P202" s="67"/>
      <c r="Q202" s="67"/>
      <c r="R202" s="68"/>
      <c r="S202" s="68"/>
      <c r="T202" s="68"/>
      <c r="U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</row>
    <row r="203" spans="1:38" x14ac:dyDescent="0.3">
      <c r="A203" s="67"/>
      <c r="B203" s="67"/>
      <c r="C203" s="67"/>
      <c r="D203" s="67"/>
      <c r="E203" s="67"/>
      <c r="F203" s="71"/>
      <c r="G203" s="68"/>
      <c r="I203" s="70"/>
      <c r="J203" s="70"/>
      <c r="K203" s="70"/>
      <c r="L203" s="69"/>
      <c r="M203" s="69"/>
      <c r="N203" s="69"/>
      <c r="O203" s="67"/>
      <c r="P203" s="67"/>
      <c r="Q203" s="67"/>
      <c r="R203" s="68"/>
      <c r="S203" s="68"/>
      <c r="T203" s="68"/>
      <c r="U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</row>
    <row r="204" spans="1:38" x14ac:dyDescent="0.3">
      <c r="A204" s="67"/>
      <c r="B204" s="67"/>
      <c r="C204" s="67"/>
      <c r="D204" s="67"/>
      <c r="E204" s="67"/>
      <c r="F204" s="71"/>
      <c r="G204" s="68"/>
      <c r="I204" s="70"/>
      <c r="J204" s="70"/>
      <c r="K204" s="70"/>
      <c r="L204" s="69"/>
      <c r="M204" s="69"/>
      <c r="N204" s="69"/>
      <c r="O204" s="67"/>
      <c r="P204" s="67"/>
      <c r="Q204" s="67"/>
      <c r="R204" s="68"/>
      <c r="S204" s="68"/>
      <c r="T204" s="68"/>
      <c r="U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</row>
    <row r="205" spans="1:38" x14ac:dyDescent="0.3">
      <c r="A205" s="67"/>
      <c r="B205" s="67"/>
      <c r="C205" s="67"/>
      <c r="D205" s="67"/>
      <c r="E205" s="67"/>
      <c r="F205" s="71"/>
      <c r="G205" s="68"/>
      <c r="I205" s="70"/>
      <c r="J205" s="70"/>
      <c r="K205" s="70"/>
      <c r="L205" s="69"/>
      <c r="M205" s="69"/>
      <c r="N205" s="69"/>
      <c r="O205" s="67"/>
      <c r="P205" s="67"/>
      <c r="Q205" s="67"/>
      <c r="R205" s="68"/>
      <c r="S205" s="68"/>
      <c r="T205" s="68"/>
      <c r="U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</row>
    <row r="206" spans="1:38" x14ac:dyDescent="0.3">
      <c r="A206" s="67"/>
      <c r="B206" s="67"/>
      <c r="C206" s="67"/>
      <c r="D206" s="67"/>
      <c r="E206" s="67"/>
      <c r="F206" s="67"/>
      <c r="G206" s="68"/>
      <c r="I206" s="70"/>
      <c r="J206" s="70"/>
      <c r="K206" s="70"/>
      <c r="L206" s="69"/>
      <c r="M206" s="69"/>
      <c r="N206" s="69"/>
      <c r="O206" s="67"/>
      <c r="P206" s="67"/>
      <c r="Q206" s="67"/>
      <c r="R206" s="68"/>
      <c r="S206" s="68"/>
      <c r="T206" s="68"/>
      <c r="U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</row>
    <row r="207" spans="1:38" x14ac:dyDescent="0.3">
      <c r="A207" s="67"/>
      <c r="B207" s="67"/>
      <c r="C207" s="67"/>
      <c r="D207" s="67"/>
      <c r="E207" s="67"/>
      <c r="F207" s="67"/>
      <c r="G207" s="68"/>
      <c r="I207" s="70"/>
      <c r="J207" s="70"/>
      <c r="K207" s="70"/>
      <c r="L207" s="69"/>
      <c r="M207" s="69"/>
      <c r="N207" s="69"/>
      <c r="O207" s="67"/>
      <c r="P207" s="67"/>
      <c r="Q207" s="67"/>
      <c r="R207" s="68"/>
      <c r="S207" s="68"/>
      <c r="T207" s="68"/>
      <c r="U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</row>
    <row r="208" spans="1:38" x14ac:dyDescent="0.3">
      <c r="A208" s="67"/>
      <c r="B208" s="67"/>
      <c r="C208" s="67"/>
      <c r="D208" s="67"/>
      <c r="E208" s="67"/>
      <c r="F208" s="67"/>
      <c r="G208" s="68"/>
      <c r="I208" s="70"/>
      <c r="J208" s="70"/>
      <c r="K208" s="70"/>
      <c r="L208" s="69"/>
      <c r="M208" s="69"/>
      <c r="N208" s="69"/>
      <c r="O208" s="67"/>
      <c r="P208" s="67"/>
      <c r="Q208" s="67"/>
      <c r="R208" s="68"/>
      <c r="S208" s="68"/>
      <c r="T208" s="68"/>
      <c r="U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</row>
    <row r="209" spans="1:38" x14ac:dyDescent="0.3">
      <c r="A209" s="67"/>
      <c r="B209" s="67"/>
      <c r="C209" s="67"/>
      <c r="D209" s="67"/>
      <c r="E209" s="67"/>
      <c r="F209" s="67"/>
      <c r="G209" s="68"/>
      <c r="I209" s="70"/>
      <c r="J209" s="70"/>
      <c r="K209" s="70"/>
      <c r="L209" s="69"/>
      <c r="M209" s="69"/>
      <c r="N209" s="69"/>
      <c r="O209" s="67"/>
      <c r="P209" s="67"/>
      <c r="Q209" s="67"/>
      <c r="R209" s="68"/>
      <c r="S209" s="68"/>
      <c r="T209" s="68"/>
      <c r="U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</row>
    <row r="210" spans="1:38" x14ac:dyDescent="0.3">
      <c r="A210" s="67"/>
      <c r="B210" s="67"/>
      <c r="C210" s="67"/>
      <c r="D210" s="67"/>
      <c r="E210" s="67"/>
      <c r="F210" s="67"/>
      <c r="G210" s="68"/>
      <c r="I210" s="70"/>
      <c r="J210" s="70"/>
      <c r="K210" s="70"/>
      <c r="L210" s="69"/>
      <c r="M210" s="69"/>
      <c r="N210" s="69"/>
      <c r="O210" s="67"/>
      <c r="P210" s="67"/>
      <c r="Q210" s="67"/>
      <c r="R210" s="68"/>
      <c r="S210" s="68"/>
      <c r="T210" s="68"/>
      <c r="U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</row>
    <row r="211" spans="1:38" x14ac:dyDescent="0.3">
      <c r="A211" s="67"/>
      <c r="B211" s="67"/>
      <c r="C211" s="67"/>
      <c r="D211" s="67"/>
      <c r="E211" s="67"/>
      <c r="F211" s="67"/>
      <c r="G211" s="68"/>
      <c r="I211" s="70"/>
      <c r="J211" s="70"/>
      <c r="K211" s="70"/>
      <c r="L211" s="69"/>
      <c r="M211" s="69"/>
      <c r="N211" s="69"/>
      <c r="O211" s="67"/>
      <c r="P211" s="67"/>
      <c r="Q211" s="67"/>
      <c r="R211" s="68"/>
      <c r="S211" s="68"/>
      <c r="T211" s="68"/>
      <c r="U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</row>
    <row r="212" spans="1:38" x14ac:dyDescent="0.3">
      <c r="A212" s="67"/>
      <c r="B212" s="67"/>
      <c r="C212" s="67"/>
      <c r="D212" s="67"/>
      <c r="E212" s="67"/>
      <c r="F212" s="67"/>
      <c r="G212" s="68"/>
      <c r="I212" s="70"/>
      <c r="J212" s="70"/>
      <c r="K212" s="70"/>
      <c r="L212" s="69"/>
      <c r="M212" s="69"/>
      <c r="N212" s="69"/>
      <c r="O212" s="67"/>
      <c r="P212" s="67"/>
      <c r="Q212" s="67"/>
      <c r="R212" s="68"/>
      <c r="S212" s="68"/>
      <c r="T212" s="68"/>
      <c r="U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</row>
    <row r="213" spans="1:38" x14ac:dyDescent="0.3">
      <c r="A213" s="67"/>
      <c r="B213" s="67"/>
      <c r="C213" s="67"/>
      <c r="D213" s="67"/>
      <c r="E213" s="67"/>
      <c r="F213" s="67"/>
      <c r="G213" s="68"/>
      <c r="I213" s="70"/>
      <c r="J213" s="70"/>
      <c r="K213" s="70"/>
      <c r="L213" s="69"/>
      <c r="M213" s="69"/>
      <c r="N213" s="69"/>
      <c r="O213" s="67"/>
      <c r="P213" s="67"/>
      <c r="Q213" s="67"/>
      <c r="R213" s="68"/>
      <c r="S213" s="68"/>
      <c r="T213" s="68"/>
      <c r="U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</row>
    <row r="214" spans="1:38" x14ac:dyDescent="0.3">
      <c r="A214" s="67"/>
      <c r="B214" s="67"/>
      <c r="C214" s="67"/>
      <c r="D214" s="67"/>
      <c r="E214" s="67"/>
      <c r="F214" s="67"/>
      <c r="G214" s="68"/>
      <c r="I214" s="70"/>
      <c r="J214" s="70"/>
      <c r="K214" s="70"/>
      <c r="L214" s="69"/>
      <c r="M214" s="69"/>
      <c r="N214" s="69"/>
      <c r="O214" s="67"/>
      <c r="P214" s="67"/>
      <c r="Q214" s="67"/>
      <c r="R214" s="68"/>
      <c r="S214" s="68"/>
      <c r="T214" s="68"/>
      <c r="U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</row>
    <row r="215" spans="1:38" x14ac:dyDescent="0.3">
      <c r="A215" s="67"/>
      <c r="B215" s="67"/>
      <c r="C215" s="67"/>
      <c r="D215" s="67"/>
      <c r="E215" s="67"/>
      <c r="F215" s="67"/>
      <c r="G215" s="68"/>
      <c r="I215" s="70"/>
      <c r="J215" s="70"/>
      <c r="K215" s="70"/>
      <c r="L215" s="69"/>
      <c r="M215" s="69"/>
      <c r="N215" s="69"/>
      <c r="O215" s="67"/>
      <c r="P215" s="67"/>
      <c r="Q215" s="67"/>
      <c r="R215" s="68"/>
      <c r="S215" s="68"/>
      <c r="T215" s="68"/>
      <c r="U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</row>
    <row r="216" spans="1:38" x14ac:dyDescent="0.3">
      <c r="A216" s="67"/>
      <c r="B216" s="67"/>
      <c r="C216" s="67"/>
      <c r="D216" s="67"/>
      <c r="E216" s="67"/>
      <c r="F216" s="67"/>
      <c r="G216" s="68"/>
      <c r="I216" s="70"/>
      <c r="J216" s="70"/>
      <c r="K216" s="70"/>
      <c r="L216" s="69"/>
      <c r="M216" s="69"/>
      <c r="N216" s="69"/>
      <c r="O216" s="67"/>
      <c r="P216" s="67"/>
      <c r="Q216" s="67"/>
      <c r="R216" s="68"/>
      <c r="S216" s="68"/>
      <c r="T216" s="68"/>
      <c r="U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</row>
    <row r="217" spans="1:38" x14ac:dyDescent="0.3">
      <c r="A217" s="67"/>
      <c r="B217" s="67"/>
      <c r="C217" s="67"/>
      <c r="D217" s="67"/>
      <c r="E217" s="67"/>
      <c r="F217" s="67"/>
      <c r="G217" s="68"/>
      <c r="I217" s="70"/>
      <c r="J217" s="70"/>
      <c r="K217" s="70"/>
      <c r="L217" s="69"/>
      <c r="M217" s="69"/>
      <c r="N217" s="69"/>
      <c r="O217" s="67"/>
      <c r="P217" s="67"/>
      <c r="Q217" s="67"/>
      <c r="R217" s="68"/>
      <c r="S217" s="68"/>
      <c r="T217" s="68"/>
      <c r="U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</row>
    <row r="218" spans="1:38" x14ac:dyDescent="0.3">
      <c r="A218" s="67"/>
      <c r="B218" s="67"/>
      <c r="C218" s="67"/>
      <c r="D218" s="67"/>
      <c r="E218" s="67"/>
      <c r="F218" s="67"/>
      <c r="G218" s="68"/>
      <c r="I218" s="70"/>
      <c r="J218" s="70"/>
      <c r="K218" s="70"/>
      <c r="L218" s="69"/>
      <c r="M218" s="69"/>
      <c r="N218" s="69"/>
      <c r="O218" s="67"/>
      <c r="P218" s="67"/>
      <c r="Q218" s="67"/>
      <c r="R218" s="68"/>
      <c r="S218" s="68"/>
      <c r="T218" s="68"/>
      <c r="U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</row>
    <row r="219" spans="1:38" x14ac:dyDescent="0.3">
      <c r="A219" s="67"/>
      <c r="B219" s="67"/>
      <c r="C219" s="67"/>
      <c r="D219" s="67"/>
      <c r="E219" s="67"/>
      <c r="F219" s="67"/>
      <c r="G219" s="68"/>
      <c r="I219" s="70"/>
      <c r="J219" s="70"/>
      <c r="K219" s="70"/>
      <c r="L219" s="69"/>
      <c r="M219" s="69"/>
      <c r="N219" s="69"/>
      <c r="O219" s="67"/>
      <c r="P219" s="67"/>
      <c r="Q219" s="67"/>
      <c r="R219" s="68"/>
      <c r="S219" s="68"/>
      <c r="T219" s="68"/>
      <c r="U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</row>
    <row r="220" spans="1:38" x14ac:dyDescent="0.3">
      <c r="A220" s="67"/>
      <c r="B220" s="67"/>
      <c r="C220" s="67"/>
      <c r="D220" s="67"/>
      <c r="E220" s="67"/>
      <c r="F220" s="67"/>
      <c r="G220" s="68"/>
      <c r="I220" s="70"/>
      <c r="J220" s="70"/>
      <c r="K220" s="70"/>
      <c r="L220" s="69"/>
      <c r="M220" s="69"/>
      <c r="N220" s="69"/>
      <c r="O220" s="67"/>
      <c r="P220" s="67"/>
      <c r="Q220" s="67"/>
      <c r="R220" s="68"/>
      <c r="S220" s="68"/>
      <c r="T220" s="68"/>
      <c r="U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</row>
    <row r="221" spans="1:38" x14ac:dyDescent="0.3">
      <c r="A221" s="67"/>
      <c r="B221" s="67"/>
      <c r="C221" s="67"/>
      <c r="D221" s="67"/>
      <c r="E221" s="67"/>
      <c r="F221" s="67"/>
      <c r="G221" s="68"/>
      <c r="I221" s="70"/>
      <c r="J221" s="70"/>
      <c r="K221" s="70"/>
      <c r="L221" s="69"/>
      <c r="M221" s="69"/>
      <c r="N221" s="69"/>
      <c r="O221" s="67"/>
      <c r="P221" s="67"/>
      <c r="Q221" s="67"/>
      <c r="R221" s="68"/>
      <c r="S221" s="68"/>
      <c r="T221" s="68"/>
      <c r="U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</row>
    <row r="222" spans="1:38" x14ac:dyDescent="0.3">
      <c r="A222" s="67"/>
      <c r="B222" s="67"/>
      <c r="C222" s="67"/>
      <c r="D222" s="67"/>
      <c r="E222" s="67"/>
      <c r="F222" s="71"/>
      <c r="G222" s="68"/>
      <c r="I222" s="70"/>
      <c r="J222" s="70"/>
      <c r="K222" s="70"/>
      <c r="L222" s="69"/>
      <c r="M222" s="69"/>
      <c r="N222" s="69"/>
      <c r="O222" s="67"/>
      <c r="P222" s="67"/>
      <c r="Q222" s="67"/>
      <c r="R222" s="68"/>
      <c r="S222" s="68"/>
      <c r="T222" s="68"/>
      <c r="U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</row>
    <row r="223" spans="1:38" x14ac:dyDescent="0.3">
      <c r="A223" s="67"/>
      <c r="B223" s="67"/>
      <c r="C223" s="67"/>
      <c r="D223" s="67"/>
      <c r="E223" s="67"/>
      <c r="F223" s="71"/>
      <c r="G223" s="68"/>
      <c r="I223" s="70"/>
      <c r="J223" s="70"/>
      <c r="K223" s="70"/>
      <c r="L223" s="69"/>
      <c r="M223" s="69"/>
      <c r="N223" s="69"/>
      <c r="O223" s="67"/>
      <c r="P223" s="67"/>
      <c r="Q223" s="67"/>
      <c r="R223" s="68"/>
      <c r="S223" s="68"/>
      <c r="T223" s="68"/>
      <c r="U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</row>
    <row r="224" spans="1:38" x14ac:dyDescent="0.3">
      <c r="A224" s="67"/>
      <c r="B224" s="67"/>
      <c r="C224" s="67"/>
      <c r="D224" s="67"/>
      <c r="E224" s="67"/>
      <c r="F224" s="71"/>
      <c r="G224" s="68"/>
      <c r="I224" s="70"/>
      <c r="J224" s="70"/>
      <c r="K224" s="70"/>
      <c r="L224" s="69"/>
      <c r="M224" s="69"/>
      <c r="N224" s="69"/>
      <c r="O224" s="67"/>
      <c r="P224" s="67"/>
      <c r="Q224" s="67"/>
      <c r="R224" s="68"/>
      <c r="S224" s="68"/>
      <c r="T224" s="68"/>
      <c r="U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</row>
    <row r="225" spans="1:38" x14ac:dyDescent="0.3">
      <c r="A225" s="67"/>
      <c r="B225" s="67"/>
      <c r="C225" s="67"/>
      <c r="D225" s="67"/>
      <c r="E225" s="67"/>
      <c r="F225" s="71"/>
      <c r="G225" s="68"/>
      <c r="I225" s="70"/>
      <c r="J225" s="70"/>
      <c r="K225" s="70"/>
      <c r="L225" s="69"/>
      <c r="M225" s="69"/>
      <c r="N225" s="69"/>
      <c r="O225" s="67"/>
      <c r="P225" s="67"/>
      <c r="Q225" s="67"/>
      <c r="R225" s="68"/>
      <c r="S225" s="68"/>
      <c r="T225" s="68"/>
      <c r="U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</row>
    <row r="226" spans="1:38" x14ac:dyDescent="0.3">
      <c r="A226" s="67"/>
      <c r="B226" s="67"/>
      <c r="C226" s="67"/>
      <c r="D226" s="67"/>
      <c r="E226" s="67"/>
      <c r="F226" s="71"/>
      <c r="G226" s="68"/>
      <c r="I226" s="70"/>
      <c r="J226" s="70"/>
      <c r="K226" s="70"/>
      <c r="L226" s="69"/>
      <c r="M226" s="69"/>
      <c r="N226" s="69"/>
      <c r="O226" s="67"/>
      <c r="P226" s="67"/>
      <c r="Q226" s="67"/>
      <c r="R226" s="68"/>
      <c r="S226" s="68"/>
      <c r="T226" s="68"/>
      <c r="U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</row>
    <row r="227" spans="1:38" x14ac:dyDescent="0.3">
      <c r="A227" s="67"/>
      <c r="B227" s="67"/>
      <c r="C227" s="67"/>
      <c r="D227" s="67"/>
      <c r="E227" s="67"/>
      <c r="F227" s="71"/>
      <c r="G227" s="68"/>
      <c r="I227" s="70"/>
      <c r="J227" s="70"/>
      <c r="K227" s="70"/>
      <c r="L227" s="69"/>
      <c r="M227" s="69"/>
      <c r="N227" s="69"/>
      <c r="O227" s="67"/>
      <c r="P227" s="67"/>
      <c r="Q227" s="67"/>
      <c r="R227" s="68"/>
      <c r="S227" s="68"/>
      <c r="T227" s="68"/>
      <c r="U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</row>
    <row r="228" spans="1:38" x14ac:dyDescent="0.3">
      <c r="A228" s="67"/>
      <c r="B228" s="67"/>
      <c r="C228" s="67"/>
      <c r="D228" s="67"/>
      <c r="E228" s="67"/>
      <c r="F228" s="71"/>
      <c r="G228" s="68"/>
      <c r="I228" s="70"/>
      <c r="J228" s="70"/>
      <c r="K228" s="70"/>
      <c r="L228" s="69"/>
      <c r="M228" s="69"/>
      <c r="N228" s="69"/>
      <c r="O228" s="67"/>
      <c r="P228" s="67"/>
      <c r="Q228" s="67"/>
      <c r="R228" s="68"/>
      <c r="S228" s="68"/>
      <c r="T228" s="68"/>
      <c r="U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</row>
    <row r="229" spans="1:38" x14ac:dyDescent="0.3">
      <c r="A229" s="67"/>
      <c r="B229" s="67"/>
      <c r="C229" s="67"/>
      <c r="D229" s="67"/>
      <c r="E229" s="67"/>
      <c r="F229" s="71"/>
      <c r="G229" s="68"/>
      <c r="I229" s="70"/>
      <c r="J229" s="70"/>
      <c r="K229" s="70"/>
      <c r="L229" s="69"/>
      <c r="M229" s="69"/>
      <c r="N229" s="69"/>
      <c r="O229" s="67"/>
      <c r="P229" s="67"/>
      <c r="Q229" s="67"/>
      <c r="R229" s="68"/>
      <c r="S229" s="68"/>
      <c r="T229" s="68"/>
      <c r="U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</row>
    <row r="230" spans="1:38" x14ac:dyDescent="0.3">
      <c r="A230" s="67"/>
      <c r="B230" s="67"/>
      <c r="C230" s="67"/>
      <c r="D230" s="67"/>
      <c r="E230" s="67"/>
      <c r="F230" s="71"/>
      <c r="G230" s="68"/>
      <c r="I230" s="70"/>
      <c r="J230" s="70"/>
      <c r="K230" s="70"/>
      <c r="L230" s="69"/>
      <c r="M230" s="69"/>
      <c r="N230" s="69"/>
      <c r="O230" s="67"/>
      <c r="P230" s="67"/>
      <c r="Q230" s="67"/>
      <c r="R230" s="68"/>
      <c r="S230" s="68"/>
      <c r="T230" s="68"/>
      <c r="U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</row>
    <row r="231" spans="1:38" x14ac:dyDescent="0.3">
      <c r="A231" s="67"/>
      <c r="B231" s="67"/>
      <c r="C231" s="67"/>
      <c r="D231" s="67"/>
      <c r="E231" s="67"/>
      <c r="F231" s="71"/>
      <c r="G231" s="68"/>
      <c r="I231" s="70"/>
      <c r="J231" s="70"/>
      <c r="K231" s="70"/>
      <c r="L231" s="69"/>
      <c r="M231" s="69"/>
      <c r="N231" s="69"/>
      <c r="O231" s="67"/>
      <c r="P231" s="67"/>
      <c r="Q231" s="67"/>
      <c r="R231" s="68"/>
      <c r="S231" s="68"/>
      <c r="T231" s="68"/>
      <c r="U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</row>
    <row r="232" spans="1:38" x14ac:dyDescent="0.3">
      <c r="A232" s="67"/>
      <c r="B232" s="67"/>
      <c r="C232" s="67"/>
      <c r="D232" s="67"/>
      <c r="E232" s="67"/>
      <c r="F232" s="71"/>
      <c r="G232" s="68"/>
      <c r="I232" s="70"/>
      <c r="J232" s="70"/>
      <c r="K232" s="70"/>
      <c r="L232" s="69"/>
      <c r="M232" s="69"/>
      <c r="N232" s="69"/>
      <c r="O232" s="67"/>
      <c r="P232" s="67"/>
      <c r="Q232" s="67"/>
      <c r="R232" s="68"/>
      <c r="S232" s="68"/>
      <c r="T232" s="68"/>
      <c r="U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</row>
    <row r="233" spans="1:38" x14ac:dyDescent="0.3">
      <c r="A233" s="67"/>
      <c r="B233" s="67"/>
      <c r="C233" s="67"/>
      <c r="D233" s="67"/>
      <c r="E233" s="67"/>
      <c r="F233" s="67"/>
      <c r="G233" s="68"/>
      <c r="I233" s="70"/>
      <c r="J233" s="70"/>
      <c r="K233" s="70"/>
      <c r="L233" s="69"/>
      <c r="M233" s="69"/>
      <c r="N233" s="69"/>
      <c r="O233" s="67"/>
      <c r="P233" s="67"/>
      <c r="Q233" s="67"/>
      <c r="R233" s="68"/>
      <c r="S233" s="68"/>
      <c r="T233" s="68"/>
      <c r="U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</row>
    <row r="234" spans="1:38" x14ac:dyDescent="0.3">
      <c r="A234" s="67"/>
      <c r="B234" s="67"/>
      <c r="C234" s="67"/>
      <c r="D234" s="67"/>
      <c r="E234" s="67"/>
      <c r="F234" s="67"/>
      <c r="G234" s="68"/>
      <c r="I234" s="70"/>
      <c r="J234" s="70"/>
      <c r="K234" s="70"/>
      <c r="L234" s="69"/>
      <c r="M234" s="69"/>
      <c r="N234" s="69"/>
      <c r="O234" s="67"/>
      <c r="P234" s="67"/>
      <c r="Q234" s="67"/>
      <c r="R234" s="68"/>
      <c r="S234" s="68"/>
      <c r="T234" s="68"/>
      <c r="U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</row>
    <row r="235" spans="1:38" x14ac:dyDescent="0.3">
      <c r="A235" s="67"/>
      <c r="B235" s="67"/>
      <c r="C235" s="67"/>
      <c r="D235" s="67"/>
      <c r="E235" s="67"/>
      <c r="F235" s="71"/>
      <c r="G235" s="68"/>
      <c r="I235" s="70"/>
      <c r="J235" s="70"/>
      <c r="K235" s="70"/>
      <c r="L235" s="69"/>
      <c r="M235" s="69"/>
      <c r="N235" s="69"/>
      <c r="O235" s="67"/>
      <c r="P235" s="67"/>
      <c r="Q235" s="67"/>
      <c r="R235" s="68"/>
      <c r="S235" s="68"/>
      <c r="T235" s="68"/>
      <c r="U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</row>
    <row r="236" spans="1:38" x14ac:dyDescent="0.3">
      <c r="A236" s="67"/>
      <c r="B236" s="67"/>
      <c r="C236" s="67"/>
      <c r="D236" s="67"/>
      <c r="E236" s="67"/>
      <c r="F236" s="67"/>
      <c r="G236" s="68"/>
      <c r="I236" s="70"/>
      <c r="J236" s="70"/>
      <c r="K236" s="70"/>
      <c r="L236" s="69"/>
      <c r="M236" s="69"/>
      <c r="N236" s="69"/>
      <c r="O236" s="67"/>
      <c r="P236" s="67"/>
      <c r="Q236" s="67"/>
      <c r="R236" s="68"/>
      <c r="S236" s="68"/>
      <c r="T236" s="68"/>
      <c r="U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</row>
    <row r="237" spans="1:38" x14ac:dyDescent="0.3">
      <c r="A237" s="67"/>
      <c r="B237" s="67"/>
      <c r="C237" s="67"/>
      <c r="D237" s="67"/>
      <c r="E237" s="67"/>
      <c r="F237" s="67"/>
      <c r="G237" s="68"/>
      <c r="I237" s="70"/>
      <c r="J237" s="70"/>
      <c r="K237" s="70"/>
      <c r="L237" s="69"/>
      <c r="M237" s="69"/>
      <c r="N237" s="69"/>
      <c r="O237" s="67"/>
      <c r="P237" s="67"/>
      <c r="Q237" s="67"/>
      <c r="R237" s="68"/>
      <c r="S237" s="68"/>
      <c r="T237" s="68"/>
      <c r="U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</row>
    <row r="238" spans="1:38" x14ac:dyDescent="0.3">
      <c r="A238" s="67"/>
      <c r="B238" s="67"/>
      <c r="C238" s="67"/>
      <c r="D238" s="67"/>
      <c r="E238" s="67"/>
      <c r="F238" s="67"/>
      <c r="G238" s="68"/>
      <c r="I238" s="70"/>
      <c r="J238" s="70"/>
      <c r="K238" s="70"/>
      <c r="L238" s="69"/>
      <c r="M238" s="69"/>
      <c r="N238" s="69"/>
      <c r="O238" s="67"/>
      <c r="P238" s="67"/>
      <c r="Q238" s="67"/>
      <c r="R238" s="68"/>
      <c r="S238" s="68"/>
      <c r="T238" s="68"/>
      <c r="U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</row>
    <row r="239" spans="1:38" x14ac:dyDescent="0.3">
      <c r="A239" s="67"/>
      <c r="B239" s="67"/>
      <c r="C239" s="67"/>
      <c r="D239" s="67"/>
      <c r="E239" s="67"/>
      <c r="F239" s="67"/>
      <c r="G239" s="68"/>
      <c r="I239" s="70"/>
      <c r="J239" s="70"/>
      <c r="K239" s="70"/>
      <c r="L239" s="69"/>
      <c r="M239" s="69"/>
      <c r="N239" s="69"/>
      <c r="O239" s="67"/>
      <c r="P239" s="67"/>
      <c r="Q239" s="67"/>
      <c r="R239" s="68"/>
      <c r="S239" s="68"/>
      <c r="T239" s="68"/>
      <c r="U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</row>
    <row r="240" spans="1:38" x14ac:dyDescent="0.3">
      <c r="A240" s="67"/>
      <c r="B240" s="67"/>
      <c r="C240" s="67"/>
      <c r="D240" s="67"/>
      <c r="E240" s="67"/>
      <c r="F240" s="67"/>
      <c r="G240" s="68"/>
      <c r="I240" s="70"/>
      <c r="J240" s="70"/>
      <c r="K240" s="70"/>
      <c r="L240" s="69"/>
      <c r="M240" s="69"/>
      <c r="N240" s="69"/>
      <c r="O240" s="67"/>
      <c r="P240" s="67"/>
      <c r="Q240" s="67"/>
      <c r="R240" s="68"/>
      <c r="S240" s="68"/>
      <c r="T240" s="68"/>
      <c r="U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</row>
    <row r="241" spans="1:38" x14ac:dyDescent="0.3">
      <c r="A241" s="67"/>
      <c r="B241" s="67"/>
      <c r="C241" s="67"/>
      <c r="D241" s="67"/>
      <c r="E241" s="67"/>
      <c r="F241" s="67"/>
      <c r="G241" s="68"/>
      <c r="I241" s="70"/>
      <c r="J241" s="70"/>
      <c r="K241" s="70"/>
      <c r="L241" s="69"/>
      <c r="M241" s="69"/>
      <c r="N241" s="69"/>
      <c r="O241" s="67"/>
      <c r="P241" s="67"/>
      <c r="Q241" s="67"/>
      <c r="R241" s="68"/>
      <c r="S241" s="68"/>
      <c r="T241" s="68"/>
      <c r="U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</row>
    <row r="242" spans="1:38" x14ac:dyDescent="0.3">
      <c r="A242" s="67"/>
      <c r="B242" s="67"/>
      <c r="C242" s="67"/>
      <c r="D242" s="67"/>
      <c r="E242" s="67"/>
      <c r="F242" s="71"/>
      <c r="G242" s="68"/>
      <c r="I242" s="70"/>
      <c r="J242" s="70"/>
      <c r="K242" s="70"/>
      <c r="L242" s="69"/>
      <c r="M242" s="69"/>
      <c r="N242" s="69"/>
      <c r="O242" s="67"/>
      <c r="P242" s="67"/>
      <c r="Q242" s="67"/>
      <c r="R242" s="68"/>
      <c r="S242" s="68"/>
      <c r="T242" s="68"/>
      <c r="U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</row>
    <row r="243" spans="1:38" x14ac:dyDescent="0.3">
      <c r="A243" s="67"/>
      <c r="B243" s="67"/>
      <c r="C243" s="67"/>
      <c r="D243" s="67"/>
      <c r="E243" s="67"/>
      <c r="F243" s="71"/>
      <c r="G243" s="68"/>
      <c r="I243" s="70"/>
      <c r="J243" s="70"/>
      <c r="K243" s="70"/>
      <c r="L243" s="69"/>
      <c r="M243" s="69"/>
      <c r="N243" s="69"/>
      <c r="O243" s="67"/>
      <c r="P243" s="67"/>
      <c r="Q243" s="67"/>
      <c r="R243" s="68"/>
      <c r="S243" s="68"/>
      <c r="T243" s="68"/>
      <c r="U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</row>
    <row r="244" spans="1:38" x14ac:dyDescent="0.3">
      <c r="A244" s="67"/>
      <c r="B244" s="67"/>
      <c r="C244" s="67"/>
      <c r="D244" s="67"/>
      <c r="E244" s="67"/>
      <c r="F244" s="71"/>
      <c r="G244" s="68"/>
      <c r="I244" s="70"/>
      <c r="J244" s="70"/>
      <c r="K244" s="70"/>
      <c r="L244" s="69"/>
      <c r="M244" s="69"/>
      <c r="N244" s="69"/>
      <c r="O244" s="67"/>
      <c r="P244" s="67"/>
      <c r="Q244" s="67"/>
      <c r="R244" s="68"/>
      <c r="S244" s="68"/>
      <c r="T244" s="68"/>
      <c r="U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</row>
    <row r="245" spans="1:38" x14ac:dyDescent="0.3">
      <c r="A245" s="67"/>
      <c r="B245" s="67"/>
      <c r="C245" s="67"/>
      <c r="D245" s="67"/>
      <c r="E245" s="67"/>
      <c r="F245" s="71"/>
      <c r="G245" s="68"/>
      <c r="I245" s="70"/>
      <c r="J245" s="70"/>
      <c r="K245" s="70"/>
      <c r="L245" s="69"/>
      <c r="M245" s="69"/>
      <c r="N245" s="69"/>
      <c r="O245" s="67"/>
      <c r="P245" s="67"/>
      <c r="Q245" s="67"/>
      <c r="R245" s="68"/>
      <c r="S245" s="68"/>
      <c r="T245" s="68"/>
      <c r="U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</row>
    <row r="246" spans="1:38" x14ac:dyDescent="0.3">
      <c r="A246" s="67"/>
      <c r="B246" s="67"/>
      <c r="C246" s="67"/>
      <c r="D246" s="67"/>
      <c r="E246" s="67"/>
      <c r="F246" s="71"/>
      <c r="G246" s="68"/>
      <c r="I246" s="70"/>
      <c r="J246" s="70"/>
      <c r="K246" s="70"/>
      <c r="L246" s="69"/>
      <c r="M246" s="69"/>
      <c r="N246" s="69"/>
      <c r="O246" s="67"/>
      <c r="P246" s="67"/>
      <c r="Q246" s="67"/>
      <c r="R246" s="68"/>
      <c r="S246" s="68"/>
      <c r="T246" s="68"/>
      <c r="U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</row>
    <row r="247" spans="1:38" x14ac:dyDescent="0.3">
      <c r="A247" s="67"/>
      <c r="B247" s="67"/>
      <c r="C247" s="67"/>
      <c r="D247" s="67"/>
      <c r="E247" s="67"/>
      <c r="F247" s="71"/>
      <c r="G247" s="68"/>
      <c r="I247" s="70"/>
      <c r="J247" s="70"/>
      <c r="K247" s="70"/>
      <c r="L247" s="69"/>
      <c r="M247" s="69"/>
      <c r="N247" s="69"/>
      <c r="O247" s="67"/>
      <c r="P247" s="67"/>
      <c r="Q247" s="67"/>
      <c r="R247" s="68"/>
      <c r="S247" s="68"/>
      <c r="T247" s="68"/>
      <c r="U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</row>
    <row r="248" spans="1:38" x14ac:dyDescent="0.3">
      <c r="A248" s="67"/>
      <c r="B248" s="67"/>
      <c r="C248" s="67"/>
      <c r="D248" s="67"/>
      <c r="E248" s="67"/>
      <c r="F248" s="71"/>
      <c r="G248" s="68"/>
      <c r="I248" s="70"/>
      <c r="J248" s="70"/>
      <c r="K248" s="70"/>
      <c r="L248" s="69"/>
      <c r="M248" s="69"/>
      <c r="N248" s="69"/>
      <c r="O248" s="67"/>
      <c r="P248" s="67"/>
      <c r="Q248" s="67"/>
      <c r="R248" s="68"/>
      <c r="S248" s="68"/>
      <c r="T248" s="68"/>
      <c r="U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</row>
    <row r="249" spans="1:38" x14ac:dyDescent="0.3">
      <c r="A249" s="67"/>
      <c r="B249" s="67"/>
      <c r="C249" s="67"/>
      <c r="D249" s="67"/>
      <c r="E249" s="67"/>
      <c r="F249" s="71"/>
      <c r="G249" s="68"/>
      <c r="I249" s="70"/>
      <c r="J249" s="70"/>
      <c r="K249" s="70"/>
      <c r="L249" s="69"/>
      <c r="M249" s="69"/>
      <c r="N249" s="69"/>
      <c r="O249" s="67"/>
      <c r="P249" s="67"/>
      <c r="Q249" s="67"/>
      <c r="R249" s="68"/>
      <c r="S249" s="68"/>
      <c r="T249" s="68"/>
      <c r="U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</row>
    <row r="250" spans="1:38" x14ac:dyDescent="0.3">
      <c r="A250" s="67"/>
      <c r="B250" s="67"/>
      <c r="C250" s="67"/>
      <c r="D250" s="67"/>
      <c r="E250" s="67"/>
      <c r="F250" s="71"/>
      <c r="G250" s="68"/>
      <c r="I250" s="70"/>
      <c r="J250" s="70"/>
      <c r="K250" s="70"/>
      <c r="L250" s="69"/>
      <c r="M250" s="69"/>
      <c r="N250" s="69"/>
      <c r="O250" s="67"/>
      <c r="P250" s="67"/>
      <c r="Q250" s="67"/>
      <c r="R250" s="68"/>
      <c r="S250" s="68"/>
      <c r="T250" s="68"/>
      <c r="U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</row>
    <row r="251" spans="1:38" x14ac:dyDescent="0.3">
      <c r="A251" s="67"/>
      <c r="B251" s="67"/>
      <c r="C251" s="67"/>
      <c r="D251" s="67"/>
      <c r="E251" s="67"/>
      <c r="F251" s="71"/>
      <c r="G251" s="68"/>
      <c r="I251" s="70"/>
      <c r="J251" s="70"/>
      <c r="K251" s="70"/>
      <c r="L251" s="69"/>
      <c r="M251" s="69"/>
      <c r="N251" s="69"/>
      <c r="O251" s="67"/>
      <c r="P251" s="67"/>
      <c r="Q251" s="67"/>
      <c r="R251" s="68"/>
      <c r="S251" s="68"/>
      <c r="T251" s="68"/>
      <c r="U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</row>
    <row r="252" spans="1:38" x14ac:dyDescent="0.3">
      <c r="A252" s="67"/>
      <c r="B252" s="67"/>
      <c r="C252" s="67"/>
      <c r="D252" s="67"/>
      <c r="E252" s="67"/>
      <c r="F252" s="67"/>
      <c r="G252" s="68"/>
      <c r="I252" s="70"/>
      <c r="J252" s="70"/>
      <c r="K252" s="70"/>
      <c r="L252" s="69"/>
      <c r="M252" s="69"/>
      <c r="N252" s="69"/>
      <c r="O252" s="67"/>
      <c r="P252" s="67"/>
      <c r="Q252" s="67"/>
      <c r="R252" s="68"/>
      <c r="S252" s="68"/>
      <c r="T252" s="68"/>
      <c r="U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</row>
    <row r="253" spans="1:38" x14ac:dyDescent="0.3">
      <c r="A253" s="67"/>
      <c r="B253" s="67"/>
      <c r="C253" s="67"/>
      <c r="D253" s="67"/>
      <c r="E253" s="67"/>
      <c r="F253" s="67"/>
      <c r="G253" s="68"/>
      <c r="I253" s="70"/>
      <c r="J253" s="70"/>
      <c r="K253" s="70"/>
      <c r="L253" s="69"/>
      <c r="M253" s="69"/>
      <c r="N253" s="69"/>
      <c r="O253" s="67"/>
      <c r="P253" s="67"/>
      <c r="Q253" s="67"/>
      <c r="R253" s="68"/>
      <c r="S253" s="68"/>
      <c r="T253" s="68"/>
      <c r="U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</row>
    <row r="254" spans="1:38" x14ac:dyDescent="0.3">
      <c r="A254" s="67"/>
      <c r="B254" s="67"/>
      <c r="C254" s="67"/>
      <c r="D254" s="67"/>
      <c r="E254" s="67"/>
      <c r="F254" s="67"/>
      <c r="G254" s="68"/>
      <c r="I254" s="70"/>
      <c r="J254" s="70"/>
      <c r="K254" s="70"/>
      <c r="L254" s="69"/>
      <c r="M254" s="69"/>
      <c r="N254" s="69"/>
      <c r="O254" s="67"/>
      <c r="P254" s="67"/>
      <c r="Q254" s="67"/>
      <c r="R254" s="68"/>
      <c r="S254" s="68"/>
      <c r="T254" s="68"/>
      <c r="U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</row>
    <row r="255" spans="1:38" x14ac:dyDescent="0.3">
      <c r="A255" s="67"/>
      <c r="B255" s="67"/>
      <c r="C255" s="67"/>
      <c r="D255" s="67"/>
      <c r="E255" s="67"/>
      <c r="F255" s="67"/>
      <c r="G255" s="68"/>
      <c r="I255" s="70"/>
      <c r="J255" s="70"/>
      <c r="K255" s="70"/>
      <c r="L255" s="69"/>
      <c r="M255" s="69"/>
      <c r="N255" s="69"/>
      <c r="O255" s="67"/>
      <c r="P255" s="67"/>
      <c r="Q255" s="67"/>
      <c r="R255" s="68"/>
      <c r="S255" s="68"/>
      <c r="T255" s="68"/>
      <c r="U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</row>
    <row r="256" spans="1:38" x14ac:dyDescent="0.3">
      <c r="A256" s="67"/>
      <c r="B256" s="67"/>
      <c r="C256" s="67"/>
      <c r="D256" s="67"/>
      <c r="E256" s="67"/>
      <c r="F256" s="67"/>
      <c r="G256" s="68"/>
      <c r="I256" s="70"/>
      <c r="J256" s="70"/>
      <c r="K256" s="70"/>
      <c r="L256" s="69"/>
      <c r="M256" s="69"/>
      <c r="N256" s="69"/>
      <c r="O256" s="67"/>
      <c r="P256" s="67"/>
      <c r="Q256" s="67"/>
      <c r="R256" s="68"/>
      <c r="S256" s="68"/>
      <c r="T256" s="68"/>
      <c r="U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</row>
    <row r="257" spans="1:38" x14ac:dyDescent="0.3">
      <c r="A257" s="67"/>
      <c r="B257" s="67"/>
      <c r="C257" s="67"/>
      <c r="D257" s="67"/>
      <c r="E257" s="67"/>
      <c r="F257" s="67"/>
      <c r="G257" s="68"/>
      <c r="I257" s="70"/>
      <c r="J257" s="70"/>
      <c r="K257" s="70"/>
      <c r="L257" s="69"/>
      <c r="M257" s="69"/>
      <c r="N257" s="69"/>
      <c r="O257" s="67"/>
      <c r="P257" s="67"/>
      <c r="Q257" s="67"/>
      <c r="R257" s="68"/>
      <c r="S257" s="68"/>
      <c r="T257" s="68"/>
      <c r="U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</row>
    <row r="258" spans="1:38" x14ac:dyDescent="0.3">
      <c r="A258" s="67"/>
      <c r="B258" s="67"/>
      <c r="C258" s="67"/>
      <c r="D258" s="67"/>
      <c r="E258" s="67"/>
      <c r="F258" s="67"/>
      <c r="G258" s="68"/>
      <c r="I258" s="70"/>
      <c r="J258" s="70"/>
      <c r="K258" s="70"/>
      <c r="L258" s="69"/>
      <c r="M258" s="69"/>
      <c r="N258" s="69"/>
      <c r="O258" s="67"/>
      <c r="P258" s="67"/>
      <c r="Q258" s="67"/>
      <c r="R258" s="68"/>
      <c r="S258" s="68"/>
      <c r="T258" s="68"/>
      <c r="U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</row>
    <row r="259" spans="1:38" x14ac:dyDescent="0.3">
      <c r="A259" s="67"/>
      <c r="B259" s="67"/>
      <c r="C259" s="67"/>
      <c r="D259" s="67"/>
      <c r="E259" s="67"/>
      <c r="F259" s="67"/>
      <c r="G259" s="68"/>
      <c r="I259" s="70"/>
      <c r="J259" s="70"/>
      <c r="K259" s="70"/>
      <c r="L259" s="69"/>
      <c r="M259" s="69"/>
      <c r="N259" s="69"/>
      <c r="O259" s="67"/>
      <c r="P259" s="67"/>
      <c r="Q259" s="67"/>
      <c r="R259" s="68"/>
      <c r="S259" s="68"/>
      <c r="T259" s="68"/>
      <c r="U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</row>
    <row r="260" spans="1:38" x14ac:dyDescent="0.3">
      <c r="A260" s="67"/>
      <c r="B260" s="67"/>
      <c r="C260" s="67"/>
      <c r="D260" s="67"/>
      <c r="E260" s="67"/>
      <c r="F260" s="71"/>
      <c r="G260" s="68"/>
      <c r="I260" s="70"/>
      <c r="J260" s="70"/>
      <c r="K260" s="70"/>
      <c r="L260" s="69"/>
      <c r="M260" s="69"/>
      <c r="N260" s="69"/>
      <c r="O260" s="67"/>
      <c r="P260" s="67"/>
      <c r="Q260" s="67"/>
      <c r="R260" s="68"/>
      <c r="S260" s="68"/>
      <c r="T260" s="68"/>
      <c r="U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</row>
    <row r="261" spans="1:38" x14ac:dyDescent="0.3">
      <c r="A261" s="67"/>
      <c r="B261" s="67"/>
      <c r="C261" s="67"/>
      <c r="D261" s="67"/>
      <c r="E261" s="67"/>
      <c r="F261" s="71"/>
      <c r="G261" s="68"/>
      <c r="I261" s="70"/>
      <c r="J261" s="70"/>
      <c r="K261" s="70"/>
      <c r="L261" s="69"/>
      <c r="M261" s="69"/>
      <c r="N261" s="69"/>
      <c r="O261" s="67"/>
      <c r="P261" s="67"/>
      <c r="Q261" s="67"/>
      <c r="R261" s="68"/>
      <c r="S261" s="68"/>
      <c r="T261" s="68"/>
      <c r="U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</row>
    <row r="262" spans="1:38" x14ac:dyDescent="0.3">
      <c r="A262" s="67"/>
      <c r="B262" s="67"/>
      <c r="C262" s="67"/>
      <c r="D262" s="67"/>
      <c r="E262" s="67"/>
      <c r="F262" s="71"/>
      <c r="G262" s="68"/>
      <c r="I262" s="70"/>
      <c r="J262" s="70"/>
      <c r="K262" s="70"/>
      <c r="L262" s="69"/>
      <c r="M262" s="69"/>
      <c r="N262" s="69"/>
      <c r="O262" s="67"/>
      <c r="P262" s="67"/>
      <c r="Q262" s="67"/>
      <c r="R262" s="68"/>
      <c r="S262" s="68"/>
      <c r="T262" s="68"/>
      <c r="U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</row>
    <row r="263" spans="1:38" x14ac:dyDescent="0.3">
      <c r="A263" s="67"/>
      <c r="B263" s="67"/>
      <c r="C263" s="67"/>
      <c r="D263" s="67"/>
      <c r="E263" s="67"/>
      <c r="F263" s="71"/>
      <c r="G263" s="68"/>
      <c r="I263" s="70"/>
      <c r="J263" s="70"/>
      <c r="K263" s="70"/>
      <c r="L263" s="69"/>
      <c r="M263" s="69"/>
      <c r="N263" s="69"/>
      <c r="O263" s="67"/>
      <c r="P263" s="67"/>
      <c r="Q263" s="67"/>
      <c r="R263" s="68"/>
      <c r="S263" s="68"/>
      <c r="T263" s="68"/>
      <c r="U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</row>
    <row r="264" spans="1:38" x14ac:dyDescent="0.3">
      <c r="A264" s="67"/>
      <c r="B264" s="67"/>
      <c r="C264" s="67"/>
      <c r="D264" s="67"/>
      <c r="E264" s="67"/>
      <c r="F264" s="71"/>
      <c r="G264" s="68"/>
      <c r="I264" s="70"/>
      <c r="J264" s="70"/>
      <c r="K264" s="70"/>
      <c r="L264" s="69"/>
      <c r="M264" s="69"/>
      <c r="N264" s="69"/>
      <c r="O264" s="67"/>
      <c r="P264" s="67"/>
      <c r="Q264" s="67"/>
      <c r="R264" s="68"/>
      <c r="S264" s="68"/>
      <c r="T264" s="68"/>
      <c r="U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</row>
    <row r="265" spans="1:38" x14ac:dyDescent="0.3">
      <c r="A265" s="67"/>
      <c r="B265" s="67"/>
      <c r="C265" s="67"/>
      <c r="D265" s="67"/>
      <c r="E265" s="67"/>
      <c r="F265" s="71"/>
      <c r="G265" s="68"/>
      <c r="I265" s="70"/>
      <c r="J265" s="70"/>
      <c r="K265" s="70"/>
      <c r="L265" s="69"/>
      <c r="M265" s="69"/>
      <c r="N265" s="69"/>
      <c r="O265" s="67"/>
      <c r="P265" s="67"/>
      <c r="Q265" s="67"/>
      <c r="R265" s="68"/>
      <c r="S265" s="68"/>
      <c r="T265" s="68"/>
      <c r="U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</row>
    <row r="266" spans="1:38" x14ac:dyDescent="0.3">
      <c r="A266" s="67"/>
      <c r="B266" s="67"/>
      <c r="C266" s="67"/>
      <c r="D266" s="67"/>
      <c r="E266" s="67"/>
      <c r="F266" s="71"/>
      <c r="G266" s="68"/>
      <c r="I266" s="70"/>
      <c r="J266" s="70"/>
      <c r="K266" s="70"/>
      <c r="L266" s="69"/>
      <c r="M266" s="69"/>
      <c r="N266" s="69"/>
      <c r="O266" s="67"/>
      <c r="P266" s="67"/>
      <c r="Q266" s="67"/>
      <c r="R266" s="68"/>
      <c r="S266" s="68"/>
      <c r="T266" s="68"/>
      <c r="U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</row>
    <row r="267" spans="1:38" x14ac:dyDescent="0.3">
      <c r="A267" s="67"/>
      <c r="B267" s="67"/>
      <c r="C267" s="67"/>
      <c r="D267" s="67"/>
      <c r="E267" s="67"/>
      <c r="F267" s="71"/>
      <c r="G267" s="68"/>
      <c r="I267" s="70"/>
      <c r="J267" s="70"/>
      <c r="K267" s="70"/>
      <c r="L267" s="69"/>
      <c r="M267" s="69"/>
      <c r="N267" s="69"/>
      <c r="O267" s="67"/>
      <c r="P267" s="67"/>
      <c r="Q267" s="67"/>
      <c r="R267" s="68"/>
      <c r="S267" s="68"/>
      <c r="T267" s="68"/>
      <c r="U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</row>
    <row r="268" spans="1:38" x14ac:dyDescent="0.3">
      <c r="A268" s="67"/>
      <c r="B268" s="67"/>
      <c r="C268" s="67"/>
      <c r="D268" s="67"/>
      <c r="E268" s="67"/>
      <c r="F268" s="71"/>
      <c r="G268" s="68"/>
      <c r="I268" s="70"/>
      <c r="J268" s="70"/>
      <c r="K268" s="70"/>
      <c r="L268" s="69"/>
      <c r="M268" s="69"/>
      <c r="N268" s="69"/>
      <c r="O268" s="67"/>
      <c r="P268" s="67"/>
      <c r="Q268" s="67"/>
      <c r="R268" s="68"/>
      <c r="S268" s="68"/>
      <c r="T268" s="68"/>
      <c r="U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</row>
    <row r="269" spans="1:38" x14ac:dyDescent="0.3">
      <c r="A269" s="67"/>
      <c r="B269" s="67"/>
      <c r="C269" s="67"/>
      <c r="D269" s="67"/>
      <c r="E269" s="67"/>
      <c r="F269" s="71"/>
      <c r="G269" s="68"/>
      <c r="I269" s="70"/>
      <c r="J269" s="70"/>
      <c r="K269" s="70"/>
      <c r="L269" s="69"/>
      <c r="M269" s="69"/>
      <c r="N269" s="69"/>
      <c r="O269" s="67"/>
      <c r="P269" s="67"/>
      <c r="Q269" s="67"/>
      <c r="R269" s="68"/>
      <c r="S269" s="68"/>
      <c r="T269" s="68"/>
      <c r="U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</row>
    <row r="270" spans="1:38" x14ac:dyDescent="0.3">
      <c r="A270" s="67"/>
      <c r="B270" s="67"/>
      <c r="C270" s="67"/>
      <c r="D270" s="67"/>
      <c r="E270" s="67"/>
      <c r="F270" s="71"/>
      <c r="G270" s="68"/>
      <c r="I270" s="70"/>
      <c r="J270" s="70"/>
      <c r="K270" s="70"/>
      <c r="L270" s="69"/>
      <c r="M270" s="69"/>
      <c r="N270" s="69"/>
      <c r="O270" s="67"/>
      <c r="P270" s="67"/>
      <c r="Q270" s="67"/>
      <c r="R270" s="68"/>
      <c r="S270" s="68"/>
      <c r="T270" s="68"/>
      <c r="U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</row>
    <row r="271" spans="1:38" x14ac:dyDescent="0.3">
      <c r="A271" s="67"/>
      <c r="B271" s="67"/>
      <c r="C271" s="67"/>
      <c r="D271" s="67"/>
      <c r="E271" s="67"/>
      <c r="F271" s="71"/>
      <c r="G271" s="68"/>
      <c r="I271" s="70"/>
      <c r="J271" s="70"/>
      <c r="K271" s="70"/>
      <c r="L271" s="69"/>
      <c r="M271" s="69"/>
      <c r="N271" s="69"/>
      <c r="O271" s="67"/>
      <c r="P271" s="67"/>
      <c r="Q271" s="67"/>
      <c r="R271" s="68"/>
      <c r="S271" s="68"/>
      <c r="T271" s="68"/>
      <c r="U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</row>
    <row r="272" spans="1:38" x14ac:dyDescent="0.3">
      <c r="A272" s="67"/>
      <c r="B272" s="67"/>
      <c r="C272" s="67"/>
      <c r="D272" s="67"/>
      <c r="E272" s="67"/>
      <c r="F272" s="71"/>
      <c r="G272" s="68"/>
      <c r="I272" s="70"/>
      <c r="J272" s="70"/>
      <c r="K272" s="70"/>
      <c r="L272" s="69"/>
      <c r="M272" s="69"/>
      <c r="N272" s="69"/>
      <c r="O272" s="67"/>
      <c r="P272" s="67"/>
      <c r="Q272" s="67"/>
      <c r="R272" s="68"/>
      <c r="S272" s="68"/>
      <c r="T272" s="68"/>
      <c r="U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</row>
    <row r="273" spans="1:38" x14ac:dyDescent="0.3">
      <c r="A273" s="67"/>
      <c r="B273" s="67"/>
      <c r="C273" s="67"/>
      <c r="D273" s="67"/>
      <c r="E273" s="67"/>
      <c r="F273" s="71"/>
      <c r="G273" s="68"/>
      <c r="I273" s="70"/>
      <c r="J273" s="70"/>
      <c r="K273" s="70"/>
      <c r="L273" s="69"/>
      <c r="M273" s="69"/>
      <c r="N273" s="69"/>
      <c r="O273" s="67"/>
      <c r="P273" s="67"/>
      <c r="Q273" s="67"/>
      <c r="R273" s="68"/>
      <c r="S273" s="68"/>
      <c r="T273" s="68"/>
      <c r="U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</row>
    <row r="274" spans="1:38" x14ac:dyDescent="0.3">
      <c r="A274" s="67"/>
      <c r="B274" s="67"/>
      <c r="C274" s="67"/>
      <c r="D274" s="67"/>
      <c r="E274" s="67"/>
      <c r="F274" s="71"/>
      <c r="G274" s="68"/>
      <c r="I274" s="70"/>
      <c r="J274" s="70"/>
      <c r="K274" s="70"/>
      <c r="L274" s="69"/>
      <c r="M274" s="69"/>
      <c r="N274" s="69"/>
      <c r="O274" s="67"/>
      <c r="P274" s="67"/>
      <c r="Q274" s="67"/>
      <c r="R274" s="68"/>
      <c r="S274" s="68"/>
      <c r="T274" s="68"/>
      <c r="U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</row>
    <row r="275" spans="1:38" x14ac:dyDescent="0.3">
      <c r="A275" s="67"/>
      <c r="B275" s="67"/>
      <c r="C275" s="67"/>
      <c r="D275" s="67"/>
      <c r="E275" s="67"/>
      <c r="F275" s="71"/>
      <c r="G275" s="68"/>
      <c r="I275" s="70"/>
      <c r="J275" s="70"/>
      <c r="K275" s="70"/>
      <c r="L275" s="69"/>
      <c r="M275" s="69"/>
      <c r="N275" s="69"/>
      <c r="O275" s="67"/>
      <c r="P275" s="67"/>
      <c r="Q275" s="67"/>
      <c r="R275" s="68"/>
      <c r="S275" s="68"/>
      <c r="T275" s="68"/>
      <c r="U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</row>
    <row r="276" spans="1:38" x14ac:dyDescent="0.3">
      <c r="A276" s="67"/>
      <c r="B276" s="67"/>
      <c r="C276" s="67"/>
      <c r="D276" s="67"/>
      <c r="E276" s="67"/>
      <c r="F276" s="71"/>
      <c r="G276" s="68"/>
      <c r="I276" s="70"/>
      <c r="J276" s="70"/>
      <c r="K276" s="70"/>
      <c r="L276" s="69"/>
      <c r="M276" s="69"/>
      <c r="N276" s="69"/>
      <c r="O276" s="67"/>
      <c r="P276" s="67"/>
      <c r="Q276" s="67"/>
      <c r="R276" s="68"/>
      <c r="S276" s="68"/>
      <c r="T276" s="68"/>
      <c r="U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</row>
    <row r="277" spans="1:38" x14ac:dyDescent="0.3">
      <c r="A277" s="67"/>
      <c r="B277" s="67"/>
      <c r="C277" s="67"/>
      <c r="D277" s="67"/>
      <c r="E277" s="67"/>
      <c r="F277" s="71"/>
      <c r="G277" s="68"/>
      <c r="I277" s="70"/>
      <c r="J277" s="70"/>
      <c r="K277" s="70"/>
      <c r="L277" s="69"/>
      <c r="M277" s="69"/>
      <c r="N277" s="69"/>
      <c r="O277" s="67"/>
      <c r="P277" s="67"/>
      <c r="Q277" s="67"/>
      <c r="R277" s="68"/>
      <c r="S277" s="68"/>
      <c r="T277" s="68"/>
      <c r="U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</row>
    <row r="278" spans="1:38" x14ac:dyDescent="0.3">
      <c r="A278" s="67"/>
      <c r="B278" s="67"/>
      <c r="C278" s="67"/>
      <c r="D278" s="67"/>
      <c r="E278" s="67"/>
      <c r="F278" s="71"/>
      <c r="G278" s="68"/>
      <c r="I278" s="70"/>
      <c r="J278" s="70"/>
      <c r="K278" s="70"/>
      <c r="L278" s="69"/>
      <c r="M278" s="69"/>
      <c r="N278" s="69"/>
      <c r="O278" s="67"/>
      <c r="P278" s="67"/>
      <c r="Q278" s="67"/>
      <c r="R278" s="68"/>
      <c r="S278" s="68"/>
      <c r="T278" s="68"/>
      <c r="U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</row>
    <row r="279" spans="1:38" x14ac:dyDescent="0.3">
      <c r="A279" s="67"/>
      <c r="B279" s="67"/>
      <c r="C279" s="67"/>
      <c r="D279" s="67"/>
      <c r="E279" s="67"/>
      <c r="F279" s="71"/>
      <c r="G279" s="68"/>
      <c r="I279" s="70"/>
      <c r="J279" s="70"/>
      <c r="K279" s="70"/>
      <c r="L279" s="69"/>
      <c r="M279" s="69"/>
      <c r="N279" s="69"/>
      <c r="O279" s="67"/>
      <c r="P279" s="67"/>
      <c r="Q279" s="67"/>
      <c r="R279" s="68"/>
      <c r="S279" s="68"/>
      <c r="T279" s="68"/>
      <c r="U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</row>
    <row r="280" spans="1:38" x14ac:dyDescent="0.3">
      <c r="A280" s="67"/>
      <c r="B280" s="67"/>
      <c r="C280" s="67"/>
      <c r="D280" s="67"/>
      <c r="E280" s="67"/>
      <c r="F280" s="71"/>
      <c r="G280" s="68"/>
      <c r="I280" s="70"/>
      <c r="J280" s="70"/>
      <c r="K280" s="70"/>
      <c r="L280" s="69"/>
      <c r="M280" s="69"/>
      <c r="N280" s="69"/>
      <c r="O280" s="67"/>
      <c r="P280" s="67"/>
      <c r="Q280" s="67"/>
      <c r="R280" s="68"/>
      <c r="S280" s="68"/>
      <c r="T280" s="68"/>
      <c r="U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</row>
    <row r="281" spans="1:38" x14ac:dyDescent="0.3">
      <c r="A281" s="67"/>
      <c r="B281" s="67"/>
      <c r="C281" s="67"/>
      <c r="D281" s="67"/>
      <c r="E281" s="67"/>
      <c r="F281" s="71"/>
      <c r="G281" s="68"/>
      <c r="I281" s="70"/>
      <c r="J281" s="70"/>
      <c r="K281" s="70"/>
      <c r="L281" s="69"/>
      <c r="M281" s="69"/>
      <c r="N281" s="69"/>
      <c r="O281" s="67"/>
      <c r="P281" s="67"/>
      <c r="Q281" s="67"/>
      <c r="R281" s="68"/>
      <c r="S281" s="68"/>
      <c r="T281" s="68"/>
      <c r="U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</row>
    <row r="282" spans="1:38" x14ac:dyDescent="0.3">
      <c r="A282" s="67"/>
      <c r="B282" s="67"/>
      <c r="C282" s="67"/>
      <c r="D282" s="67"/>
      <c r="E282" s="67"/>
      <c r="F282" s="71"/>
      <c r="G282" s="68"/>
      <c r="I282" s="70"/>
      <c r="J282" s="70"/>
      <c r="K282" s="70"/>
      <c r="L282" s="69"/>
      <c r="M282" s="69"/>
      <c r="N282" s="69"/>
      <c r="O282" s="67"/>
      <c r="P282" s="67"/>
      <c r="Q282" s="67"/>
      <c r="R282" s="68"/>
      <c r="S282" s="68"/>
      <c r="T282" s="68"/>
      <c r="U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</row>
    <row r="283" spans="1:38" x14ac:dyDescent="0.3">
      <c r="A283" s="67"/>
      <c r="B283" s="67"/>
      <c r="C283" s="67"/>
      <c r="D283" s="67"/>
      <c r="E283" s="67"/>
      <c r="F283" s="71"/>
      <c r="G283" s="68"/>
      <c r="I283" s="70"/>
      <c r="J283" s="70"/>
      <c r="K283" s="70"/>
      <c r="L283" s="69"/>
      <c r="M283" s="69"/>
      <c r="N283" s="69"/>
      <c r="O283" s="67"/>
      <c r="P283" s="67"/>
      <c r="Q283" s="67"/>
      <c r="R283" s="68"/>
      <c r="S283" s="68"/>
      <c r="T283" s="68"/>
      <c r="U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</row>
    <row r="284" spans="1:38" x14ac:dyDescent="0.3">
      <c r="A284" s="67"/>
      <c r="B284" s="67"/>
      <c r="C284" s="67"/>
      <c r="D284" s="67"/>
      <c r="E284" s="67"/>
      <c r="F284" s="67"/>
      <c r="G284" s="68"/>
      <c r="I284" s="70"/>
      <c r="J284" s="70"/>
      <c r="K284" s="70"/>
      <c r="L284" s="69"/>
      <c r="M284" s="69"/>
      <c r="N284" s="69"/>
      <c r="O284" s="67"/>
      <c r="P284" s="67"/>
      <c r="Q284" s="67"/>
      <c r="R284" s="68"/>
      <c r="S284" s="68"/>
      <c r="T284" s="68"/>
      <c r="U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</row>
    <row r="285" spans="1:38" x14ac:dyDescent="0.3">
      <c r="A285" s="67"/>
      <c r="B285" s="67"/>
      <c r="C285" s="67"/>
      <c r="D285" s="67"/>
      <c r="E285" s="67"/>
      <c r="F285" s="67"/>
      <c r="G285" s="68"/>
      <c r="I285" s="70"/>
      <c r="J285" s="70"/>
      <c r="K285" s="70"/>
      <c r="L285" s="69"/>
      <c r="M285" s="69"/>
      <c r="N285" s="69"/>
      <c r="O285" s="67"/>
      <c r="P285" s="67"/>
      <c r="Q285" s="67"/>
      <c r="R285" s="68"/>
      <c r="S285" s="68"/>
      <c r="T285" s="68"/>
      <c r="U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</row>
    <row r="286" spans="1:38" x14ac:dyDescent="0.3">
      <c r="A286" s="67"/>
      <c r="B286" s="67"/>
      <c r="C286" s="67"/>
      <c r="D286" s="67"/>
      <c r="E286" s="67"/>
      <c r="F286" s="67"/>
      <c r="G286" s="68"/>
      <c r="I286" s="70"/>
      <c r="J286" s="70"/>
      <c r="K286" s="70"/>
      <c r="L286" s="69"/>
      <c r="M286" s="69"/>
      <c r="N286" s="69"/>
      <c r="O286" s="67"/>
      <c r="P286" s="67"/>
      <c r="Q286" s="67"/>
      <c r="R286" s="68"/>
      <c r="S286" s="68"/>
      <c r="T286" s="68"/>
      <c r="U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</row>
    <row r="287" spans="1:38" x14ac:dyDescent="0.3">
      <c r="A287" s="67"/>
      <c r="B287" s="67"/>
      <c r="C287" s="67"/>
      <c r="D287" s="67"/>
      <c r="E287" s="67"/>
      <c r="F287" s="67"/>
      <c r="G287" s="68"/>
      <c r="I287" s="70"/>
      <c r="J287" s="70"/>
      <c r="K287" s="70"/>
      <c r="L287" s="69"/>
      <c r="M287" s="69"/>
      <c r="N287" s="69"/>
      <c r="O287" s="67"/>
      <c r="P287" s="67"/>
      <c r="Q287" s="67"/>
      <c r="R287" s="68"/>
      <c r="S287" s="68"/>
      <c r="T287" s="68"/>
      <c r="U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</row>
    <row r="288" spans="1:38" x14ac:dyDescent="0.3">
      <c r="A288" s="67"/>
      <c r="B288" s="67"/>
      <c r="C288" s="67"/>
      <c r="D288" s="67"/>
      <c r="E288" s="67"/>
      <c r="F288" s="67"/>
      <c r="G288" s="68"/>
      <c r="I288" s="70"/>
      <c r="J288" s="70"/>
      <c r="K288" s="70"/>
      <c r="L288" s="69"/>
      <c r="M288" s="69"/>
      <c r="N288" s="69"/>
      <c r="O288" s="67"/>
      <c r="P288" s="67"/>
      <c r="Q288" s="67"/>
      <c r="R288" s="68"/>
      <c r="S288" s="68"/>
      <c r="T288" s="68"/>
      <c r="U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</row>
    <row r="289" spans="1:38" x14ac:dyDescent="0.3">
      <c r="A289" s="67"/>
      <c r="B289" s="67"/>
      <c r="C289" s="67"/>
      <c r="D289" s="67"/>
      <c r="E289" s="67"/>
      <c r="F289" s="67"/>
      <c r="G289" s="68"/>
      <c r="I289" s="70"/>
      <c r="J289" s="70"/>
      <c r="K289" s="70"/>
      <c r="L289" s="69"/>
      <c r="M289" s="69"/>
      <c r="N289" s="69"/>
      <c r="O289" s="67"/>
      <c r="P289" s="67"/>
      <c r="Q289" s="67"/>
      <c r="R289" s="68"/>
      <c r="S289" s="68"/>
      <c r="T289" s="68"/>
      <c r="U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</row>
    <row r="290" spans="1:38" x14ac:dyDescent="0.3">
      <c r="A290" s="67"/>
      <c r="B290" s="67"/>
      <c r="C290" s="67"/>
      <c r="D290" s="67"/>
      <c r="E290" s="67"/>
      <c r="F290" s="67"/>
      <c r="G290" s="68"/>
      <c r="I290" s="70"/>
      <c r="J290" s="70"/>
      <c r="K290" s="70"/>
      <c r="L290" s="69"/>
      <c r="M290" s="69"/>
      <c r="N290" s="69"/>
      <c r="O290" s="67"/>
      <c r="P290" s="67"/>
      <c r="Q290" s="67"/>
      <c r="R290" s="68"/>
      <c r="S290" s="68"/>
      <c r="T290" s="68"/>
      <c r="U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</row>
    <row r="291" spans="1:38" x14ac:dyDescent="0.3">
      <c r="A291" s="67"/>
      <c r="B291" s="67"/>
      <c r="C291" s="67"/>
      <c r="D291" s="67"/>
      <c r="E291" s="67"/>
      <c r="F291" s="71"/>
      <c r="G291" s="68"/>
      <c r="I291" s="70"/>
      <c r="J291" s="70"/>
      <c r="K291" s="70"/>
      <c r="L291" s="69"/>
      <c r="M291" s="69"/>
      <c r="N291" s="69"/>
      <c r="O291" s="67"/>
      <c r="P291" s="67"/>
      <c r="Q291" s="67"/>
      <c r="R291" s="68"/>
      <c r="S291" s="68"/>
      <c r="T291" s="68"/>
      <c r="U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</row>
    <row r="292" spans="1:38" x14ac:dyDescent="0.3">
      <c r="A292" s="67"/>
      <c r="B292" s="67"/>
      <c r="C292" s="67"/>
      <c r="D292" s="67"/>
      <c r="E292" s="67"/>
      <c r="F292" s="71"/>
      <c r="G292" s="68"/>
      <c r="I292" s="70"/>
      <c r="J292" s="70"/>
      <c r="K292" s="70"/>
      <c r="L292" s="69"/>
      <c r="M292" s="69"/>
      <c r="N292" s="69"/>
      <c r="O292" s="67"/>
      <c r="P292" s="67"/>
      <c r="Q292" s="67"/>
      <c r="R292" s="68"/>
      <c r="S292" s="68"/>
      <c r="T292" s="68"/>
      <c r="U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</row>
    <row r="293" spans="1:38" x14ac:dyDescent="0.3">
      <c r="A293" s="67"/>
      <c r="B293" s="67"/>
      <c r="C293" s="67"/>
      <c r="D293" s="67"/>
      <c r="E293" s="67"/>
      <c r="F293" s="71"/>
      <c r="G293" s="68"/>
      <c r="I293" s="70"/>
      <c r="J293" s="70"/>
      <c r="K293" s="70"/>
      <c r="L293" s="69"/>
      <c r="M293" s="69"/>
      <c r="N293" s="69"/>
      <c r="O293" s="67"/>
      <c r="P293" s="67"/>
      <c r="Q293" s="67"/>
      <c r="R293" s="68"/>
      <c r="S293" s="68"/>
      <c r="T293" s="68"/>
      <c r="U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</row>
    <row r="294" spans="1:38" x14ac:dyDescent="0.3">
      <c r="A294" s="67"/>
      <c r="B294" s="67"/>
      <c r="C294" s="67"/>
      <c r="D294" s="67"/>
      <c r="E294" s="67"/>
      <c r="F294" s="71"/>
      <c r="G294" s="68"/>
      <c r="I294" s="70"/>
      <c r="J294" s="70"/>
      <c r="K294" s="70"/>
      <c r="L294" s="69"/>
      <c r="M294" s="69"/>
      <c r="N294" s="69"/>
      <c r="O294" s="67"/>
      <c r="P294" s="67"/>
      <c r="Q294" s="67"/>
      <c r="R294" s="68"/>
      <c r="S294" s="68"/>
      <c r="T294" s="68"/>
      <c r="U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</row>
    <row r="295" spans="1:38" x14ac:dyDescent="0.3">
      <c r="A295" s="67"/>
      <c r="B295" s="67"/>
      <c r="C295" s="67"/>
      <c r="D295" s="67"/>
      <c r="E295" s="67"/>
      <c r="F295" s="71"/>
      <c r="G295" s="68"/>
      <c r="I295" s="70"/>
      <c r="J295" s="70"/>
      <c r="K295" s="70"/>
      <c r="L295" s="69"/>
      <c r="M295" s="69"/>
      <c r="N295" s="69"/>
      <c r="O295" s="67"/>
      <c r="P295" s="67"/>
      <c r="Q295" s="67"/>
      <c r="R295" s="68"/>
      <c r="S295" s="68"/>
      <c r="T295" s="68"/>
      <c r="U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</row>
    <row r="296" spans="1:38" x14ac:dyDescent="0.3">
      <c r="A296" s="67"/>
      <c r="B296" s="67"/>
      <c r="C296" s="67"/>
      <c r="D296" s="67"/>
      <c r="E296" s="67"/>
      <c r="F296" s="71"/>
      <c r="G296" s="68"/>
      <c r="I296" s="70"/>
      <c r="J296" s="70"/>
      <c r="K296" s="70"/>
      <c r="L296" s="69"/>
      <c r="M296" s="69"/>
      <c r="N296" s="69"/>
      <c r="O296" s="67"/>
      <c r="P296" s="67"/>
      <c r="Q296" s="67"/>
      <c r="R296" s="68"/>
      <c r="S296" s="68"/>
      <c r="T296" s="68"/>
      <c r="U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</row>
    <row r="297" spans="1:38" x14ac:dyDescent="0.3">
      <c r="A297" s="67"/>
      <c r="B297" s="67"/>
      <c r="C297" s="67"/>
      <c r="D297" s="67"/>
      <c r="E297" s="67"/>
      <c r="F297" s="71"/>
      <c r="G297" s="68"/>
      <c r="I297" s="70"/>
      <c r="J297" s="70"/>
      <c r="K297" s="70"/>
      <c r="L297" s="69"/>
      <c r="M297" s="69"/>
      <c r="N297" s="69"/>
      <c r="O297" s="67"/>
      <c r="P297" s="67"/>
      <c r="Q297" s="67"/>
      <c r="R297" s="68"/>
      <c r="S297" s="68"/>
      <c r="T297" s="68"/>
      <c r="U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</row>
    <row r="298" spans="1:38" x14ac:dyDescent="0.3">
      <c r="A298" s="67"/>
      <c r="B298" s="67"/>
      <c r="C298" s="67"/>
      <c r="D298" s="67"/>
      <c r="E298" s="67"/>
      <c r="F298" s="71"/>
      <c r="G298" s="68"/>
      <c r="I298" s="70"/>
      <c r="J298" s="70"/>
      <c r="K298" s="70"/>
      <c r="L298" s="69"/>
      <c r="M298" s="69"/>
      <c r="N298" s="69"/>
      <c r="O298" s="67"/>
      <c r="P298" s="67"/>
      <c r="Q298" s="67"/>
      <c r="R298" s="68"/>
      <c r="S298" s="68"/>
      <c r="T298" s="68"/>
      <c r="U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</row>
    <row r="299" spans="1:38" x14ac:dyDescent="0.3">
      <c r="A299" s="67"/>
      <c r="B299" s="67"/>
      <c r="C299" s="67"/>
      <c r="D299" s="67"/>
      <c r="E299" s="67"/>
      <c r="F299" s="71"/>
      <c r="G299" s="68"/>
      <c r="I299" s="70"/>
      <c r="J299" s="70"/>
      <c r="K299" s="70"/>
      <c r="L299" s="69"/>
      <c r="M299" s="69"/>
      <c r="N299" s="69"/>
      <c r="O299" s="67"/>
      <c r="P299" s="67"/>
      <c r="Q299" s="67"/>
      <c r="R299" s="68"/>
      <c r="S299" s="68"/>
      <c r="T299" s="68"/>
      <c r="U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</row>
    <row r="300" spans="1:38" x14ac:dyDescent="0.3">
      <c r="A300" s="67"/>
      <c r="B300" s="67"/>
      <c r="C300" s="67"/>
      <c r="D300" s="67"/>
      <c r="E300" s="67"/>
      <c r="F300" s="71"/>
      <c r="G300" s="68"/>
      <c r="I300" s="70"/>
      <c r="J300" s="70"/>
      <c r="K300" s="70"/>
      <c r="L300" s="69"/>
      <c r="M300" s="69"/>
      <c r="N300" s="69"/>
      <c r="O300" s="67"/>
      <c r="P300" s="67"/>
      <c r="Q300" s="67"/>
      <c r="R300" s="68"/>
      <c r="S300" s="68"/>
      <c r="T300" s="68"/>
      <c r="U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</row>
    <row r="301" spans="1:38" x14ac:dyDescent="0.3">
      <c r="A301" s="67"/>
      <c r="B301" s="67"/>
      <c r="C301" s="67"/>
      <c r="D301" s="67"/>
      <c r="E301" s="67"/>
      <c r="F301" s="71"/>
      <c r="G301" s="68"/>
      <c r="I301" s="70"/>
      <c r="J301" s="70"/>
      <c r="K301" s="70"/>
      <c r="L301" s="69"/>
      <c r="M301" s="69"/>
      <c r="N301" s="69"/>
      <c r="O301" s="67"/>
      <c r="P301" s="67"/>
      <c r="Q301" s="67"/>
      <c r="R301" s="68"/>
      <c r="S301" s="68"/>
      <c r="T301" s="68"/>
      <c r="U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</row>
    <row r="302" spans="1:38" x14ac:dyDescent="0.3">
      <c r="A302" s="67"/>
      <c r="B302" s="67"/>
      <c r="C302" s="67"/>
      <c r="D302" s="67"/>
      <c r="E302" s="67"/>
      <c r="F302" s="71"/>
      <c r="G302" s="68"/>
      <c r="I302" s="70"/>
      <c r="J302" s="70"/>
      <c r="K302" s="70"/>
      <c r="L302" s="69"/>
      <c r="M302" s="69"/>
      <c r="N302" s="69"/>
      <c r="O302" s="67"/>
      <c r="P302" s="67"/>
      <c r="Q302" s="67"/>
      <c r="R302" s="68"/>
      <c r="S302" s="68"/>
      <c r="T302" s="68"/>
      <c r="U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</row>
    <row r="303" spans="1:38" x14ac:dyDescent="0.3">
      <c r="A303" s="67"/>
      <c r="B303" s="67"/>
      <c r="C303" s="67"/>
      <c r="D303" s="67"/>
      <c r="E303" s="67"/>
      <c r="F303" s="71"/>
      <c r="G303" s="68"/>
      <c r="I303" s="70"/>
      <c r="J303" s="70"/>
      <c r="K303" s="70"/>
      <c r="L303" s="69"/>
      <c r="M303" s="69"/>
      <c r="N303" s="69"/>
      <c r="O303" s="67"/>
      <c r="P303" s="67"/>
      <c r="Q303" s="67"/>
      <c r="R303" s="68"/>
      <c r="S303" s="68"/>
      <c r="T303" s="68"/>
      <c r="U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</row>
    <row r="304" spans="1:38" x14ac:dyDescent="0.3">
      <c r="A304" s="67"/>
      <c r="B304" s="67"/>
      <c r="C304" s="67"/>
      <c r="D304" s="67"/>
      <c r="E304" s="67"/>
      <c r="F304" s="71"/>
      <c r="G304" s="68"/>
      <c r="I304" s="70"/>
      <c r="J304" s="70"/>
      <c r="K304" s="70"/>
      <c r="L304" s="69"/>
      <c r="M304" s="69"/>
      <c r="N304" s="69"/>
      <c r="O304" s="67"/>
      <c r="P304" s="67"/>
      <c r="Q304" s="67"/>
      <c r="R304" s="68"/>
      <c r="S304" s="68"/>
      <c r="T304" s="68"/>
      <c r="U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</row>
    <row r="305" spans="1:38" x14ac:dyDescent="0.3">
      <c r="A305" s="67"/>
      <c r="B305" s="67"/>
      <c r="C305" s="67"/>
      <c r="D305" s="67"/>
      <c r="E305" s="67"/>
      <c r="F305" s="71"/>
      <c r="G305" s="68"/>
      <c r="I305" s="70"/>
      <c r="J305" s="70"/>
      <c r="K305" s="70"/>
      <c r="L305" s="69"/>
      <c r="M305" s="69"/>
      <c r="N305" s="69"/>
      <c r="O305" s="67"/>
      <c r="P305" s="67"/>
      <c r="Q305" s="67"/>
      <c r="R305" s="68"/>
      <c r="S305" s="68"/>
      <c r="T305" s="68"/>
      <c r="U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</row>
    <row r="306" spans="1:38" x14ac:dyDescent="0.3">
      <c r="A306" s="67"/>
      <c r="B306" s="67"/>
      <c r="C306" s="67"/>
      <c r="D306" s="67"/>
      <c r="E306" s="67"/>
      <c r="F306" s="71"/>
      <c r="G306" s="68"/>
      <c r="I306" s="70"/>
      <c r="J306" s="70"/>
      <c r="K306" s="70"/>
      <c r="L306" s="69"/>
      <c r="M306" s="69"/>
      <c r="N306" s="69"/>
      <c r="O306" s="67"/>
      <c r="P306" s="67"/>
      <c r="Q306" s="67"/>
      <c r="R306" s="68"/>
      <c r="S306" s="68"/>
      <c r="T306" s="68"/>
      <c r="U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</row>
    <row r="307" spans="1:38" x14ac:dyDescent="0.3">
      <c r="A307" s="67"/>
      <c r="B307" s="67"/>
      <c r="C307" s="67"/>
      <c r="D307" s="67"/>
      <c r="E307" s="67"/>
      <c r="F307" s="71"/>
      <c r="G307" s="68"/>
      <c r="I307" s="70"/>
      <c r="J307" s="70"/>
      <c r="K307" s="70"/>
      <c r="L307" s="69"/>
      <c r="M307" s="69"/>
      <c r="N307" s="69"/>
      <c r="O307" s="67"/>
      <c r="P307" s="67"/>
      <c r="Q307" s="67"/>
      <c r="R307" s="68"/>
      <c r="S307" s="68"/>
      <c r="T307" s="68"/>
      <c r="U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</row>
    <row r="308" spans="1:38" x14ac:dyDescent="0.3">
      <c r="A308" s="67"/>
      <c r="B308" s="67"/>
      <c r="C308" s="67"/>
      <c r="D308" s="67"/>
      <c r="E308" s="67"/>
      <c r="F308" s="71"/>
      <c r="G308" s="68"/>
      <c r="I308" s="70"/>
      <c r="J308" s="70"/>
      <c r="K308" s="70"/>
      <c r="L308" s="69"/>
      <c r="M308" s="69"/>
      <c r="N308" s="69"/>
      <c r="O308" s="67"/>
      <c r="P308" s="67"/>
      <c r="Q308" s="67"/>
      <c r="R308" s="68"/>
      <c r="S308" s="68"/>
      <c r="T308" s="68"/>
      <c r="U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</row>
    <row r="309" spans="1:38" x14ac:dyDescent="0.3">
      <c r="A309" s="67"/>
      <c r="B309" s="67"/>
      <c r="C309" s="67"/>
      <c r="D309" s="67"/>
      <c r="E309" s="67"/>
      <c r="F309" s="71"/>
      <c r="G309" s="68"/>
      <c r="I309" s="70"/>
      <c r="J309" s="70"/>
      <c r="K309" s="70"/>
      <c r="L309" s="69"/>
      <c r="M309" s="69"/>
      <c r="N309" s="69"/>
      <c r="O309" s="67"/>
      <c r="P309" s="67"/>
      <c r="Q309" s="67"/>
      <c r="R309" s="68"/>
      <c r="S309" s="68"/>
      <c r="T309" s="68"/>
      <c r="U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</row>
    <row r="310" spans="1:38" x14ac:dyDescent="0.3">
      <c r="A310" s="67"/>
      <c r="B310" s="67"/>
      <c r="C310" s="67"/>
      <c r="D310" s="67"/>
      <c r="E310" s="67"/>
      <c r="F310" s="71"/>
      <c r="G310" s="68"/>
      <c r="I310" s="70"/>
      <c r="J310" s="70"/>
      <c r="K310" s="70"/>
      <c r="L310" s="69"/>
      <c r="M310" s="69"/>
      <c r="N310" s="69"/>
      <c r="O310" s="67"/>
      <c r="P310" s="67"/>
      <c r="Q310" s="67"/>
      <c r="R310" s="68"/>
      <c r="S310" s="68"/>
      <c r="T310" s="68"/>
      <c r="U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</row>
    <row r="311" spans="1:38" x14ac:dyDescent="0.3">
      <c r="A311" s="67"/>
      <c r="B311" s="67"/>
      <c r="C311" s="67"/>
      <c r="D311" s="67"/>
      <c r="E311" s="67"/>
      <c r="F311" s="71"/>
      <c r="G311" s="68"/>
      <c r="I311" s="70"/>
      <c r="J311" s="70"/>
      <c r="K311" s="70"/>
      <c r="L311" s="69"/>
      <c r="M311" s="69"/>
      <c r="N311" s="69"/>
      <c r="O311" s="67"/>
      <c r="P311" s="67"/>
      <c r="Q311" s="67"/>
      <c r="R311" s="68"/>
      <c r="S311" s="68"/>
      <c r="T311" s="68"/>
      <c r="U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</row>
    <row r="312" spans="1:38" x14ac:dyDescent="0.3">
      <c r="A312" s="67"/>
      <c r="B312" s="67"/>
      <c r="C312" s="67"/>
      <c r="D312" s="67"/>
      <c r="E312" s="67"/>
      <c r="F312" s="71"/>
      <c r="G312" s="68"/>
      <c r="I312" s="70"/>
      <c r="J312" s="70"/>
      <c r="K312" s="70"/>
      <c r="L312" s="69"/>
      <c r="M312" s="69"/>
      <c r="N312" s="69"/>
      <c r="O312" s="67"/>
      <c r="P312" s="67"/>
      <c r="Q312" s="67"/>
      <c r="R312" s="68"/>
      <c r="S312" s="68"/>
      <c r="T312" s="68"/>
      <c r="U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</row>
    <row r="313" spans="1:38" x14ac:dyDescent="0.3">
      <c r="A313" s="67"/>
      <c r="B313" s="67"/>
      <c r="C313" s="67"/>
      <c r="D313" s="67"/>
      <c r="E313" s="67"/>
      <c r="F313" s="71"/>
      <c r="G313" s="68"/>
      <c r="I313" s="70"/>
      <c r="J313" s="70"/>
      <c r="K313" s="70"/>
      <c r="L313" s="69"/>
      <c r="M313" s="69"/>
      <c r="N313" s="69"/>
      <c r="O313" s="67"/>
      <c r="P313" s="67"/>
      <c r="Q313" s="67"/>
      <c r="R313" s="68"/>
      <c r="S313" s="68"/>
      <c r="T313" s="68"/>
      <c r="U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</row>
    <row r="314" spans="1:38" x14ac:dyDescent="0.3">
      <c r="A314" s="67"/>
      <c r="B314" s="67"/>
      <c r="C314" s="67"/>
      <c r="D314" s="67"/>
      <c r="E314" s="67"/>
      <c r="F314" s="71"/>
      <c r="G314" s="68"/>
      <c r="I314" s="70"/>
      <c r="J314" s="70"/>
      <c r="K314" s="70"/>
      <c r="L314" s="69"/>
      <c r="M314" s="69"/>
      <c r="N314" s="69"/>
      <c r="O314" s="67"/>
      <c r="P314" s="67"/>
      <c r="Q314" s="67"/>
      <c r="R314" s="68"/>
      <c r="S314" s="68"/>
      <c r="T314" s="68"/>
      <c r="U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</row>
    <row r="315" spans="1:38" x14ac:dyDescent="0.3">
      <c r="A315" s="67"/>
      <c r="B315" s="67"/>
      <c r="C315" s="67"/>
      <c r="D315" s="67"/>
      <c r="E315" s="67"/>
      <c r="F315" s="71"/>
      <c r="G315" s="68"/>
      <c r="I315" s="70"/>
      <c r="J315" s="70"/>
      <c r="K315" s="70"/>
      <c r="L315" s="69"/>
      <c r="M315" s="69"/>
      <c r="N315" s="69"/>
      <c r="O315" s="67"/>
      <c r="P315" s="67"/>
      <c r="Q315" s="67"/>
      <c r="R315" s="68"/>
      <c r="S315" s="68"/>
      <c r="T315" s="68"/>
      <c r="U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</row>
    <row r="316" spans="1:38" x14ac:dyDescent="0.3">
      <c r="A316" s="67"/>
      <c r="B316" s="67"/>
      <c r="C316" s="67"/>
      <c r="D316" s="67"/>
      <c r="E316" s="67"/>
      <c r="F316" s="67"/>
      <c r="G316" s="68"/>
      <c r="I316" s="70"/>
      <c r="J316" s="70"/>
      <c r="K316" s="70"/>
      <c r="L316" s="69"/>
      <c r="M316" s="69"/>
      <c r="N316" s="69"/>
      <c r="O316" s="67"/>
      <c r="P316" s="67"/>
      <c r="Q316" s="67"/>
      <c r="R316" s="68"/>
      <c r="S316" s="68"/>
      <c r="T316" s="68"/>
      <c r="U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</row>
    <row r="317" spans="1:38" x14ac:dyDescent="0.3">
      <c r="A317" s="67"/>
      <c r="B317" s="67"/>
      <c r="C317" s="67"/>
      <c r="D317" s="72"/>
      <c r="E317" s="72"/>
      <c r="F317" s="67"/>
      <c r="G317" s="68"/>
      <c r="I317" s="70"/>
      <c r="J317" s="70"/>
      <c r="K317" s="70"/>
      <c r="L317" s="69"/>
      <c r="M317" s="69"/>
      <c r="N317" s="69"/>
      <c r="O317" s="67"/>
      <c r="P317" s="67"/>
      <c r="Q317" s="67"/>
      <c r="R317" s="68"/>
      <c r="S317" s="68"/>
      <c r="T317" s="68"/>
      <c r="U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</row>
    <row r="318" spans="1:38" x14ac:dyDescent="0.3">
      <c r="A318" s="67"/>
      <c r="B318" s="67"/>
      <c r="C318" s="67"/>
      <c r="D318" s="67"/>
      <c r="E318" s="67"/>
      <c r="F318" s="67"/>
      <c r="G318" s="68"/>
      <c r="I318" s="70"/>
      <c r="J318" s="70"/>
      <c r="K318" s="70"/>
      <c r="L318" s="69"/>
      <c r="M318" s="69"/>
      <c r="N318" s="69"/>
      <c r="O318" s="67"/>
      <c r="P318" s="67"/>
      <c r="Q318" s="67"/>
      <c r="R318" s="68"/>
      <c r="S318" s="68"/>
      <c r="T318" s="68"/>
      <c r="U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</row>
    <row r="319" spans="1:38" x14ac:dyDescent="0.3">
      <c r="A319" s="67"/>
      <c r="B319" s="67"/>
      <c r="C319" s="67"/>
      <c r="D319" s="67"/>
      <c r="E319" s="67"/>
      <c r="F319" s="67"/>
      <c r="G319" s="68"/>
      <c r="I319" s="70"/>
      <c r="J319" s="70"/>
      <c r="K319" s="70"/>
      <c r="L319" s="69"/>
      <c r="M319" s="69"/>
      <c r="N319" s="69"/>
      <c r="O319" s="67"/>
      <c r="P319" s="67"/>
      <c r="Q319" s="67"/>
      <c r="R319" s="68"/>
      <c r="S319" s="68"/>
      <c r="T319" s="68"/>
      <c r="U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</row>
    <row r="320" spans="1:38" x14ac:dyDescent="0.3">
      <c r="A320" s="67"/>
      <c r="B320" s="67"/>
      <c r="C320" s="67"/>
      <c r="D320" s="67"/>
      <c r="E320" s="67"/>
      <c r="F320" s="67"/>
      <c r="G320" s="68"/>
      <c r="I320" s="70"/>
      <c r="J320" s="70"/>
      <c r="K320" s="70"/>
      <c r="L320" s="69"/>
      <c r="M320" s="69"/>
      <c r="N320" s="69"/>
      <c r="O320" s="67"/>
      <c r="P320" s="67"/>
      <c r="Q320" s="67"/>
      <c r="R320" s="68"/>
      <c r="S320" s="68"/>
      <c r="T320" s="68"/>
      <c r="U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</row>
    <row r="321" spans="1:38" x14ac:dyDescent="0.3">
      <c r="A321" s="67"/>
      <c r="B321" s="67"/>
      <c r="C321" s="67"/>
      <c r="D321" s="67"/>
      <c r="E321" s="67"/>
      <c r="F321" s="67"/>
      <c r="G321" s="68"/>
      <c r="I321" s="70"/>
      <c r="J321" s="70"/>
      <c r="K321" s="70"/>
      <c r="L321" s="69"/>
      <c r="M321" s="69"/>
      <c r="N321" s="69"/>
      <c r="O321" s="67"/>
      <c r="P321" s="67"/>
      <c r="Q321" s="67"/>
      <c r="R321" s="68"/>
      <c r="S321" s="68"/>
      <c r="T321" s="68"/>
      <c r="U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</row>
    <row r="322" spans="1:38" x14ac:dyDescent="0.3">
      <c r="A322" s="67"/>
      <c r="B322" s="67"/>
      <c r="C322" s="67"/>
      <c r="D322" s="67"/>
      <c r="E322" s="67"/>
      <c r="F322" s="67"/>
      <c r="G322" s="68"/>
      <c r="I322" s="70"/>
      <c r="J322" s="70"/>
      <c r="K322" s="70"/>
      <c r="L322" s="69"/>
      <c r="M322" s="69"/>
      <c r="N322" s="69"/>
      <c r="O322" s="67"/>
      <c r="P322" s="67"/>
      <c r="Q322" s="67"/>
      <c r="R322" s="68"/>
      <c r="S322" s="68"/>
      <c r="T322" s="68"/>
      <c r="U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</row>
    <row r="323" spans="1:38" x14ac:dyDescent="0.3">
      <c r="A323" s="67"/>
      <c r="B323" s="67"/>
      <c r="C323" s="67"/>
      <c r="D323" s="67"/>
      <c r="E323" s="67"/>
      <c r="F323" s="67"/>
      <c r="G323" s="68"/>
      <c r="I323" s="70"/>
      <c r="J323" s="70"/>
      <c r="K323" s="70"/>
      <c r="L323" s="69"/>
      <c r="M323" s="69"/>
      <c r="N323" s="69"/>
      <c r="O323" s="67"/>
      <c r="P323" s="67"/>
      <c r="Q323" s="67"/>
      <c r="R323" s="68"/>
      <c r="S323" s="68"/>
      <c r="T323" s="68"/>
      <c r="U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</row>
    <row r="324" spans="1:38" x14ac:dyDescent="0.3">
      <c r="A324" s="67"/>
      <c r="B324" s="67"/>
      <c r="C324" s="67"/>
      <c r="D324" s="67"/>
      <c r="E324" s="67"/>
      <c r="F324" s="67"/>
      <c r="G324" s="68"/>
      <c r="I324" s="70"/>
      <c r="J324" s="70"/>
      <c r="K324" s="70"/>
      <c r="L324" s="69"/>
      <c r="M324" s="69"/>
      <c r="N324" s="69"/>
      <c r="O324" s="67"/>
      <c r="P324" s="67"/>
      <c r="Q324" s="67"/>
      <c r="R324" s="68"/>
      <c r="S324" s="68"/>
      <c r="T324" s="68"/>
      <c r="U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</row>
    <row r="325" spans="1:38" x14ac:dyDescent="0.3">
      <c r="A325" s="67"/>
      <c r="B325" s="67"/>
      <c r="C325" s="67"/>
      <c r="D325" s="67"/>
      <c r="E325" s="67"/>
      <c r="F325" s="67"/>
      <c r="G325" s="68"/>
      <c r="I325" s="70"/>
      <c r="J325" s="70"/>
      <c r="K325" s="70"/>
      <c r="L325" s="69"/>
      <c r="M325" s="69"/>
      <c r="N325" s="69"/>
      <c r="O325" s="67"/>
      <c r="P325" s="67"/>
      <c r="Q325" s="67"/>
      <c r="R325" s="68"/>
      <c r="S325" s="68"/>
      <c r="T325" s="68"/>
      <c r="U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</row>
    <row r="326" spans="1:38" x14ac:dyDescent="0.3">
      <c r="A326" s="67"/>
      <c r="B326" s="67"/>
      <c r="C326" s="67"/>
      <c r="D326" s="67"/>
      <c r="E326" s="67"/>
      <c r="F326" s="67"/>
      <c r="G326" s="68"/>
      <c r="I326" s="70"/>
      <c r="J326" s="70"/>
      <c r="K326" s="70"/>
      <c r="L326" s="69"/>
      <c r="M326" s="69"/>
      <c r="N326" s="69"/>
      <c r="O326" s="67"/>
      <c r="P326" s="67"/>
      <c r="Q326" s="67"/>
      <c r="R326" s="68"/>
      <c r="S326" s="68"/>
      <c r="T326" s="68"/>
      <c r="U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</row>
    <row r="327" spans="1:38" x14ac:dyDescent="0.3">
      <c r="A327" s="67"/>
      <c r="B327" s="67"/>
      <c r="C327" s="67"/>
      <c r="D327" s="67"/>
      <c r="E327" s="67"/>
      <c r="F327" s="67"/>
      <c r="G327" s="68"/>
      <c r="I327" s="70"/>
      <c r="J327" s="70"/>
      <c r="K327" s="70"/>
      <c r="L327" s="69"/>
      <c r="M327" s="69"/>
      <c r="N327" s="69"/>
      <c r="O327" s="67"/>
      <c r="P327" s="67"/>
      <c r="Q327" s="67"/>
      <c r="R327" s="68"/>
      <c r="S327" s="68"/>
      <c r="T327" s="68"/>
      <c r="U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</row>
    <row r="328" spans="1:38" x14ac:dyDescent="0.3">
      <c r="A328" s="67"/>
      <c r="B328" s="67"/>
      <c r="C328" s="67"/>
      <c r="D328" s="67"/>
      <c r="E328" s="67"/>
      <c r="F328" s="67"/>
      <c r="G328" s="68"/>
      <c r="I328" s="70"/>
      <c r="J328" s="70"/>
      <c r="K328" s="70"/>
      <c r="L328" s="69"/>
      <c r="M328" s="69"/>
      <c r="N328" s="69"/>
      <c r="O328" s="67"/>
      <c r="P328" s="67"/>
      <c r="Q328" s="67"/>
      <c r="R328" s="68"/>
      <c r="S328" s="68"/>
      <c r="T328" s="68"/>
      <c r="U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</row>
    <row r="329" spans="1:38" x14ac:dyDescent="0.3">
      <c r="A329" s="67"/>
      <c r="B329" s="67"/>
      <c r="C329" s="67"/>
      <c r="D329" s="67"/>
      <c r="E329" s="67"/>
      <c r="F329" s="67"/>
      <c r="G329" s="68"/>
      <c r="I329" s="70"/>
      <c r="J329" s="70"/>
      <c r="K329" s="70"/>
      <c r="L329" s="69"/>
      <c r="M329" s="69"/>
      <c r="N329" s="69"/>
      <c r="O329" s="67"/>
      <c r="P329" s="67"/>
      <c r="Q329" s="67"/>
      <c r="R329" s="68"/>
      <c r="S329" s="68"/>
      <c r="T329" s="68"/>
      <c r="U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</row>
    <row r="330" spans="1:38" x14ac:dyDescent="0.3">
      <c r="A330" s="67"/>
      <c r="B330" s="67"/>
      <c r="C330" s="67"/>
      <c r="D330" s="67"/>
      <c r="E330" s="67"/>
      <c r="F330" s="67"/>
      <c r="G330" s="68"/>
      <c r="I330" s="70"/>
      <c r="J330" s="70"/>
      <c r="K330" s="70"/>
      <c r="L330" s="69"/>
      <c r="M330" s="69"/>
      <c r="N330" s="69"/>
      <c r="O330" s="67"/>
      <c r="P330" s="67"/>
      <c r="Q330" s="67"/>
      <c r="R330" s="68"/>
      <c r="S330" s="68"/>
      <c r="T330" s="68"/>
      <c r="U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</row>
    <row r="331" spans="1:38" x14ac:dyDescent="0.3">
      <c r="A331" s="67"/>
      <c r="B331" s="67"/>
      <c r="C331" s="67"/>
      <c r="D331" s="67"/>
      <c r="E331" s="67"/>
      <c r="F331" s="67"/>
      <c r="G331" s="68"/>
      <c r="H331" s="73"/>
      <c r="I331" s="70"/>
      <c r="J331" s="70"/>
      <c r="K331" s="70"/>
      <c r="L331" s="69"/>
      <c r="M331" s="69"/>
      <c r="N331" s="69"/>
      <c r="O331" s="67"/>
      <c r="P331" s="67"/>
      <c r="Q331" s="67"/>
      <c r="R331" s="68"/>
      <c r="S331" s="68"/>
      <c r="T331" s="68"/>
      <c r="U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</row>
    <row r="332" spans="1:38" x14ac:dyDescent="0.3">
      <c r="A332" s="67"/>
      <c r="B332" s="67"/>
      <c r="C332" s="67"/>
      <c r="D332" s="67"/>
      <c r="E332" s="67"/>
      <c r="F332" s="67"/>
      <c r="G332" s="68"/>
      <c r="I332" s="70"/>
      <c r="J332" s="70"/>
      <c r="K332" s="70"/>
      <c r="L332" s="69"/>
      <c r="M332" s="69"/>
      <c r="N332" s="69"/>
      <c r="O332" s="67"/>
      <c r="P332" s="67"/>
      <c r="Q332" s="67"/>
      <c r="R332" s="68"/>
      <c r="S332" s="68"/>
      <c r="T332" s="68"/>
      <c r="U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</row>
    <row r="333" spans="1:38" x14ac:dyDescent="0.3">
      <c r="A333" s="67"/>
      <c r="B333" s="67"/>
      <c r="C333" s="67"/>
      <c r="D333" s="67"/>
      <c r="E333" s="67"/>
      <c r="F333" s="67"/>
      <c r="G333" s="68"/>
      <c r="I333" s="70"/>
      <c r="J333" s="70"/>
      <c r="K333" s="70"/>
      <c r="L333" s="69"/>
      <c r="M333" s="69"/>
      <c r="N333" s="69"/>
      <c r="O333" s="67"/>
      <c r="P333" s="67"/>
      <c r="Q333" s="67"/>
      <c r="R333" s="68"/>
      <c r="S333" s="68"/>
      <c r="T333" s="68"/>
      <c r="U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</row>
    <row r="334" spans="1:38" x14ac:dyDescent="0.3">
      <c r="A334" s="67"/>
      <c r="B334" s="67"/>
      <c r="C334" s="67"/>
      <c r="D334" s="67"/>
      <c r="E334" s="67"/>
      <c r="F334" s="67"/>
      <c r="G334" s="68"/>
      <c r="I334" s="70"/>
      <c r="J334" s="70"/>
      <c r="K334" s="70"/>
      <c r="L334" s="69"/>
      <c r="M334" s="69"/>
      <c r="N334" s="69"/>
      <c r="O334" s="67"/>
      <c r="P334" s="67"/>
      <c r="Q334" s="67"/>
      <c r="R334" s="68"/>
      <c r="S334" s="68"/>
      <c r="T334" s="68"/>
      <c r="U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</row>
    <row r="335" spans="1:38" x14ac:dyDescent="0.3">
      <c r="A335" s="67"/>
      <c r="B335" s="67"/>
      <c r="C335" s="67"/>
      <c r="D335" s="67"/>
      <c r="E335" s="67"/>
      <c r="F335" s="67"/>
      <c r="G335" s="68"/>
      <c r="H335" s="73"/>
      <c r="I335" s="70"/>
      <c r="J335" s="70"/>
      <c r="K335" s="70"/>
      <c r="L335" s="69"/>
      <c r="M335" s="69"/>
      <c r="N335" s="69"/>
      <c r="O335" s="67"/>
      <c r="P335" s="67"/>
      <c r="Q335" s="67"/>
      <c r="R335" s="68"/>
      <c r="S335" s="68"/>
      <c r="T335" s="68"/>
      <c r="U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</row>
    <row r="336" spans="1:38" x14ac:dyDescent="0.3">
      <c r="A336" s="67"/>
      <c r="B336" s="67"/>
      <c r="C336" s="67"/>
      <c r="D336" s="67"/>
      <c r="E336" s="67"/>
      <c r="F336" s="67"/>
      <c r="G336" s="68"/>
      <c r="I336" s="70"/>
      <c r="J336" s="70"/>
      <c r="K336" s="70"/>
      <c r="L336" s="69"/>
      <c r="M336" s="69"/>
      <c r="N336" s="69"/>
      <c r="O336" s="67"/>
      <c r="P336" s="67"/>
      <c r="Q336" s="67"/>
      <c r="R336" s="68"/>
      <c r="S336" s="68"/>
      <c r="T336" s="68"/>
      <c r="U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</row>
    <row r="337" spans="1:38" x14ac:dyDescent="0.3">
      <c r="A337" s="67"/>
      <c r="B337" s="67"/>
      <c r="C337" s="67"/>
      <c r="D337" s="67"/>
      <c r="E337" s="67"/>
      <c r="F337" s="67"/>
      <c r="G337" s="68"/>
      <c r="I337" s="70"/>
      <c r="J337" s="70"/>
      <c r="K337" s="70"/>
      <c r="L337" s="69"/>
      <c r="M337" s="69"/>
      <c r="N337" s="69"/>
      <c r="O337" s="67"/>
      <c r="P337" s="67"/>
      <c r="Q337" s="67"/>
      <c r="R337" s="68"/>
      <c r="S337" s="68"/>
      <c r="T337" s="68"/>
      <c r="U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</row>
    <row r="338" spans="1:38" x14ac:dyDescent="0.3">
      <c r="A338" s="67"/>
      <c r="B338" s="67"/>
      <c r="C338" s="67"/>
      <c r="D338" s="67"/>
      <c r="E338" s="67"/>
      <c r="F338" s="67"/>
      <c r="G338" s="68"/>
      <c r="I338" s="70"/>
      <c r="J338" s="70"/>
      <c r="K338" s="70"/>
      <c r="L338" s="69"/>
      <c r="M338" s="69"/>
      <c r="N338" s="69"/>
      <c r="O338" s="67"/>
      <c r="P338" s="67"/>
      <c r="Q338" s="67"/>
      <c r="R338" s="68"/>
      <c r="S338" s="68"/>
      <c r="T338" s="68"/>
      <c r="U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</row>
    <row r="339" spans="1:38" x14ac:dyDescent="0.3">
      <c r="A339" s="67"/>
      <c r="B339" s="66"/>
      <c r="C339" s="67"/>
      <c r="D339" s="67"/>
      <c r="E339" s="67"/>
      <c r="F339" s="67"/>
      <c r="G339" s="68"/>
      <c r="I339" s="70"/>
      <c r="J339" s="70"/>
      <c r="K339" s="70"/>
      <c r="L339" s="69"/>
      <c r="M339" s="69"/>
      <c r="N339" s="69"/>
      <c r="O339" s="67"/>
      <c r="P339" s="67"/>
      <c r="Q339" s="67"/>
      <c r="R339" s="68"/>
      <c r="S339" s="68"/>
      <c r="T339" s="68"/>
      <c r="U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</row>
    <row r="340" spans="1:38" x14ac:dyDescent="0.3">
      <c r="A340" s="67"/>
      <c r="B340" s="67"/>
      <c r="C340" s="67"/>
      <c r="D340" s="67"/>
      <c r="E340" s="67"/>
      <c r="F340" s="67"/>
      <c r="G340" s="68"/>
      <c r="I340" s="70"/>
      <c r="J340" s="70"/>
      <c r="K340" s="70"/>
      <c r="L340" s="69"/>
      <c r="M340" s="69"/>
      <c r="N340" s="69"/>
      <c r="O340" s="67"/>
      <c r="P340" s="67"/>
      <c r="Q340" s="67"/>
      <c r="R340" s="68"/>
      <c r="S340" s="68"/>
      <c r="T340" s="68"/>
      <c r="U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</row>
    <row r="341" spans="1:38" x14ac:dyDescent="0.3">
      <c r="A341" s="67"/>
      <c r="B341" s="67"/>
      <c r="C341" s="67"/>
      <c r="D341" s="67"/>
      <c r="E341" s="67"/>
      <c r="F341" s="67"/>
      <c r="G341" s="68"/>
      <c r="I341" s="70"/>
      <c r="J341" s="70"/>
      <c r="K341" s="70"/>
      <c r="L341" s="69"/>
      <c r="M341" s="69"/>
      <c r="N341" s="69"/>
      <c r="O341" s="67"/>
      <c r="P341" s="67"/>
      <c r="Q341" s="67"/>
      <c r="R341" s="68"/>
      <c r="S341" s="68"/>
      <c r="T341" s="68"/>
      <c r="U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</row>
    <row r="342" spans="1:38" x14ac:dyDescent="0.3">
      <c r="A342" s="67"/>
      <c r="B342" s="67"/>
      <c r="C342" s="67"/>
      <c r="D342" s="67"/>
      <c r="E342" s="67"/>
      <c r="F342" s="67"/>
      <c r="G342" s="68"/>
      <c r="I342" s="70"/>
      <c r="J342" s="70"/>
      <c r="K342" s="70"/>
      <c r="L342" s="69"/>
      <c r="M342" s="69"/>
      <c r="N342" s="69"/>
      <c r="O342" s="67"/>
      <c r="P342" s="67"/>
      <c r="Q342" s="67"/>
      <c r="R342" s="68"/>
      <c r="S342" s="68"/>
      <c r="T342" s="68"/>
      <c r="U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</row>
    <row r="343" spans="1:38" x14ac:dyDescent="0.3">
      <c r="A343" s="67"/>
      <c r="B343" s="67"/>
      <c r="C343" s="67"/>
      <c r="D343" s="67"/>
      <c r="E343" s="67"/>
      <c r="F343" s="67"/>
      <c r="G343" s="68"/>
      <c r="I343" s="70"/>
      <c r="J343" s="70"/>
      <c r="K343" s="70"/>
      <c r="L343" s="69"/>
      <c r="M343" s="69"/>
      <c r="N343" s="69"/>
      <c r="O343" s="67"/>
      <c r="P343" s="67"/>
      <c r="Q343" s="67"/>
      <c r="R343" s="68"/>
      <c r="S343" s="68"/>
      <c r="T343" s="68"/>
      <c r="U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</row>
    <row r="344" spans="1:38" x14ac:dyDescent="0.3">
      <c r="A344" s="67"/>
      <c r="B344" s="67"/>
      <c r="C344" s="67"/>
      <c r="D344" s="67"/>
      <c r="E344" s="67"/>
      <c r="F344" s="67"/>
      <c r="G344" s="68"/>
      <c r="I344" s="70"/>
      <c r="J344" s="70"/>
      <c r="K344" s="70"/>
      <c r="L344" s="69"/>
      <c r="M344" s="69"/>
      <c r="N344" s="69"/>
      <c r="O344" s="67"/>
      <c r="P344" s="67"/>
      <c r="Q344" s="67"/>
      <c r="R344" s="68"/>
      <c r="S344" s="68"/>
      <c r="T344" s="68"/>
      <c r="U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</row>
    <row r="345" spans="1:38" x14ac:dyDescent="0.3">
      <c r="A345" s="67"/>
      <c r="B345" s="67"/>
      <c r="C345" s="67"/>
      <c r="D345" s="67"/>
      <c r="E345" s="67"/>
      <c r="F345" s="67"/>
      <c r="G345" s="68"/>
      <c r="I345" s="70"/>
      <c r="J345" s="70"/>
      <c r="K345" s="70"/>
      <c r="L345" s="69"/>
      <c r="M345" s="69"/>
      <c r="N345" s="69"/>
      <c r="O345" s="67"/>
      <c r="P345" s="67"/>
      <c r="Q345" s="67"/>
      <c r="R345" s="68"/>
      <c r="S345" s="68"/>
      <c r="T345" s="68"/>
      <c r="U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</row>
    <row r="346" spans="1:38" x14ac:dyDescent="0.3">
      <c r="A346" s="67"/>
      <c r="B346" s="67"/>
      <c r="C346" s="67"/>
      <c r="D346" s="67"/>
      <c r="E346" s="67"/>
      <c r="F346" s="67"/>
      <c r="G346" s="68"/>
      <c r="I346" s="70"/>
      <c r="J346" s="70"/>
      <c r="K346" s="70"/>
      <c r="L346" s="69"/>
      <c r="M346" s="69"/>
      <c r="N346" s="69"/>
      <c r="O346" s="67"/>
      <c r="P346" s="67"/>
      <c r="Q346" s="67"/>
      <c r="R346" s="68"/>
      <c r="S346" s="68"/>
      <c r="T346" s="68"/>
      <c r="U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</row>
    <row r="347" spans="1:38" x14ac:dyDescent="0.3">
      <c r="A347" s="67"/>
      <c r="B347" s="67"/>
      <c r="C347" s="67"/>
      <c r="D347" s="67"/>
      <c r="E347" s="67"/>
      <c r="F347" s="67"/>
      <c r="G347" s="68"/>
      <c r="I347" s="70"/>
      <c r="J347" s="70"/>
      <c r="K347" s="70"/>
      <c r="L347" s="69"/>
      <c r="M347" s="69"/>
      <c r="N347" s="69"/>
      <c r="O347" s="67"/>
      <c r="P347" s="67"/>
      <c r="Q347" s="67"/>
      <c r="R347" s="68"/>
      <c r="S347" s="68"/>
      <c r="T347" s="68"/>
      <c r="U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</row>
    <row r="348" spans="1:38" x14ac:dyDescent="0.3">
      <c r="A348" s="67"/>
      <c r="B348" s="67"/>
      <c r="C348" s="67"/>
      <c r="D348" s="67"/>
      <c r="E348" s="67"/>
      <c r="F348" s="67"/>
      <c r="G348" s="68"/>
      <c r="I348" s="70"/>
      <c r="J348" s="70"/>
      <c r="K348" s="70"/>
      <c r="L348" s="69"/>
      <c r="M348" s="69"/>
      <c r="N348" s="69"/>
      <c r="O348" s="67"/>
      <c r="P348" s="67"/>
      <c r="Q348" s="67"/>
      <c r="R348" s="68"/>
      <c r="S348" s="68"/>
      <c r="T348" s="68"/>
      <c r="U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</row>
    <row r="349" spans="1:38" x14ac:dyDescent="0.3">
      <c r="A349" s="67"/>
      <c r="B349" s="67"/>
      <c r="C349" s="67"/>
      <c r="D349" s="67"/>
      <c r="E349" s="67"/>
      <c r="F349" s="67"/>
      <c r="G349" s="68"/>
      <c r="I349" s="70"/>
      <c r="J349" s="70"/>
      <c r="K349" s="70"/>
      <c r="L349" s="69"/>
      <c r="M349" s="69"/>
      <c r="N349" s="69"/>
      <c r="O349" s="67"/>
      <c r="P349" s="67"/>
      <c r="Q349" s="67"/>
      <c r="R349" s="68"/>
      <c r="S349" s="68"/>
      <c r="T349" s="68"/>
      <c r="U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</row>
    <row r="350" spans="1:38" x14ac:dyDescent="0.3">
      <c r="A350" s="67"/>
      <c r="B350" s="67"/>
      <c r="C350" s="67"/>
      <c r="D350" s="67"/>
      <c r="E350" s="67"/>
      <c r="F350" s="67"/>
      <c r="G350" s="68"/>
      <c r="I350" s="70"/>
      <c r="J350" s="70"/>
      <c r="K350" s="70"/>
      <c r="L350" s="69"/>
      <c r="M350" s="69"/>
      <c r="N350" s="69"/>
      <c r="O350" s="67"/>
      <c r="P350" s="67"/>
      <c r="Q350" s="67"/>
      <c r="R350" s="68"/>
      <c r="S350" s="68"/>
      <c r="T350" s="68"/>
      <c r="U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</row>
    <row r="351" spans="1:38" x14ac:dyDescent="0.3">
      <c r="A351" s="67"/>
      <c r="B351" s="67"/>
      <c r="C351" s="67"/>
      <c r="D351" s="67"/>
      <c r="E351" s="67"/>
      <c r="F351" s="67"/>
      <c r="G351" s="68"/>
      <c r="I351" s="70"/>
      <c r="J351" s="70"/>
      <c r="K351" s="70"/>
      <c r="L351" s="69"/>
      <c r="M351" s="69"/>
      <c r="N351" s="69"/>
      <c r="O351" s="67"/>
      <c r="P351" s="67"/>
      <c r="Q351" s="67"/>
      <c r="R351" s="68"/>
      <c r="S351" s="68"/>
      <c r="T351" s="68"/>
      <c r="U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</row>
    <row r="352" spans="1:38" x14ac:dyDescent="0.3">
      <c r="A352" s="67"/>
      <c r="B352" s="67"/>
      <c r="C352" s="67"/>
      <c r="D352" s="67"/>
      <c r="E352" s="67"/>
      <c r="F352" s="67"/>
      <c r="G352" s="68"/>
      <c r="I352" s="70"/>
      <c r="J352" s="70"/>
      <c r="K352" s="70"/>
      <c r="L352" s="69"/>
      <c r="M352" s="69"/>
      <c r="N352" s="69"/>
      <c r="O352" s="67"/>
      <c r="P352" s="67"/>
      <c r="Q352" s="67"/>
      <c r="R352" s="68"/>
      <c r="S352" s="68"/>
      <c r="T352" s="68"/>
      <c r="U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</row>
    <row r="353" spans="1:38" x14ac:dyDescent="0.3">
      <c r="A353" s="67"/>
      <c r="B353" s="67"/>
      <c r="C353" s="67"/>
      <c r="D353" s="67"/>
      <c r="E353" s="67"/>
      <c r="F353" s="67"/>
      <c r="G353" s="68"/>
      <c r="I353" s="70"/>
      <c r="J353" s="70"/>
      <c r="K353" s="70"/>
      <c r="L353" s="69"/>
      <c r="M353" s="69"/>
      <c r="N353" s="69"/>
      <c r="O353" s="67"/>
      <c r="P353" s="67"/>
      <c r="Q353" s="67"/>
      <c r="R353" s="68"/>
      <c r="S353" s="68"/>
      <c r="T353" s="68"/>
      <c r="U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</row>
    <row r="354" spans="1:38" x14ac:dyDescent="0.3">
      <c r="A354" s="67"/>
      <c r="B354" s="67"/>
      <c r="C354" s="67"/>
      <c r="D354" s="67"/>
      <c r="E354" s="67"/>
      <c r="F354" s="67"/>
      <c r="G354" s="68"/>
      <c r="I354" s="70"/>
      <c r="J354" s="70"/>
      <c r="K354" s="70"/>
      <c r="L354" s="69"/>
      <c r="M354" s="69"/>
      <c r="N354" s="69"/>
      <c r="O354" s="67"/>
      <c r="P354" s="67"/>
      <c r="Q354" s="67"/>
      <c r="R354" s="68"/>
      <c r="S354" s="68"/>
      <c r="T354" s="68"/>
      <c r="U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</row>
    <row r="355" spans="1:38" x14ac:dyDescent="0.3">
      <c r="A355" s="67"/>
      <c r="B355" s="67"/>
      <c r="C355" s="67"/>
      <c r="D355" s="67"/>
      <c r="E355" s="67"/>
      <c r="F355" s="67"/>
      <c r="G355" s="68"/>
      <c r="I355" s="70"/>
      <c r="J355" s="70"/>
      <c r="K355" s="70"/>
      <c r="L355" s="69"/>
      <c r="M355" s="69"/>
      <c r="N355" s="69"/>
      <c r="O355" s="67"/>
      <c r="P355" s="67"/>
      <c r="Q355" s="67"/>
      <c r="R355" s="68"/>
      <c r="S355" s="68"/>
      <c r="T355" s="68"/>
      <c r="U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</row>
    <row r="356" spans="1:38" x14ac:dyDescent="0.3">
      <c r="A356" s="67"/>
      <c r="B356" s="67"/>
      <c r="C356" s="67"/>
      <c r="D356" s="67"/>
      <c r="E356" s="67"/>
      <c r="F356" s="67"/>
      <c r="G356" s="68"/>
      <c r="I356" s="70"/>
      <c r="J356" s="70"/>
      <c r="K356" s="70"/>
      <c r="L356" s="69"/>
      <c r="M356" s="69"/>
      <c r="N356" s="69"/>
      <c r="O356" s="67"/>
      <c r="P356" s="67"/>
      <c r="Q356" s="67"/>
      <c r="R356" s="68"/>
      <c r="S356" s="68"/>
      <c r="T356" s="68"/>
      <c r="U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</row>
    <row r="357" spans="1:38" x14ac:dyDescent="0.3">
      <c r="A357" s="67"/>
      <c r="B357" s="67"/>
      <c r="C357" s="67"/>
      <c r="D357" s="67"/>
      <c r="E357" s="67"/>
      <c r="F357" s="67"/>
      <c r="G357" s="68"/>
      <c r="I357" s="70"/>
      <c r="J357" s="70"/>
      <c r="K357" s="70"/>
      <c r="L357" s="69"/>
      <c r="M357" s="69"/>
      <c r="N357" s="69"/>
      <c r="O357" s="67"/>
      <c r="P357" s="67"/>
      <c r="Q357" s="67"/>
      <c r="R357" s="68"/>
      <c r="S357" s="68"/>
      <c r="T357" s="68"/>
      <c r="U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</row>
    <row r="358" spans="1:38" x14ac:dyDescent="0.3">
      <c r="A358" s="67"/>
      <c r="B358" s="67"/>
      <c r="C358" s="67"/>
      <c r="D358" s="67"/>
      <c r="E358" s="67"/>
      <c r="F358" s="67"/>
      <c r="G358" s="68"/>
      <c r="I358" s="70"/>
      <c r="J358" s="70"/>
      <c r="K358" s="70"/>
      <c r="L358" s="69"/>
      <c r="M358" s="69"/>
      <c r="N358" s="69"/>
      <c r="O358" s="67"/>
      <c r="P358" s="67"/>
      <c r="Q358" s="67"/>
      <c r="R358" s="68"/>
      <c r="S358" s="68"/>
      <c r="T358" s="68"/>
      <c r="U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</row>
    <row r="359" spans="1:38" x14ac:dyDescent="0.3">
      <c r="A359" s="67"/>
      <c r="B359" s="67"/>
      <c r="C359" s="67"/>
      <c r="D359" s="67"/>
      <c r="E359" s="67"/>
      <c r="F359" s="67"/>
      <c r="G359" s="68"/>
      <c r="I359" s="70"/>
      <c r="J359" s="70"/>
      <c r="K359" s="70"/>
      <c r="L359" s="69"/>
      <c r="M359" s="69"/>
      <c r="N359" s="69"/>
      <c r="O359" s="67"/>
      <c r="P359" s="67"/>
      <c r="Q359" s="67"/>
      <c r="R359" s="68"/>
      <c r="S359" s="68"/>
      <c r="T359" s="68"/>
      <c r="U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</row>
    <row r="360" spans="1:38" x14ac:dyDescent="0.3">
      <c r="A360" s="67"/>
      <c r="B360" s="67"/>
      <c r="C360" s="67"/>
      <c r="D360" s="67"/>
      <c r="E360" s="67"/>
      <c r="F360" s="67"/>
      <c r="G360" s="68"/>
      <c r="I360" s="70"/>
      <c r="J360" s="70"/>
      <c r="K360" s="70"/>
      <c r="L360" s="69"/>
      <c r="M360" s="69"/>
      <c r="N360" s="69"/>
      <c r="O360" s="67"/>
      <c r="P360" s="67"/>
      <c r="Q360" s="67"/>
      <c r="R360" s="68"/>
      <c r="S360" s="68"/>
      <c r="T360" s="68"/>
      <c r="U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</row>
    <row r="361" spans="1:38" x14ac:dyDescent="0.3">
      <c r="A361" s="67"/>
      <c r="B361" s="67"/>
      <c r="C361" s="67"/>
      <c r="D361" s="67"/>
      <c r="E361" s="67"/>
      <c r="F361" s="67"/>
      <c r="G361" s="68"/>
      <c r="I361" s="70"/>
      <c r="J361" s="70"/>
      <c r="K361" s="70"/>
      <c r="L361" s="69"/>
      <c r="M361" s="69"/>
      <c r="N361" s="69"/>
      <c r="O361" s="67"/>
      <c r="P361" s="67"/>
      <c r="Q361" s="67"/>
      <c r="R361" s="68"/>
      <c r="S361" s="68"/>
      <c r="T361" s="68"/>
      <c r="U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</row>
    <row r="362" spans="1:38" x14ac:dyDescent="0.3">
      <c r="A362" s="67"/>
      <c r="B362" s="67"/>
      <c r="C362" s="67"/>
      <c r="D362" s="67"/>
      <c r="E362" s="67"/>
      <c r="F362" s="67"/>
      <c r="G362" s="68"/>
      <c r="I362" s="70"/>
      <c r="J362" s="70"/>
      <c r="K362" s="70"/>
      <c r="L362" s="69"/>
      <c r="M362" s="69"/>
      <c r="N362" s="69"/>
      <c r="O362" s="67"/>
      <c r="P362" s="67"/>
      <c r="Q362" s="67"/>
      <c r="R362" s="68"/>
      <c r="S362" s="68"/>
      <c r="T362" s="68"/>
      <c r="U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</row>
    <row r="363" spans="1:38" x14ac:dyDescent="0.3">
      <c r="A363" s="67"/>
      <c r="B363" s="67"/>
      <c r="C363" s="67"/>
      <c r="D363" s="67"/>
      <c r="E363" s="67"/>
      <c r="F363" s="67"/>
      <c r="G363" s="68"/>
      <c r="I363" s="70"/>
      <c r="J363" s="70"/>
      <c r="K363" s="70"/>
      <c r="L363" s="69"/>
      <c r="M363" s="69"/>
      <c r="N363" s="69"/>
      <c r="O363" s="67"/>
      <c r="P363" s="67"/>
      <c r="Q363" s="67"/>
      <c r="R363" s="68"/>
      <c r="S363" s="68"/>
      <c r="T363" s="68"/>
      <c r="U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</row>
    <row r="364" spans="1:38" x14ac:dyDescent="0.3">
      <c r="A364" s="67"/>
      <c r="B364" s="67"/>
      <c r="C364" s="67"/>
      <c r="D364" s="67"/>
      <c r="E364" s="67"/>
      <c r="F364" s="67"/>
      <c r="G364" s="68"/>
      <c r="I364" s="70"/>
      <c r="J364" s="70"/>
      <c r="K364" s="70"/>
      <c r="L364" s="69"/>
      <c r="M364" s="69"/>
      <c r="N364" s="69"/>
      <c r="O364" s="67"/>
      <c r="P364" s="67"/>
      <c r="Q364" s="67"/>
      <c r="R364" s="68"/>
      <c r="S364" s="68"/>
      <c r="T364" s="68"/>
      <c r="U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</row>
    <row r="365" spans="1:38" x14ac:dyDescent="0.3">
      <c r="A365" s="67"/>
      <c r="B365" s="67"/>
      <c r="C365" s="67"/>
      <c r="D365" s="67"/>
      <c r="E365" s="67"/>
      <c r="F365" s="67"/>
      <c r="G365" s="68"/>
      <c r="I365" s="70"/>
      <c r="J365" s="70"/>
      <c r="K365" s="70"/>
      <c r="L365" s="69"/>
      <c r="M365" s="69"/>
      <c r="N365" s="69"/>
      <c r="O365" s="67"/>
      <c r="P365" s="67"/>
      <c r="Q365" s="67"/>
      <c r="R365" s="68"/>
      <c r="S365" s="68"/>
      <c r="T365" s="68"/>
      <c r="U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</row>
    <row r="366" spans="1:38" x14ac:dyDescent="0.3">
      <c r="A366" s="67"/>
      <c r="B366" s="67"/>
      <c r="C366" s="67"/>
      <c r="D366" s="67"/>
      <c r="E366" s="67"/>
      <c r="F366" s="67"/>
      <c r="G366" s="68"/>
      <c r="I366" s="70"/>
      <c r="J366" s="70"/>
      <c r="K366" s="70"/>
      <c r="L366" s="69"/>
      <c r="M366" s="69"/>
      <c r="N366" s="69"/>
      <c r="O366" s="67"/>
      <c r="P366" s="67"/>
      <c r="Q366" s="67"/>
      <c r="R366" s="68"/>
      <c r="S366" s="68"/>
      <c r="T366" s="68"/>
      <c r="U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</row>
    <row r="367" spans="1:38" x14ac:dyDescent="0.3">
      <c r="A367" s="67"/>
      <c r="B367" s="67"/>
      <c r="C367" s="67"/>
      <c r="D367" s="67"/>
      <c r="E367" s="67"/>
      <c r="F367" s="67"/>
      <c r="G367" s="68"/>
      <c r="I367" s="70"/>
      <c r="J367" s="70"/>
      <c r="K367" s="70"/>
      <c r="L367" s="69"/>
      <c r="M367" s="69"/>
      <c r="N367" s="69"/>
      <c r="O367" s="67"/>
      <c r="P367" s="67"/>
      <c r="Q367" s="67"/>
      <c r="R367" s="68"/>
      <c r="S367" s="68"/>
      <c r="T367" s="68"/>
      <c r="U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</row>
    <row r="368" spans="1:38" x14ac:dyDescent="0.3">
      <c r="A368" s="67"/>
      <c r="B368" s="67"/>
      <c r="C368" s="67"/>
      <c r="D368" s="67"/>
      <c r="E368" s="67"/>
      <c r="F368" s="67"/>
      <c r="G368" s="68"/>
      <c r="I368" s="70"/>
      <c r="J368" s="70"/>
      <c r="K368" s="70"/>
      <c r="L368" s="69"/>
      <c r="M368" s="69"/>
      <c r="N368" s="69"/>
      <c r="O368" s="67"/>
      <c r="P368" s="67"/>
      <c r="Q368" s="67"/>
      <c r="R368" s="68"/>
      <c r="S368" s="68"/>
      <c r="T368" s="68"/>
      <c r="U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</row>
    <row r="369" spans="1:38" x14ac:dyDescent="0.3">
      <c r="A369" s="67"/>
      <c r="B369" s="67"/>
      <c r="C369" s="67"/>
      <c r="D369" s="67"/>
      <c r="E369" s="67"/>
      <c r="F369" s="67"/>
      <c r="G369" s="68"/>
      <c r="I369" s="70"/>
      <c r="J369" s="70"/>
      <c r="K369" s="70"/>
      <c r="L369" s="69"/>
      <c r="M369" s="69"/>
      <c r="N369" s="69"/>
      <c r="O369" s="67"/>
      <c r="P369" s="67"/>
      <c r="Q369" s="67"/>
      <c r="R369" s="68"/>
      <c r="S369" s="68"/>
      <c r="T369" s="68"/>
      <c r="U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</row>
    <row r="370" spans="1:38" x14ac:dyDescent="0.3">
      <c r="A370" s="67"/>
      <c r="B370" s="67"/>
      <c r="C370" s="67"/>
      <c r="D370" s="67"/>
      <c r="E370" s="67"/>
      <c r="F370" s="67"/>
      <c r="G370" s="68"/>
      <c r="I370" s="70"/>
      <c r="J370" s="70"/>
      <c r="K370" s="70"/>
      <c r="L370" s="69"/>
      <c r="M370" s="69"/>
      <c r="N370" s="69"/>
      <c r="O370" s="67"/>
      <c r="P370" s="67"/>
      <c r="Q370" s="67"/>
      <c r="R370" s="68"/>
      <c r="S370" s="68"/>
      <c r="T370" s="68"/>
      <c r="U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</row>
    <row r="371" spans="1:38" x14ac:dyDescent="0.3">
      <c r="A371" s="67"/>
      <c r="B371" s="67"/>
      <c r="C371" s="67"/>
      <c r="D371" s="67"/>
      <c r="E371" s="67"/>
      <c r="F371" s="67"/>
      <c r="G371" s="68"/>
      <c r="I371" s="70"/>
      <c r="J371" s="70"/>
      <c r="K371" s="70"/>
      <c r="L371" s="69"/>
      <c r="M371" s="69"/>
      <c r="N371" s="69"/>
      <c r="O371" s="67"/>
      <c r="P371" s="67"/>
      <c r="Q371" s="67"/>
      <c r="R371" s="68"/>
      <c r="S371" s="68"/>
      <c r="T371" s="68"/>
      <c r="U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</row>
    <row r="372" spans="1:38" x14ac:dyDescent="0.3">
      <c r="A372" s="67"/>
      <c r="B372" s="67"/>
      <c r="C372" s="67"/>
      <c r="D372" s="67"/>
      <c r="E372" s="67"/>
      <c r="F372" s="67"/>
      <c r="G372" s="68"/>
      <c r="I372" s="70"/>
      <c r="J372" s="70"/>
      <c r="K372" s="70"/>
      <c r="L372" s="69"/>
      <c r="M372" s="69"/>
      <c r="N372" s="69"/>
      <c r="O372" s="67"/>
      <c r="P372" s="67"/>
      <c r="Q372" s="67"/>
      <c r="R372" s="68"/>
      <c r="S372" s="68"/>
      <c r="T372" s="68"/>
      <c r="U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</row>
    <row r="373" spans="1:38" x14ac:dyDescent="0.3">
      <c r="A373" s="67"/>
      <c r="B373" s="67"/>
      <c r="C373" s="67"/>
      <c r="D373" s="67"/>
      <c r="E373" s="67"/>
      <c r="F373" s="67"/>
      <c r="G373" s="68"/>
      <c r="I373" s="70"/>
      <c r="J373" s="70"/>
      <c r="K373" s="70"/>
      <c r="L373" s="69"/>
      <c r="M373" s="69"/>
      <c r="N373" s="69"/>
      <c r="O373" s="67"/>
      <c r="P373" s="67"/>
      <c r="Q373" s="67"/>
      <c r="R373" s="68"/>
      <c r="S373" s="68"/>
      <c r="T373" s="68"/>
      <c r="U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</row>
    <row r="374" spans="1:38" x14ac:dyDescent="0.3">
      <c r="A374" s="67"/>
      <c r="B374" s="67"/>
      <c r="C374" s="67"/>
      <c r="D374" s="67"/>
      <c r="E374" s="67"/>
      <c r="F374" s="67"/>
      <c r="G374" s="68"/>
      <c r="I374" s="70"/>
      <c r="J374" s="70"/>
      <c r="K374" s="70"/>
      <c r="L374" s="69"/>
      <c r="M374" s="69"/>
      <c r="N374" s="69"/>
      <c r="O374" s="67"/>
      <c r="P374" s="67"/>
      <c r="Q374" s="67"/>
      <c r="R374" s="68"/>
      <c r="S374" s="68"/>
      <c r="T374" s="68"/>
      <c r="U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</row>
    <row r="375" spans="1:38" x14ac:dyDescent="0.3">
      <c r="A375" s="67"/>
      <c r="B375" s="67"/>
      <c r="C375" s="67"/>
      <c r="D375" s="67"/>
      <c r="E375" s="67"/>
      <c r="F375" s="67"/>
      <c r="G375" s="68"/>
      <c r="I375" s="70"/>
      <c r="J375" s="70"/>
      <c r="K375" s="70"/>
      <c r="L375" s="69"/>
      <c r="M375" s="69"/>
      <c r="N375" s="69"/>
      <c r="O375" s="67"/>
      <c r="P375" s="67"/>
      <c r="Q375" s="67"/>
      <c r="R375" s="68"/>
      <c r="S375" s="68"/>
      <c r="T375" s="68"/>
      <c r="U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</row>
    <row r="376" spans="1:38" x14ac:dyDescent="0.3">
      <c r="A376" s="67"/>
      <c r="B376" s="67"/>
      <c r="C376" s="67"/>
      <c r="D376" s="67"/>
      <c r="E376" s="67"/>
      <c r="F376" s="67"/>
      <c r="G376" s="68"/>
      <c r="I376" s="70"/>
      <c r="J376" s="70"/>
      <c r="K376" s="70"/>
      <c r="L376" s="69"/>
      <c r="M376" s="69"/>
      <c r="N376" s="69"/>
      <c r="O376" s="67"/>
      <c r="P376" s="67"/>
      <c r="Q376" s="67"/>
      <c r="R376" s="68"/>
      <c r="S376" s="68"/>
      <c r="T376" s="68"/>
      <c r="U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</row>
    <row r="377" spans="1:38" x14ac:dyDescent="0.3">
      <c r="A377" s="67"/>
      <c r="B377" s="67"/>
      <c r="C377" s="67"/>
      <c r="D377" s="67"/>
      <c r="E377" s="67"/>
      <c r="F377" s="67"/>
      <c r="G377" s="68"/>
      <c r="I377" s="70"/>
      <c r="J377" s="70"/>
      <c r="K377" s="70"/>
      <c r="L377" s="69"/>
      <c r="M377" s="69"/>
      <c r="N377" s="69"/>
      <c r="O377" s="67"/>
      <c r="P377" s="67"/>
      <c r="Q377" s="67"/>
      <c r="R377" s="68"/>
      <c r="S377" s="68"/>
      <c r="T377" s="68"/>
      <c r="U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</row>
    <row r="378" spans="1:38" x14ac:dyDescent="0.3">
      <c r="A378" s="67"/>
      <c r="B378" s="67"/>
      <c r="C378" s="67"/>
      <c r="D378" s="67"/>
      <c r="E378" s="67"/>
      <c r="F378" s="67"/>
      <c r="G378" s="68"/>
      <c r="I378" s="70"/>
      <c r="J378" s="70"/>
      <c r="K378" s="70"/>
      <c r="L378" s="69"/>
      <c r="M378" s="69"/>
      <c r="N378" s="69"/>
      <c r="O378" s="67"/>
      <c r="P378" s="67"/>
      <c r="Q378" s="67"/>
      <c r="R378" s="68"/>
      <c r="S378" s="68"/>
      <c r="T378" s="68"/>
      <c r="U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</row>
    <row r="379" spans="1:38" x14ac:dyDescent="0.3">
      <c r="A379" s="67"/>
      <c r="B379" s="67"/>
      <c r="C379" s="67"/>
      <c r="D379" s="67"/>
      <c r="E379" s="67"/>
      <c r="F379" s="67"/>
      <c r="G379" s="68"/>
      <c r="I379" s="70"/>
      <c r="J379" s="70"/>
      <c r="K379" s="70"/>
      <c r="L379" s="69"/>
      <c r="M379" s="69"/>
      <c r="N379" s="69"/>
      <c r="O379" s="67"/>
      <c r="P379" s="67"/>
      <c r="Q379" s="67"/>
      <c r="R379" s="68"/>
      <c r="S379" s="68"/>
      <c r="T379" s="68"/>
      <c r="U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</row>
    <row r="380" spans="1:38" x14ac:dyDescent="0.3">
      <c r="A380" s="67"/>
      <c r="B380" s="67"/>
      <c r="C380" s="67"/>
      <c r="D380" s="67"/>
      <c r="E380" s="67"/>
      <c r="F380" s="67"/>
      <c r="G380" s="68"/>
      <c r="I380" s="70"/>
      <c r="J380" s="70"/>
      <c r="K380" s="70"/>
      <c r="L380" s="69"/>
      <c r="M380" s="69"/>
      <c r="N380" s="69"/>
      <c r="O380" s="67"/>
      <c r="P380" s="67"/>
      <c r="Q380" s="67"/>
      <c r="R380" s="68"/>
      <c r="S380" s="68"/>
      <c r="T380" s="68"/>
      <c r="U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</row>
    <row r="381" spans="1:38" x14ac:dyDescent="0.3">
      <c r="A381" s="67"/>
      <c r="B381" s="67"/>
      <c r="C381" s="67"/>
      <c r="D381" s="67"/>
      <c r="E381" s="67"/>
      <c r="F381" s="67"/>
      <c r="G381" s="68"/>
      <c r="I381" s="70"/>
      <c r="J381" s="70"/>
      <c r="K381" s="70"/>
      <c r="L381" s="69"/>
      <c r="M381" s="69"/>
      <c r="N381" s="69"/>
      <c r="O381" s="67"/>
      <c r="P381" s="67"/>
      <c r="Q381" s="67"/>
      <c r="R381" s="68"/>
      <c r="S381" s="68"/>
      <c r="T381" s="68"/>
      <c r="U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</row>
    <row r="382" spans="1:38" x14ac:dyDescent="0.3">
      <c r="A382" s="67"/>
      <c r="B382" s="67"/>
      <c r="C382" s="67"/>
      <c r="D382" s="67"/>
      <c r="E382" s="67"/>
      <c r="F382" s="67"/>
      <c r="G382" s="68"/>
      <c r="I382" s="70"/>
      <c r="J382" s="70"/>
      <c r="K382" s="70"/>
      <c r="L382" s="69"/>
      <c r="M382" s="69"/>
      <c r="N382" s="69"/>
      <c r="O382" s="67"/>
      <c r="P382" s="67"/>
      <c r="Q382" s="67"/>
      <c r="R382" s="68"/>
      <c r="S382" s="68"/>
      <c r="T382" s="68"/>
      <c r="U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</row>
    <row r="383" spans="1:38" x14ac:dyDescent="0.3">
      <c r="A383" s="67"/>
      <c r="B383" s="67"/>
      <c r="C383" s="67"/>
      <c r="D383" s="67"/>
      <c r="E383" s="67"/>
      <c r="F383" s="67"/>
      <c r="G383" s="68"/>
      <c r="I383" s="70"/>
      <c r="J383" s="70"/>
      <c r="K383" s="70"/>
      <c r="L383" s="69"/>
      <c r="M383" s="69"/>
      <c r="N383" s="69"/>
      <c r="O383" s="67"/>
      <c r="P383" s="67"/>
      <c r="Q383" s="67"/>
      <c r="R383" s="68"/>
      <c r="S383" s="68"/>
      <c r="T383" s="68"/>
      <c r="U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</row>
    <row r="384" spans="1:38" x14ac:dyDescent="0.3">
      <c r="A384" s="67"/>
      <c r="B384" s="67"/>
      <c r="C384" s="67"/>
      <c r="D384" s="67"/>
      <c r="E384" s="67"/>
      <c r="F384" s="67"/>
      <c r="G384" s="68"/>
      <c r="I384" s="70"/>
      <c r="J384" s="70"/>
      <c r="K384" s="70"/>
      <c r="L384" s="69"/>
      <c r="M384" s="69"/>
      <c r="N384" s="69"/>
      <c r="O384" s="67"/>
      <c r="P384" s="67"/>
      <c r="Q384" s="67"/>
      <c r="R384" s="68"/>
      <c r="S384" s="68"/>
      <c r="T384" s="68"/>
      <c r="U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</row>
    <row r="385" spans="1:38" x14ac:dyDescent="0.3">
      <c r="A385" s="67"/>
      <c r="B385" s="67"/>
      <c r="C385" s="67"/>
      <c r="D385" s="67"/>
      <c r="E385" s="67"/>
      <c r="F385" s="67"/>
      <c r="G385" s="68"/>
      <c r="I385" s="70"/>
      <c r="J385" s="70"/>
      <c r="K385" s="70"/>
      <c r="L385" s="69"/>
      <c r="M385" s="69"/>
      <c r="N385" s="69"/>
      <c r="O385" s="67"/>
      <c r="P385" s="67"/>
      <c r="Q385" s="67"/>
      <c r="R385" s="68"/>
      <c r="S385" s="68"/>
      <c r="T385" s="68"/>
      <c r="U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</row>
    <row r="386" spans="1:38" x14ac:dyDescent="0.3">
      <c r="A386" s="67"/>
      <c r="B386" s="67"/>
      <c r="C386" s="67"/>
      <c r="D386" s="67"/>
      <c r="E386" s="67"/>
      <c r="F386" s="67"/>
      <c r="G386" s="68"/>
      <c r="I386" s="70"/>
      <c r="J386" s="70"/>
      <c r="K386" s="70"/>
      <c r="L386" s="69"/>
      <c r="M386" s="69"/>
      <c r="N386" s="69"/>
      <c r="O386" s="67"/>
      <c r="P386" s="67"/>
      <c r="Q386" s="67"/>
      <c r="R386" s="68"/>
      <c r="S386" s="68"/>
      <c r="T386" s="68"/>
      <c r="U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</row>
    <row r="387" spans="1:38" x14ac:dyDescent="0.3">
      <c r="A387" s="67"/>
      <c r="B387" s="67"/>
      <c r="C387" s="67"/>
      <c r="D387" s="67"/>
      <c r="E387" s="67"/>
      <c r="F387" s="67"/>
      <c r="G387" s="68"/>
      <c r="I387" s="70"/>
      <c r="J387" s="70"/>
      <c r="K387" s="70"/>
      <c r="L387" s="69"/>
      <c r="M387" s="69"/>
      <c r="N387" s="69"/>
      <c r="O387" s="67"/>
      <c r="P387" s="67"/>
      <c r="Q387" s="67"/>
      <c r="R387" s="68"/>
      <c r="S387" s="68"/>
      <c r="T387" s="68"/>
      <c r="U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</row>
    <row r="388" spans="1:38" x14ac:dyDescent="0.3">
      <c r="A388" s="67"/>
      <c r="B388" s="67"/>
      <c r="C388" s="67"/>
      <c r="D388" s="67"/>
      <c r="E388" s="67"/>
      <c r="F388" s="67"/>
      <c r="G388" s="68"/>
      <c r="I388" s="70"/>
      <c r="J388" s="70"/>
      <c r="K388" s="70"/>
      <c r="L388" s="69"/>
      <c r="M388" s="69"/>
      <c r="N388" s="69"/>
      <c r="O388" s="67"/>
      <c r="P388" s="67"/>
      <c r="Q388" s="67"/>
      <c r="R388" s="68"/>
      <c r="S388" s="68"/>
      <c r="T388" s="68"/>
      <c r="U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</row>
    <row r="389" spans="1:38" x14ac:dyDescent="0.3">
      <c r="A389" s="67"/>
      <c r="B389" s="67"/>
      <c r="C389" s="67"/>
      <c r="D389" s="67"/>
      <c r="E389" s="67"/>
      <c r="F389" s="67"/>
      <c r="G389" s="68"/>
      <c r="I389" s="70"/>
      <c r="J389" s="70"/>
      <c r="K389" s="70"/>
      <c r="L389" s="69"/>
      <c r="M389" s="69"/>
      <c r="N389" s="69"/>
      <c r="O389" s="67"/>
      <c r="P389" s="67"/>
      <c r="Q389" s="67"/>
      <c r="R389" s="68"/>
      <c r="S389" s="68"/>
      <c r="T389" s="68"/>
      <c r="U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</row>
    <row r="390" spans="1:38" x14ac:dyDescent="0.3">
      <c r="A390" s="67"/>
      <c r="B390" s="67"/>
      <c r="C390" s="67"/>
      <c r="D390" s="67"/>
      <c r="E390" s="67"/>
      <c r="F390" s="67"/>
      <c r="G390" s="68"/>
      <c r="I390" s="70"/>
      <c r="J390" s="70"/>
      <c r="K390" s="70"/>
      <c r="L390" s="69"/>
      <c r="M390" s="69"/>
      <c r="N390" s="69"/>
      <c r="O390" s="67"/>
      <c r="P390" s="67"/>
      <c r="Q390" s="67"/>
      <c r="R390" s="68"/>
      <c r="S390" s="68"/>
      <c r="T390" s="68"/>
      <c r="U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</row>
    <row r="391" spans="1:38" x14ac:dyDescent="0.3">
      <c r="A391" s="67"/>
      <c r="B391" s="67"/>
      <c r="C391" s="67"/>
      <c r="D391" s="67"/>
      <c r="E391" s="67"/>
      <c r="F391" s="67"/>
      <c r="G391" s="68"/>
      <c r="I391" s="70"/>
      <c r="J391" s="70"/>
      <c r="K391" s="70"/>
      <c r="L391" s="69"/>
      <c r="M391" s="69"/>
      <c r="N391" s="69"/>
      <c r="O391" s="67"/>
      <c r="P391" s="67"/>
      <c r="Q391" s="67"/>
      <c r="R391" s="68"/>
      <c r="S391" s="68"/>
      <c r="T391" s="68"/>
      <c r="U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</row>
    <row r="392" spans="1:38" x14ac:dyDescent="0.3">
      <c r="A392" s="67"/>
      <c r="B392" s="67"/>
      <c r="C392" s="67"/>
      <c r="D392" s="67"/>
      <c r="E392" s="67"/>
      <c r="F392" s="67"/>
      <c r="G392" s="68"/>
      <c r="I392" s="70"/>
      <c r="J392" s="70"/>
      <c r="K392" s="70"/>
      <c r="L392" s="69"/>
      <c r="M392" s="69"/>
      <c r="N392" s="69"/>
      <c r="O392" s="67"/>
      <c r="P392" s="67"/>
      <c r="Q392" s="67"/>
      <c r="R392" s="68"/>
      <c r="S392" s="68"/>
      <c r="T392" s="68"/>
      <c r="U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</row>
    <row r="393" spans="1:38" x14ac:dyDescent="0.3">
      <c r="A393" s="67"/>
      <c r="B393" s="67"/>
      <c r="C393" s="67"/>
      <c r="D393" s="67"/>
      <c r="E393" s="67"/>
      <c r="F393" s="67"/>
      <c r="G393" s="68"/>
      <c r="I393" s="70"/>
      <c r="J393" s="70"/>
      <c r="K393" s="70"/>
      <c r="L393" s="69"/>
      <c r="M393" s="69"/>
      <c r="N393" s="69"/>
      <c r="O393" s="67"/>
      <c r="P393" s="67"/>
      <c r="Q393" s="67"/>
      <c r="R393" s="68"/>
      <c r="S393" s="68"/>
      <c r="T393" s="68"/>
      <c r="U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</row>
    <row r="394" spans="1:38" x14ac:dyDescent="0.3">
      <c r="A394" s="67"/>
      <c r="B394" s="67"/>
      <c r="C394" s="67"/>
      <c r="D394" s="67"/>
      <c r="E394" s="67"/>
      <c r="F394" s="67"/>
      <c r="G394" s="68"/>
      <c r="I394" s="70"/>
      <c r="J394" s="70"/>
      <c r="K394" s="70"/>
      <c r="L394" s="69"/>
      <c r="M394" s="69"/>
      <c r="N394" s="69"/>
      <c r="O394" s="67"/>
      <c r="P394" s="67"/>
      <c r="Q394" s="67"/>
      <c r="R394" s="68"/>
      <c r="S394" s="68"/>
      <c r="T394" s="68"/>
      <c r="U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</row>
    <row r="395" spans="1:38" x14ac:dyDescent="0.3">
      <c r="A395" s="67"/>
      <c r="B395" s="67"/>
      <c r="C395" s="67"/>
      <c r="D395" s="67"/>
      <c r="E395" s="67"/>
      <c r="F395" s="67"/>
      <c r="G395" s="68"/>
      <c r="I395" s="70"/>
      <c r="J395" s="70"/>
      <c r="K395" s="70"/>
      <c r="L395" s="69"/>
      <c r="M395" s="69"/>
      <c r="N395" s="69"/>
      <c r="O395" s="67"/>
      <c r="P395" s="67"/>
      <c r="Q395" s="67"/>
      <c r="R395" s="68"/>
      <c r="S395" s="68"/>
      <c r="T395" s="68"/>
      <c r="U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</row>
    <row r="396" spans="1:38" x14ac:dyDescent="0.3">
      <c r="A396" s="67"/>
      <c r="B396" s="67"/>
      <c r="C396" s="67"/>
      <c r="D396" s="67"/>
      <c r="E396" s="67"/>
      <c r="F396" s="67"/>
      <c r="G396" s="68"/>
      <c r="I396" s="70"/>
      <c r="J396" s="70"/>
      <c r="K396" s="70"/>
      <c r="L396" s="69"/>
      <c r="M396" s="69"/>
      <c r="N396" s="69"/>
      <c r="O396" s="67"/>
      <c r="P396" s="67"/>
      <c r="Q396" s="67"/>
      <c r="R396" s="68"/>
      <c r="S396" s="68"/>
      <c r="T396" s="68"/>
      <c r="U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</row>
    <row r="397" spans="1:38" x14ac:dyDescent="0.3">
      <c r="A397" s="67"/>
      <c r="B397" s="67"/>
      <c r="C397" s="67"/>
      <c r="D397" s="67"/>
      <c r="E397" s="67"/>
      <c r="F397" s="67"/>
      <c r="G397" s="68"/>
      <c r="I397" s="70"/>
      <c r="J397" s="70"/>
      <c r="K397" s="70"/>
      <c r="L397" s="69"/>
      <c r="M397" s="69"/>
      <c r="N397" s="69"/>
      <c r="O397" s="67"/>
      <c r="P397" s="67"/>
      <c r="Q397" s="67"/>
      <c r="R397" s="68"/>
      <c r="S397" s="68"/>
      <c r="T397" s="68"/>
      <c r="U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</row>
    <row r="398" spans="1:38" x14ac:dyDescent="0.3">
      <c r="A398" s="67"/>
      <c r="B398" s="67"/>
      <c r="C398" s="67"/>
      <c r="D398" s="67"/>
      <c r="E398" s="67"/>
      <c r="F398" s="67"/>
      <c r="G398" s="68"/>
      <c r="I398" s="70"/>
      <c r="J398" s="70"/>
      <c r="K398" s="70"/>
      <c r="L398" s="69"/>
      <c r="M398" s="69"/>
      <c r="N398" s="69"/>
      <c r="O398" s="67"/>
      <c r="P398" s="67"/>
      <c r="Q398" s="67"/>
      <c r="R398" s="68"/>
      <c r="S398" s="68"/>
      <c r="T398" s="68"/>
      <c r="U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</row>
    <row r="399" spans="1:38" x14ac:dyDescent="0.3">
      <c r="A399" s="67"/>
      <c r="B399" s="67"/>
      <c r="C399" s="67"/>
      <c r="D399" s="67"/>
      <c r="E399" s="67"/>
      <c r="F399" s="67"/>
      <c r="G399" s="68"/>
      <c r="I399" s="70"/>
      <c r="J399" s="70"/>
      <c r="K399" s="70"/>
      <c r="L399" s="69"/>
      <c r="M399" s="69"/>
      <c r="N399" s="69"/>
      <c r="O399" s="67"/>
      <c r="P399" s="67"/>
      <c r="Q399" s="67"/>
      <c r="R399" s="68"/>
      <c r="S399" s="68"/>
      <c r="T399" s="68"/>
      <c r="U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</row>
    <row r="400" spans="1:38" x14ac:dyDescent="0.3">
      <c r="A400" s="67"/>
      <c r="B400" s="67"/>
      <c r="C400" s="67"/>
      <c r="D400" s="67"/>
      <c r="E400" s="67"/>
      <c r="F400" s="67"/>
      <c r="G400" s="68"/>
      <c r="I400" s="70"/>
      <c r="J400" s="70"/>
      <c r="K400" s="70"/>
      <c r="L400" s="69"/>
      <c r="M400" s="69"/>
      <c r="N400" s="69"/>
      <c r="O400" s="67"/>
      <c r="P400" s="67"/>
      <c r="Q400" s="67"/>
      <c r="R400" s="68"/>
      <c r="S400" s="68"/>
      <c r="T400" s="68"/>
      <c r="U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</row>
    <row r="401" spans="1:38" x14ac:dyDescent="0.3">
      <c r="A401" s="67"/>
      <c r="B401" s="67"/>
      <c r="C401" s="67"/>
      <c r="D401" s="67"/>
      <c r="E401" s="67"/>
      <c r="F401" s="67"/>
      <c r="G401" s="68"/>
      <c r="I401" s="70"/>
      <c r="J401" s="70"/>
      <c r="K401" s="70"/>
      <c r="L401" s="69"/>
      <c r="M401" s="69"/>
      <c r="N401" s="69"/>
      <c r="O401" s="67"/>
      <c r="P401" s="67"/>
      <c r="Q401" s="67"/>
      <c r="R401" s="68"/>
      <c r="S401" s="68"/>
      <c r="T401" s="68"/>
      <c r="U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</row>
    <row r="402" spans="1:38" x14ac:dyDescent="0.3">
      <c r="A402" s="67"/>
      <c r="B402" s="67"/>
      <c r="C402" s="67"/>
      <c r="D402" s="67"/>
      <c r="E402" s="67"/>
      <c r="F402" s="67"/>
      <c r="G402" s="68"/>
      <c r="I402" s="70"/>
      <c r="J402" s="70"/>
      <c r="K402" s="70"/>
      <c r="L402" s="69"/>
      <c r="M402" s="69"/>
      <c r="N402" s="69"/>
      <c r="O402" s="67"/>
      <c r="P402" s="67"/>
      <c r="Q402" s="67"/>
      <c r="R402" s="68"/>
      <c r="S402" s="68"/>
      <c r="T402" s="68"/>
      <c r="U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</row>
    <row r="403" spans="1:38" x14ac:dyDescent="0.3">
      <c r="A403" s="67"/>
      <c r="B403" s="67"/>
      <c r="C403" s="67"/>
      <c r="D403" s="67"/>
      <c r="E403" s="67"/>
      <c r="F403" s="67"/>
      <c r="G403" s="68"/>
      <c r="I403" s="70"/>
      <c r="J403" s="70"/>
      <c r="K403" s="70"/>
      <c r="L403" s="69"/>
      <c r="M403" s="69"/>
      <c r="N403" s="69"/>
      <c r="O403" s="67"/>
      <c r="P403" s="67"/>
      <c r="Q403" s="67"/>
      <c r="R403" s="68"/>
      <c r="S403" s="68"/>
      <c r="T403" s="68"/>
      <c r="U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</row>
    <row r="404" spans="1:38" x14ac:dyDescent="0.3">
      <c r="A404" s="67"/>
      <c r="B404" s="67"/>
      <c r="C404" s="67"/>
      <c r="D404" s="67"/>
      <c r="E404" s="67"/>
      <c r="F404" s="67"/>
      <c r="G404" s="68"/>
      <c r="I404" s="70"/>
      <c r="J404" s="70"/>
      <c r="K404" s="70"/>
      <c r="L404" s="69"/>
      <c r="M404" s="69"/>
      <c r="N404" s="69"/>
      <c r="O404" s="67"/>
      <c r="P404" s="67"/>
      <c r="Q404" s="67"/>
      <c r="R404" s="68"/>
      <c r="S404" s="68"/>
      <c r="T404" s="68"/>
      <c r="U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</row>
    <row r="405" spans="1:38" x14ac:dyDescent="0.3">
      <c r="A405" s="67"/>
      <c r="B405" s="67"/>
      <c r="C405" s="67"/>
      <c r="D405" s="67"/>
      <c r="E405" s="67"/>
      <c r="F405" s="67"/>
      <c r="G405" s="68"/>
      <c r="I405" s="70"/>
      <c r="J405" s="70"/>
      <c r="K405" s="70"/>
      <c r="L405" s="69"/>
      <c r="M405" s="69"/>
      <c r="N405" s="69"/>
      <c r="O405" s="67"/>
      <c r="P405" s="67"/>
      <c r="Q405" s="67"/>
      <c r="R405" s="68"/>
      <c r="S405" s="68"/>
      <c r="T405" s="68"/>
      <c r="U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</row>
    <row r="406" spans="1:38" x14ac:dyDescent="0.3">
      <c r="A406" s="67"/>
      <c r="B406" s="67"/>
      <c r="C406" s="67"/>
      <c r="D406" s="67"/>
      <c r="E406" s="67"/>
      <c r="F406" s="67"/>
      <c r="G406" s="68"/>
      <c r="I406" s="70"/>
      <c r="J406" s="70"/>
      <c r="K406" s="70"/>
      <c r="L406" s="69"/>
      <c r="M406" s="69"/>
      <c r="N406" s="69"/>
      <c r="O406" s="67"/>
      <c r="P406" s="67"/>
      <c r="Q406" s="67"/>
      <c r="R406" s="68"/>
      <c r="S406" s="68"/>
      <c r="T406" s="68"/>
      <c r="U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</row>
    <row r="407" spans="1:38" x14ac:dyDescent="0.3">
      <c r="A407" s="67"/>
      <c r="B407" s="67"/>
      <c r="C407" s="67"/>
      <c r="D407" s="67"/>
      <c r="E407" s="67"/>
      <c r="F407" s="67"/>
      <c r="G407" s="68"/>
      <c r="I407" s="70"/>
      <c r="J407" s="70"/>
      <c r="K407" s="70"/>
      <c r="L407" s="69"/>
      <c r="M407" s="69"/>
      <c r="N407" s="69"/>
      <c r="O407" s="67"/>
      <c r="P407" s="67"/>
      <c r="Q407" s="67"/>
      <c r="R407" s="68"/>
      <c r="S407" s="68"/>
      <c r="T407" s="68"/>
      <c r="U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</row>
    <row r="408" spans="1:38" x14ac:dyDescent="0.3">
      <c r="A408" s="67"/>
      <c r="B408" s="67"/>
      <c r="C408" s="67"/>
      <c r="D408" s="67"/>
      <c r="E408" s="67"/>
      <c r="F408" s="67"/>
      <c r="G408" s="68"/>
      <c r="I408" s="70"/>
      <c r="J408" s="70"/>
      <c r="K408" s="70"/>
      <c r="L408" s="69"/>
      <c r="M408" s="69"/>
      <c r="N408" s="69"/>
      <c r="O408" s="67"/>
      <c r="P408" s="67"/>
      <c r="Q408" s="67"/>
      <c r="R408" s="68"/>
      <c r="S408" s="68"/>
      <c r="T408" s="68"/>
      <c r="U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</row>
    <row r="409" spans="1:38" x14ac:dyDescent="0.3">
      <c r="A409" s="67"/>
      <c r="B409" s="67"/>
      <c r="C409" s="67"/>
      <c r="D409" s="67"/>
      <c r="E409" s="67"/>
      <c r="F409" s="67"/>
      <c r="G409" s="68"/>
      <c r="I409" s="70"/>
      <c r="J409" s="70"/>
      <c r="K409" s="70"/>
      <c r="L409" s="69"/>
      <c r="M409" s="69"/>
      <c r="N409" s="69"/>
      <c r="O409" s="67"/>
      <c r="P409" s="67"/>
      <c r="Q409" s="67"/>
      <c r="R409" s="68"/>
      <c r="S409" s="68"/>
      <c r="T409" s="68"/>
      <c r="U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</row>
    <row r="410" spans="1:38" x14ac:dyDescent="0.3">
      <c r="A410" s="67"/>
      <c r="B410" s="67"/>
      <c r="C410" s="67"/>
      <c r="D410" s="67"/>
      <c r="E410" s="67"/>
      <c r="F410" s="67"/>
      <c r="G410" s="68"/>
      <c r="I410" s="70"/>
      <c r="J410" s="70"/>
      <c r="K410" s="70"/>
      <c r="L410" s="69"/>
      <c r="M410" s="69"/>
      <c r="N410" s="69"/>
      <c r="O410" s="67"/>
      <c r="P410" s="67"/>
      <c r="Q410" s="67"/>
      <c r="R410" s="68"/>
      <c r="S410" s="68"/>
      <c r="T410" s="68"/>
      <c r="U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</row>
    <row r="411" spans="1:38" x14ac:dyDescent="0.3">
      <c r="A411" s="67"/>
      <c r="B411" s="67"/>
      <c r="C411" s="67"/>
      <c r="D411" s="67"/>
      <c r="E411" s="67"/>
      <c r="F411" s="67"/>
      <c r="G411" s="68"/>
      <c r="I411" s="70"/>
      <c r="J411" s="70"/>
      <c r="K411" s="70"/>
      <c r="L411" s="69"/>
      <c r="M411" s="69"/>
      <c r="N411" s="69"/>
      <c r="O411" s="67"/>
      <c r="P411" s="67"/>
      <c r="Q411" s="67"/>
      <c r="R411" s="68"/>
      <c r="S411" s="68"/>
      <c r="T411" s="68"/>
      <c r="U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</row>
    <row r="412" spans="1:38" x14ac:dyDescent="0.3">
      <c r="A412" s="67"/>
      <c r="B412" s="67"/>
      <c r="C412" s="67"/>
      <c r="D412" s="67"/>
      <c r="E412" s="67"/>
      <c r="F412" s="67"/>
      <c r="G412" s="68"/>
      <c r="I412" s="70"/>
      <c r="J412" s="70"/>
      <c r="K412" s="70"/>
      <c r="L412" s="69"/>
      <c r="M412" s="69"/>
      <c r="N412" s="69"/>
      <c r="O412" s="67"/>
      <c r="P412" s="67"/>
      <c r="Q412" s="67"/>
      <c r="R412" s="68"/>
      <c r="S412" s="68"/>
      <c r="T412" s="68"/>
      <c r="U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</row>
    <row r="413" spans="1:38" x14ac:dyDescent="0.3">
      <c r="A413" s="67"/>
      <c r="B413" s="67"/>
      <c r="C413" s="67"/>
      <c r="D413" s="67"/>
      <c r="E413" s="67"/>
      <c r="F413" s="67"/>
      <c r="G413" s="68"/>
      <c r="I413" s="70"/>
      <c r="J413" s="70"/>
      <c r="K413" s="70"/>
      <c r="L413" s="69"/>
      <c r="M413" s="69"/>
      <c r="N413" s="69"/>
      <c r="O413" s="67"/>
      <c r="P413" s="67"/>
      <c r="Q413" s="67"/>
      <c r="R413" s="68"/>
      <c r="S413" s="68"/>
      <c r="T413" s="68"/>
      <c r="U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</row>
    <row r="414" spans="1:38" x14ac:dyDescent="0.3">
      <c r="A414" s="67"/>
      <c r="B414" s="67"/>
      <c r="C414" s="67"/>
      <c r="D414" s="67"/>
      <c r="E414" s="67"/>
      <c r="F414" s="67"/>
      <c r="G414" s="68"/>
      <c r="I414" s="70"/>
      <c r="J414" s="70"/>
      <c r="K414" s="70"/>
      <c r="L414" s="69"/>
      <c r="M414" s="69"/>
      <c r="N414" s="69"/>
      <c r="O414" s="67"/>
      <c r="P414" s="67"/>
      <c r="Q414" s="67"/>
      <c r="R414" s="68"/>
      <c r="S414" s="68"/>
      <c r="T414" s="68"/>
      <c r="U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</row>
    <row r="415" spans="1:38" x14ac:dyDescent="0.3">
      <c r="A415" s="67"/>
      <c r="B415" s="67"/>
      <c r="C415" s="67"/>
      <c r="D415" s="67"/>
      <c r="E415" s="67"/>
      <c r="F415" s="67"/>
      <c r="G415" s="68"/>
      <c r="I415" s="70"/>
      <c r="J415" s="70"/>
      <c r="K415" s="70"/>
      <c r="L415" s="69"/>
      <c r="M415" s="69"/>
      <c r="N415" s="69"/>
      <c r="O415" s="67"/>
      <c r="P415" s="67"/>
      <c r="Q415" s="67"/>
      <c r="R415" s="68"/>
      <c r="S415" s="68"/>
      <c r="T415" s="68"/>
      <c r="U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</row>
    <row r="416" spans="1:38" x14ac:dyDescent="0.3">
      <c r="A416" s="67"/>
      <c r="B416" s="67"/>
      <c r="C416" s="67"/>
      <c r="D416" s="67"/>
      <c r="E416" s="67"/>
      <c r="F416" s="67"/>
      <c r="G416" s="68"/>
      <c r="I416" s="70"/>
      <c r="J416" s="70"/>
      <c r="K416" s="70"/>
      <c r="L416" s="69"/>
      <c r="M416" s="69"/>
      <c r="N416" s="69"/>
      <c r="O416" s="67"/>
      <c r="P416" s="67"/>
      <c r="Q416" s="67"/>
      <c r="R416" s="68"/>
      <c r="S416" s="68"/>
      <c r="T416" s="68"/>
      <c r="U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</row>
    <row r="417" spans="1:38" x14ac:dyDescent="0.3">
      <c r="A417" s="67"/>
      <c r="B417" s="67"/>
      <c r="C417" s="67"/>
      <c r="D417" s="67"/>
      <c r="E417" s="67"/>
      <c r="F417" s="67"/>
      <c r="G417" s="68"/>
      <c r="I417" s="70"/>
      <c r="J417" s="70"/>
      <c r="K417" s="70"/>
      <c r="L417" s="69"/>
      <c r="M417" s="69"/>
      <c r="N417" s="69"/>
      <c r="O417" s="67"/>
      <c r="P417" s="67"/>
      <c r="Q417" s="67"/>
      <c r="R417" s="68"/>
      <c r="S417" s="68"/>
      <c r="T417" s="68"/>
      <c r="U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</row>
    <row r="418" spans="1:38" x14ac:dyDescent="0.3">
      <c r="A418" s="67"/>
      <c r="B418" s="67"/>
      <c r="C418" s="67"/>
      <c r="D418" s="67"/>
      <c r="E418" s="67"/>
      <c r="F418" s="67"/>
      <c r="G418" s="68"/>
      <c r="I418" s="70"/>
      <c r="J418" s="70"/>
      <c r="K418" s="70"/>
      <c r="L418" s="69"/>
      <c r="M418" s="69"/>
      <c r="N418" s="69"/>
      <c r="O418" s="67"/>
      <c r="P418" s="67"/>
      <c r="Q418" s="67"/>
      <c r="R418" s="68"/>
      <c r="S418" s="68"/>
      <c r="T418" s="68"/>
      <c r="U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</row>
    <row r="419" spans="1:38" x14ac:dyDescent="0.3">
      <c r="A419" s="67"/>
      <c r="B419" s="67"/>
      <c r="C419" s="67"/>
      <c r="D419" s="67"/>
      <c r="E419" s="67"/>
      <c r="F419" s="67"/>
      <c r="G419" s="68"/>
      <c r="I419" s="70"/>
      <c r="J419" s="70"/>
      <c r="K419" s="70"/>
      <c r="L419" s="69"/>
      <c r="M419" s="69"/>
      <c r="N419" s="69"/>
      <c r="O419" s="67"/>
      <c r="P419" s="67"/>
      <c r="Q419" s="67"/>
      <c r="R419" s="68"/>
      <c r="S419" s="68"/>
      <c r="T419" s="68"/>
      <c r="U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</row>
    <row r="420" spans="1:38" x14ac:dyDescent="0.3">
      <c r="A420" s="67"/>
      <c r="B420" s="67"/>
      <c r="C420" s="67"/>
      <c r="D420" s="67"/>
      <c r="E420" s="67"/>
      <c r="F420" s="67"/>
      <c r="G420" s="68"/>
      <c r="I420" s="70"/>
      <c r="J420" s="70"/>
      <c r="K420" s="70"/>
      <c r="L420" s="69"/>
      <c r="M420" s="69"/>
      <c r="N420" s="69"/>
      <c r="O420" s="67"/>
      <c r="P420" s="67"/>
      <c r="Q420" s="67"/>
      <c r="R420" s="68"/>
      <c r="S420" s="68"/>
      <c r="T420" s="68"/>
      <c r="U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</row>
    <row r="421" spans="1:38" x14ac:dyDescent="0.3">
      <c r="A421" s="67"/>
      <c r="B421" s="67"/>
      <c r="C421" s="67"/>
      <c r="D421" s="67"/>
      <c r="E421" s="67"/>
      <c r="F421" s="67"/>
      <c r="G421" s="68"/>
      <c r="I421" s="70"/>
      <c r="J421" s="70"/>
      <c r="K421" s="70"/>
      <c r="L421" s="69"/>
      <c r="M421" s="69"/>
      <c r="N421" s="69"/>
      <c r="O421" s="67"/>
      <c r="P421" s="67"/>
      <c r="Q421" s="67"/>
      <c r="R421" s="68"/>
      <c r="S421" s="68"/>
      <c r="T421" s="68"/>
      <c r="U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</row>
    <row r="422" spans="1:38" x14ac:dyDescent="0.3">
      <c r="A422" s="67"/>
      <c r="B422" s="67"/>
      <c r="C422" s="67"/>
      <c r="D422" s="67"/>
      <c r="E422" s="67"/>
      <c r="F422" s="67"/>
      <c r="G422" s="68"/>
      <c r="I422" s="70"/>
      <c r="J422" s="70"/>
      <c r="K422" s="70"/>
      <c r="L422" s="69"/>
      <c r="M422" s="69"/>
      <c r="N422" s="69"/>
      <c r="O422" s="67"/>
      <c r="P422" s="67"/>
      <c r="Q422" s="67"/>
      <c r="R422" s="68"/>
      <c r="S422" s="68"/>
      <c r="T422" s="68"/>
      <c r="U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</row>
    <row r="423" spans="1:38" x14ac:dyDescent="0.3">
      <c r="A423" s="67"/>
      <c r="B423" s="67"/>
      <c r="C423" s="67"/>
      <c r="D423" s="67"/>
      <c r="E423" s="67"/>
      <c r="F423" s="67"/>
      <c r="G423" s="68"/>
      <c r="I423" s="70"/>
      <c r="J423" s="70"/>
      <c r="K423" s="70"/>
      <c r="L423" s="69"/>
      <c r="M423" s="69"/>
      <c r="N423" s="69"/>
      <c r="O423" s="67"/>
      <c r="P423" s="67"/>
      <c r="Q423" s="67"/>
      <c r="R423" s="68"/>
      <c r="S423" s="68"/>
      <c r="T423" s="68"/>
      <c r="U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</row>
    <row r="424" spans="1:38" x14ac:dyDescent="0.3">
      <c r="A424" s="67"/>
      <c r="B424" s="67"/>
      <c r="C424" s="67"/>
      <c r="D424" s="67"/>
      <c r="E424" s="67"/>
      <c r="F424" s="67"/>
      <c r="G424" s="68"/>
      <c r="I424" s="70"/>
      <c r="J424" s="70"/>
      <c r="K424" s="70"/>
      <c r="L424" s="69"/>
      <c r="M424" s="69"/>
      <c r="N424" s="69"/>
      <c r="O424" s="67"/>
      <c r="P424" s="67"/>
      <c r="Q424" s="67"/>
      <c r="R424" s="68"/>
      <c r="S424" s="68"/>
      <c r="T424" s="68"/>
      <c r="U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</row>
    <row r="425" spans="1:38" x14ac:dyDescent="0.3">
      <c r="A425" s="67"/>
      <c r="B425" s="67"/>
      <c r="C425" s="67"/>
      <c r="D425" s="67"/>
      <c r="E425" s="67"/>
      <c r="F425" s="67"/>
      <c r="G425" s="68"/>
      <c r="I425" s="70"/>
      <c r="J425" s="70"/>
      <c r="K425" s="70"/>
      <c r="L425" s="69"/>
      <c r="M425" s="69"/>
      <c r="N425" s="69"/>
      <c r="O425" s="67"/>
      <c r="P425" s="67"/>
      <c r="Q425" s="67"/>
      <c r="R425" s="68"/>
      <c r="S425" s="68"/>
      <c r="T425" s="68"/>
      <c r="U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</row>
    <row r="426" spans="1:38" x14ac:dyDescent="0.3">
      <c r="A426" s="67"/>
      <c r="B426" s="67"/>
      <c r="C426" s="67"/>
      <c r="D426" s="67"/>
      <c r="E426" s="67"/>
      <c r="F426" s="67"/>
      <c r="G426" s="68"/>
      <c r="I426" s="70"/>
      <c r="J426" s="70"/>
      <c r="K426" s="70"/>
      <c r="L426" s="69"/>
      <c r="M426" s="69"/>
      <c r="N426" s="69"/>
      <c r="O426" s="67"/>
      <c r="P426" s="67"/>
      <c r="Q426" s="67"/>
      <c r="R426" s="68"/>
      <c r="S426" s="68"/>
      <c r="T426" s="68"/>
      <c r="U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</row>
    <row r="427" spans="1:38" x14ac:dyDescent="0.3">
      <c r="A427" s="67"/>
      <c r="B427" s="67"/>
      <c r="C427" s="67"/>
      <c r="D427" s="67"/>
      <c r="E427" s="67"/>
      <c r="F427" s="67"/>
      <c r="G427" s="68"/>
      <c r="I427" s="70"/>
      <c r="J427" s="70"/>
      <c r="K427" s="70"/>
      <c r="L427" s="69"/>
      <c r="M427" s="69"/>
      <c r="N427" s="69"/>
      <c r="O427" s="67"/>
      <c r="P427" s="67"/>
      <c r="Q427" s="67"/>
      <c r="R427" s="68"/>
      <c r="S427" s="68"/>
      <c r="T427" s="68"/>
      <c r="U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</row>
    <row r="428" spans="1:38" x14ac:dyDescent="0.3">
      <c r="A428" s="67"/>
      <c r="B428" s="67"/>
      <c r="C428" s="67"/>
      <c r="D428" s="67"/>
      <c r="E428" s="67"/>
      <c r="F428" s="67"/>
      <c r="G428" s="68"/>
      <c r="I428" s="70"/>
      <c r="J428" s="70"/>
      <c r="K428" s="70"/>
      <c r="L428" s="69"/>
      <c r="M428" s="69"/>
      <c r="N428" s="69"/>
      <c r="O428" s="67"/>
      <c r="P428" s="67"/>
      <c r="Q428" s="67"/>
      <c r="R428" s="68"/>
      <c r="S428" s="68"/>
      <c r="T428" s="68"/>
      <c r="U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</row>
    <row r="429" spans="1:38" x14ac:dyDescent="0.3">
      <c r="A429" s="67"/>
      <c r="B429" s="67"/>
      <c r="C429" s="67"/>
      <c r="D429" s="67"/>
      <c r="E429" s="67"/>
      <c r="F429" s="67"/>
      <c r="G429" s="68"/>
      <c r="I429" s="70"/>
      <c r="J429" s="70"/>
      <c r="K429" s="70"/>
      <c r="L429" s="69"/>
      <c r="M429" s="69"/>
      <c r="N429" s="69"/>
      <c r="O429" s="67"/>
      <c r="P429" s="67"/>
      <c r="Q429" s="67"/>
      <c r="R429" s="68"/>
      <c r="S429" s="68"/>
      <c r="T429" s="68"/>
      <c r="U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</row>
    <row r="430" spans="1:38" x14ac:dyDescent="0.3">
      <c r="A430" s="67"/>
      <c r="B430" s="67"/>
      <c r="C430" s="67"/>
      <c r="D430" s="67"/>
      <c r="E430" s="67"/>
      <c r="F430" s="67"/>
      <c r="G430" s="68"/>
      <c r="I430" s="70"/>
      <c r="J430" s="70"/>
      <c r="K430" s="70"/>
      <c r="L430" s="69"/>
      <c r="M430" s="69"/>
      <c r="N430" s="69"/>
      <c r="O430" s="67"/>
      <c r="P430" s="67"/>
      <c r="Q430" s="67"/>
      <c r="R430" s="68"/>
      <c r="S430" s="68"/>
      <c r="T430" s="68"/>
      <c r="U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</row>
    <row r="431" spans="1:38" x14ac:dyDescent="0.3">
      <c r="A431" s="67"/>
      <c r="B431" s="67"/>
      <c r="C431" s="67"/>
      <c r="D431" s="67"/>
      <c r="E431" s="67"/>
      <c r="F431" s="67"/>
      <c r="G431" s="68"/>
      <c r="I431" s="70"/>
      <c r="J431" s="70"/>
      <c r="K431" s="70"/>
      <c r="L431" s="69"/>
      <c r="M431" s="69"/>
      <c r="N431" s="69"/>
      <c r="O431" s="67"/>
      <c r="P431" s="67"/>
      <c r="Q431" s="67"/>
      <c r="R431" s="68"/>
      <c r="S431" s="68"/>
      <c r="T431" s="68"/>
      <c r="U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</row>
    <row r="432" spans="1:38" x14ac:dyDescent="0.3">
      <c r="A432" s="67"/>
      <c r="B432" s="67"/>
      <c r="C432" s="67"/>
      <c r="D432" s="67"/>
      <c r="E432" s="67"/>
      <c r="F432" s="67"/>
      <c r="G432" s="68"/>
      <c r="I432" s="70"/>
      <c r="J432" s="70"/>
      <c r="K432" s="70"/>
      <c r="L432" s="69"/>
      <c r="M432" s="69"/>
      <c r="N432" s="69"/>
      <c r="O432" s="67"/>
      <c r="P432" s="67"/>
      <c r="Q432" s="67"/>
      <c r="R432" s="68"/>
      <c r="S432" s="68"/>
      <c r="T432" s="68"/>
      <c r="U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</row>
    <row r="433" spans="1:38" x14ac:dyDescent="0.3">
      <c r="A433" s="67"/>
      <c r="B433" s="67"/>
      <c r="C433" s="67"/>
      <c r="D433" s="67"/>
      <c r="E433" s="67"/>
      <c r="F433" s="67"/>
      <c r="G433" s="68"/>
      <c r="I433" s="70"/>
      <c r="J433" s="70"/>
      <c r="K433" s="70"/>
      <c r="L433" s="69"/>
      <c r="M433" s="69"/>
      <c r="N433" s="69"/>
      <c r="O433" s="67"/>
      <c r="P433" s="67"/>
      <c r="Q433" s="67"/>
      <c r="R433" s="68"/>
      <c r="S433" s="68"/>
      <c r="T433" s="68"/>
      <c r="U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</row>
    <row r="434" spans="1:38" x14ac:dyDescent="0.3">
      <c r="A434" s="67"/>
      <c r="B434" s="67"/>
      <c r="C434" s="67"/>
      <c r="D434" s="67"/>
      <c r="E434" s="67"/>
      <c r="F434" s="67"/>
      <c r="G434" s="68"/>
      <c r="I434" s="70"/>
      <c r="J434" s="70"/>
      <c r="K434" s="70"/>
      <c r="L434" s="69"/>
      <c r="M434" s="69"/>
      <c r="N434" s="69"/>
      <c r="O434" s="67"/>
      <c r="P434" s="67"/>
      <c r="Q434" s="67"/>
      <c r="R434" s="68"/>
      <c r="S434" s="68"/>
      <c r="T434" s="68"/>
      <c r="U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</row>
    <row r="435" spans="1:38" x14ac:dyDescent="0.3">
      <c r="A435" s="67"/>
      <c r="B435" s="67"/>
      <c r="C435" s="67"/>
      <c r="D435" s="67"/>
      <c r="E435" s="67"/>
      <c r="F435" s="67"/>
      <c r="G435" s="68"/>
      <c r="I435" s="70"/>
      <c r="J435" s="70"/>
      <c r="K435" s="70"/>
      <c r="L435" s="69"/>
      <c r="M435" s="69"/>
      <c r="N435" s="69"/>
      <c r="O435" s="67"/>
      <c r="P435" s="67"/>
      <c r="Q435" s="67"/>
      <c r="R435" s="68"/>
      <c r="S435" s="68"/>
      <c r="T435" s="68"/>
      <c r="U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</row>
    <row r="436" spans="1:38" x14ac:dyDescent="0.3">
      <c r="A436" s="67"/>
      <c r="B436" s="67"/>
      <c r="C436" s="67"/>
      <c r="D436" s="67"/>
      <c r="E436" s="67"/>
      <c r="F436" s="67"/>
      <c r="G436" s="68"/>
      <c r="I436" s="70"/>
      <c r="J436" s="70"/>
      <c r="K436" s="70"/>
      <c r="L436" s="69"/>
      <c r="M436" s="69"/>
      <c r="N436" s="69"/>
      <c r="O436" s="67"/>
      <c r="P436" s="67"/>
      <c r="Q436" s="67"/>
      <c r="R436" s="68"/>
      <c r="S436" s="68"/>
      <c r="T436" s="68"/>
      <c r="U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</row>
    <row r="437" spans="1:38" x14ac:dyDescent="0.3">
      <c r="A437" s="67"/>
      <c r="B437" s="67"/>
      <c r="C437" s="67"/>
      <c r="D437" s="67"/>
      <c r="E437" s="67"/>
      <c r="F437" s="67"/>
      <c r="G437" s="68"/>
      <c r="I437" s="70"/>
      <c r="J437" s="70"/>
      <c r="K437" s="70"/>
      <c r="L437" s="69"/>
      <c r="M437" s="69"/>
      <c r="N437" s="69"/>
      <c r="O437" s="67"/>
      <c r="P437" s="67"/>
      <c r="Q437" s="67"/>
      <c r="R437" s="68"/>
      <c r="S437" s="68"/>
      <c r="T437" s="68"/>
      <c r="U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</row>
    <row r="438" spans="1:38" x14ac:dyDescent="0.3">
      <c r="A438" s="67"/>
      <c r="B438" s="67"/>
      <c r="C438" s="67"/>
      <c r="D438" s="67"/>
      <c r="E438" s="67"/>
      <c r="F438" s="67"/>
      <c r="G438" s="68"/>
      <c r="I438" s="70"/>
      <c r="J438" s="70"/>
      <c r="K438" s="70"/>
      <c r="L438" s="69"/>
      <c r="M438" s="69"/>
      <c r="N438" s="69"/>
      <c r="O438" s="67"/>
      <c r="P438" s="67"/>
      <c r="Q438" s="67"/>
      <c r="R438" s="68"/>
      <c r="S438" s="68"/>
      <c r="T438" s="68"/>
      <c r="U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</row>
    <row r="439" spans="1:38" x14ac:dyDescent="0.3">
      <c r="A439" s="67"/>
      <c r="B439" s="67"/>
      <c r="C439" s="67"/>
      <c r="D439" s="67"/>
      <c r="E439" s="67"/>
      <c r="F439" s="67"/>
      <c r="G439" s="68"/>
      <c r="I439" s="70"/>
      <c r="J439" s="70"/>
      <c r="K439" s="70"/>
      <c r="L439" s="69"/>
      <c r="M439" s="69"/>
      <c r="N439" s="69"/>
      <c r="O439" s="67"/>
      <c r="P439" s="67"/>
      <c r="Q439" s="67"/>
      <c r="R439" s="68"/>
      <c r="S439" s="68"/>
      <c r="T439" s="68"/>
      <c r="U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</row>
    <row r="440" spans="1:38" x14ac:dyDescent="0.3">
      <c r="A440" s="67"/>
      <c r="B440" s="67"/>
      <c r="C440" s="67"/>
      <c r="D440" s="67"/>
      <c r="E440" s="67"/>
      <c r="F440" s="67"/>
      <c r="G440" s="68"/>
      <c r="I440" s="70"/>
      <c r="J440" s="70"/>
      <c r="K440" s="70"/>
      <c r="L440" s="69"/>
      <c r="M440" s="69"/>
      <c r="N440" s="69"/>
      <c r="O440" s="67"/>
      <c r="P440" s="67"/>
      <c r="Q440" s="67"/>
      <c r="R440" s="68"/>
      <c r="S440" s="68"/>
      <c r="T440" s="68"/>
      <c r="U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</row>
    <row r="441" spans="1:38" x14ac:dyDescent="0.3">
      <c r="A441" s="67"/>
      <c r="B441" s="67"/>
      <c r="C441" s="67"/>
      <c r="D441" s="67"/>
      <c r="E441" s="67"/>
      <c r="F441" s="67"/>
      <c r="G441" s="68"/>
      <c r="I441" s="70"/>
      <c r="J441" s="70"/>
      <c r="K441" s="70"/>
      <c r="L441" s="69"/>
      <c r="M441" s="69"/>
      <c r="N441" s="69"/>
      <c r="O441" s="67"/>
      <c r="P441" s="67"/>
      <c r="Q441" s="67"/>
      <c r="R441" s="68"/>
      <c r="S441" s="68"/>
      <c r="T441" s="68"/>
      <c r="U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</row>
    <row r="442" spans="1:38" x14ac:dyDescent="0.3">
      <c r="A442" s="67"/>
      <c r="B442" s="67"/>
      <c r="C442" s="67"/>
      <c r="D442" s="67"/>
      <c r="E442" s="67"/>
      <c r="F442" s="67"/>
      <c r="G442" s="68"/>
      <c r="I442" s="70"/>
      <c r="J442" s="70"/>
      <c r="K442" s="70"/>
      <c r="L442" s="69"/>
      <c r="M442" s="69"/>
      <c r="N442" s="69"/>
      <c r="O442" s="67"/>
      <c r="P442" s="67"/>
      <c r="Q442" s="67"/>
      <c r="R442" s="68"/>
      <c r="S442" s="68"/>
      <c r="T442" s="68"/>
      <c r="U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</row>
    <row r="443" spans="1:38" x14ac:dyDescent="0.3">
      <c r="A443" s="67"/>
      <c r="B443" s="67"/>
      <c r="C443" s="67"/>
      <c r="D443" s="67"/>
      <c r="E443" s="67"/>
      <c r="F443" s="67"/>
      <c r="G443" s="68"/>
      <c r="I443" s="70"/>
      <c r="J443" s="70"/>
      <c r="K443" s="70"/>
      <c r="L443" s="69"/>
      <c r="M443" s="69"/>
      <c r="N443" s="69"/>
      <c r="O443" s="67"/>
      <c r="P443" s="67"/>
      <c r="Q443" s="67"/>
      <c r="R443" s="68"/>
      <c r="S443" s="68"/>
      <c r="T443" s="68"/>
      <c r="U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</row>
    <row r="444" spans="1:38" x14ac:dyDescent="0.3">
      <c r="A444" s="67"/>
      <c r="B444" s="67"/>
      <c r="C444" s="67"/>
      <c r="D444" s="67"/>
      <c r="E444" s="67"/>
      <c r="F444" s="67"/>
      <c r="G444" s="68"/>
      <c r="I444" s="70"/>
      <c r="J444" s="70"/>
      <c r="K444" s="70"/>
      <c r="L444" s="69"/>
      <c r="M444" s="69"/>
      <c r="N444" s="69"/>
      <c r="O444" s="67"/>
      <c r="P444" s="67"/>
      <c r="Q444" s="67"/>
      <c r="R444" s="68"/>
      <c r="S444" s="68"/>
      <c r="T444" s="68"/>
      <c r="U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</row>
    <row r="445" spans="1:38" x14ac:dyDescent="0.3">
      <c r="A445" s="67"/>
      <c r="B445" s="67"/>
      <c r="C445" s="67"/>
      <c r="D445" s="67"/>
      <c r="E445" s="67"/>
      <c r="F445" s="67"/>
      <c r="G445" s="68"/>
      <c r="I445" s="70"/>
      <c r="J445" s="70"/>
      <c r="K445" s="70"/>
      <c r="L445" s="69"/>
      <c r="M445" s="69"/>
      <c r="N445" s="69"/>
      <c r="O445" s="67"/>
      <c r="P445" s="67"/>
      <c r="Q445" s="67"/>
      <c r="R445" s="68"/>
      <c r="S445" s="68"/>
      <c r="T445" s="68"/>
      <c r="U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</row>
    <row r="446" spans="1:38" x14ac:dyDescent="0.3">
      <c r="A446" s="67"/>
      <c r="B446" s="67"/>
      <c r="C446" s="67"/>
      <c r="D446" s="67"/>
      <c r="E446" s="67"/>
      <c r="F446" s="67"/>
      <c r="G446" s="68"/>
      <c r="I446" s="70"/>
      <c r="J446" s="70"/>
      <c r="K446" s="70"/>
      <c r="L446" s="69"/>
      <c r="M446" s="69"/>
      <c r="N446" s="69"/>
      <c r="O446" s="67"/>
      <c r="P446" s="67"/>
      <c r="Q446" s="67"/>
      <c r="R446" s="68"/>
      <c r="S446" s="68"/>
      <c r="T446" s="68"/>
      <c r="U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</row>
    <row r="447" spans="1:38" x14ac:dyDescent="0.3">
      <c r="A447" s="67"/>
      <c r="B447" s="67"/>
      <c r="C447" s="67"/>
      <c r="D447" s="67"/>
      <c r="E447" s="67"/>
      <c r="F447" s="67"/>
      <c r="G447" s="68"/>
      <c r="I447" s="70"/>
      <c r="J447" s="70"/>
      <c r="K447" s="70"/>
      <c r="L447" s="69"/>
      <c r="M447" s="69"/>
      <c r="N447" s="69"/>
      <c r="O447" s="67"/>
      <c r="P447" s="67"/>
      <c r="Q447" s="67"/>
      <c r="R447" s="68"/>
      <c r="S447" s="68"/>
      <c r="T447" s="68"/>
      <c r="U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</row>
    <row r="448" spans="1:38" x14ac:dyDescent="0.3">
      <c r="A448" s="67"/>
      <c r="B448" s="67"/>
      <c r="C448" s="67"/>
      <c r="D448" s="67"/>
      <c r="E448" s="67"/>
      <c r="F448" s="67"/>
      <c r="G448" s="68"/>
      <c r="I448" s="70"/>
      <c r="J448" s="70"/>
      <c r="K448" s="70"/>
      <c r="L448" s="69"/>
      <c r="M448" s="69"/>
      <c r="N448" s="69"/>
      <c r="O448" s="67"/>
      <c r="P448" s="67"/>
      <c r="Q448" s="67"/>
      <c r="R448" s="68"/>
      <c r="S448" s="68"/>
      <c r="T448" s="68"/>
      <c r="U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</row>
    <row r="449" spans="1:38" x14ac:dyDescent="0.3">
      <c r="A449" s="67"/>
      <c r="B449" s="67"/>
      <c r="C449" s="67"/>
      <c r="D449" s="67"/>
      <c r="E449" s="67"/>
      <c r="F449" s="67"/>
      <c r="G449" s="68"/>
      <c r="I449" s="70"/>
      <c r="J449" s="70"/>
      <c r="K449" s="70"/>
      <c r="L449" s="69"/>
      <c r="M449" s="69"/>
      <c r="N449" s="69"/>
      <c r="O449" s="67"/>
      <c r="P449" s="67"/>
      <c r="Q449" s="67"/>
      <c r="R449" s="68"/>
      <c r="S449" s="68"/>
      <c r="T449" s="68"/>
      <c r="U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</row>
    <row r="450" spans="1:38" x14ac:dyDescent="0.3">
      <c r="A450" s="67"/>
      <c r="B450" s="67"/>
      <c r="C450" s="67"/>
      <c r="D450" s="67"/>
      <c r="E450" s="67"/>
      <c r="F450" s="67"/>
      <c r="G450" s="68"/>
      <c r="I450" s="70"/>
      <c r="J450" s="70"/>
      <c r="K450" s="70"/>
      <c r="L450" s="69"/>
      <c r="M450" s="69"/>
      <c r="N450" s="69"/>
      <c r="O450" s="67"/>
      <c r="P450" s="67"/>
      <c r="Q450" s="67"/>
      <c r="R450" s="68"/>
      <c r="S450" s="68"/>
      <c r="T450" s="68"/>
      <c r="U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</row>
    <row r="451" spans="1:38" x14ac:dyDescent="0.3">
      <c r="A451" s="67"/>
      <c r="B451" s="67"/>
      <c r="C451" s="67"/>
      <c r="D451" s="67"/>
      <c r="E451" s="67"/>
      <c r="F451" s="67"/>
      <c r="G451" s="68"/>
      <c r="I451" s="70"/>
      <c r="J451" s="70"/>
      <c r="K451" s="70"/>
      <c r="L451" s="69"/>
      <c r="M451" s="69"/>
      <c r="N451" s="69"/>
      <c r="O451" s="67"/>
      <c r="P451" s="67"/>
      <c r="Q451" s="67"/>
      <c r="R451" s="68"/>
      <c r="S451" s="68"/>
      <c r="T451" s="68"/>
      <c r="U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</row>
    <row r="452" spans="1:38" x14ac:dyDescent="0.3">
      <c r="A452" s="67"/>
      <c r="B452" s="67"/>
      <c r="C452" s="67"/>
      <c r="D452" s="67"/>
      <c r="E452" s="67"/>
      <c r="F452" s="67"/>
      <c r="G452" s="68"/>
      <c r="I452" s="70"/>
      <c r="J452" s="70"/>
      <c r="K452" s="70"/>
      <c r="L452" s="69"/>
      <c r="M452" s="69"/>
      <c r="N452" s="69"/>
      <c r="O452" s="67"/>
      <c r="P452" s="67"/>
      <c r="Q452" s="67"/>
      <c r="R452" s="68"/>
      <c r="S452" s="68"/>
      <c r="T452" s="68"/>
      <c r="U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</row>
    <row r="453" spans="1:38" x14ac:dyDescent="0.3">
      <c r="A453" s="67"/>
      <c r="B453" s="67"/>
      <c r="C453" s="67"/>
      <c r="D453" s="67"/>
      <c r="E453" s="67"/>
      <c r="F453" s="67"/>
      <c r="G453" s="68"/>
      <c r="I453" s="70"/>
      <c r="J453" s="70"/>
      <c r="K453" s="70"/>
      <c r="L453" s="69"/>
      <c r="M453" s="69"/>
      <c r="N453" s="69"/>
      <c r="O453" s="67"/>
      <c r="P453" s="67"/>
      <c r="Q453" s="67"/>
      <c r="R453" s="68"/>
      <c r="S453" s="68"/>
      <c r="T453" s="68"/>
      <c r="U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</row>
    <row r="454" spans="1:38" x14ac:dyDescent="0.3">
      <c r="A454" s="67"/>
      <c r="B454" s="67"/>
      <c r="C454" s="67"/>
      <c r="D454" s="67"/>
      <c r="E454" s="67"/>
      <c r="F454" s="67"/>
      <c r="G454" s="68"/>
      <c r="I454" s="70"/>
      <c r="J454" s="70"/>
      <c r="K454" s="70"/>
      <c r="L454" s="69"/>
      <c r="M454" s="69"/>
      <c r="N454" s="69"/>
      <c r="O454" s="67"/>
      <c r="P454" s="67"/>
      <c r="Q454" s="67"/>
      <c r="R454" s="68"/>
      <c r="S454" s="68"/>
      <c r="T454" s="68"/>
      <c r="U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</row>
    <row r="455" spans="1:38" x14ac:dyDescent="0.3">
      <c r="A455" s="67"/>
      <c r="B455" s="67"/>
      <c r="C455" s="67"/>
      <c r="D455" s="67"/>
      <c r="E455" s="67"/>
      <c r="F455" s="67"/>
      <c r="G455" s="68"/>
      <c r="I455" s="70"/>
      <c r="J455" s="70"/>
      <c r="K455" s="70"/>
      <c r="L455" s="69"/>
      <c r="M455" s="69"/>
      <c r="N455" s="69"/>
      <c r="O455" s="67"/>
      <c r="P455" s="67"/>
      <c r="Q455" s="67"/>
      <c r="R455" s="68"/>
      <c r="S455" s="68"/>
      <c r="T455" s="68"/>
      <c r="U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</row>
    <row r="456" spans="1:38" x14ac:dyDescent="0.3">
      <c r="A456" s="67"/>
      <c r="B456" s="67"/>
      <c r="C456" s="67"/>
      <c r="D456" s="67"/>
      <c r="E456" s="67"/>
      <c r="F456" s="67"/>
      <c r="G456" s="68"/>
      <c r="I456" s="70"/>
      <c r="J456" s="70"/>
      <c r="K456" s="70"/>
      <c r="L456" s="69"/>
      <c r="M456" s="69"/>
      <c r="N456" s="69"/>
      <c r="O456" s="67"/>
      <c r="P456" s="67"/>
      <c r="Q456" s="67"/>
      <c r="R456" s="68"/>
      <c r="S456" s="68"/>
      <c r="T456" s="68"/>
      <c r="U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</row>
    <row r="457" spans="1:38" x14ac:dyDescent="0.3">
      <c r="A457" s="67"/>
      <c r="B457" s="67"/>
      <c r="C457" s="67"/>
      <c r="D457" s="67"/>
      <c r="E457" s="67"/>
      <c r="F457" s="67"/>
      <c r="G457" s="68"/>
      <c r="I457" s="70"/>
      <c r="J457" s="70"/>
      <c r="K457" s="70"/>
      <c r="L457" s="69"/>
      <c r="M457" s="69"/>
      <c r="N457" s="69"/>
      <c r="O457" s="67"/>
      <c r="P457" s="67"/>
      <c r="Q457" s="67"/>
      <c r="R457" s="68"/>
      <c r="S457" s="68"/>
      <c r="T457" s="68"/>
      <c r="U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</row>
    <row r="458" spans="1:38" x14ac:dyDescent="0.3">
      <c r="A458" s="67"/>
      <c r="B458" s="67"/>
      <c r="C458" s="67"/>
      <c r="D458" s="67"/>
      <c r="E458" s="67"/>
      <c r="F458" s="67"/>
      <c r="G458" s="68"/>
      <c r="I458" s="70"/>
      <c r="J458" s="70"/>
      <c r="K458" s="70"/>
      <c r="L458" s="69"/>
      <c r="M458" s="69"/>
      <c r="N458" s="69"/>
      <c r="O458" s="67"/>
      <c r="P458" s="67"/>
      <c r="Q458" s="67"/>
      <c r="R458" s="68"/>
      <c r="S458" s="68"/>
      <c r="T458" s="68"/>
      <c r="U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</row>
    <row r="459" spans="1:38" x14ac:dyDescent="0.3">
      <c r="A459" s="67"/>
      <c r="B459" s="67"/>
      <c r="C459" s="67"/>
      <c r="D459" s="67"/>
      <c r="E459" s="67"/>
      <c r="F459" s="67"/>
      <c r="G459" s="68"/>
      <c r="I459" s="70"/>
      <c r="J459" s="70"/>
      <c r="K459" s="70"/>
      <c r="L459" s="69"/>
      <c r="M459" s="69"/>
      <c r="N459" s="69"/>
      <c r="O459" s="67"/>
      <c r="P459" s="67"/>
      <c r="Q459" s="67"/>
      <c r="R459" s="68"/>
      <c r="S459" s="68"/>
      <c r="T459" s="68"/>
      <c r="U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</row>
    <row r="460" spans="1:38" x14ac:dyDescent="0.3">
      <c r="A460" s="67"/>
      <c r="B460" s="67"/>
      <c r="C460" s="67"/>
      <c r="D460" s="67"/>
      <c r="E460" s="67"/>
      <c r="F460" s="67"/>
      <c r="G460" s="68"/>
      <c r="I460" s="70"/>
      <c r="J460" s="70"/>
      <c r="K460" s="70"/>
      <c r="L460" s="69"/>
      <c r="M460" s="69"/>
      <c r="N460" s="69"/>
      <c r="O460" s="67"/>
      <c r="P460" s="67"/>
      <c r="Q460" s="67"/>
      <c r="R460" s="68"/>
      <c r="S460" s="68"/>
      <c r="T460" s="68"/>
      <c r="U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</row>
    <row r="461" spans="1:38" x14ac:dyDescent="0.3">
      <c r="A461" s="67"/>
      <c r="B461" s="67"/>
      <c r="C461" s="67"/>
      <c r="D461" s="67"/>
      <c r="E461" s="67"/>
      <c r="F461" s="67"/>
      <c r="G461" s="68"/>
      <c r="I461" s="70"/>
      <c r="J461" s="70"/>
      <c r="K461" s="70"/>
      <c r="L461" s="69"/>
      <c r="M461" s="69"/>
      <c r="N461" s="69"/>
      <c r="O461" s="67"/>
      <c r="P461" s="67"/>
      <c r="Q461" s="67"/>
      <c r="R461" s="68"/>
      <c r="S461" s="68"/>
      <c r="T461" s="68"/>
      <c r="U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</row>
    <row r="462" spans="1:38" x14ac:dyDescent="0.3">
      <c r="A462" s="67"/>
      <c r="B462" s="67"/>
      <c r="C462" s="67"/>
      <c r="D462" s="67"/>
      <c r="E462" s="67"/>
      <c r="F462" s="67"/>
      <c r="G462" s="68"/>
      <c r="I462" s="70"/>
      <c r="J462" s="70"/>
      <c r="K462" s="70"/>
      <c r="L462" s="69"/>
      <c r="M462" s="69"/>
      <c r="N462" s="69"/>
      <c r="O462" s="67"/>
      <c r="P462" s="67"/>
      <c r="Q462" s="67"/>
      <c r="R462" s="68"/>
      <c r="S462" s="68"/>
      <c r="T462" s="68"/>
      <c r="U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</row>
    <row r="463" spans="1:38" x14ac:dyDescent="0.3">
      <c r="A463" s="67"/>
      <c r="B463" s="67"/>
      <c r="C463" s="67"/>
      <c r="D463" s="67"/>
      <c r="E463" s="67"/>
      <c r="F463" s="67"/>
      <c r="G463" s="68"/>
      <c r="I463" s="70"/>
      <c r="J463" s="70"/>
      <c r="K463" s="70"/>
      <c r="L463" s="69"/>
      <c r="M463" s="69"/>
      <c r="N463" s="69"/>
      <c r="O463" s="67"/>
      <c r="P463" s="67"/>
      <c r="Q463" s="67"/>
      <c r="R463" s="68"/>
      <c r="S463" s="68"/>
      <c r="T463" s="68"/>
      <c r="U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</row>
    <row r="464" spans="1:38" x14ac:dyDescent="0.3">
      <c r="A464" s="67"/>
      <c r="B464" s="67"/>
      <c r="C464" s="67"/>
      <c r="D464" s="67"/>
      <c r="E464" s="67"/>
      <c r="F464" s="67"/>
      <c r="G464" s="68"/>
      <c r="I464" s="70"/>
      <c r="J464" s="70"/>
      <c r="K464" s="70"/>
      <c r="L464" s="69"/>
      <c r="M464" s="69"/>
      <c r="N464" s="69"/>
      <c r="O464" s="67"/>
      <c r="P464" s="67"/>
      <c r="Q464" s="67"/>
      <c r="R464" s="68"/>
      <c r="S464" s="68"/>
      <c r="T464" s="68"/>
      <c r="U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</row>
    <row r="465" spans="1:38" x14ac:dyDescent="0.3">
      <c r="A465" s="67"/>
      <c r="B465" s="67"/>
      <c r="C465" s="67"/>
      <c r="D465" s="67"/>
      <c r="E465" s="67"/>
      <c r="F465" s="67"/>
      <c r="G465" s="68"/>
      <c r="I465" s="70"/>
      <c r="J465" s="70"/>
      <c r="K465" s="70"/>
      <c r="L465" s="69"/>
      <c r="M465" s="69"/>
      <c r="N465" s="69"/>
      <c r="O465" s="67"/>
      <c r="P465" s="67"/>
      <c r="Q465" s="67"/>
      <c r="R465" s="68"/>
      <c r="S465" s="68"/>
      <c r="T465" s="68"/>
      <c r="U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</row>
    <row r="466" spans="1:38" x14ac:dyDescent="0.3">
      <c r="A466" s="67"/>
      <c r="B466" s="67"/>
      <c r="C466" s="67"/>
      <c r="D466" s="67"/>
      <c r="E466" s="67"/>
      <c r="F466" s="67"/>
      <c r="G466" s="68"/>
      <c r="I466" s="70"/>
      <c r="J466" s="70"/>
      <c r="K466" s="70"/>
      <c r="L466" s="69"/>
      <c r="M466" s="69"/>
      <c r="N466" s="69"/>
      <c r="O466" s="67"/>
      <c r="P466" s="67"/>
      <c r="Q466" s="67"/>
      <c r="R466" s="68"/>
      <c r="S466" s="68"/>
      <c r="T466" s="68"/>
      <c r="U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</row>
    <row r="467" spans="1:38" x14ac:dyDescent="0.3">
      <c r="A467" s="67"/>
      <c r="B467" s="67"/>
      <c r="C467" s="67"/>
      <c r="D467" s="67"/>
      <c r="E467" s="67"/>
      <c r="F467" s="67"/>
      <c r="G467" s="68"/>
      <c r="I467" s="70"/>
      <c r="J467" s="70"/>
      <c r="K467" s="70"/>
      <c r="L467" s="69"/>
      <c r="M467" s="69"/>
      <c r="N467" s="69"/>
      <c r="O467" s="67"/>
      <c r="P467" s="67"/>
      <c r="Q467" s="67"/>
      <c r="R467" s="68"/>
      <c r="S467" s="68"/>
      <c r="T467" s="68"/>
      <c r="U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</row>
    <row r="468" spans="1:38" x14ac:dyDescent="0.3">
      <c r="A468" s="67"/>
      <c r="B468" s="67"/>
      <c r="C468" s="67"/>
      <c r="D468" s="67"/>
      <c r="E468" s="67"/>
      <c r="F468" s="67"/>
      <c r="G468" s="68"/>
      <c r="I468" s="70"/>
      <c r="J468" s="70"/>
      <c r="K468" s="70"/>
      <c r="L468" s="69"/>
      <c r="M468" s="69"/>
      <c r="N468" s="69"/>
      <c r="O468" s="67"/>
      <c r="P468" s="67"/>
      <c r="Q468" s="67"/>
      <c r="R468" s="68"/>
      <c r="S468" s="68"/>
      <c r="T468" s="68"/>
      <c r="U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</row>
    <row r="469" spans="1:38" x14ac:dyDescent="0.3">
      <c r="A469" s="67"/>
      <c r="B469" s="67"/>
      <c r="C469" s="67"/>
      <c r="D469" s="67"/>
      <c r="E469" s="67"/>
      <c r="F469" s="67"/>
      <c r="G469" s="68"/>
      <c r="I469" s="70"/>
      <c r="J469" s="70"/>
      <c r="K469" s="70"/>
      <c r="L469" s="69"/>
      <c r="M469" s="69"/>
      <c r="N469" s="69"/>
      <c r="O469" s="67"/>
      <c r="P469" s="67"/>
      <c r="Q469" s="67"/>
      <c r="R469" s="68"/>
      <c r="S469" s="68"/>
      <c r="T469" s="68"/>
      <c r="U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</row>
    <row r="470" spans="1:38" x14ac:dyDescent="0.3">
      <c r="A470" s="67"/>
      <c r="B470" s="67"/>
      <c r="C470" s="67"/>
      <c r="D470" s="67"/>
      <c r="E470" s="67"/>
      <c r="F470" s="67"/>
      <c r="G470" s="68"/>
      <c r="I470" s="70"/>
      <c r="J470" s="70"/>
      <c r="K470" s="70"/>
      <c r="L470" s="69"/>
      <c r="M470" s="69"/>
      <c r="N470" s="69"/>
      <c r="O470" s="67"/>
      <c r="P470" s="67"/>
      <c r="Q470" s="67"/>
      <c r="R470" s="68"/>
      <c r="S470" s="68"/>
      <c r="T470" s="68"/>
      <c r="U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</row>
    <row r="471" spans="1:38" x14ac:dyDescent="0.3">
      <c r="A471" s="67"/>
      <c r="B471" s="67"/>
      <c r="C471" s="67"/>
      <c r="D471" s="67"/>
      <c r="E471" s="67"/>
      <c r="F471" s="67"/>
      <c r="G471" s="68"/>
      <c r="I471" s="70"/>
      <c r="J471" s="70"/>
      <c r="K471" s="70"/>
      <c r="L471" s="69"/>
      <c r="M471" s="69"/>
      <c r="N471" s="69"/>
      <c r="O471" s="67"/>
      <c r="P471" s="67"/>
      <c r="Q471" s="67"/>
      <c r="R471" s="68"/>
      <c r="S471" s="68"/>
      <c r="T471" s="68"/>
      <c r="U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</row>
    <row r="472" spans="1:38" x14ac:dyDescent="0.3">
      <c r="A472" s="67"/>
      <c r="B472" s="67"/>
      <c r="C472" s="67"/>
      <c r="D472" s="67"/>
      <c r="E472" s="67"/>
      <c r="F472" s="67"/>
      <c r="G472" s="68"/>
      <c r="I472" s="70"/>
      <c r="J472" s="70"/>
      <c r="K472" s="70"/>
      <c r="L472" s="69"/>
      <c r="M472" s="69"/>
      <c r="N472" s="69"/>
      <c r="O472" s="67"/>
      <c r="P472" s="67"/>
      <c r="Q472" s="67"/>
      <c r="R472" s="68"/>
      <c r="S472" s="68"/>
      <c r="T472" s="68"/>
      <c r="U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</row>
    <row r="473" spans="1:38" x14ac:dyDescent="0.3">
      <c r="A473" s="67"/>
      <c r="B473" s="67"/>
      <c r="C473" s="67"/>
      <c r="D473" s="67"/>
      <c r="E473" s="67"/>
      <c r="F473" s="67"/>
      <c r="G473" s="68"/>
      <c r="I473" s="70"/>
      <c r="J473" s="70"/>
      <c r="K473" s="70"/>
      <c r="L473" s="69"/>
      <c r="M473" s="69"/>
      <c r="N473" s="69"/>
      <c r="O473" s="67"/>
      <c r="P473" s="67"/>
      <c r="Q473" s="67"/>
      <c r="R473" s="68"/>
      <c r="S473" s="68"/>
      <c r="T473" s="68"/>
      <c r="U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</row>
    <row r="474" spans="1:38" x14ac:dyDescent="0.3">
      <c r="A474" s="67"/>
      <c r="B474" s="67"/>
      <c r="C474" s="67"/>
      <c r="D474" s="67"/>
      <c r="E474" s="67"/>
      <c r="F474" s="67"/>
      <c r="G474" s="68"/>
      <c r="I474" s="70"/>
      <c r="J474" s="70"/>
      <c r="K474" s="70"/>
      <c r="L474" s="69"/>
      <c r="M474" s="69"/>
      <c r="N474" s="69"/>
      <c r="O474" s="67"/>
      <c r="P474" s="67"/>
      <c r="Q474" s="67"/>
      <c r="R474" s="68"/>
      <c r="S474" s="68"/>
      <c r="T474" s="68"/>
      <c r="U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</row>
    <row r="475" spans="1:38" x14ac:dyDescent="0.3">
      <c r="A475" s="67"/>
      <c r="B475" s="67"/>
      <c r="C475" s="67"/>
      <c r="D475" s="67"/>
      <c r="E475" s="67"/>
      <c r="F475" s="67"/>
      <c r="G475" s="68"/>
      <c r="I475" s="70"/>
      <c r="J475" s="70"/>
      <c r="K475" s="70"/>
      <c r="L475" s="69"/>
      <c r="M475" s="69"/>
      <c r="N475" s="69"/>
      <c r="O475" s="67"/>
      <c r="P475" s="67"/>
      <c r="Q475" s="67"/>
      <c r="R475" s="68"/>
      <c r="S475" s="68"/>
      <c r="T475" s="68"/>
      <c r="U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</row>
    <row r="476" spans="1:38" x14ac:dyDescent="0.3">
      <c r="A476" s="67"/>
      <c r="B476" s="67"/>
      <c r="C476" s="67"/>
      <c r="D476" s="67"/>
      <c r="E476" s="67"/>
      <c r="F476" s="67"/>
      <c r="G476" s="68"/>
      <c r="I476" s="70"/>
      <c r="J476" s="70"/>
      <c r="K476" s="70"/>
      <c r="L476" s="69"/>
      <c r="M476" s="69"/>
      <c r="N476" s="69"/>
      <c r="O476" s="67"/>
      <c r="P476" s="67"/>
      <c r="Q476" s="67"/>
      <c r="R476" s="68"/>
      <c r="S476" s="68"/>
      <c r="T476" s="68"/>
      <c r="U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</row>
    <row r="477" spans="1:38" x14ac:dyDescent="0.3">
      <c r="A477" s="67"/>
      <c r="B477" s="67"/>
      <c r="C477" s="67"/>
      <c r="D477" s="67"/>
      <c r="E477" s="67"/>
      <c r="F477" s="67"/>
      <c r="G477" s="68"/>
      <c r="I477" s="70"/>
      <c r="J477" s="70"/>
      <c r="K477" s="70"/>
      <c r="L477" s="69"/>
      <c r="M477" s="69"/>
      <c r="N477" s="69"/>
      <c r="O477" s="67"/>
      <c r="P477" s="67"/>
      <c r="Q477" s="67"/>
      <c r="R477" s="68"/>
      <c r="S477" s="68"/>
      <c r="T477" s="68"/>
      <c r="U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</row>
    <row r="478" spans="1:38" x14ac:dyDescent="0.3">
      <c r="A478" s="67"/>
      <c r="B478" s="67"/>
      <c r="C478" s="67"/>
      <c r="D478" s="67"/>
      <c r="E478" s="67"/>
      <c r="F478" s="67"/>
      <c r="G478" s="68"/>
      <c r="I478" s="70"/>
      <c r="J478" s="70"/>
      <c r="K478" s="70"/>
      <c r="L478" s="69"/>
      <c r="M478" s="69"/>
      <c r="N478" s="69"/>
      <c r="O478" s="67"/>
      <c r="P478" s="67"/>
      <c r="Q478" s="67"/>
      <c r="R478" s="68"/>
      <c r="S478" s="68"/>
      <c r="T478" s="68"/>
      <c r="U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</row>
    <row r="479" spans="1:38" x14ac:dyDescent="0.3">
      <c r="A479" s="67"/>
      <c r="B479" s="67"/>
      <c r="C479" s="67"/>
      <c r="D479" s="67"/>
      <c r="E479" s="67"/>
      <c r="F479" s="67"/>
      <c r="G479" s="68"/>
      <c r="I479" s="70"/>
      <c r="J479" s="70"/>
      <c r="K479" s="70"/>
      <c r="L479" s="69"/>
      <c r="M479" s="69"/>
      <c r="N479" s="69"/>
      <c r="O479" s="67"/>
      <c r="P479" s="67"/>
      <c r="Q479" s="67"/>
      <c r="R479" s="68"/>
      <c r="S479" s="68"/>
      <c r="T479" s="68"/>
      <c r="U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</row>
    <row r="480" spans="1:38" x14ac:dyDescent="0.3">
      <c r="A480" s="67"/>
      <c r="B480" s="67"/>
      <c r="C480" s="67"/>
      <c r="D480" s="67"/>
      <c r="E480" s="67"/>
      <c r="F480" s="67"/>
      <c r="G480" s="68"/>
      <c r="I480" s="70"/>
      <c r="J480" s="70"/>
      <c r="K480" s="70"/>
      <c r="L480" s="69"/>
      <c r="M480" s="69"/>
      <c r="N480" s="69"/>
      <c r="O480" s="67"/>
      <c r="P480" s="67"/>
      <c r="Q480" s="67"/>
      <c r="R480" s="68"/>
      <c r="S480" s="68"/>
      <c r="T480" s="68"/>
      <c r="U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</row>
    <row r="481" spans="1:38" x14ac:dyDescent="0.3">
      <c r="A481" s="67"/>
      <c r="B481" s="67"/>
      <c r="C481" s="67"/>
      <c r="D481" s="67"/>
      <c r="E481" s="67"/>
      <c r="F481" s="67"/>
      <c r="G481" s="68"/>
      <c r="I481" s="70"/>
      <c r="J481" s="70"/>
      <c r="K481" s="70"/>
      <c r="L481" s="69"/>
      <c r="M481" s="69"/>
      <c r="N481" s="69"/>
      <c r="O481" s="67"/>
      <c r="P481" s="67"/>
      <c r="Q481" s="67"/>
      <c r="R481" s="68"/>
      <c r="S481" s="68"/>
      <c r="T481" s="68"/>
      <c r="U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</row>
    <row r="482" spans="1:38" x14ac:dyDescent="0.3">
      <c r="A482" s="67"/>
      <c r="B482" s="67"/>
      <c r="C482" s="67"/>
      <c r="D482" s="67"/>
      <c r="E482" s="67"/>
      <c r="F482" s="67"/>
      <c r="G482" s="68"/>
      <c r="I482" s="70"/>
      <c r="J482" s="70"/>
      <c r="K482" s="70"/>
      <c r="L482" s="69"/>
      <c r="M482" s="69"/>
      <c r="N482" s="69"/>
      <c r="O482" s="67"/>
      <c r="P482" s="67"/>
      <c r="Q482" s="67"/>
      <c r="R482" s="68"/>
      <c r="S482" s="68"/>
      <c r="T482" s="68"/>
      <c r="U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</row>
    <row r="483" spans="1:38" x14ac:dyDescent="0.3">
      <c r="A483" s="67"/>
      <c r="B483" s="67"/>
      <c r="C483" s="67"/>
      <c r="D483" s="67"/>
      <c r="E483" s="67"/>
      <c r="F483" s="67"/>
      <c r="G483" s="68"/>
      <c r="I483" s="70"/>
      <c r="J483" s="70"/>
      <c r="K483" s="70"/>
      <c r="L483" s="69"/>
      <c r="M483" s="69"/>
      <c r="N483" s="69"/>
      <c r="O483" s="67"/>
      <c r="P483" s="67"/>
      <c r="Q483" s="67"/>
      <c r="R483" s="68"/>
      <c r="S483" s="68"/>
      <c r="T483" s="68"/>
      <c r="U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</row>
    <row r="484" spans="1:38" x14ac:dyDescent="0.3">
      <c r="A484" s="67"/>
      <c r="B484" s="67"/>
      <c r="C484" s="67"/>
      <c r="D484" s="67"/>
      <c r="E484" s="67"/>
      <c r="F484" s="67"/>
      <c r="G484" s="68"/>
      <c r="I484" s="70"/>
      <c r="J484" s="70"/>
      <c r="K484" s="70"/>
      <c r="L484" s="69"/>
      <c r="M484" s="69"/>
      <c r="N484" s="69"/>
      <c r="O484" s="67"/>
      <c r="P484" s="67"/>
      <c r="Q484" s="67"/>
      <c r="R484" s="68"/>
      <c r="S484" s="68"/>
      <c r="T484" s="68"/>
      <c r="U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</row>
    <row r="485" spans="1:38" x14ac:dyDescent="0.3">
      <c r="A485" s="67"/>
      <c r="B485" s="67"/>
      <c r="C485" s="67"/>
      <c r="D485" s="67"/>
      <c r="E485" s="67"/>
      <c r="F485" s="67"/>
      <c r="G485" s="68"/>
      <c r="I485" s="70"/>
      <c r="J485" s="70"/>
      <c r="K485" s="70"/>
      <c r="L485" s="69"/>
      <c r="M485" s="69"/>
      <c r="N485" s="69"/>
      <c r="O485" s="67"/>
      <c r="P485" s="67"/>
      <c r="Q485" s="67"/>
      <c r="R485" s="68"/>
      <c r="S485" s="68"/>
      <c r="T485" s="68"/>
      <c r="U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</row>
    <row r="486" spans="1:38" x14ac:dyDescent="0.3">
      <c r="A486" s="67"/>
      <c r="B486" s="67"/>
      <c r="C486" s="67"/>
      <c r="D486" s="67"/>
      <c r="E486" s="67"/>
      <c r="F486" s="67"/>
      <c r="G486" s="68"/>
      <c r="I486" s="70"/>
      <c r="J486" s="70"/>
      <c r="K486" s="70"/>
      <c r="L486" s="69"/>
      <c r="M486" s="69"/>
      <c r="N486" s="69"/>
      <c r="O486" s="67"/>
      <c r="P486" s="67"/>
      <c r="Q486" s="67"/>
      <c r="R486" s="68"/>
      <c r="S486" s="68"/>
      <c r="T486" s="68"/>
      <c r="U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</row>
    <row r="487" spans="1:38" x14ac:dyDescent="0.3">
      <c r="A487" s="67"/>
      <c r="B487" s="67"/>
      <c r="C487" s="67"/>
      <c r="D487" s="67"/>
      <c r="E487" s="67"/>
      <c r="F487" s="67"/>
      <c r="G487" s="68"/>
      <c r="I487" s="70"/>
      <c r="J487" s="70"/>
      <c r="K487" s="70"/>
      <c r="L487" s="69"/>
      <c r="M487" s="69"/>
      <c r="N487" s="69"/>
      <c r="O487" s="67"/>
      <c r="P487" s="67"/>
      <c r="Q487" s="67"/>
      <c r="R487" s="68"/>
      <c r="S487" s="68"/>
      <c r="T487" s="68"/>
      <c r="U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</row>
    <row r="488" spans="1:38" x14ac:dyDescent="0.3">
      <c r="A488" s="67"/>
      <c r="B488" s="67"/>
      <c r="C488" s="67"/>
      <c r="D488" s="67"/>
      <c r="E488" s="67"/>
      <c r="F488" s="67"/>
      <c r="G488" s="68"/>
      <c r="I488" s="70"/>
      <c r="J488" s="70"/>
      <c r="K488" s="70"/>
      <c r="L488" s="69"/>
      <c r="M488" s="69"/>
      <c r="N488" s="69"/>
      <c r="O488" s="67"/>
      <c r="P488" s="67"/>
      <c r="Q488" s="67"/>
      <c r="R488" s="68"/>
      <c r="S488" s="68"/>
      <c r="T488" s="68"/>
      <c r="U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</row>
    <row r="489" spans="1:38" x14ac:dyDescent="0.3">
      <c r="A489" s="67"/>
      <c r="B489" s="67"/>
      <c r="C489" s="67"/>
      <c r="D489" s="67"/>
      <c r="E489" s="67"/>
      <c r="F489" s="67"/>
      <c r="G489" s="68"/>
      <c r="I489" s="70"/>
      <c r="J489" s="70"/>
      <c r="K489" s="70"/>
      <c r="L489" s="69"/>
      <c r="M489" s="69"/>
      <c r="N489" s="69"/>
      <c r="O489" s="67"/>
      <c r="P489" s="67"/>
      <c r="Q489" s="67"/>
      <c r="R489" s="68"/>
      <c r="S489" s="68"/>
      <c r="T489" s="68"/>
      <c r="U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</row>
    <row r="490" spans="1:38" x14ac:dyDescent="0.3">
      <c r="A490" s="67"/>
      <c r="B490" s="67"/>
      <c r="C490" s="67"/>
      <c r="D490" s="67"/>
      <c r="E490" s="67"/>
      <c r="F490" s="67"/>
      <c r="G490" s="68"/>
      <c r="I490" s="70"/>
      <c r="J490" s="70"/>
      <c r="K490" s="70"/>
      <c r="L490" s="69"/>
      <c r="M490" s="69"/>
      <c r="N490" s="69"/>
      <c r="O490" s="67"/>
      <c r="P490" s="67"/>
      <c r="Q490" s="67"/>
      <c r="R490" s="68"/>
      <c r="S490" s="68"/>
      <c r="T490" s="68"/>
      <c r="U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</row>
    <row r="491" spans="1:38" x14ac:dyDescent="0.3">
      <c r="A491" s="67"/>
      <c r="B491" s="67"/>
      <c r="C491" s="67"/>
      <c r="D491" s="67"/>
      <c r="E491" s="67"/>
      <c r="F491" s="67"/>
      <c r="G491" s="68"/>
      <c r="I491" s="70"/>
      <c r="J491" s="70"/>
      <c r="K491" s="70"/>
      <c r="L491" s="69"/>
      <c r="M491" s="69"/>
      <c r="N491" s="69"/>
      <c r="O491" s="67"/>
      <c r="P491" s="67"/>
      <c r="Q491" s="67"/>
      <c r="R491" s="68"/>
      <c r="S491" s="68"/>
      <c r="T491" s="68"/>
      <c r="U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</row>
    <row r="492" spans="1:38" x14ac:dyDescent="0.3">
      <c r="A492" s="67"/>
      <c r="B492" s="67"/>
      <c r="C492" s="67"/>
      <c r="D492" s="67"/>
      <c r="E492" s="67"/>
      <c r="F492" s="67"/>
      <c r="G492" s="68"/>
      <c r="I492" s="70"/>
      <c r="J492" s="70"/>
      <c r="K492" s="70"/>
      <c r="L492" s="69"/>
      <c r="M492" s="69"/>
      <c r="N492" s="69"/>
      <c r="O492" s="67"/>
      <c r="P492" s="67"/>
      <c r="Q492" s="67"/>
      <c r="R492" s="68"/>
      <c r="S492" s="68"/>
      <c r="T492" s="68"/>
      <c r="U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</row>
    <row r="493" spans="1:38" x14ac:dyDescent="0.3">
      <c r="A493" s="67"/>
      <c r="B493" s="67"/>
      <c r="C493" s="67"/>
      <c r="D493" s="67"/>
      <c r="E493" s="67"/>
      <c r="F493" s="67"/>
      <c r="G493" s="68"/>
      <c r="I493" s="70"/>
      <c r="J493" s="70"/>
      <c r="K493" s="70"/>
      <c r="L493" s="69"/>
      <c r="M493" s="69"/>
      <c r="N493" s="69"/>
      <c r="O493" s="67"/>
      <c r="P493" s="67"/>
      <c r="Q493" s="67"/>
      <c r="R493" s="68"/>
      <c r="S493" s="68"/>
      <c r="T493" s="68"/>
      <c r="U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</row>
    <row r="494" spans="1:38" x14ac:dyDescent="0.3">
      <c r="A494" s="67"/>
      <c r="B494" s="67"/>
      <c r="C494" s="67"/>
      <c r="D494" s="67"/>
      <c r="E494" s="67"/>
      <c r="F494" s="67"/>
      <c r="G494" s="68"/>
      <c r="I494" s="70"/>
      <c r="J494" s="70"/>
      <c r="K494" s="70"/>
      <c r="L494" s="69"/>
      <c r="M494" s="69"/>
      <c r="N494" s="69"/>
      <c r="O494" s="67"/>
      <c r="P494" s="67"/>
      <c r="Q494" s="67"/>
      <c r="R494" s="68"/>
      <c r="S494" s="68"/>
      <c r="T494" s="68"/>
      <c r="U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</row>
    <row r="495" spans="1:38" x14ac:dyDescent="0.3">
      <c r="A495" s="67"/>
      <c r="B495" s="67"/>
      <c r="C495" s="67"/>
      <c r="D495" s="67"/>
      <c r="E495" s="67"/>
      <c r="F495" s="67"/>
      <c r="G495" s="68"/>
      <c r="I495" s="70"/>
      <c r="J495" s="70"/>
      <c r="K495" s="70"/>
      <c r="L495" s="69"/>
      <c r="M495" s="69"/>
      <c r="N495" s="69"/>
      <c r="O495" s="67"/>
      <c r="P495" s="67"/>
      <c r="Q495" s="67"/>
      <c r="R495" s="68"/>
      <c r="S495" s="68"/>
      <c r="T495" s="68"/>
      <c r="U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</row>
    <row r="496" spans="1:38" x14ac:dyDescent="0.3">
      <c r="A496" s="67"/>
      <c r="B496" s="67"/>
      <c r="C496" s="67"/>
      <c r="D496" s="67"/>
      <c r="E496" s="67"/>
      <c r="F496" s="67"/>
      <c r="G496" s="68"/>
      <c r="I496" s="70"/>
      <c r="J496" s="70"/>
      <c r="K496" s="70"/>
      <c r="L496" s="69"/>
      <c r="M496" s="69"/>
      <c r="N496" s="69"/>
      <c r="O496" s="67"/>
      <c r="P496" s="67"/>
      <c r="Q496" s="67"/>
      <c r="R496" s="68"/>
      <c r="S496" s="68"/>
      <c r="T496" s="68"/>
      <c r="U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</row>
    <row r="497" spans="1:38" x14ac:dyDescent="0.3">
      <c r="A497" s="67"/>
      <c r="B497" s="67"/>
      <c r="C497" s="67"/>
      <c r="D497" s="67"/>
      <c r="E497" s="67"/>
      <c r="F497" s="67"/>
      <c r="G497" s="68"/>
      <c r="I497" s="70"/>
      <c r="J497" s="70"/>
      <c r="K497" s="70"/>
      <c r="L497" s="69"/>
      <c r="M497" s="69"/>
      <c r="N497" s="69"/>
      <c r="O497" s="67"/>
      <c r="P497" s="67"/>
      <c r="Q497" s="67"/>
      <c r="R497" s="68"/>
      <c r="S497" s="68"/>
      <c r="T497" s="68"/>
      <c r="U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</row>
    <row r="498" spans="1:38" x14ac:dyDescent="0.3">
      <c r="A498" s="67"/>
      <c r="B498" s="67"/>
      <c r="C498" s="67"/>
      <c r="D498" s="67"/>
      <c r="E498" s="67"/>
      <c r="F498" s="67"/>
      <c r="G498" s="68"/>
      <c r="I498" s="70"/>
      <c r="J498" s="70"/>
      <c r="K498" s="70"/>
      <c r="L498" s="69"/>
      <c r="M498" s="69"/>
      <c r="N498" s="69"/>
      <c r="O498" s="67"/>
      <c r="P498" s="67"/>
      <c r="Q498" s="67"/>
      <c r="R498" s="68"/>
      <c r="S498" s="68"/>
      <c r="T498" s="68"/>
      <c r="U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</row>
    <row r="499" spans="1:38" x14ac:dyDescent="0.3">
      <c r="A499" s="67"/>
      <c r="B499" s="67"/>
      <c r="C499" s="67"/>
      <c r="D499" s="67"/>
      <c r="E499" s="67"/>
      <c r="F499" s="67"/>
      <c r="G499" s="68"/>
      <c r="I499" s="70"/>
      <c r="J499" s="70"/>
      <c r="K499" s="70"/>
      <c r="L499" s="69"/>
      <c r="M499" s="69"/>
      <c r="N499" s="69"/>
      <c r="O499" s="67"/>
      <c r="P499" s="67"/>
      <c r="Q499" s="67"/>
      <c r="R499" s="68"/>
      <c r="S499" s="68"/>
      <c r="T499" s="68"/>
      <c r="U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</row>
    <row r="500" spans="1:38" x14ac:dyDescent="0.3">
      <c r="A500" s="67"/>
      <c r="B500" s="67"/>
      <c r="C500" s="67"/>
      <c r="D500" s="67"/>
      <c r="E500" s="67"/>
      <c r="F500" s="67"/>
      <c r="G500" s="68"/>
      <c r="I500" s="70"/>
      <c r="J500" s="70"/>
      <c r="K500" s="70"/>
      <c r="L500" s="69"/>
      <c r="M500" s="69"/>
      <c r="N500" s="69"/>
      <c r="O500" s="67"/>
      <c r="P500" s="67"/>
      <c r="Q500" s="67"/>
      <c r="R500" s="68"/>
      <c r="S500" s="68"/>
      <c r="T500" s="68"/>
      <c r="U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</row>
    <row r="501" spans="1:38" x14ac:dyDescent="0.3">
      <c r="A501" s="67"/>
      <c r="B501" s="67"/>
      <c r="C501" s="67"/>
      <c r="D501" s="67"/>
      <c r="E501" s="67"/>
      <c r="F501" s="67"/>
      <c r="G501" s="68"/>
      <c r="I501" s="70"/>
      <c r="J501" s="70"/>
      <c r="K501" s="70"/>
      <c r="L501" s="69"/>
      <c r="M501" s="69"/>
      <c r="N501" s="69"/>
      <c r="O501" s="67"/>
      <c r="P501" s="67"/>
      <c r="Q501" s="67"/>
      <c r="R501" s="68"/>
      <c r="S501" s="68"/>
      <c r="T501" s="68"/>
      <c r="U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</row>
    <row r="502" spans="1:38" x14ac:dyDescent="0.3">
      <c r="A502" s="67"/>
      <c r="B502" s="67"/>
      <c r="C502" s="67"/>
      <c r="D502" s="67"/>
      <c r="E502" s="67"/>
      <c r="F502" s="67"/>
      <c r="G502" s="68"/>
      <c r="I502" s="70"/>
      <c r="J502" s="70"/>
      <c r="K502" s="70"/>
      <c r="L502" s="69"/>
      <c r="M502" s="69"/>
      <c r="N502" s="69"/>
      <c r="O502" s="67"/>
      <c r="P502" s="67"/>
      <c r="Q502" s="67"/>
      <c r="R502" s="68"/>
      <c r="S502" s="68"/>
      <c r="T502" s="68"/>
      <c r="U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</row>
    <row r="503" spans="1:38" x14ac:dyDescent="0.3">
      <c r="A503" s="67"/>
      <c r="B503" s="67"/>
      <c r="C503" s="67"/>
      <c r="D503" s="67"/>
      <c r="E503" s="67"/>
      <c r="F503" s="67"/>
      <c r="G503" s="68"/>
      <c r="I503" s="70"/>
      <c r="J503" s="70"/>
      <c r="K503" s="70"/>
      <c r="L503" s="69"/>
      <c r="M503" s="69"/>
      <c r="N503" s="69"/>
      <c r="O503" s="67"/>
      <c r="P503" s="67"/>
      <c r="Q503" s="67"/>
      <c r="R503" s="68"/>
      <c r="S503" s="68"/>
      <c r="T503" s="68"/>
      <c r="U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</row>
    <row r="504" spans="1:38" x14ac:dyDescent="0.3">
      <c r="A504" s="67"/>
      <c r="B504" s="67"/>
      <c r="C504" s="67"/>
      <c r="D504" s="67"/>
      <c r="E504" s="67"/>
      <c r="F504" s="67"/>
      <c r="G504" s="68"/>
      <c r="I504" s="70"/>
      <c r="J504" s="70"/>
      <c r="K504" s="70"/>
      <c r="L504" s="69"/>
      <c r="M504" s="69"/>
      <c r="N504" s="69"/>
      <c r="O504" s="67"/>
      <c r="P504" s="67"/>
      <c r="Q504" s="67"/>
      <c r="R504" s="68"/>
      <c r="S504" s="68"/>
      <c r="T504" s="68"/>
      <c r="U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</row>
    <row r="505" spans="1:38" x14ac:dyDescent="0.3">
      <c r="A505" s="67"/>
      <c r="B505" s="67"/>
      <c r="C505" s="67"/>
      <c r="D505" s="67"/>
      <c r="E505" s="67"/>
      <c r="F505" s="67"/>
      <c r="G505" s="68"/>
      <c r="I505" s="70"/>
      <c r="J505" s="70"/>
      <c r="K505" s="70"/>
      <c r="L505" s="69"/>
      <c r="M505" s="69"/>
      <c r="N505" s="69"/>
      <c r="O505" s="67"/>
      <c r="P505" s="67"/>
      <c r="Q505" s="67"/>
      <c r="R505" s="68"/>
      <c r="S505" s="68"/>
      <c r="T505" s="68"/>
      <c r="U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</row>
    <row r="506" spans="1:38" x14ac:dyDescent="0.3">
      <c r="A506" s="67"/>
      <c r="B506" s="67"/>
      <c r="C506" s="67"/>
      <c r="D506" s="67"/>
      <c r="E506" s="67"/>
      <c r="F506" s="67"/>
      <c r="G506" s="68"/>
      <c r="I506" s="70"/>
      <c r="J506" s="70"/>
      <c r="K506" s="70"/>
      <c r="L506" s="69"/>
      <c r="M506" s="69"/>
      <c r="N506" s="69"/>
      <c r="O506" s="67"/>
      <c r="P506" s="67"/>
      <c r="Q506" s="67"/>
      <c r="R506" s="68"/>
      <c r="S506" s="68"/>
      <c r="T506" s="68"/>
      <c r="U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</row>
    <row r="507" spans="1:38" x14ac:dyDescent="0.3">
      <c r="A507" s="67"/>
      <c r="B507" s="67"/>
      <c r="C507" s="67"/>
      <c r="D507" s="67"/>
      <c r="E507" s="67"/>
      <c r="F507" s="67"/>
      <c r="G507" s="68"/>
      <c r="I507" s="70"/>
      <c r="J507" s="70"/>
      <c r="K507" s="70"/>
      <c r="L507" s="69"/>
      <c r="M507" s="69"/>
      <c r="N507" s="69"/>
      <c r="O507" s="67"/>
      <c r="P507" s="67"/>
      <c r="Q507" s="67"/>
      <c r="R507" s="68"/>
      <c r="S507" s="68"/>
      <c r="T507" s="68"/>
      <c r="U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</row>
    <row r="508" spans="1:38" x14ac:dyDescent="0.3">
      <c r="A508" s="67"/>
      <c r="B508" s="67"/>
      <c r="C508" s="67"/>
      <c r="D508" s="67"/>
      <c r="E508" s="67"/>
      <c r="F508" s="67"/>
      <c r="G508" s="68"/>
      <c r="I508" s="70"/>
      <c r="J508" s="70"/>
      <c r="K508" s="70"/>
      <c r="L508" s="69"/>
      <c r="M508" s="69"/>
      <c r="N508" s="69"/>
      <c r="O508" s="67"/>
      <c r="P508" s="67"/>
      <c r="Q508" s="67"/>
      <c r="R508" s="68"/>
      <c r="S508" s="68"/>
      <c r="T508" s="68"/>
      <c r="U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</row>
    <row r="509" spans="1:38" x14ac:dyDescent="0.3">
      <c r="A509" s="67"/>
      <c r="B509" s="67"/>
      <c r="C509" s="67"/>
      <c r="D509" s="67"/>
      <c r="E509" s="67"/>
      <c r="F509" s="67"/>
      <c r="G509" s="68"/>
      <c r="I509" s="70"/>
      <c r="J509" s="70"/>
      <c r="K509" s="70"/>
      <c r="L509" s="69"/>
      <c r="M509" s="69"/>
      <c r="N509" s="69"/>
      <c r="O509" s="67"/>
      <c r="P509" s="67"/>
      <c r="Q509" s="67"/>
      <c r="R509" s="68"/>
      <c r="S509" s="68"/>
      <c r="T509" s="68"/>
      <c r="U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</row>
    <row r="510" spans="1:38" x14ac:dyDescent="0.3">
      <c r="A510" s="67"/>
      <c r="B510" s="67"/>
      <c r="C510" s="67"/>
      <c r="D510" s="67"/>
      <c r="E510" s="67"/>
      <c r="F510" s="67"/>
      <c r="G510" s="68"/>
      <c r="I510" s="70"/>
      <c r="J510" s="70"/>
      <c r="K510" s="70"/>
      <c r="L510" s="69"/>
      <c r="M510" s="69"/>
      <c r="N510" s="69"/>
      <c r="O510" s="67"/>
      <c r="P510" s="67"/>
      <c r="Q510" s="67"/>
      <c r="R510" s="68"/>
      <c r="S510" s="68"/>
      <c r="T510" s="68"/>
      <c r="U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</row>
    <row r="511" spans="1:38" x14ac:dyDescent="0.3">
      <c r="A511" s="67"/>
      <c r="B511" s="67"/>
      <c r="C511" s="67"/>
      <c r="D511" s="67"/>
      <c r="E511" s="67"/>
      <c r="F511" s="67"/>
      <c r="G511" s="68"/>
      <c r="I511" s="70"/>
      <c r="J511" s="70"/>
      <c r="K511" s="70"/>
      <c r="L511" s="69"/>
      <c r="M511" s="69"/>
      <c r="N511" s="69"/>
      <c r="O511" s="67"/>
      <c r="P511" s="67"/>
      <c r="Q511" s="67"/>
      <c r="R511" s="68"/>
      <c r="S511" s="68"/>
      <c r="T511" s="68"/>
      <c r="U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</row>
    <row r="512" spans="1:38" x14ac:dyDescent="0.3">
      <c r="A512" s="67"/>
      <c r="B512" s="67"/>
      <c r="C512" s="67"/>
      <c r="D512" s="67"/>
      <c r="E512" s="67"/>
      <c r="F512" s="67"/>
      <c r="G512" s="68"/>
      <c r="I512" s="70"/>
      <c r="J512" s="70"/>
      <c r="K512" s="70"/>
      <c r="L512" s="69"/>
      <c r="M512" s="69"/>
      <c r="N512" s="69"/>
      <c r="O512" s="67"/>
      <c r="P512" s="67"/>
      <c r="Q512" s="67"/>
      <c r="R512" s="68"/>
      <c r="S512" s="68"/>
      <c r="T512" s="68"/>
      <c r="U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</row>
    <row r="513" spans="1:38" x14ac:dyDescent="0.3">
      <c r="A513" s="67"/>
      <c r="B513" s="67"/>
      <c r="C513" s="67"/>
      <c r="D513" s="67"/>
      <c r="E513" s="67"/>
      <c r="F513" s="67"/>
      <c r="G513" s="68"/>
      <c r="I513" s="70"/>
      <c r="J513" s="70"/>
      <c r="K513" s="70"/>
      <c r="L513" s="69"/>
      <c r="M513" s="69"/>
      <c r="N513" s="69"/>
      <c r="O513" s="67"/>
      <c r="P513" s="67"/>
      <c r="Q513" s="67"/>
      <c r="R513" s="68"/>
      <c r="S513" s="68"/>
      <c r="T513" s="68"/>
      <c r="U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</row>
    <row r="514" spans="1:38" x14ac:dyDescent="0.3">
      <c r="A514" s="67"/>
      <c r="B514" s="67"/>
      <c r="C514" s="67"/>
      <c r="D514" s="67"/>
      <c r="E514" s="67"/>
      <c r="F514" s="67"/>
      <c r="G514" s="68"/>
      <c r="I514" s="70"/>
      <c r="J514" s="70"/>
      <c r="K514" s="70"/>
      <c r="L514" s="69"/>
      <c r="M514" s="69"/>
      <c r="N514" s="69"/>
      <c r="O514" s="67"/>
      <c r="P514" s="67"/>
      <c r="Q514" s="67"/>
      <c r="R514" s="68"/>
      <c r="S514" s="68"/>
      <c r="T514" s="68"/>
      <c r="U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</row>
    <row r="515" spans="1:38" x14ac:dyDescent="0.3">
      <c r="A515" s="67"/>
      <c r="B515" s="67"/>
      <c r="C515" s="67"/>
      <c r="D515" s="67"/>
      <c r="E515" s="67"/>
      <c r="F515" s="67"/>
      <c r="G515" s="68"/>
      <c r="I515" s="70"/>
      <c r="J515" s="70"/>
      <c r="K515" s="70"/>
      <c r="L515" s="69"/>
      <c r="M515" s="69"/>
      <c r="N515" s="69"/>
      <c r="O515" s="67"/>
      <c r="P515" s="67"/>
      <c r="Q515" s="67"/>
      <c r="R515" s="68"/>
      <c r="S515" s="68"/>
      <c r="T515" s="68"/>
      <c r="U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</row>
    <row r="516" spans="1:38" x14ac:dyDescent="0.3">
      <c r="A516" s="67"/>
      <c r="B516" s="67"/>
      <c r="C516" s="67"/>
      <c r="D516" s="67"/>
      <c r="E516" s="67"/>
      <c r="F516" s="67"/>
      <c r="G516" s="68"/>
      <c r="I516" s="70"/>
      <c r="J516" s="70"/>
      <c r="K516" s="70"/>
      <c r="L516" s="69"/>
      <c r="M516" s="69"/>
      <c r="N516" s="69"/>
      <c r="O516" s="67"/>
      <c r="P516" s="67"/>
      <c r="Q516" s="67"/>
      <c r="R516" s="68"/>
      <c r="S516" s="68"/>
      <c r="T516" s="68"/>
      <c r="U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</row>
    <row r="517" spans="1:38" x14ac:dyDescent="0.3">
      <c r="A517" s="67"/>
      <c r="B517" s="67"/>
      <c r="C517" s="67"/>
      <c r="D517" s="67"/>
      <c r="E517" s="67"/>
      <c r="F517" s="67"/>
      <c r="G517" s="68"/>
      <c r="I517" s="70"/>
      <c r="J517" s="70"/>
      <c r="K517" s="70"/>
      <c r="L517" s="69"/>
      <c r="M517" s="69"/>
      <c r="N517" s="69"/>
      <c r="O517" s="67"/>
      <c r="P517" s="67"/>
      <c r="Q517" s="67"/>
      <c r="R517" s="68"/>
      <c r="S517" s="68"/>
      <c r="T517" s="68"/>
      <c r="U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</row>
    <row r="518" spans="1:38" x14ac:dyDescent="0.3">
      <c r="A518" s="67"/>
      <c r="B518" s="67"/>
      <c r="C518" s="67"/>
      <c r="D518" s="67"/>
      <c r="E518" s="67"/>
      <c r="F518" s="67"/>
      <c r="G518" s="68"/>
      <c r="I518" s="70"/>
      <c r="J518" s="70"/>
      <c r="K518" s="70"/>
      <c r="L518" s="69"/>
      <c r="M518" s="69"/>
      <c r="N518" s="69"/>
      <c r="O518" s="67"/>
      <c r="P518" s="67"/>
      <c r="Q518" s="67"/>
      <c r="R518" s="68"/>
      <c r="S518" s="68"/>
      <c r="T518" s="68"/>
      <c r="U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</row>
    <row r="519" spans="1:38" x14ac:dyDescent="0.3">
      <c r="A519" s="67"/>
      <c r="B519" s="67"/>
      <c r="C519" s="67"/>
      <c r="D519" s="67"/>
      <c r="E519" s="67"/>
      <c r="F519" s="67"/>
      <c r="G519" s="68"/>
      <c r="I519" s="70"/>
      <c r="J519" s="70"/>
      <c r="K519" s="70"/>
      <c r="L519" s="69"/>
      <c r="M519" s="69"/>
      <c r="N519" s="69"/>
      <c r="O519" s="67"/>
      <c r="P519" s="67"/>
      <c r="Q519" s="67"/>
      <c r="R519" s="68"/>
      <c r="S519" s="68"/>
      <c r="T519" s="68"/>
      <c r="U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</row>
    <row r="520" spans="1:38" x14ac:dyDescent="0.3">
      <c r="A520" s="67"/>
      <c r="B520" s="67"/>
      <c r="C520" s="67"/>
      <c r="D520" s="67"/>
      <c r="E520" s="67"/>
      <c r="F520" s="67"/>
      <c r="G520" s="68"/>
      <c r="I520" s="70"/>
      <c r="J520" s="70"/>
      <c r="K520" s="70"/>
      <c r="L520" s="69"/>
      <c r="M520" s="69"/>
      <c r="N520" s="69"/>
      <c r="O520" s="67"/>
      <c r="P520" s="67"/>
      <c r="Q520" s="67"/>
      <c r="R520" s="68"/>
      <c r="S520" s="68"/>
      <c r="T520" s="68"/>
      <c r="U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</row>
    <row r="521" spans="1:38" x14ac:dyDescent="0.3">
      <c r="A521" s="67"/>
      <c r="B521" s="67"/>
      <c r="C521" s="67"/>
      <c r="D521" s="67"/>
      <c r="E521" s="67"/>
      <c r="F521" s="67"/>
      <c r="G521" s="68"/>
      <c r="I521" s="70"/>
      <c r="J521" s="70"/>
      <c r="K521" s="70"/>
      <c r="L521" s="69"/>
      <c r="M521" s="69"/>
      <c r="N521" s="69"/>
      <c r="O521" s="67"/>
      <c r="P521" s="67"/>
      <c r="Q521" s="67"/>
      <c r="R521" s="68"/>
      <c r="S521" s="68"/>
      <c r="T521" s="68"/>
      <c r="U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</row>
    <row r="522" spans="1:38" x14ac:dyDescent="0.3">
      <c r="A522" s="67"/>
      <c r="B522" s="67"/>
      <c r="C522" s="67"/>
      <c r="D522" s="67"/>
      <c r="E522" s="67"/>
      <c r="F522" s="67"/>
      <c r="G522" s="68"/>
      <c r="I522" s="70"/>
      <c r="J522" s="70"/>
      <c r="K522" s="70"/>
      <c r="L522" s="69"/>
      <c r="M522" s="69"/>
      <c r="N522" s="69"/>
      <c r="O522" s="67"/>
      <c r="P522" s="67"/>
      <c r="Q522" s="67"/>
      <c r="R522" s="68"/>
      <c r="S522" s="68"/>
      <c r="T522" s="68"/>
      <c r="U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</row>
    <row r="523" spans="1:38" x14ac:dyDescent="0.3">
      <c r="A523" s="67"/>
      <c r="B523" s="67"/>
      <c r="C523" s="67"/>
      <c r="D523" s="67"/>
      <c r="E523" s="67"/>
      <c r="F523" s="67"/>
      <c r="G523" s="68"/>
      <c r="I523" s="70"/>
      <c r="J523" s="70"/>
      <c r="K523" s="70"/>
      <c r="L523" s="69"/>
      <c r="M523" s="69"/>
      <c r="N523" s="69"/>
      <c r="O523" s="67"/>
      <c r="P523" s="67"/>
      <c r="Q523" s="67"/>
      <c r="R523" s="68"/>
      <c r="S523" s="68"/>
      <c r="T523" s="68"/>
      <c r="U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</row>
    <row r="524" spans="1:38" x14ac:dyDescent="0.3">
      <c r="A524" s="67"/>
      <c r="B524" s="67"/>
      <c r="C524" s="67"/>
      <c r="D524" s="67"/>
      <c r="E524" s="67"/>
      <c r="F524" s="67"/>
      <c r="G524" s="68"/>
      <c r="I524" s="70"/>
      <c r="J524" s="70"/>
      <c r="K524" s="70"/>
      <c r="L524" s="69"/>
      <c r="M524" s="69"/>
      <c r="N524" s="69"/>
      <c r="O524" s="67"/>
      <c r="P524" s="67"/>
      <c r="Q524" s="67"/>
      <c r="R524" s="68"/>
      <c r="S524" s="68"/>
      <c r="T524" s="68"/>
      <c r="U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</row>
    <row r="525" spans="1:38" x14ac:dyDescent="0.3">
      <c r="A525" s="67"/>
      <c r="B525" s="67"/>
      <c r="C525" s="67"/>
      <c r="D525" s="67"/>
      <c r="E525" s="67"/>
      <c r="F525" s="67"/>
      <c r="G525" s="68"/>
      <c r="I525" s="70"/>
      <c r="J525" s="70"/>
      <c r="K525" s="70"/>
      <c r="L525" s="69"/>
      <c r="M525" s="69"/>
      <c r="N525" s="69"/>
      <c r="O525" s="67"/>
      <c r="P525" s="67"/>
      <c r="Q525" s="67"/>
      <c r="R525" s="68"/>
      <c r="S525" s="68"/>
      <c r="T525" s="68"/>
      <c r="U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</row>
    <row r="526" spans="1:38" x14ac:dyDescent="0.3">
      <c r="A526" s="67"/>
      <c r="B526" s="67"/>
      <c r="C526" s="67"/>
      <c r="D526" s="67"/>
      <c r="E526" s="67"/>
      <c r="F526" s="67"/>
      <c r="G526" s="68"/>
      <c r="I526" s="70"/>
      <c r="J526" s="70"/>
      <c r="K526" s="70"/>
      <c r="L526" s="69"/>
      <c r="M526" s="69"/>
      <c r="N526" s="69"/>
      <c r="O526" s="67"/>
      <c r="P526" s="67"/>
      <c r="Q526" s="67"/>
      <c r="R526" s="68"/>
      <c r="S526" s="68"/>
      <c r="T526" s="68"/>
      <c r="U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</row>
    <row r="527" spans="1:38" x14ac:dyDescent="0.3">
      <c r="A527" s="67"/>
      <c r="B527" s="67"/>
      <c r="C527" s="67"/>
      <c r="D527" s="67"/>
      <c r="E527" s="67"/>
      <c r="F527" s="67"/>
      <c r="G527" s="68"/>
      <c r="I527" s="70"/>
      <c r="J527" s="70"/>
      <c r="K527" s="70"/>
      <c r="L527" s="69"/>
      <c r="M527" s="69"/>
      <c r="N527" s="69"/>
      <c r="O527" s="67"/>
      <c r="P527" s="67"/>
      <c r="Q527" s="67"/>
      <c r="R527" s="68"/>
      <c r="S527" s="68"/>
      <c r="T527" s="68"/>
      <c r="U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</row>
    <row r="528" spans="1:38" x14ac:dyDescent="0.3">
      <c r="A528" s="67"/>
      <c r="B528" s="67"/>
      <c r="C528" s="67"/>
      <c r="D528" s="67"/>
      <c r="E528" s="67"/>
      <c r="F528" s="67"/>
      <c r="G528" s="68"/>
      <c r="I528" s="70"/>
      <c r="J528" s="70"/>
      <c r="K528" s="70"/>
      <c r="L528" s="69"/>
      <c r="M528" s="69"/>
      <c r="N528" s="69"/>
      <c r="O528" s="67"/>
      <c r="P528" s="67"/>
      <c r="Q528" s="67"/>
      <c r="R528" s="68"/>
      <c r="S528" s="68"/>
      <c r="T528" s="68"/>
      <c r="U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</row>
    <row r="529" spans="1:38" x14ac:dyDescent="0.3">
      <c r="A529" s="67"/>
      <c r="B529" s="67"/>
      <c r="C529" s="67"/>
      <c r="D529" s="67"/>
      <c r="E529" s="67"/>
      <c r="F529" s="67"/>
      <c r="G529" s="68"/>
      <c r="I529" s="70"/>
      <c r="J529" s="70"/>
      <c r="K529" s="70"/>
      <c r="L529" s="69"/>
      <c r="M529" s="69"/>
      <c r="N529" s="69"/>
      <c r="O529" s="67"/>
      <c r="P529" s="67"/>
      <c r="Q529" s="67"/>
      <c r="R529" s="68"/>
      <c r="S529" s="68"/>
      <c r="T529" s="68"/>
      <c r="U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</row>
    <row r="530" spans="1:38" x14ac:dyDescent="0.3">
      <c r="A530" s="67"/>
      <c r="B530" s="67"/>
      <c r="C530" s="67"/>
      <c r="D530" s="67"/>
      <c r="E530" s="67"/>
      <c r="F530" s="67"/>
      <c r="G530" s="68"/>
      <c r="I530" s="70"/>
      <c r="J530" s="70"/>
      <c r="K530" s="70"/>
      <c r="L530" s="69"/>
      <c r="M530" s="69"/>
      <c r="N530" s="69"/>
      <c r="O530" s="67"/>
      <c r="P530" s="67"/>
      <c r="Q530" s="67"/>
      <c r="R530" s="68"/>
      <c r="S530" s="68"/>
      <c r="T530" s="68"/>
      <c r="U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</row>
    <row r="531" spans="1:38" x14ac:dyDescent="0.3">
      <c r="A531" s="67"/>
      <c r="B531" s="67"/>
      <c r="C531" s="67"/>
      <c r="D531" s="67"/>
      <c r="E531" s="67"/>
      <c r="F531" s="67"/>
      <c r="G531" s="68"/>
      <c r="I531" s="70"/>
      <c r="J531" s="70"/>
      <c r="K531" s="70"/>
      <c r="L531" s="69"/>
      <c r="M531" s="69"/>
      <c r="N531" s="69"/>
      <c r="O531" s="67"/>
      <c r="P531" s="67"/>
      <c r="Q531" s="67"/>
      <c r="R531" s="68"/>
      <c r="S531" s="68"/>
      <c r="T531" s="68"/>
      <c r="U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</row>
    <row r="532" spans="1:38" x14ac:dyDescent="0.3">
      <c r="A532" s="67"/>
      <c r="B532" s="67"/>
      <c r="C532" s="67"/>
      <c r="D532" s="67"/>
      <c r="E532" s="67"/>
      <c r="F532" s="67"/>
      <c r="G532" s="68"/>
      <c r="I532" s="70"/>
      <c r="J532" s="70"/>
      <c r="K532" s="70"/>
      <c r="L532" s="69"/>
      <c r="M532" s="69"/>
      <c r="N532" s="69"/>
      <c r="O532" s="67"/>
      <c r="P532" s="67"/>
      <c r="Q532" s="67"/>
      <c r="R532" s="68"/>
      <c r="S532" s="68"/>
      <c r="T532" s="68"/>
      <c r="U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</row>
    <row r="533" spans="1:38" x14ac:dyDescent="0.3">
      <c r="A533" s="67"/>
      <c r="B533" s="67"/>
      <c r="C533" s="67"/>
      <c r="D533" s="67"/>
      <c r="E533" s="67"/>
      <c r="F533" s="67"/>
      <c r="G533" s="68"/>
      <c r="I533" s="70"/>
      <c r="J533" s="70"/>
      <c r="K533" s="70"/>
      <c r="L533" s="69"/>
      <c r="M533" s="69"/>
      <c r="N533" s="69"/>
      <c r="O533" s="67"/>
      <c r="P533" s="67"/>
      <c r="Q533" s="67"/>
      <c r="R533" s="68"/>
      <c r="S533" s="68"/>
      <c r="T533" s="68"/>
      <c r="U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</row>
    <row r="534" spans="1:38" x14ac:dyDescent="0.3">
      <c r="A534" s="67"/>
      <c r="B534" s="67"/>
      <c r="C534" s="67"/>
      <c r="D534" s="67"/>
      <c r="E534" s="67"/>
      <c r="F534" s="67"/>
      <c r="G534" s="68"/>
      <c r="I534" s="70"/>
      <c r="J534" s="70"/>
      <c r="K534" s="70"/>
      <c r="L534" s="69"/>
      <c r="M534" s="69"/>
      <c r="N534" s="69"/>
      <c r="O534" s="67"/>
      <c r="P534" s="67"/>
      <c r="Q534" s="67"/>
      <c r="R534" s="68"/>
      <c r="S534" s="68"/>
      <c r="T534" s="68"/>
      <c r="U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</row>
    <row r="535" spans="1:38" x14ac:dyDescent="0.3">
      <c r="A535" s="67"/>
      <c r="B535" s="67"/>
      <c r="C535" s="67"/>
      <c r="D535" s="67"/>
      <c r="E535" s="67"/>
      <c r="F535" s="67"/>
      <c r="G535" s="68"/>
      <c r="I535" s="70"/>
      <c r="J535" s="70"/>
      <c r="K535" s="70"/>
      <c r="L535" s="69"/>
      <c r="M535" s="69"/>
      <c r="N535" s="69"/>
      <c r="O535" s="67"/>
      <c r="P535" s="67"/>
      <c r="Q535" s="67"/>
      <c r="R535" s="68"/>
      <c r="S535" s="68"/>
      <c r="T535" s="68"/>
      <c r="U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</row>
    <row r="536" spans="1:38" x14ac:dyDescent="0.3">
      <c r="A536" s="67"/>
      <c r="B536" s="67"/>
      <c r="C536" s="67"/>
      <c r="D536" s="67"/>
      <c r="E536" s="67"/>
      <c r="F536" s="67"/>
      <c r="G536" s="68"/>
      <c r="I536" s="70"/>
      <c r="J536" s="70"/>
      <c r="K536" s="70"/>
      <c r="L536" s="69"/>
      <c r="M536" s="69"/>
      <c r="N536" s="69"/>
      <c r="O536" s="67"/>
      <c r="P536" s="67"/>
      <c r="Q536" s="67"/>
      <c r="R536" s="68"/>
      <c r="S536" s="68"/>
      <c r="T536" s="68"/>
      <c r="U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</row>
    <row r="537" spans="1:38" x14ac:dyDescent="0.3">
      <c r="A537" s="67"/>
      <c r="B537" s="67"/>
      <c r="C537" s="67"/>
      <c r="D537" s="67"/>
      <c r="E537" s="67"/>
      <c r="F537" s="67"/>
      <c r="G537" s="68"/>
      <c r="I537" s="70"/>
      <c r="J537" s="70"/>
      <c r="K537" s="70"/>
      <c r="L537" s="69"/>
      <c r="M537" s="69"/>
      <c r="N537" s="69"/>
      <c r="O537" s="67"/>
      <c r="P537" s="67"/>
      <c r="Q537" s="67"/>
      <c r="R537" s="68"/>
      <c r="S537" s="68"/>
      <c r="T537" s="68"/>
      <c r="U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</row>
    <row r="538" spans="1:38" x14ac:dyDescent="0.3">
      <c r="A538" s="67"/>
      <c r="B538" s="67"/>
      <c r="C538" s="67"/>
      <c r="D538" s="67"/>
      <c r="E538" s="67"/>
      <c r="F538" s="67"/>
      <c r="G538" s="68"/>
      <c r="I538" s="70"/>
      <c r="J538" s="70"/>
      <c r="K538" s="70"/>
      <c r="L538" s="69"/>
      <c r="M538" s="69"/>
      <c r="N538" s="69"/>
      <c r="O538" s="67"/>
      <c r="P538" s="67"/>
      <c r="Q538" s="67"/>
      <c r="R538" s="68"/>
      <c r="S538" s="68"/>
      <c r="T538" s="68"/>
      <c r="U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</row>
    <row r="539" spans="1:38" x14ac:dyDescent="0.3">
      <c r="A539" s="67"/>
      <c r="B539" s="67"/>
      <c r="C539" s="67"/>
      <c r="D539" s="67"/>
      <c r="E539" s="67"/>
      <c r="F539" s="67"/>
      <c r="G539" s="68"/>
      <c r="I539" s="70"/>
      <c r="J539" s="70"/>
      <c r="K539" s="70"/>
      <c r="L539" s="69"/>
      <c r="M539" s="69"/>
      <c r="N539" s="69"/>
      <c r="O539" s="67"/>
      <c r="P539" s="67"/>
      <c r="Q539" s="67"/>
      <c r="R539" s="68"/>
      <c r="S539" s="68"/>
      <c r="T539" s="68"/>
      <c r="U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</row>
    <row r="540" spans="1:38" x14ac:dyDescent="0.3">
      <c r="A540" s="67"/>
      <c r="B540" s="67"/>
      <c r="C540" s="67"/>
      <c r="D540" s="67"/>
      <c r="E540" s="67"/>
      <c r="F540" s="67"/>
      <c r="G540" s="68"/>
      <c r="I540" s="70"/>
      <c r="J540" s="70"/>
      <c r="K540" s="70"/>
      <c r="L540" s="69"/>
      <c r="M540" s="69"/>
      <c r="N540" s="69"/>
      <c r="O540" s="67"/>
      <c r="P540" s="67"/>
      <c r="Q540" s="67"/>
      <c r="R540" s="68"/>
      <c r="S540" s="68"/>
      <c r="T540" s="68"/>
      <c r="U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</row>
    <row r="541" spans="1:38" x14ac:dyDescent="0.3">
      <c r="A541" s="67"/>
      <c r="B541" s="67"/>
      <c r="C541" s="67"/>
      <c r="D541" s="67"/>
      <c r="E541" s="67"/>
      <c r="F541" s="67"/>
      <c r="G541" s="68"/>
      <c r="I541" s="70"/>
      <c r="J541" s="70"/>
      <c r="K541" s="70"/>
      <c r="L541" s="69"/>
      <c r="M541" s="69"/>
      <c r="N541" s="69"/>
      <c r="O541" s="67"/>
      <c r="P541" s="67"/>
      <c r="Q541" s="67"/>
      <c r="R541" s="68"/>
      <c r="S541" s="68"/>
      <c r="T541" s="68"/>
      <c r="U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</row>
    <row r="542" spans="1:38" x14ac:dyDescent="0.3">
      <c r="A542" s="67"/>
      <c r="B542" s="67"/>
      <c r="C542" s="67"/>
      <c r="D542" s="67"/>
      <c r="E542" s="67"/>
      <c r="F542" s="67"/>
      <c r="G542" s="68"/>
      <c r="I542" s="70"/>
      <c r="J542" s="70"/>
      <c r="K542" s="70"/>
      <c r="L542" s="69"/>
      <c r="M542" s="69"/>
      <c r="N542" s="69"/>
      <c r="O542" s="67"/>
      <c r="P542" s="67"/>
      <c r="Q542" s="67"/>
      <c r="R542" s="68"/>
      <c r="S542" s="68"/>
      <c r="T542" s="68"/>
      <c r="U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</row>
    <row r="543" spans="1:38" x14ac:dyDescent="0.3">
      <c r="A543" s="67"/>
      <c r="B543" s="67"/>
      <c r="C543" s="67"/>
      <c r="D543" s="67"/>
      <c r="E543" s="67"/>
      <c r="F543" s="67"/>
      <c r="G543" s="68"/>
      <c r="I543" s="70"/>
      <c r="J543" s="70"/>
      <c r="K543" s="70"/>
      <c r="L543" s="69"/>
      <c r="M543" s="69"/>
      <c r="N543" s="69"/>
      <c r="O543" s="67"/>
      <c r="P543" s="67"/>
      <c r="Q543" s="67"/>
      <c r="R543" s="68"/>
      <c r="S543" s="68"/>
      <c r="T543" s="68"/>
      <c r="U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</row>
    <row r="544" spans="1:38" x14ac:dyDescent="0.3">
      <c r="A544" s="67"/>
      <c r="B544" s="67"/>
      <c r="C544" s="67"/>
      <c r="D544" s="67"/>
      <c r="E544" s="67"/>
      <c r="F544" s="67"/>
      <c r="G544" s="68"/>
      <c r="I544" s="70"/>
      <c r="J544" s="70"/>
      <c r="K544" s="70"/>
      <c r="L544" s="69"/>
      <c r="M544" s="69"/>
      <c r="N544" s="69"/>
      <c r="O544" s="67"/>
      <c r="P544" s="67"/>
      <c r="Q544" s="67"/>
      <c r="R544" s="68"/>
      <c r="S544" s="68"/>
      <c r="T544" s="68"/>
      <c r="U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</row>
    <row r="545" spans="1:38" x14ac:dyDescent="0.3">
      <c r="A545" s="67"/>
      <c r="B545" s="67"/>
      <c r="C545" s="67"/>
      <c r="D545" s="67"/>
      <c r="E545" s="67"/>
      <c r="F545" s="67"/>
      <c r="G545" s="68"/>
      <c r="I545" s="70"/>
      <c r="J545" s="70"/>
      <c r="K545" s="70"/>
      <c r="L545" s="69"/>
      <c r="M545" s="69"/>
      <c r="N545" s="69"/>
      <c r="O545" s="67"/>
      <c r="P545" s="67"/>
      <c r="Q545" s="67"/>
      <c r="R545" s="68"/>
      <c r="S545" s="68"/>
      <c r="T545" s="68"/>
      <c r="U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</row>
    <row r="546" spans="1:38" x14ac:dyDescent="0.3">
      <c r="A546" s="67"/>
      <c r="B546" s="67"/>
      <c r="C546" s="67"/>
      <c r="D546" s="67"/>
      <c r="E546" s="67"/>
      <c r="F546" s="67"/>
      <c r="G546" s="68"/>
      <c r="I546" s="70"/>
      <c r="J546" s="70"/>
      <c r="K546" s="70"/>
      <c r="L546" s="69"/>
      <c r="M546" s="69"/>
      <c r="N546" s="69"/>
      <c r="O546" s="67"/>
      <c r="P546" s="67"/>
      <c r="Q546" s="67"/>
      <c r="R546" s="68"/>
      <c r="S546" s="68"/>
      <c r="T546" s="68"/>
      <c r="U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</row>
    <row r="547" spans="1:38" x14ac:dyDescent="0.3">
      <c r="A547" s="67"/>
      <c r="B547" s="67"/>
      <c r="C547" s="67"/>
      <c r="D547" s="67"/>
      <c r="E547" s="67"/>
      <c r="F547" s="67"/>
      <c r="G547" s="68"/>
      <c r="I547" s="70"/>
      <c r="J547" s="70"/>
      <c r="K547" s="70"/>
      <c r="L547" s="69"/>
      <c r="M547" s="69"/>
      <c r="N547" s="69"/>
      <c r="O547" s="67"/>
      <c r="P547" s="67"/>
      <c r="Q547" s="67"/>
      <c r="R547" s="68"/>
      <c r="S547" s="68"/>
      <c r="T547" s="68"/>
      <c r="U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</row>
    <row r="548" spans="1:38" x14ac:dyDescent="0.3">
      <c r="A548" s="67"/>
      <c r="B548" s="67"/>
      <c r="C548" s="67"/>
      <c r="D548" s="67"/>
      <c r="E548" s="67"/>
      <c r="F548" s="67"/>
      <c r="G548" s="68"/>
      <c r="I548" s="70"/>
      <c r="J548" s="70"/>
      <c r="K548" s="70"/>
      <c r="L548" s="69"/>
      <c r="M548" s="69"/>
      <c r="N548" s="69"/>
      <c r="O548" s="67"/>
      <c r="P548" s="67"/>
      <c r="Q548" s="67"/>
      <c r="R548" s="68"/>
      <c r="S548" s="68"/>
      <c r="T548" s="68"/>
      <c r="U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</row>
    <row r="549" spans="1:38" x14ac:dyDescent="0.3">
      <c r="A549" s="67"/>
      <c r="B549" s="67"/>
      <c r="C549" s="67"/>
      <c r="D549" s="67"/>
      <c r="E549" s="67"/>
      <c r="F549" s="67"/>
      <c r="G549" s="68"/>
      <c r="I549" s="70"/>
      <c r="J549" s="70"/>
      <c r="K549" s="70"/>
      <c r="L549" s="69"/>
      <c r="M549" s="69"/>
      <c r="N549" s="69"/>
      <c r="O549" s="67"/>
      <c r="P549" s="67"/>
      <c r="Q549" s="67"/>
      <c r="R549" s="68"/>
      <c r="S549" s="68"/>
      <c r="T549" s="68"/>
      <c r="U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</row>
    <row r="550" spans="1:38" x14ac:dyDescent="0.3">
      <c r="A550" s="67"/>
      <c r="B550" s="67"/>
      <c r="C550" s="67"/>
      <c r="D550" s="67"/>
      <c r="E550" s="67"/>
      <c r="F550" s="67"/>
      <c r="G550" s="68"/>
      <c r="I550" s="70"/>
      <c r="J550" s="70"/>
      <c r="K550" s="70"/>
      <c r="L550" s="69"/>
      <c r="M550" s="69"/>
      <c r="N550" s="69"/>
      <c r="O550" s="67"/>
      <c r="P550" s="67"/>
      <c r="Q550" s="67"/>
      <c r="R550" s="68"/>
      <c r="S550" s="68"/>
      <c r="T550" s="68"/>
      <c r="U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</row>
    <row r="551" spans="1:38" x14ac:dyDescent="0.3">
      <c r="A551" s="67"/>
      <c r="B551" s="67"/>
      <c r="C551" s="67"/>
      <c r="D551" s="67"/>
      <c r="E551" s="67"/>
      <c r="F551" s="67"/>
      <c r="G551" s="68"/>
      <c r="I551" s="70"/>
      <c r="J551" s="70"/>
      <c r="K551" s="70"/>
      <c r="L551" s="69"/>
      <c r="M551" s="69"/>
      <c r="N551" s="69"/>
      <c r="O551" s="67"/>
      <c r="P551" s="67"/>
      <c r="Q551" s="67"/>
      <c r="R551" s="68"/>
      <c r="S551" s="68"/>
      <c r="T551" s="68"/>
      <c r="U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</row>
    <row r="552" spans="1:38" x14ac:dyDescent="0.3">
      <c r="A552" s="67"/>
      <c r="B552" s="67"/>
      <c r="C552" s="67"/>
      <c r="D552" s="67"/>
      <c r="E552" s="67"/>
      <c r="F552" s="67"/>
      <c r="G552" s="68"/>
      <c r="I552" s="70"/>
      <c r="J552" s="70"/>
      <c r="K552" s="70"/>
      <c r="L552" s="69"/>
      <c r="M552" s="69"/>
      <c r="N552" s="69"/>
      <c r="O552" s="67"/>
      <c r="P552" s="67"/>
      <c r="Q552" s="67"/>
      <c r="R552" s="68"/>
      <c r="S552" s="68"/>
      <c r="T552" s="68"/>
      <c r="U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</row>
    <row r="553" spans="1:38" x14ac:dyDescent="0.3">
      <c r="A553" s="67"/>
      <c r="B553" s="67"/>
      <c r="C553" s="67"/>
      <c r="D553" s="67"/>
      <c r="E553" s="67"/>
      <c r="F553" s="67"/>
      <c r="G553" s="68"/>
      <c r="I553" s="70"/>
      <c r="J553" s="70"/>
      <c r="K553" s="70"/>
      <c r="L553" s="69"/>
      <c r="M553" s="69"/>
      <c r="N553" s="69"/>
      <c r="O553" s="67"/>
      <c r="P553" s="67"/>
      <c r="Q553" s="67"/>
      <c r="R553" s="68"/>
      <c r="S553" s="68"/>
      <c r="T553" s="68"/>
      <c r="U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</row>
    <row r="554" spans="1:38" x14ac:dyDescent="0.3">
      <c r="A554" s="67"/>
      <c r="B554" s="67"/>
      <c r="C554" s="67"/>
      <c r="D554" s="67"/>
      <c r="E554" s="67"/>
      <c r="F554" s="67"/>
      <c r="G554" s="68"/>
      <c r="I554" s="70"/>
      <c r="J554" s="70"/>
      <c r="K554" s="70"/>
      <c r="L554" s="69"/>
      <c r="M554" s="69"/>
      <c r="N554" s="69"/>
      <c r="O554" s="67"/>
      <c r="P554" s="67"/>
      <c r="Q554" s="67"/>
      <c r="R554" s="68"/>
      <c r="S554" s="68"/>
      <c r="T554" s="68"/>
      <c r="U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</row>
    <row r="555" spans="1:38" x14ac:dyDescent="0.3">
      <c r="A555" s="67"/>
      <c r="B555" s="67"/>
      <c r="C555" s="67"/>
      <c r="D555" s="67"/>
      <c r="E555" s="67"/>
      <c r="F555" s="67"/>
      <c r="G555" s="68"/>
      <c r="I555" s="70"/>
      <c r="J555" s="70"/>
      <c r="K555" s="70"/>
      <c r="L555" s="69"/>
      <c r="M555" s="69"/>
      <c r="N555" s="69"/>
      <c r="O555" s="67"/>
      <c r="P555" s="67"/>
      <c r="Q555" s="67"/>
      <c r="R555" s="68"/>
      <c r="S555" s="68"/>
      <c r="T555" s="68"/>
      <c r="U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</row>
    <row r="556" spans="1:38" x14ac:dyDescent="0.3">
      <c r="A556" s="67"/>
      <c r="B556" s="67"/>
      <c r="C556" s="67"/>
      <c r="D556" s="67"/>
      <c r="E556" s="67"/>
      <c r="F556" s="67"/>
      <c r="G556" s="68"/>
      <c r="I556" s="70"/>
      <c r="J556" s="70"/>
      <c r="K556" s="70"/>
      <c r="L556" s="69"/>
      <c r="M556" s="69"/>
      <c r="N556" s="69"/>
      <c r="O556" s="67"/>
      <c r="P556" s="67"/>
      <c r="Q556" s="67"/>
      <c r="R556" s="68"/>
      <c r="S556" s="68"/>
      <c r="T556" s="68"/>
      <c r="U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</row>
    <row r="557" spans="1:38" x14ac:dyDescent="0.3">
      <c r="A557" s="67"/>
      <c r="B557" s="67"/>
      <c r="C557" s="67"/>
      <c r="D557" s="67"/>
      <c r="E557" s="67"/>
      <c r="F557" s="67"/>
      <c r="G557" s="68"/>
      <c r="I557" s="70"/>
      <c r="J557" s="70"/>
      <c r="K557" s="70"/>
      <c r="L557" s="69"/>
      <c r="M557" s="69"/>
      <c r="N557" s="69"/>
      <c r="O557" s="67"/>
      <c r="P557" s="67"/>
      <c r="Q557" s="67"/>
      <c r="R557" s="68"/>
      <c r="S557" s="68"/>
      <c r="T557" s="68"/>
      <c r="U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</row>
    <row r="558" spans="1:38" x14ac:dyDescent="0.3">
      <c r="A558" s="67"/>
      <c r="B558" s="67"/>
      <c r="C558" s="67"/>
      <c r="D558" s="67"/>
      <c r="E558" s="67"/>
      <c r="F558" s="67"/>
      <c r="G558" s="68"/>
      <c r="I558" s="70"/>
      <c r="J558" s="70"/>
      <c r="K558" s="70"/>
      <c r="L558" s="69"/>
      <c r="M558" s="69"/>
      <c r="N558" s="69"/>
      <c r="O558" s="67"/>
      <c r="P558" s="67"/>
      <c r="Q558" s="67"/>
      <c r="R558" s="68"/>
      <c r="S558" s="68"/>
      <c r="T558" s="68"/>
      <c r="U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</row>
    <row r="559" spans="1:38" x14ac:dyDescent="0.3">
      <c r="A559" s="67"/>
      <c r="B559" s="67"/>
      <c r="C559" s="67"/>
      <c r="D559" s="67"/>
      <c r="E559" s="67"/>
      <c r="F559" s="67"/>
      <c r="G559" s="68"/>
      <c r="I559" s="70"/>
      <c r="J559" s="70"/>
      <c r="K559" s="70"/>
      <c r="L559" s="69"/>
      <c r="M559" s="69"/>
      <c r="N559" s="69"/>
      <c r="O559" s="67"/>
      <c r="P559" s="67"/>
      <c r="Q559" s="67"/>
      <c r="R559" s="68"/>
      <c r="S559" s="68"/>
      <c r="T559" s="68"/>
      <c r="U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</row>
    <row r="560" spans="1:38" x14ac:dyDescent="0.3">
      <c r="A560" s="67"/>
      <c r="B560" s="67"/>
      <c r="C560" s="67"/>
      <c r="D560" s="67"/>
      <c r="E560" s="67"/>
      <c r="F560" s="67"/>
      <c r="G560" s="68"/>
      <c r="I560" s="70"/>
      <c r="J560" s="70"/>
      <c r="K560" s="70"/>
      <c r="L560" s="69"/>
      <c r="M560" s="69"/>
      <c r="N560" s="69"/>
      <c r="O560" s="67"/>
      <c r="P560" s="67"/>
      <c r="Q560" s="67"/>
      <c r="R560" s="68"/>
      <c r="S560" s="68"/>
      <c r="T560" s="68"/>
      <c r="U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</row>
    <row r="561" spans="1:38" x14ac:dyDescent="0.3">
      <c r="A561" s="67"/>
      <c r="B561" s="67"/>
      <c r="C561" s="67"/>
      <c r="D561" s="67"/>
      <c r="E561" s="67"/>
      <c r="F561" s="67"/>
      <c r="G561" s="68"/>
      <c r="I561" s="70"/>
      <c r="J561" s="70"/>
      <c r="K561" s="70"/>
      <c r="L561" s="69"/>
      <c r="M561" s="69"/>
      <c r="N561" s="69"/>
      <c r="O561" s="67"/>
      <c r="P561" s="67"/>
      <c r="Q561" s="67"/>
      <c r="R561" s="68"/>
      <c r="S561" s="68"/>
      <c r="T561" s="68"/>
      <c r="U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</row>
    <row r="562" spans="1:38" x14ac:dyDescent="0.3">
      <c r="A562" s="67"/>
      <c r="B562" s="67"/>
      <c r="C562" s="67"/>
      <c r="D562" s="67"/>
      <c r="E562" s="67"/>
      <c r="F562" s="67"/>
      <c r="G562" s="68"/>
      <c r="I562" s="70"/>
      <c r="J562" s="70"/>
      <c r="K562" s="70"/>
      <c r="L562" s="69"/>
      <c r="M562" s="69"/>
      <c r="N562" s="69"/>
      <c r="O562" s="67"/>
      <c r="P562" s="67"/>
      <c r="Q562" s="67"/>
      <c r="R562" s="68"/>
      <c r="S562" s="68"/>
      <c r="T562" s="68"/>
      <c r="U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</row>
    <row r="563" spans="1:38" x14ac:dyDescent="0.3">
      <c r="A563" s="67"/>
      <c r="B563" s="67"/>
      <c r="C563" s="67"/>
      <c r="D563" s="67"/>
      <c r="E563" s="67"/>
      <c r="F563" s="67"/>
      <c r="G563" s="68"/>
      <c r="I563" s="70"/>
      <c r="J563" s="70"/>
      <c r="K563" s="70"/>
      <c r="L563" s="69"/>
      <c r="M563" s="69"/>
      <c r="N563" s="69"/>
      <c r="O563" s="67"/>
      <c r="P563" s="67"/>
      <c r="Q563" s="67"/>
      <c r="R563" s="68"/>
      <c r="S563" s="68"/>
      <c r="T563" s="68"/>
      <c r="U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</row>
    <row r="564" spans="1:38" x14ac:dyDescent="0.3">
      <c r="A564" s="67"/>
      <c r="B564" s="67"/>
      <c r="C564" s="67"/>
      <c r="D564" s="67"/>
      <c r="E564" s="67"/>
      <c r="F564" s="67"/>
      <c r="G564" s="68"/>
      <c r="I564" s="70"/>
      <c r="J564" s="70"/>
      <c r="K564" s="70"/>
      <c r="L564" s="69"/>
      <c r="M564" s="69"/>
      <c r="N564" s="69"/>
      <c r="O564" s="67"/>
      <c r="P564" s="67"/>
      <c r="Q564" s="67"/>
      <c r="R564" s="68"/>
      <c r="S564" s="68"/>
      <c r="T564" s="68"/>
      <c r="U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</row>
    <row r="565" spans="1:38" x14ac:dyDescent="0.3">
      <c r="A565" s="67"/>
      <c r="B565" s="67"/>
      <c r="C565" s="67"/>
      <c r="D565" s="67"/>
      <c r="E565" s="67"/>
      <c r="F565" s="67"/>
      <c r="G565" s="68"/>
      <c r="I565" s="70"/>
      <c r="J565" s="70"/>
      <c r="K565" s="70"/>
      <c r="L565" s="69"/>
      <c r="M565" s="69"/>
      <c r="N565" s="69"/>
      <c r="O565" s="67"/>
      <c r="P565" s="67"/>
      <c r="Q565" s="67"/>
      <c r="R565" s="68"/>
      <c r="S565" s="68"/>
      <c r="T565" s="68"/>
      <c r="U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</row>
    <row r="566" spans="1:38" x14ac:dyDescent="0.3">
      <c r="A566" s="67"/>
      <c r="B566" s="67"/>
      <c r="C566" s="67"/>
      <c r="D566" s="67"/>
      <c r="E566" s="67"/>
      <c r="F566" s="67"/>
      <c r="G566" s="68"/>
      <c r="I566" s="70"/>
      <c r="J566" s="70"/>
      <c r="K566" s="70"/>
      <c r="L566" s="69"/>
      <c r="M566" s="69"/>
      <c r="N566" s="69"/>
      <c r="O566" s="67"/>
      <c r="P566" s="67"/>
      <c r="Q566" s="67"/>
      <c r="R566" s="68"/>
      <c r="S566" s="68"/>
      <c r="T566" s="68"/>
      <c r="U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</row>
    <row r="567" spans="1:38" x14ac:dyDescent="0.3">
      <c r="A567" s="67"/>
      <c r="B567" s="67"/>
      <c r="C567" s="67"/>
      <c r="D567" s="67"/>
      <c r="E567" s="67"/>
      <c r="F567" s="67"/>
      <c r="G567" s="68"/>
      <c r="I567" s="70"/>
      <c r="J567" s="70"/>
      <c r="K567" s="70"/>
      <c r="L567" s="69"/>
      <c r="M567" s="69"/>
      <c r="N567" s="69"/>
      <c r="O567" s="67"/>
      <c r="P567" s="67"/>
      <c r="Q567" s="67"/>
      <c r="R567" s="68"/>
      <c r="S567" s="68"/>
      <c r="T567" s="68"/>
      <c r="U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</row>
    <row r="568" spans="1:38" x14ac:dyDescent="0.3">
      <c r="A568" s="67"/>
      <c r="B568" s="67"/>
      <c r="C568" s="67"/>
      <c r="D568" s="67"/>
      <c r="E568" s="67"/>
      <c r="F568" s="67"/>
      <c r="G568" s="68"/>
      <c r="I568" s="70"/>
      <c r="J568" s="70"/>
      <c r="K568" s="70"/>
      <c r="L568" s="69"/>
      <c r="M568" s="69"/>
      <c r="N568" s="69"/>
      <c r="O568" s="67"/>
      <c r="P568" s="67"/>
      <c r="Q568" s="67"/>
      <c r="R568" s="68"/>
      <c r="S568" s="68"/>
      <c r="T568" s="68"/>
      <c r="U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</row>
    <row r="569" spans="1:38" x14ac:dyDescent="0.3">
      <c r="A569" s="67"/>
      <c r="B569" s="67"/>
      <c r="C569" s="67"/>
      <c r="D569" s="67"/>
      <c r="E569" s="67"/>
      <c r="F569" s="67"/>
      <c r="G569" s="68"/>
      <c r="I569" s="70"/>
      <c r="J569" s="70"/>
      <c r="K569" s="70"/>
      <c r="L569" s="69"/>
      <c r="M569" s="69"/>
      <c r="N569" s="69"/>
      <c r="O569" s="67"/>
      <c r="P569" s="67"/>
      <c r="Q569" s="67"/>
      <c r="R569" s="68"/>
      <c r="S569" s="68"/>
      <c r="T569" s="68"/>
      <c r="U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</row>
    <row r="570" spans="1:38" x14ac:dyDescent="0.3">
      <c r="A570" s="67"/>
      <c r="B570" s="67"/>
      <c r="C570" s="67"/>
      <c r="D570" s="67"/>
      <c r="E570" s="67"/>
      <c r="F570" s="67"/>
      <c r="G570" s="68"/>
      <c r="I570" s="70"/>
      <c r="J570" s="70"/>
      <c r="K570" s="70"/>
      <c r="L570" s="69"/>
      <c r="M570" s="69"/>
      <c r="N570" s="69"/>
      <c r="O570" s="67"/>
      <c r="P570" s="67"/>
      <c r="Q570" s="67"/>
      <c r="R570" s="68"/>
      <c r="S570" s="68"/>
      <c r="T570" s="68"/>
      <c r="U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</row>
    <row r="571" spans="1:38" x14ac:dyDescent="0.3">
      <c r="A571" s="67"/>
      <c r="B571" s="67"/>
      <c r="C571" s="67"/>
      <c r="D571" s="67"/>
      <c r="E571" s="67"/>
      <c r="F571" s="67"/>
      <c r="G571" s="68"/>
      <c r="I571" s="70"/>
      <c r="J571" s="70"/>
      <c r="K571" s="70"/>
      <c r="L571" s="69"/>
      <c r="M571" s="69"/>
      <c r="N571" s="69"/>
      <c r="O571" s="67"/>
      <c r="P571" s="67"/>
      <c r="Q571" s="67"/>
      <c r="R571" s="68"/>
      <c r="S571" s="68"/>
      <c r="T571" s="68"/>
      <c r="U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</row>
    <row r="572" spans="1:38" x14ac:dyDescent="0.3">
      <c r="A572" s="67"/>
      <c r="B572" s="67"/>
      <c r="C572" s="67"/>
      <c r="D572" s="67"/>
      <c r="E572" s="67"/>
      <c r="F572" s="67"/>
      <c r="G572" s="68"/>
      <c r="I572" s="70"/>
      <c r="J572" s="70"/>
      <c r="K572" s="70"/>
      <c r="L572" s="69"/>
      <c r="M572" s="69"/>
      <c r="N572" s="69"/>
      <c r="O572" s="67"/>
      <c r="P572" s="67"/>
      <c r="Q572" s="67"/>
      <c r="R572" s="68"/>
      <c r="S572" s="68"/>
      <c r="T572" s="68"/>
      <c r="U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</row>
    <row r="573" spans="1:38" x14ac:dyDescent="0.3">
      <c r="A573" s="67"/>
      <c r="B573" s="67"/>
      <c r="C573" s="67"/>
      <c r="D573" s="67"/>
      <c r="E573" s="67"/>
      <c r="F573" s="67"/>
      <c r="G573" s="68"/>
      <c r="I573" s="70"/>
      <c r="J573" s="70"/>
      <c r="K573" s="70"/>
      <c r="L573" s="69"/>
      <c r="M573" s="69"/>
      <c r="N573" s="69"/>
      <c r="O573" s="67"/>
      <c r="P573" s="67"/>
      <c r="Q573" s="67"/>
      <c r="R573" s="68"/>
      <c r="S573" s="68"/>
      <c r="T573" s="68"/>
      <c r="U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</row>
    <row r="574" spans="1:38" x14ac:dyDescent="0.3">
      <c r="A574" s="67"/>
      <c r="B574" s="67"/>
      <c r="C574" s="67"/>
      <c r="D574" s="67"/>
      <c r="E574" s="67"/>
      <c r="F574" s="67"/>
      <c r="G574" s="68"/>
      <c r="I574" s="70"/>
      <c r="J574" s="70"/>
      <c r="K574" s="70"/>
      <c r="L574" s="69"/>
      <c r="M574" s="69"/>
      <c r="N574" s="69"/>
      <c r="O574" s="67"/>
      <c r="P574" s="67"/>
      <c r="Q574" s="67"/>
      <c r="R574" s="68"/>
      <c r="S574" s="68"/>
      <c r="T574" s="68"/>
      <c r="U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</row>
    <row r="575" spans="1:38" x14ac:dyDescent="0.3">
      <c r="A575" s="67"/>
      <c r="B575" s="67"/>
      <c r="C575" s="67"/>
      <c r="D575" s="67"/>
      <c r="E575" s="67"/>
      <c r="F575" s="67"/>
      <c r="G575" s="68"/>
      <c r="I575" s="70"/>
      <c r="J575" s="70"/>
      <c r="K575" s="70"/>
      <c r="L575" s="69"/>
      <c r="M575" s="69"/>
      <c r="N575" s="69"/>
      <c r="O575" s="67"/>
      <c r="P575" s="67"/>
      <c r="Q575" s="67"/>
      <c r="R575" s="68"/>
      <c r="S575" s="68"/>
      <c r="T575" s="68"/>
      <c r="U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</row>
    <row r="576" spans="1:38" x14ac:dyDescent="0.3">
      <c r="A576" s="67"/>
      <c r="B576" s="67"/>
      <c r="C576" s="67"/>
      <c r="D576" s="67"/>
      <c r="E576" s="67"/>
      <c r="F576" s="67"/>
      <c r="G576" s="68"/>
      <c r="I576" s="70"/>
      <c r="J576" s="70"/>
      <c r="K576" s="70"/>
      <c r="L576" s="69"/>
      <c r="M576" s="69"/>
      <c r="N576" s="69"/>
      <c r="O576" s="67"/>
      <c r="P576" s="67"/>
      <c r="Q576" s="67"/>
      <c r="R576" s="68"/>
      <c r="S576" s="68"/>
      <c r="T576" s="68"/>
      <c r="U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</row>
    <row r="577" spans="1:38" x14ac:dyDescent="0.3">
      <c r="A577" s="67"/>
      <c r="B577" s="67"/>
      <c r="C577" s="67"/>
      <c r="D577" s="67"/>
      <c r="E577" s="67"/>
      <c r="F577" s="67"/>
      <c r="G577" s="68"/>
      <c r="I577" s="70"/>
      <c r="J577" s="70"/>
      <c r="K577" s="70"/>
      <c r="L577" s="69"/>
      <c r="M577" s="69"/>
      <c r="N577" s="69"/>
      <c r="O577" s="67"/>
      <c r="P577" s="67"/>
      <c r="Q577" s="67"/>
      <c r="R577" s="68"/>
      <c r="S577" s="68"/>
      <c r="T577" s="68"/>
      <c r="U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</row>
    <row r="578" spans="1:38" x14ac:dyDescent="0.3">
      <c r="A578" s="67"/>
      <c r="B578" s="67"/>
      <c r="C578" s="67"/>
      <c r="D578" s="67"/>
      <c r="E578" s="67"/>
      <c r="F578" s="67"/>
      <c r="G578" s="68"/>
      <c r="I578" s="70"/>
      <c r="J578" s="70"/>
      <c r="K578" s="70"/>
      <c r="L578" s="69"/>
      <c r="M578" s="69"/>
      <c r="N578" s="69"/>
      <c r="O578" s="67"/>
      <c r="P578" s="67"/>
      <c r="Q578" s="67"/>
      <c r="R578" s="68"/>
      <c r="S578" s="68"/>
      <c r="T578" s="68"/>
      <c r="U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</row>
    <row r="579" spans="1:38" x14ac:dyDescent="0.3">
      <c r="A579" s="67"/>
      <c r="B579" s="67"/>
      <c r="C579" s="67"/>
      <c r="D579" s="67"/>
      <c r="E579" s="67"/>
      <c r="F579" s="67"/>
      <c r="G579" s="68"/>
      <c r="I579" s="70"/>
      <c r="J579" s="70"/>
      <c r="K579" s="70"/>
      <c r="L579" s="69"/>
      <c r="M579" s="69"/>
      <c r="N579" s="69"/>
      <c r="O579" s="67"/>
      <c r="P579" s="67"/>
      <c r="Q579" s="67"/>
      <c r="R579" s="68"/>
      <c r="S579" s="68"/>
      <c r="T579" s="68"/>
      <c r="U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</row>
    <row r="580" spans="1:38" x14ac:dyDescent="0.3">
      <c r="A580" s="67"/>
      <c r="B580" s="67"/>
      <c r="C580" s="67"/>
      <c r="D580" s="67"/>
      <c r="E580" s="67"/>
      <c r="F580" s="67"/>
      <c r="G580" s="68"/>
      <c r="I580" s="70"/>
      <c r="J580" s="70"/>
      <c r="K580" s="70"/>
      <c r="L580" s="69"/>
      <c r="M580" s="69"/>
      <c r="N580" s="69"/>
      <c r="O580" s="67"/>
      <c r="P580" s="67"/>
      <c r="Q580" s="67"/>
      <c r="R580" s="68"/>
      <c r="S580" s="68"/>
      <c r="T580" s="68"/>
      <c r="U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</row>
    <row r="581" spans="1:38" x14ac:dyDescent="0.3">
      <c r="A581" s="67"/>
      <c r="B581" s="67"/>
      <c r="C581" s="67"/>
      <c r="D581" s="67"/>
      <c r="E581" s="67"/>
      <c r="F581" s="67"/>
      <c r="G581" s="68"/>
      <c r="I581" s="70"/>
      <c r="J581" s="70"/>
      <c r="K581" s="70"/>
      <c r="L581" s="69"/>
      <c r="M581" s="69"/>
      <c r="N581" s="69"/>
      <c r="O581" s="67"/>
      <c r="P581" s="67"/>
      <c r="Q581" s="67"/>
      <c r="R581" s="68"/>
      <c r="S581" s="68"/>
      <c r="T581" s="68"/>
      <c r="U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</row>
    <row r="582" spans="1:38" x14ac:dyDescent="0.3">
      <c r="A582" s="67"/>
      <c r="B582" s="67"/>
      <c r="C582" s="67"/>
      <c r="D582" s="67"/>
      <c r="E582" s="67"/>
      <c r="F582" s="67"/>
      <c r="G582" s="68"/>
      <c r="I582" s="70"/>
      <c r="J582" s="70"/>
      <c r="K582" s="70"/>
      <c r="L582" s="69"/>
      <c r="M582" s="69"/>
      <c r="N582" s="69"/>
      <c r="O582" s="67"/>
      <c r="P582" s="67"/>
      <c r="Q582" s="67"/>
      <c r="R582" s="68"/>
      <c r="S582" s="68"/>
      <c r="T582" s="68"/>
      <c r="U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</row>
    <row r="583" spans="1:38" x14ac:dyDescent="0.3">
      <c r="A583" s="67"/>
      <c r="B583" s="67"/>
      <c r="C583" s="67"/>
      <c r="D583" s="67"/>
      <c r="E583" s="67"/>
      <c r="F583" s="67"/>
      <c r="G583" s="68"/>
      <c r="I583" s="70"/>
      <c r="J583" s="70"/>
      <c r="K583" s="70"/>
      <c r="L583" s="69"/>
      <c r="M583" s="69"/>
      <c r="N583" s="69"/>
      <c r="O583" s="67"/>
      <c r="P583" s="67"/>
      <c r="Q583" s="67"/>
      <c r="R583" s="68"/>
      <c r="S583" s="68"/>
      <c r="T583" s="68"/>
      <c r="U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</row>
    <row r="584" spans="1:38" x14ac:dyDescent="0.3">
      <c r="A584" s="67"/>
      <c r="B584" s="67"/>
      <c r="C584" s="67"/>
      <c r="D584" s="67"/>
      <c r="E584" s="67"/>
      <c r="F584" s="67"/>
      <c r="G584" s="68"/>
      <c r="I584" s="70"/>
      <c r="J584" s="70"/>
      <c r="K584" s="70"/>
      <c r="L584" s="69"/>
      <c r="M584" s="69"/>
      <c r="N584" s="69"/>
      <c r="O584" s="67"/>
      <c r="P584" s="67"/>
      <c r="Q584" s="67"/>
      <c r="R584" s="68"/>
      <c r="S584" s="68"/>
      <c r="T584" s="68"/>
      <c r="U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</row>
    <row r="585" spans="1:38" x14ac:dyDescent="0.3">
      <c r="A585" s="67"/>
      <c r="B585" s="67"/>
      <c r="C585" s="67"/>
      <c r="D585" s="67"/>
      <c r="E585" s="67"/>
      <c r="F585" s="67"/>
      <c r="G585" s="68"/>
      <c r="I585" s="70"/>
      <c r="J585" s="70"/>
      <c r="K585" s="70"/>
      <c r="L585" s="69"/>
      <c r="M585" s="69"/>
      <c r="N585" s="69"/>
      <c r="O585" s="67"/>
      <c r="P585" s="67"/>
      <c r="Q585" s="67"/>
      <c r="R585" s="68"/>
      <c r="S585" s="68"/>
      <c r="T585" s="68"/>
      <c r="U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</row>
    <row r="586" spans="1:38" x14ac:dyDescent="0.3">
      <c r="A586" s="67"/>
      <c r="B586" s="67"/>
      <c r="C586" s="67"/>
      <c r="D586" s="67"/>
      <c r="E586" s="67"/>
      <c r="F586" s="67"/>
      <c r="G586" s="68"/>
      <c r="I586" s="70"/>
      <c r="J586" s="70"/>
      <c r="K586" s="70"/>
      <c r="L586" s="69"/>
      <c r="M586" s="69"/>
      <c r="N586" s="69"/>
      <c r="O586" s="67"/>
      <c r="P586" s="67"/>
      <c r="Q586" s="67"/>
      <c r="R586" s="68"/>
      <c r="S586" s="68"/>
      <c r="T586" s="68"/>
      <c r="U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</row>
    <row r="587" spans="1:38" x14ac:dyDescent="0.3">
      <c r="A587" s="67"/>
      <c r="B587" s="67"/>
      <c r="C587" s="67"/>
      <c r="D587" s="67"/>
      <c r="E587" s="67"/>
      <c r="F587" s="67"/>
      <c r="G587" s="68"/>
      <c r="I587" s="70"/>
      <c r="J587" s="70"/>
      <c r="K587" s="70"/>
      <c r="L587" s="69"/>
      <c r="M587" s="69"/>
      <c r="N587" s="69"/>
      <c r="O587" s="67"/>
      <c r="P587" s="67"/>
      <c r="Q587" s="67"/>
      <c r="R587" s="68"/>
      <c r="S587" s="68"/>
      <c r="T587" s="68"/>
      <c r="U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</row>
    <row r="588" spans="1:38" x14ac:dyDescent="0.3">
      <c r="A588" s="67"/>
      <c r="B588" s="67"/>
      <c r="C588" s="67"/>
      <c r="D588" s="67"/>
      <c r="E588" s="67"/>
      <c r="F588" s="67"/>
      <c r="G588" s="68"/>
      <c r="I588" s="70"/>
      <c r="J588" s="70"/>
      <c r="K588" s="70"/>
      <c r="L588" s="69"/>
      <c r="M588" s="69"/>
      <c r="N588" s="69"/>
      <c r="O588" s="67"/>
      <c r="P588" s="67"/>
      <c r="Q588" s="67"/>
      <c r="R588" s="68"/>
      <c r="S588" s="68"/>
      <c r="T588" s="68"/>
      <c r="U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</row>
    <row r="589" spans="1:38" x14ac:dyDescent="0.3">
      <c r="A589" s="67"/>
      <c r="B589" s="67"/>
      <c r="C589" s="67"/>
      <c r="D589" s="67"/>
      <c r="E589" s="67"/>
      <c r="F589" s="67"/>
      <c r="G589" s="68"/>
      <c r="I589" s="70"/>
      <c r="J589" s="70"/>
      <c r="K589" s="70"/>
      <c r="L589" s="69"/>
      <c r="M589" s="69"/>
      <c r="N589" s="69"/>
      <c r="O589" s="67"/>
      <c r="P589" s="67"/>
      <c r="Q589" s="67"/>
      <c r="R589" s="68"/>
      <c r="S589" s="68"/>
      <c r="T589" s="68"/>
      <c r="U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</row>
    <row r="590" spans="1:38" x14ac:dyDescent="0.3">
      <c r="A590" s="67"/>
      <c r="B590" s="67"/>
      <c r="C590" s="67"/>
      <c r="D590" s="67"/>
      <c r="E590" s="67"/>
      <c r="F590" s="67"/>
      <c r="G590" s="68"/>
      <c r="I590" s="70"/>
      <c r="J590" s="70"/>
      <c r="K590" s="70"/>
      <c r="L590" s="69"/>
      <c r="M590" s="69"/>
      <c r="N590" s="69"/>
      <c r="O590" s="67"/>
      <c r="P590" s="67"/>
      <c r="Q590" s="67"/>
      <c r="R590" s="68"/>
      <c r="S590" s="68"/>
      <c r="T590" s="68"/>
      <c r="U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</row>
    <row r="591" spans="1:38" x14ac:dyDescent="0.3">
      <c r="A591" s="67"/>
      <c r="B591" s="67"/>
      <c r="C591" s="67"/>
      <c r="D591" s="67"/>
      <c r="E591" s="67"/>
      <c r="F591" s="67"/>
      <c r="G591" s="68"/>
      <c r="I591" s="70"/>
      <c r="J591" s="70"/>
      <c r="K591" s="70"/>
      <c r="L591" s="69"/>
      <c r="M591" s="69"/>
      <c r="N591" s="69"/>
      <c r="O591" s="67"/>
      <c r="P591" s="67"/>
      <c r="Q591" s="67"/>
      <c r="R591" s="68"/>
      <c r="S591" s="68"/>
      <c r="T591" s="68"/>
      <c r="U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</row>
    <row r="592" spans="1:38" x14ac:dyDescent="0.3">
      <c r="A592" s="67"/>
      <c r="B592" s="67"/>
      <c r="C592" s="67"/>
      <c r="D592" s="67"/>
      <c r="E592" s="67"/>
      <c r="F592" s="67"/>
      <c r="G592" s="68"/>
      <c r="I592" s="70"/>
      <c r="J592" s="70"/>
      <c r="K592" s="70"/>
      <c r="L592" s="69"/>
      <c r="M592" s="69"/>
      <c r="N592" s="69"/>
      <c r="O592" s="67"/>
      <c r="P592" s="67"/>
      <c r="Q592" s="67"/>
      <c r="R592" s="68"/>
      <c r="S592" s="68"/>
      <c r="T592" s="68"/>
      <c r="U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</row>
    <row r="593" spans="1:38" x14ac:dyDescent="0.3">
      <c r="A593" s="67"/>
      <c r="B593" s="67"/>
      <c r="C593" s="67"/>
      <c r="D593" s="67"/>
      <c r="E593" s="67"/>
      <c r="F593" s="67"/>
      <c r="G593" s="68"/>
      <c r="I593" s="70"/>
      <c r="J593" s="70"/>
      <c r="K593" s="70"/>
      <c r="L593" s="69"/>
      <c r="M593" s="69"/>
      <c r="N593" s="69"/>
      <c r="O593" s="67"/>
      <c r="P593" s="67"/>
      <c r="Q593" s="67"/>
      <c r="R593" s="68"/>
      <c r="S593" s="68"/>
      <c r="T593" s="68"/>
      <c r="U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</row>
    <row r="594" spans="1:38" x14ac:dyDescent="0.3">
      <c r="A594" s="67"/>
      <c r="B594" s="67"/>
      <c r="C594" s="67"/>
      <c r="D594" s="67"/>
      <c r="E594" s="67"/>
      <c r="F594" s="67"/>
      <c r="G594" s="68"/>
      <c r="I594" s="70"/>
      <c r="J594" s="70"/>
      <c r="K594" s="70"/>
      <c r="L594" s="69"/>
      <c r="M594" s="69"/>
      <c r="N594" s="69"/>
      <c r="O594" s="67"/>
      <c r="P594" s="67"/>
      <c r="Q594" s="67"/>
      <c r="R594" s="68"/>
      <c r="S594" s="68"/>
      <c r="T594" s="68"/>
      <c r="U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</row>
    <row r="595" spans="1:38" x14ac:dyDescent="0.3">
      <c r="A595" s="67"/>
      <c r="B595" s="67"/>
      <c r="C595" s="67"/>
      <c r="D595" s="67"/>
      <c r="E595" s="67"/>
      <c r="F595" s="67"/>
      <c r="G595" s="68"/>
      <c r="I595" s="70"/>
      <c r="J595" s="70"/>
      <c r="K595" s="70"/>
      <c r="L595" s="69"/>
      <c r="M595" s="69"/>
      <c r="N595" s="69"/>
      <c r="O595" s="67"/>
      <c r="P595" s="67"/>
      <c r="Q595" s="67"/>
      <c r="R595" s="68"/>
      <c r="S595" s="68"/>
      <c r="T595" s="68"/>
      <c r="U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</row>
    <row r="596" spans="1:38" x14ac:dyDescent="0.3">
      <c r="A596" s="67"/>
      <c r="B596" s="67"/>
      <c r="C596" s="67"/>
      <c r="D596" s="67"/>
      <c r="E596" s="67"/>
      <c r="F596" s="67"/>
      <c r="G596" s="68"/>
      <c r="I596" s="70"/>
      <c r="J596" s="70"/>
      <c r="K596" s="70"/>
      <c r="L596" s="69"/>
      <c r="M596" s="69"/>
      <c r="N596" s="69"/>
      <c r="O596" s="67"/>
      <c r="P596" s="67"/>
      <c r="Q596" s="67"/>
      <c r="R596" s="68"/>
      <c r="S596" s="68"/>
      <c r="T596" s="68"/>
      <c r="U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</row>
    <row r="597" spans="1:38" x14ac:dyDescent="0.3">
      <c r="A597" s="67"/>
      <c r="B597" s="67"/>
      <c r="C597" s="67"/>
      <c r="D597" s="67"/>
      <c r="E597" s="67"/>
      <c r="F597" s="67"/>
      <c r="G597" s="68"/>
      <c r="I597" s="70"/>
      <c r="J597" s="70"/>
      <c r="K597" s="70"/>
      <c r="L597" s="69"/>
      <c r="M597" s="69"/>
      <c r="N597" s="69"/>
      <c r="O597" s="67"/>
      <c r="P597" s="67"/>
      <c r="Q597" s="67"/>
      <c r="R597" s="68"/>
      <c r="S597" s="68"/>
      <c r="T597" s="68"/>
      <c r="U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</row>
    <row r="598" spans="1:38" x14ac:dyDescent="0.3">
      <c r="A598" s="67"/>
      <c r="B598" s="67"/>
      <c r="C598" s="67"/>
      <c r="D598" s="67"/>
      <c r="E598" s="67"/>
      <c r="F598" s="67"/>
      <c r="G598" s="68"/>
      <c r="I598" s="70"/>
      <c r="J598" s="70"/>
      <c r="K598" s="70"/>
      <c r="L598" s="69"/>
      <c r="M598" s="69"/>
      <c r="N598" s="69"/>
      <c r="O598" s="67"/>
      <c r="P598" s="67"/>
      <c r="Q598" s="67"/>
      <c r="R598" s="68"/>
      <c r="S598" s="68"/>
      <c r="T598" s="68"/>
      <c r="U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</row>
    <row r="599" spans="1:38" x14ac:dyDescent="0.3">
      <c r="A599" s="67"/>
      <c r="B599" s="67"/>
      <c r="C599" s="67"/>
      <c r="D599" s="67"/>
      <c r="E599" s="67"/>
      <c r="F599" s="67"/>
      <c r="G599" s="68"/>
      <c r="I599" s="70"/>
      <c r="J599" s="70"/>
      <c r="K599" s="70"/>
      <c r="L599" s="69"/>
      <c r="M599" s="69"/>
      <c r="N599" s="69"/>
      <c r="O599" s="67"/>
      <c r="P599" s="67"/>
      <c r="Q599" s="67"/>
      <c r="R599" s="68"/>
      <c r="S599" s="68"/>
      <c r="T599" s="68"/>
      <c r="U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</row>
    <row r="600" spans="1:38" x14ac:dyDescent="0.3">
      <c r="A600" s="67"/>
      <c r="B600" s="67"/>
      <c r="C600" s="67"/>
      <c r="D600" s="67"/>
      <c r="E600" s="67"/>
      <c r="F600" s="67"/>
      <c r="G600" s="68"/>
      <c r="I600" s="70"/>
      <c r="J600" s="70"/>
      <c r="K600" s="70"/>
      <c r="L600" s="69"/>
      <c r="M600" s="69"/>
      <c r="N600" s="69"/>
      <c r="O600" s="67"/>
      <c r="P600" s="67"/>
      <c r="Q600" s="67"/>
      <c r="R600" s="68"/>
      <c r="S600" s="68"/>
      <c r="T600" s="68"/>
      <c r="U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</row>
    <row r="601" spans="1:38" x14ac:dyDescent="0.3">
      <c r="A601" s="67"/>
      <c r="B601" s="67"/>
      <c r="C601" s="67"/>
      <c r="D601" s="67"/>
      <c r="E601" s="67"/>
      <c r="F601" s="67"/>
      <c r="G601" s="68"/>
      <c r="I601" s="70"/>
      <c r="J601" s="70"/>
      <c r="K601" s="70"/>
      <c r="L601" s="69"/>
      <c r="M601" s="69"/>
      <c r="N601" s="69"/>
      <c r="O601" s="67"/>
      <c r="P601" s="67"/>
      <c r="Q601" s="67"/>
      <c r="R601" s="68"/>
      <c r="S601" s="68"/>
      <c r="T601" s="68"/>
      <c r="U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</row>
    <row r="602" spans="1:38" x14ac:dyDescent="0.3">
      <c r="A602" s="67"/>
      <c r="B602" s="67"/>
      <c r="C602" s="67"/>
      <c r="D602" s="67"/>
      <c r="E602" s="67"/>
      <c r="F602" s="67"/>
      <c r="G602" s="68"/>
      <c r="I602" s="70"/>
      <c r="J602" s="70"/>
      <c r="K602" s="70"/>
      <c r="L602" s="69"/>
      <c r="M602" s="69"/>
      <c r="N602" s="69"/>
      <c r="O602" s="67"/>
      <c r="P602" s="67"/>
      <c r="Q602" s="67"/>
      <c r="R602" s="68"/>
      <c r="S602" s="68"/>
      <c r="T602" s="68"/>
      <c r="U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</row>
    <row r="603" spans="1:38" x14ac:dyDescent="0.3">
      <c r="A603" s="67"/>
      <c r="B603" s="67"/>
      <c r="C603" s="67"/>
      <c r="D603" s="67"/>
      <c r="E603" s="67"/>
      <c r="F603" s="67"/>
      <c r="G603" s="68"/>
      <c r="I603" s="70"/>
      <c r="J603" s="70"/>
      <c r="K603" s="70"/>
      <c r="L603" s="69"/>
      <c r="M603" s="69"/>
      <c r="N603" s="69"/>
      <c r="O603" s="67"/>
      <c r="P603" s="67"/>
      <c r="Q603" s="67"/>
      <c r="R603" s="68"/>
      <c r="S603" s="68"/>
      <c r="T603" s="68"/>
      <c r="U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</row>
    <row r="604" spans="1:38" x14ac:dyDescent="0.3">
      <c r="A604" s="67"/>
      <c r="B604" s="67"/>
      <c r="C604" s="67"/>
      <c r="D604" s="67"/>
      <c r="E604" s="67"/>
      <c r="F604" s="67"/>
      <c r="G604" s="68"/>
      <c r="I604" s="70"/>
      <c r="J604" s="70"/>
      <c r="K604" s="70"/>
      <c r="L604" s="69"/>
      <c r="M604" s="69"/>
      <c r="N604" s="69"/>
      <c r="O604" s="67"/>
      <c r="P604" s="67"/>
      <c r="Q604" s="67"/>
      <c r="R604" s="68"/>
      <c r="S604" s="68"/>
      <c r="T604" s="68"/>
      <c r="U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</row>
    <row r="605" spans="1:38" x14ac:dyDescent="0.3">
      <c r="A605" s="67"/>
      <c r="B605" s="67"/>
      <c r="C605" s="67"/>
      <c r="D605" s="67"/>
      <c r="E605" s="67"/>
      <c r="F605" s="67"/>
      <c r="G605" s="68"/>
      <c r="I605" s="70"/>
      <c r="J605" s="70"/>
      <c r="K605" s="70"/>
      <c r="L605" s="69"/>
      <c r="M605" s="69"/>
      <c r="N605" s="69"/>
      <c r="O605" s="67"/>
      <c r="P605" s="67"/>
      <c r="Q605" s="67"/>
      <c r="R605" s="68"/>
      <c r="S605" s="68"/>
      <c r="T605" s="68"/>
      <c r="U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</row>
    <row r="606" spans="1:38" x14ac:dyDescent="0.3">
      <c r="A606" s="67"/>
      <c r="B606" s="67"/>
      <c r="C606" s="67"/>
      <c r="D606" s="67"/>
      <c r="E606" s="67"/>
      <c r="F606" s="67"/>
      <c r="G606" s="68"/>
      <c r="I606" s="70"/>
      <c r="J606" s="70"/>
      <c r="K606" s="70"/>
      <c r="L606" s="69"/>
      <c r="M606" s="69"/>
      <c r="N606" s="69"/>
      <c r="O606" s="67"/>
      <c r="P606" s="67"/>
      <c r="Q606" s="67"/>
      <c r="R606" s="68"/>
      <c r="S606" s="68"/>
      <c r="T606" s="68"/>
      <c r="U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</row>
    <row r="607" spans="1:38" x14ac:dyDescent="0.3">
      <c r="A607" s="67"/>
      <c r="B607" s="67"/>
      <c r="C607" s="67"/>
      <c r="D607" s="67"/>
      <c r="E607" s="67"/>
      <c r="F607" s="67"/>
      <c r="G607" s="68"/>
      <c r="I607" s="70"/>
      <c r="J607" s="70"/>
      <c r="K607" s="70"/>
      <c r="L607" s="69"/>
      <c r="M607" s="69"/>
      <c r="N607" s="69"/>
      <c r="O607" s="67"/>
      <c r="P607" s="67"/>
      <c r="Q607" s="67"/>
      <c r="R607" s="68"/>
      <c r="S607" s="68"/>
      <c r="T607" s="68"/>
      <c r="U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</row>
    <row r="608" spans="1:38" x14ac:dyDescent="0.3">
      <c r="A608" s="67"/>
      <c r="B608" s="67"/>
      <c r="C608" s="67"/>
      <c r="D608" s="67"/>
      <c r="E608" s="67"/>
      <c r="F608" s="67"/>
      <c r="G608" s="68"/>
      <c r="I608" s="70"/>
      <c r="J608" s="70"/>
      <c r="K608" s="70"/>
      <c r="L608" s="69"/>
      <c r="M608" s="69"/>
      <c r="N608" s="69"/>
      <c r="O608" s="67"/>
      <c r="P608" s="67"/>
      <c r="Q608" s="67"/>
      <c r="R608" s="68"/>
      <c r="S608" s="68"/>
      <c r="T608" s="68"/>
      <c r="U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</row>
    <row r="609" spans="1:38" x14ac:dyDescent="0.3">
      <c r="A609" s="67"/>
      <c r="B609" s="67"/>
      <c r="C609" s="67"/>
      <c r="D609" s="67"/>
      <c r="E609" s="67"/>
      <c r="F609" s="67"/>
      <c r="G609" s="68"/>
      <c r="I609" s="70"/>
      <c r="J609" s="70"/>
      <c r="K609" s="70"/>
      <c r="L609" s="69"/>
      <c r="M609" s="69"/>
      <c r="N609" s="69"/>
      <c r="O609" s="67"/>
      <c r="P609" s="67"/>
      <c r="Q609" s="67"/>
      <c r="R609" s="68"/>
      <c r="S609" s="68"/>
      <c r="T609" s="68"/>
      <c r="U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</row>
    <row r="610" spans="1:38" x14ac:dyDescent="0.3">
      <c r="A610" s="67"/>
      <c r="B610" s="67"/>
      <c r="C610" s="67"/>
      <c r="D610" s="67"/>
      <c r="E610" s="67"/>
      <c r="F610" s="67"/>
      <c r="G610" s="68"/>
      <c r="I610" s="70"/>
      <c r="J610" s="70"/>
      <c r="K610" s="70"/>
      <c r="L610" s="69"/>
      <c r="M610" s="69"/>
      <c r="N610" s="69"/>
      <c r="O610" s="67"/>
      <c r="P610" s="67"/>
      <c r="Q610" s="67"/>
      <c r="R610" s="68"/>
      <c r="S610" s="68"/>
      <c r="T610" s="68"/>
      <c r="U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</row>
    <row r="611" spans="1:38" x14ac:dyDescent="0.3">
      <c r="A611" s="67"/>
      <c r="B611" s="67"/>
      <c r="C611" s="67"/>
      <c r="D611" s="67"/>
      <c r="E611" s="67"/>
      <c r="F611" s="67"/>
      <c r="G611" s="68"/>
      <c r="I611" s="70"/>
      <c r="J611" s="70"/>
      <c r="K611" s="70"/>
      <c r="L611" s="69"/>
      <c r="M611" s="69"/>
      <c r="N611" s="69"/>
      <c r="O611" s="67"/>
      <c r="P611" s="67"/>
      <c r="Q611" s="67"/>
      <c r="R611" s="68"/>
      <c r="S611" s="68"/>
      <c r="T611" s="68"/>
      <c r="U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</row>
    <row r="612" spans="1:38" x14ac:dyDescent="0.3">
      <c r="A612" s="67"/>
      <c r="B612" s="67"/>
      <c r="C612" s="67"/>
      <c r="D612" s="67"/>
      <c r="E612" s="67"/>
      <c r="F612" s="67"/>
      <c r="G612" s="68"/>
      <c r="I612" s="70"/>
      <c r="J612" s="70"/>
      <c r="K612" s="70"/>
      <c r="L612" s="69"/>
      <c r="M612" s="69"/>
      <c r="N612" s="69"/>
      <c r="O612" s="67"/>
      <c r="P612" s="67"/>
      <c r="Q612" s="67"/>
      <c r="R612" s="68"/>
      <c r="S612" s="68"/>
      <c r="T612" s="68"/>
      <c r="U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</row>
    <row r="613" spans="1:38" x14ac:dyDescent="0.3">
      <c r="A613" s="67"/>
      <c r="B613" s="67"/>
      <c r="C613" s="67"/>
      <c r="D613" s="67"/>
      <c r="E613" s="67"/>
      <c r="F613" s="67"/>
      <c r="G613" s="68"/>
      <c r="I613" s="70"/>
      <c r="J613" s="70"/>
      <c r="K613" s="70"/>
      <c r="L613" s="69"/>
      <c r="M613" s="69"/>
      <c r="N613" s="69"/>
      <c r="O613" s="67"/>
      <c r="P613" s="67"/>
      <c r="Q613" s="67"/>
      <c r="R613" s="68"/>
      <c r="S613" s="68"/>
      <c r="T613" s="68"/>
      <c r="U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</row>
    <row r="614" spans="1:38" x14ac:dyDescent="0.3">
      <c r="A614" s="67"/>
      <c r="B614" s="67"/>
      <c r="C614" s="67"/>
      <c r="D614" s="67"/>
      <c r="E614" s="67"/>
      <c r="F614" s="67"/>
      <c r="G614" s="68"/>
      <c r="I614" s="70"/>
      <c r="J614" s="70"/>
      <c r="K614" s="70"/>
      <c r="L614" s="69"/>
      <c r="M614" s="69"/>
      <c r="N614" s="69"/>
      <c r="O614" s="67"/>
      <c r="P614" s="67"/>
      <c r="Q614" s="67"/>
      <c r="R614" s="68"/>
      <c r="S614" s="68"/>
      <c r="T614" s="68"/>
      <c r="U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</row>
    <row r="615" spans="1:38" x14ac:dyDescent="0.3">
      <c r="A615" s="67"/>
      <c r="B615" s="67"/>
      <c r="C615" s="67"/>
      <c r="D615" s="67"/>
      <c r="E615" s="67"/>
      <c r="F615" s="67"/>
      <c r="G615" s="68"/>
      <c r="I615" s="70"/>
      <c r="J615" s="70"/>
      <c r="K615" s="70"/>
      <c r="L615" s="69"/>
      <c r="M615" s="69"/>
      <c r="N615" s="69"/>
      <c r="O615" s="67"/>
      <c r="P615" s="67"/>
      <c r="Q615" s="67"/>
      <c r="R615" s="68"/>
      <c r="S615" s="68"/>
      <c r="T615" s="68"/>
      <c r="U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</row>
    <row r="616" spans="1:38" x14ac:dyDescent="0.3">
      <c r="A616" s="67"/>
      <c r="B616" s="67"/>
      <c r="C616" s="67"/>
      <c r="D616" s="67"/>
      <c r="E616" s="67"/>
      <c r="F616" s="67"/>
      <c r="G616" s="68"/>
      <c r="I616" s="70"/>
      <c r="J616" s="70"/>
      <c r="K616" s="70"/>
      <c r="L616" s="69"/>
      <c r="M616" s="69"/>
      <c r="N616" s="69"/>
      <c r="O616" s="67"/>
      <c r="P616" s="67"/>
      <c r="Q616" s="67"/>
      <c r="R616" s="68"/>
      <c r="S616" s="68"/>
      <c r="T616" s="68"/>
      <c r="U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</row>
    <row r="617" spans="1:38" x14ac:dyDescent="0.3">
      <c r="A617" s="67"/>
      <c r="B617" s="67"/>
      <c r="C617" s="67"/>
      <c r="D617" s="67"/>
      <c r="E617" s="67"/>
      <c r="F617" s="67"/>
      <c r="G617" s="68"/>
      <c r="I617" s="70"/>
      <c r="J617" s="70"/>
      <c r="K617" s="70"/>
      <c r="L617" s="69"/>
      <c r="M617" s="69"/>
      <c r="N617" s="69"/>
      <c r="O617" s="67"/>
      <c r="P617" s="67"/>
      <c r="Q617" s="67"/>
      <c r="R617" s="68"/>
      <c r="S617" s="68"/>
      <c r="T617" s="68"/>
      <c r="U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</row>
    <row r="618" spans="1:38" x14ac:dyDescent="0.3">
      <c r="A618" s="67"/>
      <c r="B618" s="67"/>
      <c r="C618" s="67"/>
      <c r="D618" s="67"/>
      <c r="E618" s="67"/>
      <c r="F618" s="67"/>
      <c r="G618" s="68"/>
      <c r="I618" s="70"/>
      <c r="J618" s="70"/>
      <c r="K618" s="70"/>
      <c r="L618" s="69"/>
      <c r="M618" s="69"/>
      <c r="N618" s="69"/>
      <c r="O618" s="67"/>
      <c r="P618" s="67"/>
      <c r="Q618" s="67"/>
      <c r="R618" s="68"/>
      <c r="S618" s="68"/>
      <c r="T618" s="68"/>
      <c r="U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</row>
    <row r="619" spans="1:38" x14ac:dyDescent="0.3">
      <c r="A619" s="67"/>
      <c r="B619" s="67"/>
      <c r="C619" s="67"/>
      <c r="D619" s="67"/>
      <c r="E619" s="67"/>
      <c r="F619" s="67"/>
      <c r="G619" s="68"/>
      <c r="I619" s="70"/>
      <c r="J619" s="70"/>
      <c r="K619" s="70"/>
      <c r="L619" s="69"/>
      <c r="M619" s="69"/>
      <c r="N619" s="69"/>
      <c r="O619" s="67"/>
      <c r="P619" s="67"/>
      <c r="Q619" s="67"/>
      <c r="R619" s="68"/>
      <c r="S619" s="68"/>
      <c r="T619" s="68"/>
      <c r="U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</row>
    <row r="620" spans="1:38" x14ac:dyDescent="0.3">
      <c r="A620" s="67"/>
      <c r="B620" s="67"/>
      <c r="C620" s="67"/>
      <c r="D620" s="67"/>
      <c r="E620" s="67"/>
      <c r="F620" s="67"/>
      <c r="G620" s="68"/>
      <c r="I620" s="70"/>
      <c r="J620" s="70"/>
      <c r="K620" s="70"/>
      <c r="L620" s="69"/>
      <c r="M620" s="69"/>
      <c r="N620" s="69"/>
      <c r="O620" s="67"/>
      <c r="P620" s="67"/>
      <c r="Q620" s="67"/>
      <c r="R620" s="68"/>
      <c r="S620" s="68"/>
      <c r="T620" s="68"/>
      <c r="U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</row>
    <row r="621" spans="1:38" x14ac:dyDescent="0.3">
      <c r="A621" s="67"/>
      <c r="B621" s="67"/>
      <c r="C621" s="67"/>
      <c r="D621" s="67"/>
      <c r="E621" s="67"/>
      <c r="F621" s="67"/>
      <c r="G621" s="68"/>
      <c r="I621" s="70"/>
      <c r="J621" s="70"/>
      <c r="K621" s="70"/>
      <c r="L621" s="69"/>
      <c r="M621" s="69"/>
      <c r="N621" s="69"/>
      <c r="O621" s="67"/>
      <c r="P621" s="67"/>
      <c r="Q621" s="67"/>
      <c r="R621" s="68"/>
      <c r="S621" s="68"/>
      <c r="T621" s="68"/>
      <c r="U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</row>
    <row r="622" spans="1:38" x14ac:dyDescent="0.3">
      <c r="A622" s="67"/>
      <c r="B622" s="67"/>
      <c r="C622" s="67"/>
      <c r="D622" s="67"/>
      <c r="E622" s="67"/>
      <c r="F622" s="67"/>
      <c r="G622" s="68"/>
      <c r="I622" s="70"/>
      <c r="J622" s="70"/>
      <c r="K622" s="70"/>
      <c r="L622" s="69"/>
      <c r="M622" s="69"/>
      <c r="N622" s="69"/>
      <c r="O622" s="67"/>
      <c r="P622" s="67"/>
      <c r="Q622" s="67"/>
      <c r="R622" s="68"/>
      <c r="S622" s="68"/>
      <c r="T622" s="68"/>
      <c r="U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</row>
    <row r="623" spans="1:38" x14ac:dyDescent="0.3">
      <c r="A623" s="67"/>
      <c r="B623" s="67"/>
      <c r="C623" s="67"/>
      <c r="D623" s="67"/>
      <c r="E623" s="67"/>
      <c r="F623" s="67"/>
      <c r="G623" s="68"/>
      <c r="I623" s="70"/>
      <c r="J623" s="70"/>
      <c r="K623" s="70"/>
      <c r="L623" s="69"/>
      <c r="M623" s="69"/>
      <c r="N623" s="69"/>
      <c r="O623" s="67"/>
      <c r="P623" s="67"/>
      <c r="Q623" s="67"/>
      <c r="R623" s="68"/>
      <c r="S623" s="68"/>
      <c r="T623" s="68"/>
      <c r="U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</row>
    <row r="624" spans="1:38" x14ac:dyDescent="0.3">
      <c r="A624" s="67"/>
      <c r="B624" s="67"/>
      <c r="C624" s="67"/>
      <c r="D624" s="67"/>
      <c r="E624" s="67"/>
      <c r="F624" s="67"/>
      <c r="G624" s="68"/>
      <c r="I624" s="70"/>
      <c r="J624" s="70"/>
      <c r="K624" s="70"/>
      <c r="L624" s="69"/>
      <c r="M624" s="69"/>
      <c r="N624" s="69"/>
      <c r="O624" s="67"/>
      <c r="P624" s="67"/>
      <c r="Q624" s="67"/>
      <c r="R624" s="68"/>
      <c r="S624" s="68"/>
      <c r="T624" s="68"/>
      <c r="U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</row>
    <row r="625" spans="1:38" x14ac:dyDescent="0.3">
      <c r="A625" s="67"/>
      <c r="B625" s="67"/>
      <c r="C625" s="67"/>
      <c r="D625" s="67"/>
      <c r="E625" s="67"/>
      <c r="F625" s="67"/>
      <c r="G625" s="68"/>
      <c r="I625" s="70"/>
      <c r="J625" s="70"/>
      <c r="K625" s="70"/>
      <c r="L625" s="69"/>
      <c r="M625" s="69"/>
      <c r="N625" s="69"/>
      <c r="O625" s="67"/>
      <c r="P625" s="67"/>
      <c r="Q625" s="67"/>
      <c r="R625" s="68"/>
      <c r="S625" s="68"/>
      <c r="T625" s="68"/>
      <c r="U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</row>
    <row r="626" spans="1:38" x14ac:dyDescent="0.3">
      <c r="A626" s="67"/>
      <c r="B626" s="67"/>
      <c r="C626" s="67"/>
      <c r="D626" s="67"/>
      <c r="E626" s="67"/>
      <c r="F626" s="67"/>
      <c r="G626" s="68"/>
      <c r="I626" s="70"/>
      <c r="J626" s="70"/>
      <c r="K626" s="70"/>
      <c r="L626" s="69"/>
      <c r="M626" s="69"/>
      <c r="N626" s="69"/>
      <c r="O626" s="67"/>
      <c r="P626" s="67"/>
      <c r="Q626" s="67"/>
      <c r="R626" s="68"/>
      <c r="S626" s="68"/>
      <c r="T626" s="68"/>
      <c r="U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</row>
    <row r="627" spans="1:38" x14ac:dyDescent="0.3">
      <c r="A627" s="67"/>
      <c r="B627" s="67"/>
      <c r="C627" s="67"/>
      <c r="D627" s="67"/>
      <c r="E627" s="67"/>
      <c r="F627" s="67"/>
      <c r="G627" s="68"/>
      <c r="I627" s="70"/>
      <c r="J627" s="70"/>
      <c r="K627" s="70"/>
      <c r="L627" s="69"/>
      <c r="M627" s="69"/>
      <c r="N627" s="69"/>
      <c r="O627" s="67"/>
      <c r="P627" s="67"/>
      <c r="Q627" s="67"/>
      <c r="R627" s="68"/>
      <c r="S627" s="68"/>
      <c r="T627" s="68"/>
      <c r="U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</row>
    <row r="628" spans="1:38" x14ac:dyDescent="0.3">
      <c r="A628" s="67"/>
      <c r="B628" s="67"/>
      <c r="C628" s="67"/>
      <c r="D628" s="67"/>
      <c r="E628" s="67"/>
      <c r="F628" s="67"/>
      <c r="G628" s="68"/>
      <c r="I628" s="70"/>
      <c r="J628" s="70"/>
      <c r="K628" s="70"/>
      <c r="L628" s="69"/>
      <c r="M628" s="69"/>
      <c r="N628" s="69"/>
      <c r="O628" s="67"/>
      <c r="P628" s="67"/>
      <c r="Q628" s="67"/>
      <c r="R628" s="68"/>
      <c r="S628" s="68"/>
      <c r="T628" s="68"/>
      <c r="U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</row>
    <row r="629" spans="1:38" x14ac:dyDescent="0.3">
      <c r="A629" s="67"/>
      <c r="B629" s="67"/>
      <c r="C629" s="67"/>
      <c r="D629" s="67"/>
      <c r="E629" s="67"/>
      <c r="F629" s="67"/>
      <c r="G629" s="68"/>
      <c r="I629" s="70"/>
      <c r="J629" s="70"/>
      <c r="K629" s="70"/>
      <c r="L629" s="69"/>
      <c r="M629" s="69"/>
      <c r="N629" s="69"/>
      <c r="O629" s="67"/>
      <c r="P629" s="67"/>
      <c r="Q629" s="67"/>
      <c r="R629" s="68"/>
      <c r="S629" s="68"/>
      <c r="T629" s="68"/>
      <c r="U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</row>
    <row r="630" spans="1:38" x14ac:dyDescent="0.3">
      <c r="A630" s="67"/>
      <c r="B630" s="67"/>
      <c r="C630" s="67"/>
      <c r="D630" s="67"/>
      <c r="E630" s="67"/>
      <c r="F630" s="67"/>
      <c r="G630" s="68"/>
      <c r="I630" s="70"/>
      <c r="J630" s="70"/>
      <c r="K630" s="70"/>
      <c r="L630" s="69"/>
      <c r="M630" s="69"/>
      <c r="N630" s="69"/>
      <c r="O630" s="67"/>
      <c r="P630" s="67"/>
      <c r="Q630" s="67"/>
      <c r="R630" s="68"/>
      <c r="S630" s="68"/>
      <c r="T630" s="68"/>
      <c r="U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</row>
    <row r="631" spans="1:38" x14ac:dyDescent="0.3">
      <c r="A631" s="67"/>
      <c r="B631" s="67"/>
      <c r="C631" s="67"/>
      <c r="D631" s="67"/>
      <c r="E631" s="67"/>
      <c r="F631" s="67"/>
      <c r="G631" s="68"/>
      <c r="I631" s="70"/>
      <c r="J631" s="70"/>
      <c r="K631" s="70"/>
      <c r="L631" s="69"/>
      <c r="M631" s="69"/>
      <c r="N631" s="69"/>
      <c r="O631" s="67"/>
      <c r="P631" s="67"/>
      <c r="Q631" s="67"/>
      <c r="R631" s="68"/>
      <c r="S631" s="68"/>
      <c r="T631" s="68"/>
      <c r="U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</row>
    <row r="632" spans="1:38" x14ac:dyDescent="0.3">
      <c r="A632" s="67"/>
      <c r="B632" s="67"/>
      <c r="C632" s="67"/>
      <c r="D632" s="67"/>
      <c r="E632" s="67"/>
      <c r="F632" s="67"/>
      <c r="G632" s="68"/>
      <c r="I632" s="70"/>
      <c r="J632" s="70"/>
      <c r="K632" s="70"/>
      <c r="L632" s="69"/>
      <c r="M632" s="69"/>
      <c r="N632" s="69"/>
      <c r="O632" s="67"/>
      <c r="P632" s="67"/>
      <c r="Q632" s="67"/>
      <c r="R632" s="68"/>
      <c r="S632" s="68"/>
      <c r="T632" s="68"/>
      <c r="U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</row>
    <row r="633" spans="1:38" x14ac:dyDescent="0.3">
      <c r="A633" s="67"/>
      <c r="B633" s="67"/>
      <c r="C633" s="67"/>
      <c r="D633" s="67"/>
      <c r="E633" s="67"/>
      <c r="F633" s="67"/>
      <c r="G633" s="68"/>
      <c r="I633" s="70"/>
      <c r="J633" s="70"/>
      <c r="K633" s="70"/>
      <c r="L633" s="69"/>
      <c r="M633" s="69"/>
      <c r="N633" s="69"/>
      <c r="O633" s="67"/>
      <c r="P633" s="67"/>
      <c r="Q633" s="67"/>
      <c r="R633" s="68"/>
      <c r="S633" s="68"/>
      <c r="T633" s="68"/>
      <c r="U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</row>
    <row r="634" spans="1:38" x14ac:dyDescent="0.3">
      <c r="A634" s="67"/>
      <c r="B634" s="67"/>
      <c r="C634" s="67"/>
      <c r="D634" s="67"/>
      <c r="E634" s="67"/>
      <c r="F634" s="67"/>
      <c r="G634" s="68"/>
      <c r="I634" s="70"/>
      <c r="J634" s="70"/>
      <c r="K634" s="70"/>
      <c r="L634" s="69"/>
      <c r="M634" s="69"/>
      <c r="N634" s="69"/>
      <c r="O634" s="67"/>
      <c r="P634" s="67"/>
      <c r="Q634" s="67"/>
      <c r="R634" s="68"/>
      <c r="S634" s="68"/>
      <c r="T634" s="68"/>
      <c r="U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</row>
    <row r="635" spans="1:38" x14ac:dyDescent="0.3">
      <c r="A635" s="67"/>
      <c r="B635" s="67"/>
      <c r="C635" s="67"/>
      <c r="D635" s="67"/>
      <c r="E635" s="67"/>
      <c r="F635" s="67"/>
      <c r="G635" s="68"/>
      <c r="I635" s="70"/>
      <c r="J635" s="70"/>
      <c r="K635" s="70"/>
      <c r="L635" s="69"/>
      <c r="M635" s="69"/>
      <c r="N635" s="69"/>
      <c r="O635" s="67"/>
      <c r="P635" s="67"/>
      <c r="Q635" s="67"/>
      <c r="R635" s="68"/>
      <c r="S635" s="68"/>
      <c r="T635" s="68"/>
      <c r="U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</row>
    <row r="636" spans="1:38" x14ac:dyDescent="0.3">
      <c r="A636" s="67"/>
      <c r="B636" s="67"/>
      <c r="C636" s="67"/>
      <c r="D636" s="67"/>
      <c r="E636" s="67"/>
      <c r="F636" s="67"/>
      <c r="G636" s="68"/>
      <c r="I636" s="70"/>
      <c r="J636" s="70"/>
      <c r="K636" s="70"/>
      <c r="L636" s="69"/>
      <c r="M636" s="69"/>
      <c r="N636" s="69"/>
      <c r="O636" s="67"/>
      <c r="P636" s="67"/>
      <c r="Q636" s="67"/>
      <c r="R636" s="68"/>
      <c r="S636" s="68"/>
      <c r="T636" s="68"/>
      <c r="U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</row>
    <row r="637" spans="1:38" x14ac:dyDescent="0.3">
      <c r="A637" s="67"/>
      <c r="B637" s="67"/>
      <c r="C637" s="67"/>
      <c r="D637" s="67"/>
      <c r="E637" s="67"/>
      <c r="F637" s="67"/>
      <c r="G637" s="68"/>
      <c r="I637" s="70"/>
      <c r="J637" s="70"/>
      <c r="K637" s="70"/>
      <c r="L637" s="69"/>
      <c r="M637" s="69"/>
      <c r="N637" s="69"/>
      <c r="O637" s="67"/>
      <c r="P637" s="67"/>
      <c r="Q637" s="67"/>
      <c r="R637" s="68"/>
      <c r="S637" s="68"/>
      <c r="T637" s="68"/>
      <c r="U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</row>
    <row r="638" spans="1:38" x14ac:dyDescent="0.3">
      <c r="A638" s="67"/>
      <c r="B638" s="67"/>
      <c r="C638" s="67"/>
      <c r="D638" s="67"/>
      <c r="E638" s="67"/>
      <c r="F638" s="67"/>
      <c r="G638" s="68"/>
      <c r="I638" s="70"/>
      <c r="J638" s="70"/>
      <c r="K638" s="70"/>
      <c r="L638" s="69"/>
      <c r="M638" s="69"/>
      <c r="N638" s="69"/>
      <c r="O638" s="67"/>
      <c r="P638" s="67"/>
      <c r="Q638" s="67"/>
      <c r="R638" s="68"/>
      <c r="S638" s="68"/>
      <c r="T638" s="68"/>
      <c r="U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</row>
    <row r="639" spans="1:38" x14ac:dyDescent="0.3">
      <c r="A639" s="67"/>
      <c r="B639" s="67"/>
      <c r="C639" s="67"/>
      <c r="D639" s="67"/>
      <c r="E639" s="67"/>
      <c r="F639" s="67"/>
      <c r="G639" s="68"/>
      <c r="I639" s="70"/>
      <c r="J639" s="70"/>
      <c r="K639" s="70"/>
      <c r="L639" s="69"/>
      <c r="M639" s="69"/>
      <c r="N639" s="69"/>
      <c r="O639" s="67"/>
      <c r="P639" s="67"/>
      <c r="Q639" s="67"/>
      <c r="R639" s="68"/>
      <c r="S639" s="68"/>
      <c r="T639" s="68"/>
      <c r="U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</row>
    <row r="640" spans="1:38" x14ac:dyDescent="0.3">
      <c r="A640" s="67"/>
      <c r="B640" s="67"/>
      <c r="C640" s="67"/>
      <c r="D640" s="67"/>
      <c r="E640" s="67"/>
      <c r="F640" s="67"/>
      <c r="G640" s="68"/>
      <c r="I640" s="70"/>
      <c r="J640" s="70"/>
      <c r="K640" s="70"/>
      <c r="L640" s="69"/>
      <c r="M640" s="69"/>
      <c r="N640" s="69"/>
      <c r="O640" s="67"/>
      <c r="P640" s="67"/>
      <c r="Q640" s="67"/>
      <c r="R640" s="68"/>
      <c r="S640" s="68"/>
      <c r="T640" s="68"/>
      <c r="U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</row>
    <row r="641" spans="1:38" x14ac:dyDescent="0.3">
      <c r="A641" s="67"/>
      <c r="B641" s="67"/>
      <c r="C641" s="67"/>
      <c r="D641" s="67"/>
      <c r="E641" s="67"/>
      <c r="F641" s="67"/>
      <c r="G641" s="68"/>
      <c r="I641" s="70"/>
      <c r="J641" s="70"/>
      <c r="K641" s="70"/>
      <c r="L641" s="69"/>
      <c r="M641" s="69"/>
      <c r="N641" s="69"/>
      <c r="O641" s="67"/>
      <c r="P641" s="67"/>
      <c r="Q641" s="67"/>
      <c r="R641" s="68"/>
      <c r="S641" s="68"/>
      <c r="T641" s="68"/>
      <c r="U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</row>
    <row r="642" spans="1:38" x14ac:dyDescent="0.3">
      <c r="A642" s="67"/>
      <c r="B642" s="67"/>
      <c r="C642" s="67"/>
      <c r="D642" s="67"/>
      <c r="E642" s="67"/>
      <c r="F642" s="67"/>
      <c r="G642" s="68"/>
      <c r="I642" s="70"/>
      <c r="J642" s="70"/>
      <c r="K642" s="70"/>
      <c r="L642" s="69"/>
      <c r="M642" s="69"/>
      <c r="N642" s="69"/>
      <c r="O642" s="67"/>
      <c r="P642" s="67"/>
      <c r="Q642" s="67"/>
      <c r="R642" s="68"/>
      <c r="S642" s="68"/>
      <c r="T642" s="68"/>
      <c r="U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</row>
    <row r="643" spans="1:38" x14ac:dyDescent="0.3">
      <c r="A643" s="67"/>
      <c r="B643" s="67"/>
      <c r="C643" s="67"/>
      <c r="D643" s="67"/>
      <c r="E643" s="67"/>
      <c r="F643" s="67"/>
      <c r="G643" s="68"/>
      <c r="I643" s="70"/>
      <c r="J643" s="70"/>
      <c r="K643" s="70"/>
      <c r="L643" s="69"/>
      <c r="M643" s="69"/>
      <c r="N643" s="69"/>
      <c r="O643" s="67"/>
      <c r="P643" s="67"/>
      <c r="Q643" s="67"/>
      <c r="R643" s="68"/>
      <c r="S643" s="68"/>
      <c r="T643" s="68"/>
      <c r="U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</row>
    <row r="644" spans="1:38" x14ac:dyDescent="0.3">
      <c r="A644" s="67"/>
      <c r="B644" s="67"/>
      <c r="C644" s="67"/>
      <c r="D644" s="67"/>
      <c r="E644" s="67"/>
      <c r="F644" s="67"/>
      <c r="G644" s="68"/>
      <c r="I644" s="70"/>
      <c r="J644" s="70"/>
      <c r="K644" s="70"/>
      <c r="L644" s="69"/>
      <c r="M644" s="69"/>
      <c r="N644" s="69"/>
      <c r="O644" s="67"/>
      <c r="P644" s="67"/>
      <c r="Q644" s="67"/>
      <c r="R644" s="68"/>
      <c r="S644" s="68"/>
      <c r="T644" s="68"/>
      <c r="U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</row>
    <row r="645" spans="1:38" x14ac:dyDescent="0.3">
      <c r="A645" s="67"/>
      <c r="B645" s="67"/>
      <c r="C645" s="67"/>
      <c r="D645" s="67"/>
      <c r="E645" s="67"/>
      <c r="F645" s="67"/>
      <c r="G645" s="68"/>
      <c r="I645" s="70"/>
      <c r="J645" s="70"/>
      <c r="K645" s="70"/>
      <c r="L645" s="69"/>
      <c r="M645" s="69"/>
      <c r="N645" s="69"/>
      <c r="O645" s="67"/>
      <c r="P645" s="67"/>
      <c r="Q645" s="67"/>
      <c r="R645" s="68"/>
      <c r="S645" s="68"/>
      <c r="T645" s="68"/>
      <c r="U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</row>
    <row r="646" spans="1:38" x14ac:dyDescent="0.3">
      <c r="A646" s="67"/>
      <c r="B646" s="67"/>
      <c r="C646" s="67"/>
      <c r="D646" s="67"/>
      <c r="E646" s="67"/>
      <c r="F646" s="67"/>
      <c r="G646" s="68"/>
      <c r="I646" s="70"/>
      <c r="J646" s="70"/>
      <c r="K646" s="70"/>
      <c r="L646" s="69"/>
      <c r="M646" s="69"/>
      <c r="N646" s="69"/>
      <c r="O646" s="67"/>
      <c r="P646" s="67"/>
      <c r="Q646" s="67"/>
      <c r="R646" s="68"/>
      <c r="S646" s="68"/>
      <c r="T646" s="68"/>
      <c r="U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</row>
    <row r="647" spans="1:38" x14ac:dyDescent="0.3">
      <c r="A647" s="67"/>
      <c r="B647" s="67"/>
      <c r="C647" s="67"/>
      <c r="D647" s="67"/>
      <c r="E647" s="67"/>
      <c r="F647" s="67"/>
      <c r="G647" s="68"/>
      <c r="I647" s="70"/>
      <c r="J647" s="70"/>
      <c r="K647" s="70"/>
      <c r="L647" s="69"/>
      <c r="M647" s="69"/>
      <c r="N647" s="69"/>
      <c r="O647" s="67"/>
      <c r="P647" s="67"/>
      <c r="Q647" s="67"/>
      <c r="R647" s="68"/>
      <c r="S647" s="68"/>
      <c r="T647" s="68"/>
      <c r="U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</row>
    <row r="648" spans="1:38" x14ac:dyDescent="0.3">
      <c r="A648" s="67"/>
      <c r="B648" s="67"/>
      <c r="C648" s="67"/>
      <c r="D648" s="67"/>
      <c r="E648" s="67"/>
      <c r="F648" s="67"/>
      <c r="G648" s="68"/>
      <c r="I648" s="70"/>
      <c r="J648" s="70"/>
      <c r="K648" s="70"/>
      <c r="L648" s="69"/>
      <c r="M648" s="69"/>
      <c r="N648" s="69"/>
      <c r="O648" s="67"/>
      <c r="P648" s="67"/>
      <c r="Q648" s="67"/>
      <c r="R648" s="68"/>
      <c r="S648" s="68"/>
      <c r="T648" s="68"/>
      <c r="U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</row>
    <row r="649" spans="1:38" x14ac:dyDescent="0.3">
      <c r="A649" s="67"/>
      <c r="B649" s="67"/>
      <c r="C649" s="67"/>
      <c r="D649" s="67"/>
      <c r="E649" s="67"/>
      <c r="F649" s="67"/>
      <c r="G649" s="68"/>
      <c r="I649" s="70"/>
      <c r="J649" s="70"/>
      <c r="K649" s="70"/>
      <c r="L649" s="69"/>
      <c r="M649" s="69"/>
      <c r="N649" s="69"/>
      <c r="O649" s="67"/>
      <c r="P649" s="67"/>
      <c r="Q649" s="67"/>
      <c r="R649" s="68"/>
      <c r="S649" s="68"/>
      <c r="T649" s="68"/>
      <c r="U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</row>
    <row r="650" spans="1:38" x14ac:dyDescent="0.3">
      <c r="A650" s="67"/>
      <c r="B650" s="67"/>
      <c r="C650" s="67"/>
      <c r="D650" s="67"/>
      <c r="E650" s="67"/>
      <c r="F650" s="67"/>
      <c r="G650" s="68"/>
      <c r="I650" s="70"/>
      <c r="J650" s="70"/>
      <c r="K650" s="70"/>
      <c r="L650" s="69"/>
      <c r="M650" s="69"/>
      <c r="N650" s="69"/>
      <c r="O650" s="67"/>
      <c r="P650" s="67"/>
      <c r="Q650" s="67"/>
      <c r="R650" s="68"/>
      <c r="S650" s="68"/>
      <c r="T650" s="68"/>
      <c r="U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</row>
    <row r="651" spans="1:38" x14ac:dyDescent="0.3">
      <c r="A651" s="67"/>
      <c r="B651" s="67"/>
      <c r="C651" s="67"/>
      <c r="D651" s="67"/>
      <c r="E651" s="67"/>
      <c r="F651" s="67"/>
      <c r="G651" s="68"/>
      <c r="I651" s="70"/>
      <c r="J651" s="70"/>
      <c r="K651" s="70"/>
      <c r="L651" s="69"/>
      <c r="M651" s="69"/>
      <c r="N651" s="69"/>
      <c r="O651" s="67"/>
      <c r="P651" s="67"/>
      <c r="Q651" s="67"/>
      <c r="R651" s="68"/>
      <c r="S651" s="68"/>
      <c r="T651" s="68"/>
      <c r="U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</row>
    <row r="652" spans="1:38" x14ac:dyDescent="0.3">
      <c r="A652" s="67"/>
      <c r="B652" s="67"/>
      <c r="C652" s="67"/>
      <c r="D652" s="67"/>
      <c r="E652" s="67"/>
      <c r="F652" s="67"/>
      <c r="G652" s="68"/>
      <c r="I652" s="70"/>
      <c r="J652" s="70"/>
      <c r="K652" s="70"/>
      <c r="L652" s="69"/>
      <c r="M652" s="69"/>
      <c r="N652" s="69"/>
      <c r="O652" s="67"/>
      <c r="P652" s="67"/>
      <c r="Q652" s="67"/>
      <c r="R652" s="68"/>
      <c r="S652" s="68"/>
      <c r="T652" s="68"/>
      <c r="U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</row>
    <row r="653" spans="1:38" x14ac:dyDescent="0.3">
      <c r="A653" s="67"/>
      <c r="B653" s="67"/>
      <c r="C653" s="67"/>
      <c r="D653" s="67"/>
      <c r="E653" s="67"/>
      <c r="F653" s="67"/>
      <c r="G653" s="68"/>
      <c r="I653" s="70"/>
      <c r="J653" s="70"/>
      <c r="K653" s="70"/>
      <c r="L653" s="69"/>
      <c r="M653" s="69"/>
      <c r="N653" s="69"/>
      <c r="O653" s="67"/>
      <c r="P653" s="67"/>
      <c r="Q653" s="67"/>
      <c r="R653" s="68"/>
      <c r="S653" s="68"/>
      <c r="T653" s="68"/>
      <c r="U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</row>
    <row r="654" spans="1:38" x14ac:dyDescent="0.3">
      <c r="A654" s="67"/>
      <c r="B654" s="67"/>
      <c r="C654" s="67"/>
      <c r="D654" s="67"/>
      <c r="E654" s="67"/>
      <c r="F654" s="67"/>
      <c r="G654" s="68"/>
      <c r="I654" s="70"/>
      <c r="J654" s="70"/>
      <c r="K654" s="70"/>
      <c r="L654" s="69"/>
      <c r="M654" s="69"/>
      <c r="N654" s="69"/>
      <c r="O654" s="67"/>
      <c r="P654" s="67"/>
      <c r="Q654" s="67"/>
      <c r="R654" s="68"/>
      <c r="S654" s="68"/>
      <c r="T654" s="68"/>
      <c r="U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</row>
    <row r="655" spans="1:38" x14ac:dyDescent="0.3">
      <c r="A655" s="67"/>
      <c r="B655" s="67"/>
      <c r="C655" s="67"/>
      <c r="D655" s="67"/>
      <c r="E655" s="67"/>
      <c r="F655" s="67"/>
      <c r="G655" s="68"/>
      <c r="I655" s="70"/>
      <c r="J655" s="70"/>
      <c r="K655" s="70"/>
      <c r="L655" s="69"/>
      <c r="M655" s="69"/>
      <c r="N655" s="69"/>
      <c r="O655" s="67"/>
      <c r="P655" s="67"/>
      <c r="Q655" s="67"/>
      <c r="R655" s="68"/>
      <c r="S655" s="68"/>
      <c r="T655" s="68"/>
      <c r="U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</row>
    <row r="656" spans="1:38" x14ac:dyDescent="0.3">
      <c r="A656" s="67"/>
      <c r="B656" s="67"/>
      <c r="C656" s="67"/>
      <c r="D656" s="67"/>
      <c r="E656" s="67"/>
      <c r="F656" s="67"/>
      <c r="G656" s="68"/>
      <c r="I656" s="70"/>
      <c r="J656" s="70"/>
      <c r="K656" s="70"/>
      <c r="L656" s="69"/>
      <c r="M656" s="69"/>
      <c r="N656" s="69"/>
      <c r="O656" s="67"/>
      <c r="P656" s="67"/>
      <c r="Q656" s="67"/>
      <c r="R656" s="68"/>
      <c r="S656" s="68"/>
      <c r="T656" s="68"/>
      <c r="U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</row>
    <row r="657" spans="1:38" x14ac:dyDescent="0.3">
      <c r="A657" s="67"/>
      <c r="B657" s="67"/>
      <c r="C657" s="67"/>
      <c r="D657" s="67"/>
      <c r="E657" s="67"/>
      <c r="F657" s="67"/>
      <c r="G657" s="68"/>
      <c r="I657" s="70"/>
      <c r="J657" s="70"/>
      <c r="K657" s="70"/>
      <c r="L657" s="69"/>
      <c r="M657" s="69"/>
      <c r="N657" s="69"/>
      <c r="O657" s="67"/>
      <c r="P657" s="67"/>
      <c r="Q657" s="67"/>
      <c r="R657" s="68"/>
      <c r="S657" s="68"/>
      <c r="T657" s="68"/>
      <c r="U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</row>
    <row r="658" spans="1:38" x14ac:dyDescent="0.3">
      <c r="A658" s="67"/>
      <c r="B658" s="67"/>
      <c r="C658" s="67"/>
      <c r="D658" s="67"/>
      <c r="E658" s="67"/>
      <c r="F658" s="67"/>
      <c r="G658" s="68"/>
      <c r="I658" s="70"/>
      <c r="J658" s="70"/>
      <c r="K658" s="70"/>
      <c r="L658" s="69"/>
      <c r="M658" s="69"/>
      <c r="N658" s="69"/>
      <c r="O658" s="67"/>
      <c r="P658" s="67"/>
      <c r="Q658" s="67"/>
      <c r="R658" s="68"/>
      <c r="S658" s="68"/>
      <c r="T658" s="68"/>
      <c r="U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</row>
    <row r="659" spans="1:38" x14ac:dyDescent="0.3">
      <c r="A659" s="67"/>
      <c r="B659" s="67"/>
      <c r="C659" s="67"/>
      <c r="D659" s="67"/>
      <c r="E659" s="67"/>
      <c r="F659" s="67"/>
      <c r="G659" s="68"/>
      <c r="I659" s="70"/>
      <c r="J659" s="70"/>
      <c r="K659" s="70"/>
      <c r="L659" s="69"/>
      <c r="M659" s="69"/>
      <c r="N659" s="69"/>
      <c r="O659" s="67"/>
      <c r="P659" s="67"/>
      <c r="Q659" s="67"/>
      <c r="R659" s="68"/>
      <c r="S659" s="68"/>
      <c r="T659" s="68"/>
      <c r="U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</row>
    <row r="660" spans="1:38" x14ac:dyDescent="0.3">
      <c r="A660" s="67"/>
      <c r="B660" s="67"/>
      <c r="C660" s="67"/>
      <c r="D660" s="67"/>
      <c r="E660" s="67"/>
      <c r="F660" s="67"/>
      <c r="G660" s="68"/>
      <c r="I660" s="70"/>
      <c r="J660" s="70"/>
      <c r="K660" s="70"/>
      <c r="L660" s="69"/>
      <c r="M660" s="69"/>
      <c r="N660" s="69"/>
      <c r="O660" s="67"/>
      <c r="P660" s="67"/>
      <c r="Q660" s="67"/>
      <c r="R660" s="68"/>
      <c r="S660" s="68"/>
      <c r="T660" s="68"/>
      <c r="U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</row>
    <row r="661" spans="1:38" x14ac:dyDescent="0.3">
      <c r="A661" s="67"/>
      <c r="B661" s="67"/>
      <c r="C661" s="67"/>
      <c r="D661" s="67"/>
      <c r="E661" s="67"/>
      <c r="F661" s="67"/>
      <c r="G661" s="68"/>
      <c r="I661" s="70"/>
      <c r="J661" s="70"/>
      <c r="K661" s="70"/>
      <c r="L661" s="69"/>
      <c r="M661" s="69"/>
      <c r="N661" s="69"/>
      <c r="O661" s="67"/>
      <c r="P661" s="67"/>
      <c r="Q661" s="67"/>
      <c r="R661" s="68"/>
      <c r="S661" s="68"/>
      <c r="T661" s="68"/>
      <c r="U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</row>
    <row r="662" spans="1:38" x14ac:dyDescent="0.3">
      <c r="A662" s="67"/>
      <c r="B662" s="67"/>
      <c r="C662" s="67"/>
      <c r="D662" s="67"/>
      <c r="E662" s="67"/>
      <c r="F662" s="67"/>
      <c r="G662" s="68"/>
      <c r="I662" s="70"/>
      <c r="J662" s="70"/>
      <c r="K662" s="70"/>
      <c r="L662" s="69"/>
      <c r="M662" s="69"/>
      <c r="N662" s="69"/>
      <c r="O662" s="67"/>
      <c r="P662" s="67"/>
      <c r="Q662" s="67"/>
      <c r="R662" s="68"/>
      <c r="S662" s="68"/>
      <c r="T662" s="68"/>
      <c r="U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</row>
    <row r="663" spans="1:38" x14ac:dyDescent="0.3">
      <c r="A663" s="67"/>
      <c r="B663" s="67"/>
      <c r="C663" s="67"/>
      <c r="D663" s="67"/>
      <c r="E663" s="67"/>
      <c r="F663" s="67"/>
      <c r="G663" s="68"/>
      <c r="I663" s="70"/>
      <c r="J663" s="70"/>
      <c r="K663" s="70"/>
      <c r="L663" s="69"/>
      <c r="M663" s="69"/>
      <c r="N663" s="69"/>
      <c r="O663" s="67"/>
      <c r="P663" s="67"/>
      <c r="Q663" s="67"/>
      <c r="R663" s="68"/>
      <c r="S663" s="68"/>
      <c r="T663" s="68"/>
      <c r="U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</row>
    <row r="664" spans="1:38" x14ac:dyDescent="0.3">
      <c r="A664" s="67"/>
      <c r="B664" s="67"/>
      <c r="C664" s="67"/>
      <c r="D664" s="67"/>
      <c r="E664" s="67"/>
      <c r="F664" s="67"/>
      <c r="G664" s="68"/>
      <c r="I664" s="70"/>
      <c r="J664" s="70"/>
      <c r="K664" s="70"/>
      <c r="L664" s="69"/>
      <c r="M664" s="69"/>
      <c r="N664" s="69"/>
      <c r="O664" s="67"/>
      <c r="P664" s="67"/>
      <c r="Q664" s="67"/>
      <c r="R664" s="68"/>
      <c r="S664" s="68"/>
      <c r="T664" s="68"/>
      <c r="U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</row>
    <row r="665" spans="1:38" x14ac:dyDescent="0.3">
      <c r="A665" s="67"/>
      <c r="B665" s="67"/>
      <c r="C665" s="67"/>
      <c r="D665" s="67"/>
      <c r="E665" s="67"/>
      <c r="F665" s="67"/>
      <c r="G665" s="68"/>
      <c r="I665" s="70"/>
      <c r="J665" s="70"/>
      <c r="K665" s="70"/>
      <c r="L665" s="69"/>
      <c r="M665" s="69"/>
      <c r="N665" s="69"/>
      <c r="O665" s="67"/>
      <c r="P665" s="67"/>
      <c r="Q665" s="67"/>
      <c r="R665" s="68"/>
      <c r="S665" s="68"/>
      <c r="T665" s="68"/>
      <c r="U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</row>
    <row r="666" spans="1:38" x14ac:dyDescent="0.3">
      <c r="A666" s="67"/>
      <c r="B666" s="67"/>
      <c r="C666" s="67"/>
      <c r="D666" s="67"/>
      <c r="E666" s="67"/>
      <c r="F666" s="67"/>
      <c r="G666" s="68"/>
      <c r="I666" s="70"/>
      <c r="J666" s="70"/>
      <c r="K666" s="70"/>
      <c r="L666" s="69"/>
      <c r="M666" s="69"/>
      <c r="N666" s="69"/>
      <c r="O666" s="67"/>
      <c r="P666" s="67"/>
      <c r="Q666" s="67"/>
      <c r="R666" s="68"/>
      <c r="S666" s="68"/>
      <c r="T666" s="68"/>
      <c r="U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</row>
    <row r="667" spans="1:38" x14ac:dyDescent="0.3">
      <c r="A667" s="67"/>
      <c r="B667" s="67"/>
      <c r="C667" s="67"/>
      <c r="D667" s="67"/>
      <c r="E667" s="67"/>
      <c r="F667" s="67"/>
      <c r="G667" s="68"/>
      <c r="I667" s="70"/>
      <c r="J667" s="70"/>
      <c r="K667" s="70"/>
      <c r="L667" s="69"/>
      <c r="M667" s="69"/>
      <c r="N667" s="69"/>
      <c r="O667" s="67"/>
      <c r="P667" s="67"/>
      <c r="Q667" s="67"/>
      <c r="R667" s="68"/>
      <c r="S667" s="68"/>
      <c r="T667" s="68"/>
      <c r="U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</row>
    <row r="668" spans="1:38" x14ac:dyDescent="0.3">
      <c r="A668" s="67"/>
      <c r="B668" s="67"/>
      <c r="C668" s="67"/>
      <c r="D668" s="67"/>
      <c r="E668" s="67"/>
      <c r="F668" s="67"/>
      <c r="G668" s="68"/>
      <c r="I668" s="70"/>
      <c r="J668" s="70"/>
      <c r="K668" s="70"/>
      <c r="L668" s="69"/>
      <c r="M668" s="69"/>
      <c r="N668" s="69"/>
      <c r="O668" s="67"/>
      <c r="P668" s="67"/>
      <c r="Q668" s="67"/>
      <c r="R668" s="68"/>
      <c r="S668" s="68"/>
      <c r="T668" s="68"/>
      <c r="U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</row>
    <row r="669" spans="1:38" x14ac:dyDescent="0.3">
      <c r="A669" s="67"/>
      <c r="B669" s="67"/>
      <c r="C669" s="67"/>
      <c r="D669" s="67"/>
      <c r="E669" s="67"/>
      <c r="F669" s="67"/>
      <c r="G669" s="68"/>
      <c r="I669" s="70"/>
      <c r="J669" s="70"/>
      <c r="K669" s="70"/>
      <c r="L669" s="69"/>
      <c r="M669" s="69"/>
      <c r="N669" s="69"/>
      <c r="O669" s="67"/>
      <c r="P669" s="67"/>
      <c r="Q669" s="67"/>
      <c r="R669" s="68"/>
      <c r="S669" s="68"/>
      <c r="T669" s="68"/>
      <c r="U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</row>
    <row r="670" spans="1:38" x14ac:dyDescent="0.3">
      <c r="A670" s="67"/>
      <c r="B670" s="67"/>
      <c r="C670" s="67"/>
      <c r="D670" s="67"/>
      <c r="E670" s="67"/>
      <c r="F670" s="67"/>
      <c r="G670" s="68"/>
      <c r="I670" s="70"/>
      <c r="J670" s="70"/>
      <c r="K670" s="70"/>
      <c r="L670" s="69"/>
      <c r="M670" s="69"/>
      <c r="N670" s="69"/>
      <c r="O670" s="67"/>
      <c r="P670" s="67"/>
      <c r="Q670" s="67"/>
      <c r="R670" s="68"/>
      <c r="S670" s="68"/>
      <c r="T670" s="68"/>
      <c r="U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</row>
    <row r="671" spans="1:38" x14ac:dyDescent="0.3">
      <c r="A671" s="67"/>
      <c r="B671" s="67"/>
      <c r="C671" s="67"/>
      <c r="D671" s="67"/>
      <c r="E671" s="67"/>
      <c r="F671" s="67"/>
      <c r="G671" s="68"/>
      <c r="I671" s="70"/>
      <c r="J671" s="70"/>
      <c r="K671" s="70"/>
      <c r="L671" s="69"/>
      <c r="M671" s="69"/>
      <c r="N671" s="69"/>
      <c r="O671" s="67"/>
      <c r="P671" s="67"/>
      <c r="Q671" s="67"/>
      <c r="R671" s="68"/>
      <c r="S671" s="68"/>
      <c r="T671" s="68"/>
      <c r="U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</row>
    <row r="672" spans="1:38" x14ac:dyDescent="0.3">
      <c r="A672" s="67"/>
      <c r="B672" s="67"/>
      <c r="C672" s="67"/>
      <c r="D672" s="67"/>
      <c r="E672" s="67"/>
      <c r="F672" s="67"/>
      <c r="G672" s="68"/>
      <c r="I672" s="70"/>
      <c r="J672" s="70"/>
      <c r="K672" s="70"/>
      <c r="L672" s="69"/>
      <c r="M672" s="69"/>
      <c r="N672" s="69"/>
      <c r="O672" s="67"/>
      <c r="P672" s="67"/>
      <c r="Q672" s="67"/>
      <c r="R672" s="68"/>
      <c r="S672" s="68"/>
      <c r="T672" s="68"/>
      <c r="U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</row>
    <row r="673" spans="1:38" x14ac:dyDescent="0.3">
      <c r="A673" s="67"/>
      <c r="B673" s="67"/>
      <c r="C673" s="67"/>
      <c r="D673" s="67"/>
      <c r="E673" s="67"/>
      <c r="F673" s="67"/>
      <c r="G673" s="68"/>
      <c r="I673" s="70"/>
      <c r="J673" s="70"/>
      <c r="K673" s="70"/>
      <c r="L673" s="69"/>
      <c r="M673" s="69"/>
      <c r="N673" s="69"/>
      <c r="O673" s="67"/>
      <c r="P673" s="67"/>
      <c r="Q673" s="67"/>
      <c r="R673" s="68"/>
      <c r="S673" s="68"/>
      <c r="T673" s="68"/>
      <c r="U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</row>
    <row r="674" spans="1:38" x14ac:dyDescent="0.3">
      <c r="A674" s="67"/>
      <c r="B674" s="67"/>
      <c r="C674" s="67"/>
      <c r="D674" s="67"/>
      <c r="E674" s="67"/>
      <c r="F674" s="67"/>
      <c r="G674" s="68"/>
      <c r="I674" s="70"/>
      <c r="J674" s="70"/>
      <c r="K674" s="70"/>
      <c r="L674" s="69"/>
      <c r="M674" s="69"/>
      <c r="N674" s="69"/>
      <c r="O674" s="67"/>
      <c r="P674" s="67"/>
      <c r="Q674" s="67"/>
      <c r="R674" s="68"/>
      <c r="S674" s="68"/>
      <c r="T674" s="68"/>
      <c r="U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</row>
    <row r="675" spans="1:38" x14ac:dyDescent="0.3">
      <c r="A675" s="67"/>
      <c r="B675" s="67"/>
      <c r="C675" s="67"/>
      <c r="D675" s="67"/>
      <c r="E675" s="67"/>
      <c r="F675" s="67"/>
      <c r="G675" s="68"/>
      <c r="I675" s="70"/>
      <c r="J675" s="70"/>
      <c r="K675" s="70"/>
      <c r="L675" s="69"/>
      <c r="M675" s="69"/>
      <c r="N675" s="69"/>
      <c r="O675" s="67"/>
      <c r="P675" s="67"/>
      <c r="Q675" s="67"/>
      <c r="R675" s="68"/>
      <c r="S675" s="68"/>
      <c r="T675" s="68"/>
      <c r="U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</row>
  </sheetData>
  <mergeCells count="1">
    <mergeCell ref="Q32:Q34"/>
  </mergeCells>
  <phoneticPr fontId="7" type="noConversion"/>
  <conditionalFormatting sqref="R1:R1048576">
    <cfRule type="cellIs" dxfId="2" priority="1" operator="lessThan">
      <formula>10</formula>
    </cfRule>
  </conditionalFormatting>
  <printOptions gridLines="1"/>
  <pageMargins left="0.2" right="0.12" top="0.59" bottom="0.87" header="0.51" footer="0.51"/>
  <pageSetup paperSize="9" scale="43" orientation="landscape" verticalDpi="4"/>
  <headerFooter alignWithMargins="0">
    <oddHeader>&amp;F</oddHeader>
    <oddFooter>&amp;L&amp;F, &amp;A&amp;R&amp;D 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X260"/>
  <sheetViews>
    <sheetView zoomScale="105" workbookViewId="0">
      <pane ySplit="2" topLeftCell="A3" activePane="bottomLeft" state="frozenSplit"/>
      <selection pane="bottomLeft" activeCell="X16" sqref="X16"/>
    </sheetView>
  </sheetViews>
  <sheetFormatPr defaultColWidth="8.81640625" defaultRowHeight="12.5" x14ac:dyDescent="0.25"/>
  <cols>
    <col min="1" max="1" width="10.453125" customWidth="1"/>
    <col min="2" max="2" width="10.81640625" customWidth="1"/>
    <col min="3" max="3" width="13" customWidth="1"/>
    <col min="4" max="4" width="6.1796875" style="3" customWidth="1"/>
    <col min="5" max="5" width="8.453125" style="2" customWidth="1"/>
    <col min="6" max="6" width="8.26953125" style="2" customWidth="1"/>
    <col min="7" max="7" width="5.453125" style="3" customWidth="1"/>
    <col min="8" max="8" width="10.26953125" customWidth="1"/>
    <col min="9" max="9" width="11.453125" style="3" customWidth="1"/>
    <col min="10" max="10" width="9.1796875" style="3" customWidth="1"/>
    <col min="11" max="11" width="10.1796875" style="3" customWidth="1"/>
    <col min="12" max="12" width="9.81640625" style="2" customWidth="1"/>
    <col min="13" max="13" width="10.1796875" customWidth="1"/>
    <col min="14" max="14" width="11" customWidth="1"/>
    <col min="15" max="15" width="14.26953125" customWidth="1"/>
    <col min="16" max="16" width="11.453125" customWidth="1"/>
    <col min="17" max="17" width="4.81640625" customWidth="1"/>
    <col min="18" max="18" width="7.7265625" customWidth="1"/>
    <col min="19" max="19" width="5.7265625" customWidth="1"/>
    <col min="21" max="21" width="16.1796875" customWidth="1"/>
  </cols>
  <sheetData>
    <row r="1" spans="1:24" x14ac:dyDescent="0.25">
      <c r="A1" t="s">
        <v>17</v>
      </c>
      <c r="B1" t="s">
        <v>15</v>
      </c>
      <c r="C1" t="s">
        <v>52</v>
      </c>
      <c r="D1" t="s">
        <v>80</v>
      </c>
      <c r="E1" s="2" t="s">
        <v>101</v>
      </c>
      <c r="F1" s="29" t="s">
        <v>81</v>
      </c>
      <c r="G1" s="3" t="s">
        <v>52</v>
      </c>
      <c r="H1" s="3" t="s">
        <v>82</v>
      </c>
      <c r="I1" s="3" t="s">
        <v>83</v>
      </c>
      <c r="K1" s="3" t="s">
        <v>84</v>
      </c>
      <c r="L1" s="2" t="s">
        <v>84</v>
      </c>
      <c r="M1" t="s">
        <v>85</v>
      </c>
      <c r="N1" t="s">
        <v>86</v>
      </c>
      <c r="O1" t="s">
        <v>87</v>
      </c>
      <c r="P1" t="s">
        <v>88</v>
      </c>
    </row>
    <row r="2" spans="1:24" x14ac:dyDescent="0.25">
      <c r="B2" t="s">
        <v>24</v>
      </c>
      <c r="C2" t="s">
        <v>53</v>
      </c>
      <c r="D2" t="s">
        <v>107</v>
      </c>
      <c r="F2"/>
      <c r="G2" s="3" t="s">
        <v>106</v>
      </c>
      <c r="H2" s="3" t="s">
        <v>89</v>
      </c>
      <c r="I2" s="3" t="s">
        <v>90</v>
      </c>
      <c r="K2" s="3" t="s">
        <v>91</v>
      </c>
      <c r="L2" s="2" t="s">
        <v>91</v>
      </c>
      <c r="N2" t="s">
        <v>92</v>
      </c>
      <c r="O2" t="s">
        <v>92</v>
      </c>
      <c r="P2" t="s">
        <v>92</v>
      </c>
    </row>
    <row r="3" spans="1:24" x14ac:dyDescent="0.25">
      <c r="A3" s="79"/>
      <c r="B3" s="101"/>
      <c r="C3" s="101" t="s">
        <v>42</v>
      </c>
      <c r="D3" s="80" t="s">
        <v>42</v>
      </c>
      <c r="E3" s="102"/>
      <c r="F3" s="103"/>
      <c r="G3" s="104"/>
      <c r="H3" s="104" t="s">
        <v>93</v>
      </c>
      <c r="I3" s="104"/>
      <c r="J3" s="104"/>
      <c r="K3" s="104" t="s">
        <v>94</v>
      </c>
      <c r="L3" s="102" t="s">
        <v>94</v>
      </c>
      <c r="M3" s="80"/>
      <c r="N3" s="80" t="s">
        <v>95</v>
      </c>
      <c r="O3" s="80"/>
      <c r="P3" s="82" t="s">
        <v>96</v>
      </c>
    </row>
    <row r="4" spans="1:24" x14ac:dyDescent="0.25">
      <c r="A4" s="105"/>
      <c r="B4" s="5"/>
      <c r="C4" s="5"/>
      <c r="D4"/>
      <c r="F4" s="29" t="s">
        <v>45</v>
      </c>
      <c r="G4" s="3" t="s">
        <v>42</v>
      </c>
      <c r="H4" s="3" t="s">
        <v>97</v>
      </c>
      <c r="I4" s="3" t="s">
        <v>98</v>
      </c>
      <c r="K4" s="3" t="s">
        <v>98</v>
      </c>
      <c r="L4" s="2" t="s">
        <v>99</v>
      </c>
      <c r="N4" s="3" t="s">
        <v>97</v>
      </c>
      <c r="O4" t="s">
        <v>98</v>
      </c>
      <c r="P4" s="106" t="s">
        <v>100</v>
      </c>
    </row>
    <row r="5" spans="1:24" x14ac:dyDescent="0.25">
      <c r="A5" s="105" t="s">
        <v>102</v>
      </c>
      <c r="B5" s="5"/>
      <c r="C5" s="5"/>
      <c r="D5"/>
      <c r="F5" s="29"/>
      <c r="H5" s="3"/>
      <c r="N5" s="3"/>
      <c r="P5" s="106"/>
    </row>
    <row r="6" spans="1:24" x14ac:dyDescent="0.25">
      <c r="A6" s="105" t="s">
        <v>105</v>
      </c>
      <c r="B6" s="5"/>
      <c r="C6" s="5"/>
      <c r="D6"/>
      <c r="F6" s="29"/>
      <c r="H6" s="3"/>
      <c r="N6" s="3"/>
      <c r="P6" s="106"/>
    </row>
    <row r="7" spans="1:24" x14ac:dyDescent="0.25">
      <c r="A7" s="105" t="s">
        <v>104</v>
      </c>
      <c r="B7">
        <v>1</v>
      </c>
      <c r="C7" s="5">
        <v>9.2700000000000102</v>
      </c>
      <c r="D7" s="2"/>
      <c r="E7" s="5"/>
      <c r="G7" s="3">
        <v>0.01</v>
      </c>
      <c r="H7" s="5">
        <f>1000*G7/28.09</f>
        <v>0.35599857600569595</v>
      </c>
      <c r="I7" s="3">
        <v>5</v>
      </c>
      <c r="K7" s="3">
        <v>4</v>
      </c>
      <c r="L7" s="2">
        <f>1000*K7</f>
        <v>4000</v>
      </c>
      <c r="M7">
        <f>O7/K7</f>
        <v>2.5</v>
      </c>
      <c r="N7" s="2">
        <f>H7*(K7/I7)</f>
        <v>0.2847988608045568</v>
      </c>
      <c r="O7">
        <v>10</v>
      </c>
      <c r="P7" s="107">
        <f>N7/(0.001*O7)</f>
        <v>28.479886080455678</v>
      </c>
    </row>
    <row r="8" spans="1:24" x14ac:dyDescent="0.25">
      <c r="A8" s="83" t="s">
        <v>79</v>
      </c>
      <c r="B8" s="84">
        <v>1</v>
      </c>
      <c r="C8" s="108">
        <v>9.2700000000000102</v>
      </c>
      <c r="D8" s="109">
        <f>(5/25)^2*C8</f>
        <v>0.37080000000000046</v>
      </c>
      <c r="E8" s="108">
        <v>1</v>
      </c>
      <c r="F8" s="109">
        <v>2.6</v>
      </c>
      <c r="G8" s="110">
        <f>0.01*D8*E8*F8</f>
        <v>9.6408000000000119E-3</v>
      </c>
      <c r="H8" s="108">
        <f>1000*G8/28.09</f>
        <v>0.34321110715557179</v>
      </c>
      <c r="I8" s="110">
        <v>5</v>
      </c>
      <c r="J8" s="110"/>
      <c r="K8" s="110">
        <v>4</v>
      </c>
      <c r="L8" s="109">
        <f>1000*K8</f>
        <v>4000</v>
      </c>
      <c r="M8" s="84">
        <f>O8/K8</f>
        <v>2.5</v>
      </c>
      <c r="N8" s="109">
        <f>H8*(K8/I8)</f>
        <v>0.27456888572445742</v>
      </c>
      <c r="O8" s="84">
        <v>10</v>
      </c>
      <c r="P8" s="111">
        <f>N8/(0.001*O8)</f>
        <v>27.456888572445742</v>
      </c>
    </row>
    <row r="9" spans="1:24" ht="13" thickBot="1" x14ac:dyDescent="0.3">
      <c r="C9" s="5"/>
      <c r="D9" s="2"/>
      <c r="E9" s="5"/>
      <c r="H9" s="5"/>
      <c r="N9" s="2"/>
      <c r="P9" s="5"/>
    </row>
    <row r="10" spans="1:24" ht="17.149999999999999" customHeight="1" x14ac:dyDescent="0.25">
      <c r="A10" s="112" t="s">
        <v>295</v>
      </c>
      <c r="B10" s="113"/>
      <c r="C10" s="114" t="s">
        <v>287</v>
      </c>
      <c r="D10" s="115" t="s">
        <v>15</v>
      </c>
      <c r="E10" s="114" t="s">
        <v>285</v>
      </c>
      <c r="F10" s="115" t="s">
        <v>286</v>
      </c>
      <c r="G10" s="116" t="s">
        <v>42</v>
      </c>
      <c r="H10" s="117" t="s">
        <v>288</v>
      </c>
      <c r="I10" s="118" t="s">
        <v>295</v>
      </c>
      <c r="J10" s="118" t="s">
        <v>297</v>
      </c>
      <c r="K10" s="118" t="s">
        <v>290</v>
      </c>
      <c r="L10" s="119" t="s">
        <v>293</v>
      </c>
      <c r="N10" s="147" t="s">
        <v>300</v>
      </c>
      <c r="O10" s="113"/>
      <c r="P10" s="113"/>
      <c r="Q10" s="151" t="s">
        <v>285</v>
      </c>
      <c r="R10" s="115" t="s">
        <v>286</v>
      </c>
      <c r="S10" s="152" t="s">
        <v>296</v>
      </c>
      <c r="T10" s="154" t="s">
        <v>299</v>
      </c>
      <c r="U10" s="148" t="s">
        <v>14</v>
      </c>
    </row>
    <row r="11" spans="1:24" ht="17.149999999999999" customHeight="1" thickBot="1" x14ac:dyDescent="0.3">
      <c r="A11" s="120"/>
      <c r="B11" s="121"/>
      <c r="C11" s="121"/>
      <c r="D11" s="122"/>
      <c r="E11" s="123"/>
      <c r="F11" s="123"/>
      <c r="G11" s="122" t="s">
        <v>296</v>
      </c>
      <c r="H11" s="124" t="s">
        <v>294</v>
      </c>
      <c r="I11" s="125" t="s">
        <v>289</v>
      </c>
      <c r="J11" s="125" t="s">
        <v>298</v>
      </c>
      <c r="K11" s="125" t="s">
        <v>291</v>
      </c>
      <c r="L11" s="126" t="s">
        <v>292</v>
      </c>
      <c r="N11" s="149"/>
      <c r="O11" s="121"/>
      <c r="P11" s="121"/>
      <c r="Q11" s="120"/>
      <c r="R11" s="121"/>
      <c r="S11" s="127"/>
      <c r="T11" s="155" t="s">
        <v>42</v>
      </c>
      <c r="U11" s="150" t="s">
        <v>295</v>
      </c>
    </row>
    <row r="12" spans="1:24" ht="17.149999999999999" customHeight="1" x14ac:dyDescent="0.25">
      <c r="H12" s="13"/>
      <c r="I12" s="99"/>
      <c r="J12" s="99"/>
      <c r="K12" s="99"/>
      <c r="L12" s="26"/>
      <c r="M12" s="99"/>
      <c r="N12" s="2"/>
      <c r="P12" s="5"/>
    </row>
    <row r="13" spans="1:24" ht="17.149999999999999" customHeight="1" x14ac:dyDescent="0.25">
      <c r="A13" s="169"/>
      <c r="B13" s="169"/>
      <c r="C13" s="169"/>
      <c r="D13" s="170"/>
      <c r="E13" s="171"/>
      <c r="F13" s="171"/>
      <c r="G13" s="170"/>
      <c r="H13" s="184"/>
      <c r="I13" s="185"/>
      <c r="J13" s="185"/>
      <c r="K13" s="185"/>
      <c r="L13" s="186"/>
      <c r="M13" s="185"/>
      <c r="N13" s="171"/>
      <c r="O13" s="169"/>
      <c r="P13" s="173"/>
      <c r="Q13" s="169"/>
      <c r="R13" s="169"/>
      <c r="S13" s="169"/>
      <c r="T13" s="169"/>
      <c r="U13" s="169"/>
      <c r="V13" s="169"/>
    </row>
    <row r="14" spans="1:24" ht="17.149999999999999" customHeight="1" x14ac:dyDescent="0.25">
      <c r="A14" s="169"/>
      <c r="B14" s="169">
        <v>2016</v>
      </c>
      <c r="C14" s="169" t="s">
        <v>175</v>
      </c>
      <c r="D14" s="169">
        <v>1</v>
      </c>
      <c r="E14" s="174">
        <v>2.0839617252349854</v>
      </c>
      <c r="F14" s="171">
        <f>E14*3.3003</f>
        <v>6.8776988817930222</v>
      </c>
      <c r="G14" s="170">
        <f>0.112*100/F14</f>
        <v>1.6284516365857749</v>
      </c>
      <c r="H14" s="169">
        <f>F14*G14*0.01</f>
        <v>0.11200000000000002</v>
      </c>
      <c r="I14" s="170">
        <f>H14*1000/28.09</f>
        <v>3.9871840512637955</v>
      </c>
      <c r="J14" s="170">
        <v>1</v>
      </c>
      <c r="K14" s="170">
        <f>I14/5*J14</f>
        <v>0.79743681025275914</v>
      </c>
      <c r="L14" s="171">
        <f>K14*100</f>
        <v>79.743681025275919</v>
      </c>
      <c r="M14" s="169"/>
      <c r="N14" s="169">
        <v>2015</v>
      </c>
      <c r="O14" s="169" t="s">
        <v>175</v>
      </c>
      <c r="P14" s="169">
        <v>1</v>
      </c>
      <c r="Q14" s="174">
        <v>2.0839617252349854</v>
      </c>
      <c r="R14" s="171">
        <f>Q14*3.3003</f>
        <v>6.8776988817930222</v>
      </c>
      <c r="S14" s="170">
        <f>0.112*100/R14</f>
        <v>1.6284516365857749</v>
      </c>
      <c r="T14" s="169">
        <v>1.6865000000000001</v>
      </c>
      <c r="U14" s="170"/>
      <c r="V14" s="170"/>
      <c r="W14" s="3"/>
      <c r="X14" s="2"/>
    </row>
    <row r="15" spans="1:24" ht="17.149999999999999" customHeight="1" x14ac:dyDescent="0.25">
      <c r="A15" s="169"/>
      <c r="B15" s="169"/>
      <c r="C15" s="169"/>
      <c r="D15" s="169"/>
      <c r="E15" s="174"/>
      <c r="F15" s="171"/>
      <c r="G15" s="170"/>
      <c r="H15" s="169"/>
      <c r="I15" s="170"/>
      <c r="J15" s="170"/>
      <c r="K15" s="170"/>
      <c r="L15" s="171"/>
      <c r="M15" s="169"/>
      <c r="N15" s="169"/>
      <c r="O15" s="169"/>
      <c r="P15" s="169"/>
      <c r="Q15" s="174"/>
      <c r="R15" s="171"/>
      <c r="S15" s="170"/>
      <c r="T15" s="169"/>
      <c r="U15" s="170"/>
      <c r="V15" s="170"/>
      <c r="W15" s="3"/>
      <c r="X15" s="2"/>
    </row>
    <row r="16" spans="1:24" ht="17.149999999999999" customHeight="1" x14ac:dyDescent="0.25">
      <c r="A16" s="169"/>
      <c r="B16" s="169"/>
      <c r="C16" s="169"/>
      <c r="D16" s="169"/>
      <c r="E16" s="174"/>
      <c r="F16" s="171"/>
      <c r="G16" s="170"/>
      <c r="H16" s="169"/>
      <c r="I16" s="170"/>
      <c r="J16" s="170"/>
      <c r="K16" s="170"/>
      <c r="L16" s="171"/>
      <c r="M16" s="169"/>
      <c r="N16" s="169"/>
      <c r="O16" s="169"/>
      <c r="P16" s="169"/>
      <c r="Q16" s="174"/>
      <c r="R16" s="171"/>
      <c r="S16" s="170"/>
      <c r="T16" s="169"/>
      <c r="U16" s="170"/>
      <c r="V16" s="170"/>
      <c r="W16" s="3"/>
      <c r="X16" s="2"/>
    </row>
    <row r="17" spans="1:24" ht="17.149999999999999" customHeight="1" x14ac:dyDescent="0.25">
      <c r="A17" s="169"/>
      <c r="B17" s="169"/>
      <c r="C17" s="169"/>
      <c r="D17" s="169"/>
      <c r="E17" s="174"/>
      <c r="F17" s="171"/>
      <c r="G17" s="170"/>
      <c r="H17" s="169"/>
      <c r="I17" s="170"/>
      <c r="J17" s="170"/>
      <c r="K17" s="170"/>
      <c r="L17" s="171"/>
      <c r="M17" s="169"/>
      <c r="N17" s="169"/>
      <c r="O17" s="169"/>
      <c r="P17" s="169"/>
      <c r="Q17" s="174"/>
      <c r="R17" s="171"/>
      <c r="S17" s="170"/>
      <c r="T17" s="169"/>
      <c r="U17" s="170"/>
      <c r="V17" s="170"/>
      <c r="W17" s="3"/>
      <c r="X17" s="2"/>
    </row>
    <row r="18" spans="1:24" ht="17.149999999999999" customHeight="1" x14ac:dyDescent="0.25">
      <c r="A18" s="169"/>
      <c r="B18" s="169"/>
      <c r="C18" s="169"/>
      <c r="D18" s="169"/>
      <c r="E18" s="174"/>
      <c r="F18" s="171"/>
      <c r="G18" s="170"/>
      <c r="H18" s="169"/>
      <c r="I18" s="170"/>
      <c r="J18" s="170"/>
      <c r="K18" s="170"/>
      <c r="L18" s="171"/>
      <c r="M18" s="169"/>
      <c r="N18" s="169"/>
      <c r="O18" s="169"/>
      <c r="P18" s="169"/>
      <c r="Q18" s="174"/>
      <c r="R18" s="171"/>
      <c r="S18" s="170"/>
      <c r="T18" s="169"/>
      <c r="U18" s="170"/>
      <c r="V18" s="170"/>
      <c r="W18" s="3"/>
      <c r="X18" s="2"/>
    </row>
    <row r="19" spans="1:24" ht="17.149999999999999" customHeight="1" x14ac:dyDescent="0.25">
      <c r="A19" s="169"/>
      <c r="B19" s="169"/>
      <c r="C19" s="169"/>
      <c r="D19" s="169"/>
      <c r="E19" s="174"/>
      <c r="F19" s="171"/>
      <c r="G19" s="170"/>
      <c r="H19" s="169"/>
      <c r="I19" s="170"/>
      <c r="J19" s="170"/>
      <c r="K19" s="170"/>
      <c r="L19" s="171"/>
      <c r="M19" s="169"/>
      <c r="N19" s="169"/>
      <c r="O19" s="169"/>
      <c r="P19" s="169"/>
      <c r="Q19" s="174"/>
      <c r="R19" s="171"/>
      <c r="S19" s="170"/>
      <c r="T19" s="169"/>
      <c r="U19" s="170"/>
      <c r="V19" s="170"/>
      <c r="W19" s="3"/>
      <c r="X19" s="2"/>
    </row>
    <row r="20" spans="1:24" ht="17.149999999999999" customHeight="1" x14ac:dyDescent="0.25">
      <c r="A20" s="169"/>
      <c r="B20" s="169"/>
      <c r="C20" s="169"/>
      <c r="D20" s="169"/>
      <c r="E20" s="174"/>
      <c r="F20" s="171"/>
      <c r="G20" s="170"/>
      <c r="H20" s="169"/>
      <c r="I20" s="170"/>
      <c r="J20" s="170"/>
      <c r="K20" s="170"/>
      <c r="L20" s="171"/>
      <c r="M20" s="169"/>
      <c r="N20" s="169"/>
      <c r="O20" s="169"/>
      <c r="P20" s="169"/>
      <c r="Q20" s="174"/>
      <c r="R20" s="171"/>
      <c r="S20" s="170"/>
      <c r="T20" s="169"/>
      <c r="U20" s="170"/>
      <c r="V20" s="170"/>
      <c r="W20" s="3"/>
      <c r="X20" s="2"/>
    </row>
    <row r="21" spans="1:24" ht="17.149999999999999" customHeight="1" x14ac:dyDescent="0.25">
      <c r="A21" s="169"/>
      <c r="B21" s="169"/>
      <c r="C21" s="169"/>
      <c r="D21" s="169"/>
      <c r="E21" s="174"/>
      <c r="F21" s="171"/>
      <c r="G21" s="170"/>
      <c r="H21" s="169"/>
      <c r="I21" s="170"/>
      <c r="J21" s="170"/>
      <c r="K21" s="170"/>
      <c r="L21" s="171"/>
      <c r="M21" s="171"/>
      <c r="N21" s="169"/>
      <c r="O21" s="169"/>
      <c r="P21" s="169"/>
      <c r="Q21" s="174"/>
      <c r="R21" s="171"/>
      <c r="S21" s="170"/>
      <c r="T21" s="171"/>
      <c r="U21" s="170"/>
      <c r="V21" s="170"/>
      <c r="W21" s="3"/>
      <c r="X21" s="2"/>
    </row>
    <row r="22" spans="1:24" ht="17.149999999999999" customHeight="1" x14ac:dyDescent="0.25">
      <c r="A22" s="169"/>
      <c r="B22" s="169"/>
      <c r="C22" s="169"/>
      <c r="D22" s="169"/>
      <c r="E22" s="174"/>
      <c r="F22" s="171"/>
      <c r="G22" s="170"/>
      <c r="H22" s="169"/>
      <c r="I22" s="170"/>
      <c r="J22" s="170"/>
      <c r="K22" s="170"/>
      <c r="L22" s="171"/>
      <c r="M22" s="169"/>
      <c r="N22" s="169"/>
      <c r="O22" s="169"/>
      <c r="P22" s="169"/>
      <c r="Q22" s="174"/>
      <c r="R22" s="171"/>
      <c r="S22" s="170"/>
      <c r="T22" s="169"/>
      <c r="U22" s="170"/>
      <c r="V22" s="170"/>
      <c r="W22" s="3"/>
      <c r="X22" s="2"/>
    </row>
    <row r="23" spans="1:24" ht="17.149999999999999" customHeight="1" x14ac:dyDescent="0.25">
      <c r="A23" s="169"/>
      <c r="B23" s="169"/>
      <c r="C23" s="169"/>
      <c r="D23" s="169"/>
      <c r="E23" s="174"/>
      <c r="F23" s="171"/>
      <c r="G23" s="170"/>
      <c r="H23" s="169"/>
      <c r="I23" s="170"/>
      <c r="J23" s="170"/>
      <c r="K23" s="170"/>
      <c r="L23" s="171"/>
      <c r="M23" s="169"/>
      <c r="N23" s="169"/>
      <c r="O23" s="169"/>
      <c r="P23" s="169"/>
      <c r="Q23" s="174"/>
      <c r="R23" s="171"/>
      <c r="S23" s="170"/>
      <c r="T23" s="169"/>
      <c r="U23" s="170"/>
      <c r="V23" s="170"/>
      <c r="W23" s="3"/>
      <c r="X23" s="2"/>
    </row>
    <row r="24" spans="1:24" ht="17.149999999999999" customHeight="1" x14ac:dyDescent="0.25">
      <c r="A24" s="169"/>
      <c r="B24" s="169"/>
      <c r="C24" s="169"/>
      <c r="D24" s="169"/>
      <c r="E24" s="174"/>
      <c r="F24" s="171"/>
      <c r="G24" s="170"/>
      <c r="H24" s="169"/>
      <c r="I24" s="170"/>
      <c r="J24" s="170"/>
      <c r="K24" s="170"/>
      <c r="L24" s="171"/>
      <c r="M24" s="169"/>
      <c r="N24" s="169"/>
      <c r="O24" s="169"/>
      <c r="P24" s="169"/>
      <c r="Q24" s="174"/>
      <c r="R24" s="171"/>
      <c r="S24" s="170"/>
      <c r="T24" s="169"/>
      <c r="U24" s="170"/>
      <c r="V24" s="170"/>
      <c r="W24" s="3"/>
      <c r="X24" s="2"/>
    </row>
    <row r="25" spans="1:24" ht="17.149999999999999" customHeight="1" x14ac:dyDescent="0.25">
      <c r="A25" s="169"/>
      <c r="B25" s="169"/>
      <c r="C25" s="169"/>
      <c r="D25" s="169"/>
      <c r="E25" s="174"/>
      <c r="F25" s="171"/>
      <c r="G25" s="170"/>
      <c r="H25" s="169"/>
      <c r="I25" s="170"/>
      <c r="J25" s="170"/>
      <c r="K25" s="170"/>
      <c r="L25" s="171"/>
      <c r="M25" s="169"/>
      <c r="N25" s="169"/>
      <c r="O25" s="169"/>
      <c r="P25" s="169"/>
      <c r="Q25" s="174"/>
      <c r="R25" s="171"/>
      <c r="S25" s="170"/>
      <c r="T25" s="169"/>
      <c r="U25" s="170"/>
      <c r="V25" s="170"/>
      <c r="W25" s="3"/>
      <c r="X25" s="2"/>
    </row>
    <row r="26" spans="1:24" ht="17.149999999999999" customHeight="1" x14ac:dyDescent="0.25">
      <c r="A26" s="173"/>
      <c r="B26" s="169"/>
      <c r="C26" s="169"/>
      <c r="D26" s="169"/>
      <c r="E26" s="174"/>
      <c r="F26" s="171"/>
      <c r="G26" s="170"/>
      <c r="H26" s="169"/>
      <c r="I26" s="170"/>
      <c r="J26" s="170"/>
      <c r="K26" s="170"/>
      <c r="L26" s="171"/>
      <c r="M26" s="169"/>
      <c r="N26" s="169"/>
      <c r="O26" s="169"/>
      <c r="P26" s="169"/>
      <c r="Q26" s="174"/>
      <c r="R26" s="171"/>
      <c r="S26" s="170"/>
      <c r="T26" s="169"/>
      <c r="U26" s="170"/>
      <c r="V26" s="170"/>
      <c r="W26" s="3"/>
      <c r="X26" s="2"/>
    </row>
    <row r="27" spans="1:24" ht="17.149999999999999" customHeight="1" x14ac:dyDescent="0.25">
      <c r="A27" s="173"/>
      <c r="B27" s="169"/>
      <c r="C27" s="169"/>
      <c r="D27" s="169"/>
      <c r="E27" s="174"/>
      <c r="F27" s="171"/>
      <c r="G27" s="170"/>
      <c r="H27" s="169"/>
      <c r="I27" s="170"/>
      <c r="J27" s="170"/>
      <c r="K27" s="170"/>
      <c r="L27" s="171"/>
      <c r="M27" s="169"/>
      <c r="N27" s="169"/>
      <c r="O27" s="169"/>
      <c r="P27" s="169"/>
      <c r="Q27" s="174"/>
      <c r="R27" s="171"/>
      <c r="S27" s="170"/>
      <c r="T27" s="169"/>
      <c r="U27" s="170"/>
      <c r="V27" s="170"/>
      <c r="W27" s="3"/>
      <c r="X27" s="2"/>
    </row>
    <row r="28" spans="1:24" ht="17.149999999999999" customHeight="1" x14ac:dyDescent="0.25">
      <c r="A28" s="173"/>
      <c r="B28" s="169"/>
      <c r="C28" s="169"/>
      <c r="D28" s="169"/>
      <c r="E28" s="174"/>
      <c r="F28" s="171"/>
      <c r="G28" s="170"/>
      <c r="H28" s="169"/>
      <c r="I28" s="170"/>
      <c r="J28" s="170"/>
      <c r="K28" s="170"/>
      <c r="L28" s="171"/>
      <c r="M28" s="169"/>
      <c r="N28" s="169"/>
      <c r="O28" s="169"/>
      <c r="P28" s="169"/>
      <c r="Q28" s="174"/>
      <c r="R28" s="171"/>
      <c r="S28" s="170"/>
      <c r="T28" s="169"/>
      <c r="U28" s="170"/>
      <c r="V28" s="170"/>
      <c r="W28" s="3"/>
      <c r="X28" s="2"/>
    </row>
    <row r="29" spans="1:24" ht="17.149999999999999" customHeight="1" x14ac:dyDescent="0.25">
      <c r="A29" s="173"/>
      <c r="B29" s="169"/>
      <c r="C29" s="169"/>
      <c r="D29" s="169"/>
      <c r="E29" s="174"/>
      <c r="F29" s="171"/>
      <c r="G29" s="170"/>
      <c r="H29" s="169"/>
      <c r="I29" s="170"/>
      <c r="J29" s="170"/>
      <c r="K29" s="170"/>
      <c r="L29" s="171"/>
      <c r="M29" s="169"/>
      <c r="N29" s="169"/>
      <c r="O29" s="169"/>
      <c r="P29" s="169"/>
      <c r="Q29" s="174"/>
      <c r="R29" s="171"/>
      <c r="S29" s="170"/>
      <c r="T29" s="169"/>
      <c r="U29" s="170"/>
      <c r="V29" s="170"/>
      <c r="W29" s="3"/>
      <c r="X29" s="2"/>
    </row>
    <row r="30" spans="1:24" ht="17.149999999999999" customHeight="1" x14ac:dyDescent="0.25">
      <c r="A30" s="173"/>
      <c r="B30" s="169"/>
      <c r="C30" s="169"/>
      <c r="D30" s="169"/>
      <c r="E30" s="174"/>
      <c r="F30" s="171"/>
      <c r="G30" s="170"/>
      <c r="H30" s="169"/>
      <c r="I30" s="170"/>
      <c r="J30" s="170"/>
      <c r="K30" s="170"/>
      <c r="L30" s="171"/>
      <c r="M30" s="169"/>
      <c r="N30" s="169"/>
      <c r="O30" s="169"/>
      <c r="P30" s="169"/>
      <c r="Q30" s="174"/>
      <c r="R30" s="171"/>
      <c r="S30" s="170"/>
      <c r="T30" s="169"/>
      <c r="U30" s="170"/>
      <c r="V30" s="170"/>
      <c r="W30" s="3"/>
      <c r="X30" s="2"/>
    </row>
    <row r="31" spans="1:24" ht="17.149999999999999" customHeight="1" x14ac:dyDescent="0.25">
      <c r="A31" s="173"/>
      <c r="B31" s="169"/>
      <c r="C31" s="169"/>
      <c r="D31" s="169"/>
      <c r="E31" s="174"/>
      <c r="F31" s="171"/>
      <c r="G31" s="170"/>
      <c r="H31" s="169"/>
      <c r="I31" s="170"/>
      <c r="J31" s="170"/>
      <c r="K31" s="170"/>
      <c r="L31" s="171"/>
      <c r="M31" s="169"/>
      <c r="N31" s="169"/>
      <c r="O31" s="169"/>
      <c r="P31" s="169"/>
      <c r="Q31" s="174"/>
      <c r="R31" s="171"/>
      <c r="S31" s="170"/>
      <c r="T31" s="169"/>
      <c r="U31" s="170"/>
      <c r="V31" s="170"/>
      <c r="W31" s="3"/>
      <c r="X31" s="2"/>
    </row>
    <row r="32" spans="1:24" ht="17.149999999999999" customHeight="1" x14ac:dyDescent="0.25">
      <c r="A32" s="173"/>
      <c r="B32" s="169"/>
      <c r="C32" s="169"/>
      <c r="D32" s="169"/>
      <c r="E32" s="174"/>
      <c r="F32" s="171"/>
      <c r="G32" s="170"/>
      <c r="H32" s="169"/>
      <c r="I32" s="170"/>
      <c r="J32" s="170"/>
      <c r="K32" s="170"/>
      <c r="L32" s="171"/>
      <c r="M32" s="169"/>
      <c r="N32" s="169"/>
      <c r="O32" s="169"/>
      <c r="P32" s="169"/>
      <c r="Q32" s="174"/>
      <c r="R32" s="171"/>
      <c r="S32" s="170"/>
      <c r="T32" s="169"/>
      <c r="U32" s="170"/>
      <c r="V32" s="170"/>
      <c r="W32" s="3"/>
      <c r="X32" s="2"/>
    </row>
    <row r="33" spans="1:24" ht="17.149999999999999" customHeight="1" x14ac:dyDescent="0.25">
      <c r="A33" s="173"/>
      <c r="B33" s="169"/>
      <c r="C33" s="169"/>
      <c r="D33" s="169"/>
      <c r="E33" s="174"/>
      <c r="F33" s="171"/>
      <c r="G33" s="170"/>
      <c r="H33" s="169"/>
      <c r="I33" s="170"/>
      <c r="J33" s="170"/>
      <c r="K33" s="170"/>
      <c r="L33" s="171"/>
      <c r="M33" s="169"/>
      <c r="N33" s="169"/>
      <c r="O33" s="169"/>
      <c r="P33" s="169"/>
      <c r="Q33" s="174"/>
      <c r="R33" s="171"/>
      <c r="S33" s="170"/>
      <c r="T33" s="169"/>
      <c r="U33" s="170"/>
      <c r="V33" s="170"/>
      <c r="W33" s="3"/>
      <c r="X33" s="2"/>
    </row>
    <row r="34" spans="1:24" ht="17.149999999999999" customHeight="1" x14ac:dyDescent="0.25">
      <c r="A34" s="173"/>
      <c r="B34" s="169"/>
      <c r="C34" s="169"/>
      <c r="D34" s="169"/>
      <c r="E34" s="174"/>
      <c r="F34" s="171"/>
      <c r="G34" s="170"/>
      <c r="H34" s="169"/>
      <c r="I34" s="170"/>
      <c r="J34" s="170"/>
      <c r="K34" s="170"/>
      <c r="L34" s="171"/>
      <c r="M34" s="169"/>
      <c r="N34" s="169"/>
      <c r="O34" s="169"/>
      <c r="P34" s="169"/>
      <c r="Q34" s="174"/>
      <c r="R34" s="171"/>
      <c r="S34" s="170"/>
      <c r="T34" s="169"/>
      <c r="U34" s="170"/>
      <c r="V34" s="170"/>
      <c r="W34" s="3"/>
      <c r="X34" s="2"/>
    </row>
    <row r="35" spans="1:24" ht="17.149999999999999" customHeight="1" x14ac:dyDescent="0.25">
      <c r="A35" s="173"/>
      <c r="B35" s="169"/>
      <c r="C35" s="169"/>
      <c r="D35" s="169"/>
      <c r="E35" s="174"/>
      <c r="F35" s="171"/>
      <c r="G35" s="170"/>
      <c r="H35" s="169"/>
      <c r="I35" s="170"/>
      <c r="J35" s="170"/>
      <c r="K35" s="170"/>
      <c r="L35" s="171"/>
      <c r="M35" s="169"/>
      <c r="N35" s="169"/>
      <c r="O35" s="169"/>
      <c r="P35" s="169"/>
      <c r="Q35" s="174"/>
      <c r="R35" s="171"/>
      <c r="S35" s="170"/>
      <c r="T35" s="169"/>
      <c r="U35" s="170"/>
      <c r="V35" s="170"/>
      <c r="W35" s="3"/>
      <c r="X35" s="2"/>
    </row>
    <row r="36" spans="1:24" ht="17.149999999999999" customHeight="1" x14ac:dyDescent="0.25">
      <c r="A36" s="173"/>
      <c r="B36" s="169"/>
      <c r="C36" s="169"/>
      <c r="D36" s="169"/>
      <c r="E36" s="174"/>
      <c r="F36" s="171"/>
      <c r="G36" s="170"/>
      <c r="H36" s="169"/>
      <c r="I36" s="170"/>
      <c r="J36" s="170"/>
      <c r="K36" s="170"/>
      <c r="L36" s="171"/>
      <c r="M36" s="169"/>
      <c r="N36" s="169"/>
      <c r="O36" s="169"/>
      <c r="P36" s="169"/>
      <c r="Q36" s="174"/>
      <c r="R36" s="171"/>
      <c r="S36" s="170"/>
      <c r="T36" s="169"/>
      <c r="U36" s="170"/>
      <c r="V36" s="170"/>
      <c r="W36" s="3"/>
      <c r="X36" s="2"/>
    </row>
    <row r="37" spans="1:24" ht="17.149999999999999" customHeight="1" x14ac:dyDescent="0.25">
      <c r="A37" s="173"/>
      <c r="B37" s="169"/>
      <c r="C37" s="169"/>
      <c r="D37" s="169"/>
      <c r="E37" s="174"/>
      <c r="F37" s="171"/>
      <c r="G37" s="170"/>
      <c r="H37" s="169"/>
      <c r="I37" s="170"/>
      <c r="J37" s="170"/>
      <c r="K37" s="170"/>
      <c r="L37" s="171"/>
      <c r="M37" s="169"/>
      <c r="N37" s="169"/>
      <c r="O37" s="169"/>
      <c r="P37" s="169"/>
      <c r="Q37" s="174"/>
      <c r="R37" s="171"/>
      <c r="S37" s="170"/>
      <c r="T37" s="169"/>
      <c r="U37" s="170"/>
      <c r="V37" s="170"/>
      <c r="W37" s="3"/>
      <c r="X37" s="2"/>
    </row>
    <row r="38" spans="1:24" ht="17.149999999999999" customHeight="1" x14ac:dyDescent="0.25">
      <c r="A38" s="173"/>
      <c r="B38" s="169"/>
      <c r="C38" s="169"/>
      <c r="D38" s="169"/>
      <c r="E38" s="174"/>
      <c r="F38" s="171"/>
      <c r="G38" s="170"/>
      <c r="H38" s="169"/>
      <c r="I38" s="170"/>
      <c r="J38" s="170"/>
      <c r="K38" s="170"/>
      <c r="L38" s="171"/>
      <c r="M38" s="169"/>
      <c r="N38" s="169"/>
      <c r="O38" s="169"/>
      <c r="P38" s="169"/>
      <c r="Q38" s="174"/>
      <c r="R38" s="171"/>
      <c r="S38" s="170"/>
      <c r="T38" s="169"/>
      <c r="U38" s="170"/>
      <c r="V38" s="170"/>
      <c r="W38" s="3"/>
      <c r="X38" s="2"/>
    </row>
    <row r="39" spans="1:24" ht="17.149999999999999" customHeight="1" x14ac:dyDescent="0.25">
      <c r="A39" s="173"/>
      <c r="B39" s="169"/>
      <c r="C39" s="169"/>
      <c r="D39" s="169"/>
      <c r="E39" s="174"/>
      <c r="F39" s="171"/>
      <c r="G39" s="170"/>
      <c r="H39" s="169"/>
      <c r="I39" s="170"/>
      <c r="J39" s="170"/>
      <c r="K39" s="170"/>
      <c r="L39" s="171"/>
      <c r="M39" s="169"/>
      <c r="N39" s="169"/>
      <c r="O39" s="169"/>
      <c r="P39" s="169"/>
      <c r="Q39" s="174"/>
      <c r="R39" s="171"/>
      <c r="S39" s="170"/>
      <c r="T39" s="169"/>
      <c r="U39" s="170"/>
      <c r="V39" s="170"/>
      <c r="W39" s="3"/>
      <c r="X39" s="2"/>
    </row>
    <row r="40" spans="1:24" ht="17.149999999999999" customHeight="1" x14ac:dyDescent="0.25">
      <c r="A40" s="173"/>
      <c r="B40" s="169"/>
      <c r="C40" s="169"/>
      <c r="D40" s="169"/>
      <c r="E40" s="174"/>
      <c r="F40" s="171"/>
      <c r="G40" s="170"/>
      <c r="H40" s="169"/>
      <c r="I40" s="170"/>
      <c r="J40" s="170"/>
      <c r="K40" s="170"/>
      <c r="L40" s="171"/>
      <c r="M40" s="169"/>
      <c r="N40" s="169"/>
      <c r="O40" s="169"/>
      <c r="P40" s="169"/>
      <c r="Q40" s="174"/>
      <c r="R40" s="171"/>
      <c r="S40" s="170"/>
      <c r="T40" s="169"/>
      <c r="U40" s="170"/>
      <c r="V40" s="170"/>
      <c r="W40" s="3"/>
      <c r="X40" s="2"/>
    </row>
    <row r="41" spans="1:24" ht="17.149999999999999" customHeight="1" x14ac:dyDescent="0.25">
      <c r="A41" s="173"/>
      <c r="B41" s="169"/>
      <c r="C41" s="169"/>
      <c r="D41" s="169"/>
      <c r="E41" s="174"/>
      <c r="F41" s="171"/>
      <c r="G41" s="170"/>
      <c r="H41" s="169"/>
      <c r="I41" s="170"/>
      <c r="J41" s="170"/>
      <c r="K41" s="170"/>
      <c r="L41" s="171"/>
      <c r="M41" s="169"/>
      <c r="N41" s="169"/>
      <c r="O41" s="169"/>
      <c r="P41" s="169"/>
      <c r="Q41" s="174"/>
      <c r="R41" s="171"/>
      <c r="S41" s="170"/>
      <c r="T41" s="169"/>
      <c r="U41" s="170"/>
      <c r="V41" s="170"/>
      <c r="W41" s="3"/>
      <c r="X41" s="2"/>
    </row>
    <row r="42" spans="1:24" ht="17.149999999999999" customHeight="1" x14ac:dyDescent="0.25">
      <c r="A42" s="173"/>
      <c r="B42" s="169"/>
      <c r="C42" s="169"/>
      <c r="D42" s="169"/>
      <c r="E42" s="174"/>
      <c r="F42" s="171"/>
      <c r="G42" s="170"/>
      <c r="H42" s="169"/>
      <c r="I42" s="170"/>
      <c r="J42" s="170"/>
      <c r="K42" s="170"/>
      <c r="L42" s="171"/>
      <c r="M42" s="169"/>
      <c r="N42" s="169"/>
      <c r="O42" s="169"/>
      <c r="P42" s="169"/>
      <c r="Q42" s="174"/>
      <c r="R42" s="171"/>
      <c r="S42" s="170"/>
      <c r="T42" s="169"/>
      <c r="U42" s="170"/>
      <c r="V42" s="170"/>
      <c r="W42" s="3"/>
      <c r="X42" s="2"/>
    </row>
    <row r="43" spans="1:24" ht="17.149999999999999" customHeight="1" x14ac:dyDescent="0.25">
      <c r="A43" s="173"/>
      <c r="B43" s="169"/>
      <c r="C43" s="169"/>
      <c r="D43" s="169"/>
      <c r="E43" s="174"/>
      <c r="F43" s="171"/>
      <c r="G43" s="170"/>
      <c r="H43" s="169"/>
      <c r="I43" s="170"/>
      <c r="J43" s="170"/>
      <c r="K43" s="170"/>
      <c r="L43" s="171"/>
      <c r="M43" s="169"/>
      <c r="N43" s="169"/>
      <c r="O43" s="169"/>
      <c r="P43" s="169"/>
      <c r="Q43" s="174"/>
      <c r="R43" s="171"/>
      <c r="S43" s="170"/>
      <c r="T43" s="169"/>
      <c r="U43" s="170"/>
      <c r="V43" s="170"/>
      <c r="W43" s="3"/>
      <c r="X43" s="2"/>
    </row>
    <row r="44" spans="1:24" ht="17.149999999999999" customHeight="1" x14ac:dyDescent="0.25">
      <c r="A44" s="173"/>
      <c r="B44" s="169"/>
      <c r="C44" s="169"/>
      <c r="D44" s="169"/>
      <c r="E44" s="174"/>
      <c r="F44" s="171"/>
      <c r="G44" s="170"/>
      <c r="H44" s="169"/>
      <c r="I44" s="170"/>
      <c r="J44" s="170"/>
      <c r="K44" s="170"/>
      <c r="L44" s="171"/>
      <c r="M44" s="169"/>
      <c r="N44" s="169"/>
      <c r="O44" s="169"/>
      <c r="P44" s="169"/>
      <c r="Q44" s="174"/>
      <c r="R44" s="171"/>
      <c r="S44" s="170"/>
      <c r="T44" s="169"/>
      <c r="U44" s="170"/>
      <c r="V44" s="170"/>
      <c r="W44" s="3"/>
      <c r="X44" s="2"/>
    </row>
    <row r="45" spans="1:24" ht="17.149999999999999" customHeight="1" x14ac:dyDescent="0.25">
      <c r="A45" s="173"/>
      <c r="B45" s="169"/>
      <c r="C45" s="169"/>
      <c r="D45" s="169"/>
      <c r="E45" s="174"/>
      <c r="F45" s="171"/>
      <c r="G45" s="170"/>
      <c r="H45" s="169"/>
      <c r="I45" s="170"/>
      <c r="J45" s="170"/>
      <c r="K45" s="170"/>
      <c r="L45" s="171"/>
      <c r="M45" s="169"/>
      <c r="N45" s="169"/>
      <c r="O45" s="169"/>
      <c r="P45" s="169"/>
      <c r="Q45" s="174"/>
      <c r="R45" s="171"/>
      <c r="S45" s="170"/>
      <c r="T45" s="169"/>
      <c r="U45" s="170"/>
      <c r="V45" s="170"/>
      <c r="W45" s="3"/>
      <c r="X45" s="2"/>
    </row>
    <row r="46" spans="1:24" ht="17.149999999999999" customHeight="1" x14ac:dyDescent="0.25">
      <c r="A46" s="173"/>
      <c r="B46" s="169"/>
      <c r="C46" s="169"/>
      <c r="D46" s="169"/>
      <c r="E46" s="174"/>
      <c r="F46" s="171"/>
      <c r="G46" s="170"/>
      <c r="H46" s="169"/>
      <c r="I46" s="170"/>
      <c r="J46" s="170"/>
      <c r="K46" s="170"/>
      <c r="L46" s="171"/>
      <c r="M46" s="169"/>
      <c r="N46" s="169"/>
      <c r="O46" s="169"/>
      <c r="P46" s="169"/>
      <c r="Q46" s="174"/>
      <c r="R46" s="171"/>
      <c r="S46" s="170"/>
      <c r="T46" s="169"/>
      <c r="U46" s="170"/>
      <c r="V46" s="170"/>
      <c r="W46" s="3"/>
      <c r="X46" s="2"/>
    </row>
    <row r="47" spans="1:24" ht="17.149999999999999" customHeight="1" x14ac:dyDescent="0.25">
      <c r="A47" s="173"/>
      <c r="B47" s="169"/>
      <c r="C47" s="169"/>
      <c r="D47" s="169"/>
      <c r="E47" s="174"/>
      <c r="F47" s="171"/>
      <c r="G47" s="170"/>
      <c r="H47" s="169"/>
      <c r="I47" s="170"/>
      <c r="J47" s="170"/>
      <c r="K47" s="170"/>
      <c r="L47" s="171"/>
      <c r="M47" s="169"/>
      <c r="N47" s="169"/>
      <c r="O47" s="169"/>
      <c r="P47" s="169"/>
      <c r="Q47" s="174"/>
      <c r="R47" s="171"/>
      <c r="S47" s="170"/>
      <c r="T47" s="169"/>
      <c r="U47" s="170"/>
      <c r="V47" s="170"/>
      <c r="W47" s="3"/>
      <c r="X47" s="2"/>
    </row>
    <row r="48" spans="1:24" ht="17.149999999999999" customHeight="1" x14ac:dyDescent="0.25">
      <c r="A48" s="173"/>
      <c r="B48" s="169"/>
      <c r="C48" s="169"/>
      <c r="D48" s="169"/>
      <c r="E48" s="174"/>
      <c r="F48" s="171"/>
      <c r="G48" s="170"/>
      <c r="H48" s="169"/>
      <c r="I48" s="170"/>
      <c r="J48" s="170"/>
      <c r="K48" s="170"/>
      <c r="L48" s="171"/>
      <c r="M48" s="169"/>
      <c r="N48" s="169"/>
      <c r="O48" s="169"/>
      <c r="P48" s="169"/>
      <c r="Q48" s="174"/>
      <c r="R48" s="171"/>
      <c r="S48" s="170"/>
      <c r="T48" s="169"/>
      <c r="U48" s="170"/>
      <c r="V48" s="170"/>
      <c r="W48" s="3"/>
      <c r="X48" s="2"/>
    </row>
    <row r="49" spans="1:24" ht="17.149999999999999" customHeight="1" x14ac:dyDescent="0.25">
      <c r="A49" s="173"/>
      <c r="B49" s="169"/>
      <c r="C49" s="169"/>
      <c r="D49" s="169"/>
      <c r="E49" s="174"/>
      <c r="F49" s="171"/>
      <c r="G49" s="170"/>
      <c r="H49" s="169"/>
      <c r="I49" s="170"/>
      <c r="J49" s="170"/>
      <c r="K49" s="170"/>
      <c r="L49" s="171"/>
      <c r="M49" s="169"/>
      <c r="N49" s="169"/>
      <c r="O49" s="169"/>
      <c r="P49" s="169"/>
      <c r="Q49" s="174"/>
      <c r="R49" s="171"/>
      <c r="S49" s="170"/>
      <c r="T49" s="169"/>
      <c r="U49" s="170"/>
      <c r="V49" s="170"/>
      <c r="W49" s="3"/>
      <c r="X49" s="2"/>
    </row>
    <row r="50" spans="1:24" ht="17.149999999999999" customHeight="1" x14ac:dyDescent="0.25">
      <c r="A50" s="169"/>
      <c r="B50" s="169"/>
      <c r="C50" s="169"/>
      <c r="D50" s="169"/>
      <c r="E50" s="169"/>
      <c r="F50" s="169"/>
      <c r="G50" s="169"/>
      <c r="H50" s="169"/>
      <c r="I50" s="170"/>
      <c r="J50" s="170"/>
      <c r="K50" s="170"/>
      <c r="L50" s="171"/>
      <c r="M50" s="169"/>
      <c r="N50" s="169"/>
      <c r="O50" s="169"/>
      <c r="P50" s="169"/>
      <c r="Q50" s="169"/>
      <c r="R50" s="169"/>
      <c r="S50" s="169"/>
      <c r="T50" s="169"/>
      <c r="U50" s="170"/>
      <c r="V50" s="170"/>
      <c r="W50" s="3"/>
      <c r="X50" s="2"/>
    </row>
    <row r="51" spans="1:24" ht="17.149999999999999" customHeight="1" x14ac:dyDescent="0.25">
      <c r="A51" s="173"/>
      <c r="B51" s="169"/>
      <c r="C51" s="169"/>
      <c r="D51" s="169"/>
      <c r="E51" s="174"/>
      <c r="F51" s="171"/>
      <c r="G51" s="170"/>
      <c r="H51" s="169"/>
      <c r="I51" s="170"/>
      <c r="J51" s="170"/>
      <c r="K51" s="170"/>
      <c r="L51" s="171"/>
      <c r="M51" s="169"/>
      <c r="N51" s="169"/>
      <c r="O51" s="169"/>
      <c r="P51" s="169"/>
      <c r="Q51" s="174"/>
      <c r="R51" s="171"/>
      <c r="S51" s="170"/>
      <c r="T51" s="169"/>
      <c r="U51" s="170"/>
      <c r="V51" s="170"/>
      <c r="W51" s="3"/>
      <c r="X51" s="2"/>
    </row>
    <row r="52" spans="1:24" ht="17.149999999999999" customHeight="1" x14ac:dyDescent="0.25">
      <c r="A52" s="173"/>
      <c r="B52" s="169"/>
      <c r="C52" s="169"/>
      <c r="D52" s="169"/>
      <c r="E52" s="174"/>
      <c r="F52" s="171"/>
      <c r="G52" s="170"/>
      <c r="H52" s="169"/>
      <c r="I52" s="170"/>
      <c r="J52" s="170"/>
      <c r="K52" s="170"/>
      <c r="L52" s="171"/>
      <c r="M52" s="169"/>
      <c r="N52" s="169"/>
      <c r="O52" s="169"/>
      <c r="P52" s="169"/>
      <c r="Q52" s="174"/>
      <c r="R52" s="171"/>
      <c r="S52" s="170"/>
      <c r="T52" s="169"/>
      <c r="U52" s="170"/>
      <c r="V52" s="170"/>
      <c r="W52" s="3"/>
      <c r="X52" s="2"/>
    </row>
    <row r="53" spans="1:24" ht="17.149999999999999" customHeight="1" x14ac:dyDescent="0.25">
      <c r="A53" s="173"/>
      <c r="B53" s="169"/>
      <c r="C53" s="169"/>
      <c r="D53" s="169"/>
      <c r="E53" s="174"/>
      <c r="F53" s="171"/>
      <c r="G53" s="170"/>
      <c r="H53" s="169"/>
      <c r="I53" s="170"/>
      <c r="J53" s="170"/>
      <c r="K53" s="170"/>
      <c r="L53" s="171"/>
      <c r="M53" s="169"/>
      <c r="N53" s="169"/>
      <c r="O53" s="169"/>
      <c r="P53" s="169"/>
      <c r="Q53" s="174"/>
      <c r="R53" s="171"/>
      <c r="S53" s="170"/>
      <c r="T53" s="169"/>
      <c r="U53" s="170"/>
      <c r="V53" s="170"/>
      <c r="W53" s="3"/>
      <c r="X53" s="2"/>
    </row>
    <row r="54" spans="1:24" ht="17.149999999999999" customHeight="1" x14ac:dyDescent="0.25">
      <c r="A54" s="173"/>
      <c r="B54" s="169"/>
      <c r="C54" s="169"/>
      <c r="D54" s="169"/>
      <c r="E54" s="174"/>
      <c r="F54" s="171"/>
      <c r="G54" s="170"/>
      <c r="H54" s="169"/>
      <c r="I54" s="170"/>
      <c r="J54" s="170"/>
      <c r="K54" s="170"/>
      <c r="L54" s="171"/>
      <c r="M54" s="169"/>
      <c r="N54" s="169"/>
      <c r="O54" s="169"/>
      <c r="P54" s="169"/>
      <c r="Q54" s="174"/>
      <c r="R54" s="171"/>
      <c r="S54" s="170"/>
      <c r="T54" s="169"/>
      <c r="U54" s="170"/>
      <c r="V54" s="170"/>
      <c r="W54" s="3"/>
      <c r="X54" s="2"/>
    </row>
    <row r="55" spans="1:24" ht="17.149999999999999" customHeight="1" x14ac:dyDescent="0.25">
      <c r="A55" s="173"/>
      <c r="B55" s="169"/>
      <c r="C55" s="169"/>
      <c r="D55" s="169"/>
      <c r="E55" s="174"/>
      <c r="F55" s="171"/>
      <c r="G55" s="170"/>
      <c r="H55" s="169"/>
      <c r="I55" s="170"/>
      <c r="J55" s="170"/>
      <c r="K55" s="170"/>
      <c r="L55" s="171"/>
      <c r="M55" s="169"/>
      <c r="N55" s="169"/>
      <c r="O55" s="169"/>
      <c r="P55" s="169"/>
      <c r="Q55" s="174"/>
      <c r="R55" s="171"/>
      <c r="S55" s="170"/>
      <c r="T55" s="169"/>
      <c r="U55" s="170"/>
      <c r="V55" s="170"/>
      <c r="W55" s="3"/>
      <c r="X55" s="2"/>
    </row>
    <row r="56" spans="1:24" ht="17.149999999999999" customHeight="1" x14ac:dyDescent="0.25">
      <c r="A56" s="173"/>
      <c r="B56" s="169"/>
      <c r="C56" s="169"/>
      <c r="D56" s="169"/>
      <c r="E56" s="174"/>
      <c r="F56" s="171"/>
      <c r="G56" s="170"/>
      <c r="H56" s="169"/>
      <c r="I56" s="170"/>
      <c r="J56" s="170"/>
      <c r="K56" s="170"/>
      <c r="L56" s="171"/>
      <c r="M56" s="169"/>
      <c r="N56" s="169"/>
      <c r="O56" s="169"/>
      <c r="P56" s="169"/>
      <c r="Q56" s="174"/>
      <c r="R56" s="171"/>
      <c r="S56" s="170"/>
      <c r="T56" s="169"/>
      <c r="U56" s="170"/>
      <c r="V56" s="170"/>
      <c r="W56" s="3"/>
      <c r="X56" s="2"/>
    </row>
    <row r="57" spans="1:24" ht="17.149999999999999" customHeight="1" x14ac:dyDescent="0.25">
      <c r="A57" s="173"/>
      <c r="B57" s="169"/>
      <c r="C57" s="169"/>
      <c r="D57" s="169"/>
      <c r="E57" s="174"/>
      <c r="F57" s="171"/>
      <c r="G57" s="170"/>
      <c r="H57" s="169"/>
      <c r="I57" s="170"/>
      <c r="J57" s="170"/>
      <c r="K57" s="170"/>
      <c r="L57" s="171"/>
      <c r="M57" s="169"/>
      <c r="N57" s="169"/>
      <c r="O57" s="169"/>
      <c r="P57" s="169"/>
      <c r="Q57" s="174"/>
      <c r="R57" s="171"/>
      <c r="S57" s="170"/>
      <c r="T57" s="169"/>
      <c r="U57" s="170"/>
      <c r="V57" s="170"/>
      <c r="W57" s="3"/>
      <c r="X57" s="2"/>
    </row>
    <row r="58" spans="1:24" ht="17.149999999999999" customHeight="1" x14ac:dyDescent="0.25">
      <c r="A58" s="173"/>
      <c r="B58" s="169"/>
      <c r="C58" s="169"/>
      <c r="D58" s="169"/>
      <c r="E58" s="174"/>
      <c r="F58" s="171"/>
      <c r="G58" s="170"/>
      <c r="H58" s="169"/>
      <c r="I58" s="170"/>
      <c r="J58" s="170"/>
      <c r="K58" s="170"/>
      <c r="L58" s="171"/>
      <c r="M58" s="169"/>
      <c r="N58" s="169"/>
      <c r="O58" s="169"/>
      <c r="P58" s="169"/>
      <c r="Q58" s="174"/>
      <c r="R58" s="171"/>
      <c r="S58" s="170"/>
      <c r="T58" s="169"/>
      <c r="U58" s="170"/>
      <c r="V58" s="170"/>
      <c r="W58" s="3"/>
      <c r="X58" s="2"/>
    </row>
    <row r="59" spans="1:24" ht="17.149999999999999" customHeight="1" x14ac:dyDescent="0.25">
      <c r="A59" s="173"/>
      <c r="B59" s="169"/>
      <c r="C59" s="169"/>
      <c r="D59" s="169"/>
      <c r="E59" s="174"/>
      <c r="F59" s="171"/>
      <c r="G59" s="170"/>
      <c r="H59" s="169"/>
      <c r="I59" s="170"/>
      <c r="J59" s="170"/>
      <c r="K59" s="170"/>
      <c r="L59" s="171"/>
      <c r="M59" s="169"/>
      <c r="N59" s="169"/>
      <c r="O59" s="169"/>
      <c r="P59" s="169"/>
      <c r="Q59" s="174"/>
      <c r="R59" s="171"/>
      <c r="S59" s="170"/>
      <c r="T59" s="169"/>
      <c r="U59" s="170"/>
      <c r="V59" s="170"/>
      <c r="W59" s="3"/>
      <c r="X59" s="2"/>
    </row>
    <row r="60" spans="1:24" ht="17.149999999999999" customHeight="1" x14ac:dyDescent="0.25">
      <c r="A60" s="173"/>
      <c r="B60" s="169"/>
      <c r="C60" s="169"/>
      <c r="D60" s="169"/>
      <c r="E60" s="174"/>
      <c r="F60" s="171"/>
      <c r="G60" s="170"/>
      <c r="H60" s="169"/>
      <c r="I60" s="170"/>
      <c r="J60" s="170"/>
      <c r="K60" s="170"/>
      <c r="L60" s="171"/>
      <c r="M60" s="169"/>
      <c r="N60" s="169"/>
      <c r="O60" s="169"/>
      <c r="P60" s="169"/>
      <c r="Q60" s="174"/>
      <c r="R60" s="171"/>
      <c r="S60" s="170"/>
      <c r="T60" s="169"/>
      <c r="U60" s="170"/>
      <c r="V60" s="170"/>
      <c r="W60" s="3"/>
      <c r="X60" s="2"/>
    </row>
    <row r="61" spans="1:24" ht="17.149999999999999" customHeight="1" x14ac:dyDescent="0.25">
      <c r="A61" s="173"/>
      <c r="B61" s="169"/>
      <c r="C61" s="169"/>
      <c r="D61" s="169"/>
      <c r="E61" s="174"/>
      <c r="F61" s="171"/>
      <c r="G61" s="170"/>
      <c r="H61" s="169"/>
      <c r="I61" s="170"/>
      <c r="J61" s="170"/>
      <c r="K61" s="170"/>
      <c r="L61" s="171"/>
      <c r="M61" s="169"/>
      <c r="N61" s="169"/>
      <c r="O61" s="169"/>
      <c r="P61" s="169"/>
      <c r="Q61" s="174"/>
      <c r="R61" s="171"/>
      <c r="S61" s="170"/>
      <c r="T61" s="169"/>
      <c r="U61" s="170"/>
      <c r="V61" s="170"/>
      <c r="W61" s="3"/>
      <c r="X61" s="2"/>
    </row>
    <row r="62" spans="1:24" ht="17.149999999999999" customHeight="1" x14ac:dyDescent="0.25">
      <c r="A62" s="173"/>
      <c r="B62" s="169"/>
      <c r="C62" s="169"/>
      <c r="D62" s="169"/>
      <c r="E62" s="174"/>
      <c r="F62" s="171"/>
      <c r="G62" s="170"/>
      <c r="H62" s="169"/>
      <c r="I62" s="170"/>
      <c r="J62" s="170"/>
      <c r="K62" s="170"/>
      <c r="L62" s="171"/>
      <c r="M62" s="169"/>
      <c r="N62" s="169"/>
      <c r="O62" s="169"/>
      <c r="P62" s="169"/>
      <c r="Q62" s="174"/>
      <c r="R62" s="171"/>
      <c r="S62" s="170"/>
      <c r="T62" s="169"/>
      <c r="U62" s="170"/>
      <c r="V62" s="170"/>
      <c r="W62" s="3"/>
      <c r="X62" s="2"/>
    </row>
    <row r="63" spans="1:24" ht="17.149999999999999" customHeight="1" x14ac:dyDescent="0.25">
      <c r="A63" s="173"/>
      <c r="B63" s="169"/>
      <c r="C63" s="169"/>
      <c r="D63" s="169"/>
      <c r="E63" s="174"/>
      <c r="F63" s="171"/>
      <c r="G63" s="170"/>
      <c r="H63" s="169"/>
      <c r="I63" s="170"/>
      <c r="J63" s="170"/>
      <c r="K63" s="170"/>
      <c r="L63" s="171"/>
      <c r="M63" s="169"/>
      <c r="N63" s="169"/>
      <c r="O63" s="169"/>
      <c r="P63" s="169"/>
      <c r="Q63" s="174"/>
      <c r="R63" s="171"/>
      <c r="S63" s="170"/>
      <c r="T63" s="169"/>
      <c r="U63" s="170"/>
      <c r="V63" s="170"/>
      <c r="W63" s="3"/>
      <c r="X63" s="2"/>
    </row>
    <row r="64" spans="1:24" ht="17.149999999999999" customHeight="1" x14ac:dyDescent="0.25">
      <c r="A64" s="173"/>
      <c r="B64" s="169"/>
      <c r="C64" s="169"/>
      <c r="D64" s="169"/>
      <c r="E64" s="174"/>
      <c r="F64" s="171"/>
      <c r="G64" s="170"/>
      <c r="H64" s="169"/>
      <c r="I64" s="170"/>
      <c r="J64" s="170"/>
      <c r="K64" s="170"/>
      <c r="L64" s="171"/>
      <c r="M64" s="169"/>
      <c r="N64" s="169"/>
      <c r="O64" s="169"/>
      <c r="P64" s="169"/>
      <c r="Q64" s="174"/>
      <c r="R64" s="171"/>
      <c r="S64" s="170"/>
      <c r="T64" s="169"/>
      <c r="U64" s="170"/>
      <c r="V64" s="170"/>
      <c r="W64" s="3"/>
      <c r="X64" s="2"/>
    </row>
    <row r="65" spans="1:24" ht="17.149999999999999" customHeight="1" x14ac:dyDescent="0.25">
      <c r="A65" s="173"/>
      <c r="B65" s="169"/>
      <c r="C65" s="169"/>
      <c r="D65" s="169"/>
      <c r="E65" s="174"/>
      <c r="F65" s="171"/>
      <c r="G65" s="170"/>
      <c r="H65" s="169"/>
      <c r="I65" s="170"/>
      <c r="J65" s="170"/>
      <c r="K65" s="170"/>
      <c r="L65" s="171"/>
      <c r="M65" s="169"/>
      <c r="N65" s="169"/>
      <c r="O65" s="169"/>
      <c r="P65" s="169"/>
      <c r="Q65" s="174"/>
      <c r="R65" s="171"/>
      <c r="S65" s="170"/>
      <c r="T65" s="169"/>
      <c r="U65" s="170"/>
      <c r="V65" s="170"/>
      <c r="W65" s="3"/>
      <c r="X65" s="2"/>
    </row>
    <row r="66" spans="1:24" ht="17.149999999999999" customHeight="1" x14ac:dyDescent="0.25">
      <c r="A66" s="170"/>
      <c r="B66" s="169"/>
      <c r="C66" s="169"/>
      <c r="D66" s="169"/>
      <c r="E66" s="174"/>
      <c r="F66" s="171"/>
      <c r="G66" s="170"/>
      <c r="H66" s="169"/>
      <c r="I66" s="170"/>
      <c r="J66" s="170"/>
      <c r="K66" s="170"/>
      <c r="L66" s="171"/>
      <c r="M66" s="169"/>
      <c r="N66" s="169"/>
      <c r="O66" s="169"/>
      <c r="P66" s="169"/>
      <c r="Q66" s="174"/>
      <c r="R66" s="171"/>
      <c r="S66" s="170"/>
      <c r="T66" s="169"/>
      <c r="U66" s="170"/>
      <c r="V66" s="170"/>
      <c r="W66" s="3"/>
      <c r="X66" s="2"/>
    </row>
    <row r="67" spans="1:24" ht="17.149999999999999" customHeight="1" x14ac:dyDescent="0.25">
      <c r="A67" s="170"/>
      <c r="B67" s="169"/>
      <c r="C67" s="169"/>
      <c r="D67" s="169"/>
      <c r="E67" s="174"/>
      <c r="F67" s="171"/>
      <c r="G67" s="170"/>
      <c r="H67" s="169"/>
      <c r="I67" s="170"/>
      <c r="J67" s="170"/>
      <c r="K67" s="170"/>
      <c r="L67" s="171"/>
      <c r="M67" s="169"/>
      <c r="N67" s="169"/>
      <c r="O67" s="169"/>
      <c r="P67" s="169"/>
      <c r="Q67" s="174"/>
      <c r="R67" s="171"/>
      <c r="S67" s="170"/>
      <c r="T67" s="169"/>
      <c r="U67" s="170"/>
      <c r="V67" s="170"/>
      <c r="W67" s="3"/>
      <c r="X67" s="2"/>
    </row>
    <row r="68" spans="1:24" ht="17.149999999999999" customHeight="1" x14ac:dyDescent="0.25">
      <c r="A68" s="170"/>
      <c r="B68" s="169"/>
      <c r="C68" s="169"/>
      <c r="D68" s="169"/>
      <c r="E68" s="174"/>
      <c r="F68" s="171"/>
      <c r="G68" s="170"/>
      <c r="H68" s="169"/>
      <c r="I68" s="170"/>
      <c r="J68" s="170"/>
      <c r="K68" s="170"/>
      <c r="L68" s="171"/>
      <c r="M68" s="169"/>
      <c r="N68" s="169"/>
      <c r="O68" s="169"/>
      <c r="P68" s="169"/>
      <c r="Q68" s="174"/>
      <c r="R68" s="171"/>
      <c r="S68" s="170"/>
      <c r="T68" s="169"/>
      <c r="U68" s="170"/>
      <c r="V68" s="170"/>
      <c r="W68" s="3"/>
      <c r="X68" s="2"/>
    </row>
    <row r="69" spans="1:24" ht="17.149999999999999" customHeight="1" x14ac:dyDescent="0.25">
      <c r="A69" s="170"/>
      <c r="B69" s="169"/>
      <c r="C69" s="169"/>
      <c r="D69" s="169"/>
      <c r="E69" s="174"/>
      <c r="F69" s="171"/>
      <c r="G69" s="170"/>
      <c r="H69" s="169"/>
      <c r="I69" s="170"/>
      <c r="J69" s="170"/>
      <c r="K69" s="170"/>
      <c r="L69" s="171"/>
      <c r="M69" s="169"/>
      <c r="N69" s="169"/>
      <c r="O69" s="169"/>
      <c r="P69" s="169"/>
      <c r="Q69" s="174"/>
      <c r="R69" s="171"/>
      <c r="S69" s="170"/>
      <c r="T69" s="169"/>
      <c r="U69" s="170"/>
      <c r="V69" s="170"/>
      <c r="W69" s="3"/>
      <c r="X69" s="2"/>
    </row>
    <row r="70" spans="1:24" ht="17.149999999999999" customHeight="1" x14ac:dyDescent="0.25">
      <c r="A70" s="170"/>
      <c r="B70" s="169"/>
      <c r="C70" s="169"/>
      <c r="D70" s="169"/>
      <c r="E70" s="174"/>
      <c r="F70" s="171"/>
      <c r="G70" s="170"/>
      <c r="H70" s="169"/>
      <c r="I70" s="170"/>
      <c r="J70" s="170"/>
      <c r="K70" s="170"/>
      <c r="L70" s="171"/>
      <c r="M70" s="169"/>
      <c r="N70" s="169"/>
      <c r="O70" s="169"/>
      <c r="P70" s="169"/>
      <c r="Q70" s="174"/>
      <c r="R70" s="171"/>
      <c r="S70" s="170"/>
      <c r="T70" s="169"/>
      <c r="U70" s="170"/>
      <c r="V70" s="170"/>
      <c r="W70" s="3"/>
      <c r="X70" s="2"/>
    </row>
    <row r="71" spans="1:24" ht="17.149999999999999" customHeight="1" x14ac:dyDescent="0.25">
      <c r="A71" s="170"/>
      <c r="B71" s="169"/>
      <c r="C71" s="169"/>
      <c r="D71" s="169"/>
      <c r="E71" s="174"/>
      <c r="F71" s="171"/>
      <c r="G71" s="170"/>
      <c r="H71" s="169"/>
      <c r="I71" s="170"/>
      <c r="J71" s="170"/>
      <c r="K71" s="170"/>
      <c r="L71" s="171"/>
      <c r="M71" s="169"/>
      <c r="N71" s="169"/>
      <c r="O71" s="169"/>
      <c r="P71" s="169"/>
      <c r="Q71" s="174"/>
      <c r="R71" s="171"/>
      <c r="S71" s="170"/>
      <c r="T71" s="169"/>
      <c r="U71" s="170"/>
      <c r="V71" s="170"/>
      <c r="W71" s="3"/>
      <c r="X71" s="2"/>
    </row>
    <row r="72" spans="1:24" ht="17.149999999999999" customHeight="1" x14ac:dyDescent="0.25">
      <c r="A72" s="170"/>
      <c r="B72" s="169"/>
      <c r="C72" s="169"/>
      <c r="D72" s="169"/>
      <c r="E72" s="174"/>
      <c r="F72" s="171"/>
      <c r="G72" s="170"/>
      <c r="H72" s="169"/>
      <c r="I72" s="170"/>
      <c r="J72" s="170"/>
      <c r="K72" s="170"/>
      <c r="L72" s="171"/>
      <c r="M72" s="169"/>
      <c r="N72" s="169"/>
      <c r="O72" s="169"/>
      <c r="P72" s="169"/>
      <c r="Q72" s="174"/>
      <c r="R72" s="171"/>
      <c r="S72" s="170"/>
      <c r="T72" s="169"/>
      <c r="U72" s="170"/>
      <c r="V72" s="170"/>
      <c r="W72" s="3"/>
      <c r="X72" s="2"/>
    </row>
    <row r="73" spans="1:24" ht="17.149999999999999" customHeight="1" x14ac:dyDescent="0.25">
      <c r="A73" s="170"/>
      <c r="B73" s="169"/>
      <c r="C73" s="169"/>
      <c r="D73" s="169"/>
      <c r="E73" s="174"/>
      <c r="F73" s="171"/>
      <c r="G73" s="170"/>
      <c r="H73" s="169"/>
      <c r="I73" s="170"/>
      <c r="J73" s="170"/>
      <c r="K73" s="170"/>
      <c r="L73" s="171"/>
      <c r="M73" s="169"/>
      <c r="N73" s="169"/>
      <c r="O73" s="169"/>
      <c r="P73" s="169"/>
      <c r="Q73" s="174"/>
      <c r="R73" s="171"/>
      <c r="S73" s="170"/>
      <c r="T73" s="169"/>
      <c r="U73" s="170"/>
      <c r="V73" s="170"/>
      <c r="W73" s="3"/>
      <c r="X73" s="2"/>
    </row>
    <row r="74" spans="1:24" ht="17.149999999999999" customHeight="1" x14ac:dyDescent="0.25">
      <c r="A74" s="170"/>
      <c r="B74" s="169"/>
      <c r="C74" s="169"/>
      <c r="D74" s="169"/>
      <c r="E74" s="174"/>
      <c r="F74" s="171"/>
      <c r="G74" s="170"/>
      <c r="H74" s="169"/>
      <c r="I74" s="170"/>
      <c r="J74" s="170"/>
      <c r="K74" s="170"/>
      <c r="L74" s="171"/>
      <c r="M74" s="169"/>
      <c r="N74" s="169"/>
      <c r="O74" s="169"/>
      <c r="P74" s="169"/>
      <c r="Q74" s="174"/>
      <c r="R74" s="171"/>
      <c r="S74" s="170"/>
      <c r="T74" s="169"/>
      <c r="U74" s="170"/>
      <c r="V74" s="170"/>
      <c r="W74" s="3"/>
      <c r="X74" s="2"/>
    </row>
    <row r="75" spans="1:24" ht="17.149999999999999" customHeight="1" x14ac:dyDescent="0.25">
      <c r="A75" s="170"/>
      <c r="B75" s="169"/>
      <c r="C75" s="169"/>
      <c r="D75" s="169"/>
      <c r="E75" s="174"/>
      <c r="F75" s="171"/>
      <c r="G75" s="170"/>
      <c r="H75" s="169"/>
      <c r="I75" s="170"/>
      <c r="J75" s="170"/>
      <c r="K75" s="170"/>
      <c r="L75" s="171"/>
      <c r="M75" s="169"/>
      <c r="N75" s="169"/>
      <c r="O75" s="169"/>
      <c r="P75" s="169"/>
      <c r="Q75" s="174"/>
      <c r="R75" s="171"/>
      <c r="S75" s="170"/>
      <c r="T75" s="169"/>
      <c r="U75" s="170"/>
      <c r="V75" s="170"/>
      <c r="W75" s="3"/>
      <c r="X75" s="2"/>
    </row>
    <row r="76" spans="1:24" ht="17.149999999999999" customHeight="1" x14ac:dyDescent="0.25">
      <c r="A76" s="170"/>
      <c r="B76" s="169"/>
      <c r="C76" s="169"/>
      <c r="D76" s="169"/>
      <c r="E76" s="174"/>
      <c r="F76" s="171"/>
      <c r="G76" s="170"/>
      <c r="H76" s="169"/>
      <c r="I76" s="170"/>
      <c r="J76" s="170"/>
      <c r="K76" s="170"/>
      <c r="L76" s="171"/>
      <c r="M76" s="169"/>
      <c r="N76" s="169"/>
      <c r="O76" s="169"/>
      <c r="P76" s="169"/>
      <c r="Q76" s="174"/>
      <c r="R76" s="171"/>
      <c r="S76" s="170"/>
      <c r="T76" s="169"/>
      <c r="U76" s="170"/>
      <c r="V76" s="170"/>
      <c r="W76" s="3"/>
      <c r="X76" s="2"/>
    </row>
    <row r="77" spans="1:24" ht="17.149999999999999" customHeight="1" x14ac:dyDescent="0.25">
      <c r="A77" s="170"/>
      <c r="B77" s="169"/>
      <c r="C77" s="169"/>
      <c r="D77" s="169"/>
      <c r="E77" s="174"/>
      <c r="F77" s="171"/>
      <c r="G77" s="170"/>
      <c r="H77" s="169"/>
      <c r="I77" s="170"/>
      <c r="J77" s="170"/>
      <c r="K77" s="170"/>
      <c r="L77" s="171"/>
      <c r="M77" s="169"/>
      <c r="N77" s="169"/>
      <c r="O77" s="169"/>
      <c r="P77" s="169"/>
      <c r="Q77" s="174"/>
      <c r="R77" s="171"/>
      <c r="S77" s="170"/>
      <c r="T77" s="169"/>
      <c r="U77" s="170"/>
      <c r="V77" s="170"/>
      <c r="W77" s="3"/>
      <c r="X77" s="2"/>
    </row>
    <row r="78" spans="1:24" ht="17.149999999999999" customHeight="1" x14ac:dyDescent="0.25">
      <c r="A78" s="170"/>
      <c r="B78" s="169"/>
      <c r="C78" s="169"/>
      <c r="D78" s="169"/>
      <c r="E78" s="174"/>
      <c r="F78" s="171"/>
      <c r="G78" s="170"/>
      <c r="H78" s="169"/>
      <c r="I78" s="170"/>
      <c r="J78" s="170"/>
      <c r="K78" s="170"/>
      <c r="L78" s="171"/>
      <c r="M78" s="169"/>
      <c r="N78" s="169"/>
      <c r="O78" s="169"/>
      <c r="P78" s="169"/>
      <c r="Q78" s="174"/>
      <c r="R78" s="171"/>
      <c r="S78" s="170"/>
      <c r="T78" s="169"/>
      <c r="U78" s="170"/>
      <c r="V78" s="170"/>
      <c r="W78" s="3"/>
      <c r="X78" s="2"/>
    </row>
    <row r="79" spans="1:24" ht="17.149999999999999" customHeight="1" x14ac:dyDescent="0.25">
      <c r="A79" s="170"/>
      <c r="B79" s="169"/>
      <c r="C79" s="169"/>
      <c r="D79" s="169"/>
      <c r="E79" s="174"/>
      <c r="F79" s="171"/>
      <c r="G79" s="170"/>
      <c r="H79" s="169"/>
      <c r="I79" s="170"/>
      <c r="J79" s="170"/>
      <c r="K79" s="170"/>
      <c r="L79" s="171"/>
      <c r="M79" s="169"/>
      <c r="N79" s="169"/>
      <c r="O79" s="169"/>
      <c r="P79" s="169"/>
      <c r="Q79" s="174"/>
      <c r="R79" s="171"/>
      <c r="S79" s="170"/>
      <c r="T79" s="169"/>
      <c r="U79" s="170"/>
      <c r="V79" s="170"/>
      <c r="W79" s="3"/>
      <c r="X79" s="2"/>
    </row>
    <row r="80" spans="1:24" ht="17.149999999999999" customHeight="1" x14ac:dyDescent="0.25">
      <c r="A80" s="170"/>
      <c r="B80" s="169"/>
      <c r="C80" s="169"/>
      <c r="D80" s="169"/>
      <c r="E80" s="174"/>
      <c r="F80" s="171"/>
      <c r="G80" s="170"/>
      <c r="H80" s="169"/>
      <c r="I80" s="170"/>
      <c r="J80" s="170"/>
      <c r="K80" s="170"/>
      <c r="L80" s="171"/>
      <c r="M80" s="169"/>
      <c r="N80" s="169"/>
      <c r="O80" s="169"/>
      <c r="P80" s="169"/>
      <c r="Q80" s="174"/>
      <c r="R80" s="171"/>
      <c r="S80" s="170"/>
      <c r="T80" s="169"/>
      <c r="U80" s="170"/>
      <c r="V80" s="170"/>
      <c r="W80" s="3"/>
      <c r="X80" s="2"/>
    </row>
    <row r="81" spans="1:24" ht="17.149999999999999" customHeight="1" x14ac:dyDescent="0.25">
      <c r="A81" s="170"/>
      <c r="B81" s="169"/>
      <c r="C81" s="169"/>
      <c r="D81" s="169"/>
      <c r="E81" s="174"/>
      <c r="F81" s="171"/>
      <c r="G81" s="170"/>
      <c r="H81" s="169"/>
      <c r="I81" s="170"/>
      <c r="J81" s="170"/>
      <c r="K81" s="170"/>
      <c r="L81" s="171"/>
      <c r="M81" s="169"/>
      <c r="N81" s="169"/>
      <c r="O81" s="169"/>
      <c r="P81" s="169"/>
      <c r="Q81" s="174"/>
      <c r="R81" s="171"/>
      <c r="S81" s="170"/>
      <c r="T81" s="169"/>
      <c r="U81" s="170"/>
      <c r="V81" s="170"/>
      <c r="W81" s="3"/>
      <c r="X81" s="2"/>
    </row>
    <row r="82" spans="1:24" ht="17.149999999999999" customHeight="1" x14ac:dyDescent="0.25">
      <c r="A82" s="170"/>
      <c r="B82" s="169"/>
      <c r="C82" s="169"/>
      <c r="D82" s="169"/>
      <c r="E82" s="174"/>
      <c r="F82" s="171"/>
      <c r="G82" s="170"/>
      <c r="H82" s="169"/>
      <c r="I82" s="170"/>
      <c r="J82" s="170"/>
      <c r="K82" s="170"/>
      <c r="L82" s="171"/>
      <c r="M82" s="169"/>
      <c r="N82" s="169"/>
      <c r="O82" s="169"/>
      <c r="P82" s="169"/>
      <c r="Q82" s="174"/>
      <c r="R82" s="171"/>
      <c r="S82" s="170"/>
      <c r="T82" s="169"/>
      <c r="U82" s="170"/>
      <c r="V82" s="170"/>
      <c r="W82" s="3"/>
      <c r="X82" s="2"/>
    </row>
    <row r="83" spans="1:24" ht="17.149999999999999" customHeight="1" x14ac:dyDescent="0.25">
      <c r="A83" s="170"/>
      <c r="B83" s="169"/>
      <c r="C83" s="169"/>
      <c r="D83" s="169"/>
      <c r="E83" s="174"/>
      <c r="F83" s="171"/>
      <c r="G83" s="170"/>
      <c r="H83" s="169"/>
      <c r="I83" s="170"/>
      <c r="J83" s="170"/>
      <c r="K83" s="170"/>
      <c r="L83" s="171"/>
      <c r="M83" s="169"/>
      <c r="N83" s="169"/>
      <c r="O83" s="169"/>
      <c r="P83" s="169"/>
      <c r="Q83" s="174"/>
      <c r="R83" s="171"/>
      <c r="S83" s="170"/>
      <c r="T83" s="169"/>
      <c r="U83" s="170"/>
      <c r="V83" s="170"/>
      <c r="W83" s="3"/>
      <c r="X83" s="2"/>
    </row>
    <row r="84" spans="1:24" ht="17.149999999999999" customHeight="1" x14ac:dyDescent="0.25">
      <c r="A84" s="170"/>
      <c r="B84" s="169"/>
      <c r="C84" s="169"/>
      <c r="D84" s="169"/>
      <c r="E84" s="174"/>
      <c r="F84" s="171"/>
      <c r="G84" s="170"/>
      <c r="H84" s="169"/>
      <c r="I84" s="170"/>
      <c r="J84" s="170"/>
      <c r="K84" s="170"/>
      <c r="L84" s="171"/>
      <c r="M84" s="169"/>
      <c r="N84" s="169"/>
      <c r="O84" s="169"/>
      <c r="P84" s="169"/>
      <c r="Q84" s="174"/>
      <c r="R84" s="171"/>
      <c r="S84" s="170"/>
      <c r="T84" s="169"/>
      <c r="U84" s="170"/>
      <c r="V84" s="170"/>
      <c r="W84" s="3"/>
      <c r="X84" s="2"/>
    </row>
    <row r="85" spans="1:24" ht="17.149999999999999" customHeight="1" x14ac:dyDescent="0.25">
      <c r="A85" s="170"/>
      <c r="B85" s="169"/>
      <c r="C85" s="169"/>
      <c r="D85" s="169"/>
      <c r="E85" s="174"/>
      <c r="F85" s="171"/>
      <c r="G85" s="170"/>
      <c r="H85" s="169"/>
      <c r="I85" s="170"/>
      <c r="J85" s="170"/>
      <c r="K85" s="170"/>
      <c r="L85" s="171"/>
      <c r="M85" s="169"/>
      <c r="N85" s="169"/>
      <c r="O85" s="169"/>
      <c r="P85" s="169"/>
      <c r="Q85" s="174"/>
      <c r="R85" s="171"/>
      <c r="S85" s="170"/>
      <c r="T85" s="169"/>
      <c r="U85" s="170"/>
      <c r="V85" s="170"/>
      <c r="W85" s="3"/>
      <c r="X85" s="2"/>
    </row>
    <row r="86" spans="1:24" ht="17.149999999999999" customHeight="1" x14ac:dyDescent="0.25">
      <c r="A86" s="170"/>
      <c r="B86" s="169"/>
      <c r="C86" s="169"/>
      <c r="D86" s="169"/>
      <c r="E86" s="174"/>
      <c r="F86" s="171"/>
      <c r="G86" s="170"/>
      <c r="H86" s="169"/>
      <c r="I86" s="170"/>
      <c r="J86" s="170"/>
      <c r="K86" s="170"/>
      <c r="L86" s="171"/>
      <c r="M86" s="169"/>
      <c r="N86" s="169"/>
      <c r="O86" s="169"/>
      <c r="P86" s="169"/>
      <c r="Q86" s="174"/>
      <c r="R86" s="171"/>
      <c r="S86" s="170"/>
      <c r="T86" s="169"/>
      <c r="U86" s="170"/>
      <c r="V86" s="170"/>
      <c r="W86" s="3"/>
      <c r="X86" s="2"/>
    </row>
    <row r="87" spans="1:24" ht="17.149999999999999" customHeight="1" x14ac:dyDescent="0.25">
      <c r="A87" s="170"/>
      <c r="B87" s="169"/>
      <c r="C87" s="169"/>
      <c r="D87" s="169"/>
      <c r="E87" s="174"/>
      <c r="F87" s="171"/>
      <c r="G87" s="170"/>
      <c r="H87" s="169"/>
      <c r="I87" s="170"/>
      <c r="J87" s="170"/>
      <c r="K87" s="170"/>
      <c r="L87" s="171"/>
      <c r="M87" s="169"/>
      <c r="N87" s="169"/>
      <c r="O87" s="169"/>
      <c r="P87" s="169"/>
      <c r="Q87" s="174"/>
      <c r="R87" s="171"/>
      <c r="S87" s="170"/>
      <c r="T87" s="169"/>
      <c r="U87" s="170"/>
      <c r="V87" s="170"/>
      <c r="W87" s="3"/>
      <c r="X87" s="2"/>
    </row>
    <row r="88" spans="1:24" ht="17.149999999999999" customHeight="1" x14ac:dyDescent="0.25">
      <c r="A88" s="170"/>
      <c r="B88" s="169"/>
      <c r="C88" s="169"/>
      <c r="D88" s="169"/>
      <c r="E88" s="174"/>
      <c r="F88" s="171"/>
      <c r="G88" s="170"/>
      <c r="H88" s="169"/>
      <c r="I88" s="170"/>
      <c r="J88" s="170"/>
      <c r="K88" s="170"/>
      <c r="L88" s="171"/>
      <c r="M88" s="169"/>
      <c r="N88" s="169"/>
      <c r="O88" s="169"/>
      <c r="P88" s="169"/>
      <c r="Q88" s="174"/>
      <c r="R88" s="171"/>
      <c r="S88" s="170"/>
      <c r="T88" s="169"/>
      <c r="U88" s="170"/>
      <c r="V88" s="170"/>
      <c r="W88" s="3"/>
      <c r="X88" s="2"/>
    </row>
    <row r="89" spans="1:24" ht="17.149999999999999" customHeight="1" x14ac:dyDescent="0.25">
      <c r="A89" s="170"/>
      <c r="B89" s="169"/>
      <c r="C89" s="169"/>
      <c r="D89" s="169"/>
      <c r="E89" s="174"/>
      <c r="F89" s="171"/>
      <c r="G89" s="170"/>
      <c r="H89" s="169"/>
      <c r="I89" s="170"/>
      <c r="J89" s="170"/>
      <c r="K89" s="170"/>
      <c r="L89" s="171"/>
      <c r="M89" s="169"/>
      <c r="N89" s="169"/>
      <c r="O89" s="169"/>
      <c r="P89" s="169"/>
      <c r="Q89" s="174"/>
      <c r="R89" s="171"/>
      <c r="S89" s="170"/>
      <c r="T89" s="169"/>
      <c r="U89" s="170"/>
      <c r="V89" s="170"/>
      <c r="W89" s="3"/>
      <c r="X89" s="2"/>
    </row>
    <row r="90" spans="1:24" ht="17.149999999999999" customHeight="1" x14ac:dyDescent="0.25">
      <c r="A90" s="173"/>
      <c r="B90" s="169"/>
      <c r="C90" s="169"/>
      <c r="D90" s="169"/>
      <c r="E90" s="174"/>
      <c r="F90" s="171"/>
      <c r="G90" s="170"/>
      <c r="H90" s="169"/>
      <c r="I90" s="170"/>
      <c r="J90" s="170"/>
      <c r="K90" s="170"/>
      <c r="L90" s="171"/>
      <c r="M90" s="169"/>
      <c r="N90" s="169"/>
      <c r="O90" s="169"/>
      <c r="P90" s="169"/>
      <c r="Q90" s="174"/>
      <c r="R90" s="171"/>
      <c r="S90" s="170"/>
      <c r="T90" s="169"/>
      <c r="U90" s="170"/>
      <c r="V90" s="170"/>
      <c r="W90" s="3"/>
      <c r="X90" s="2"/>
    </row>
    <row r="91" spans="1:24" ht="17.149999999999999" customHeight="1" x14ac:dyDescent="0.25">
      <c r="A91" s="173"/>
      <c r="B91" s="169"/>
      <c r="C91" s="169"/>
      <c r="D91" s="169"/>
      <c r="E91" s="174"/>
      <c r="F91" s="171"/>
      <c r="G91" s="170"/>
      <c r="H91" s="169"/>
      <c r="I91" s="170"/>
      <c r="J91" s="170"/>
      <c r="K91" s="170"/>
      <c r="L91" s="171"/>
      <c r="M91" s="169"/>
      <c r="N91" s="169"/>
      <c r="O91" s="169"/>
      <c r="P91" s="169"/>
      <c r="Q91" s="174"/>
      <c r="R91" s="171"/>
      <c r="S91" s="170"/>
      <c r="T91" s="169"/>
      <c r="U91" s="170"/>
      <c r="V91" s="170"/>
      <c r="W91" s="3"/>
      <c r="X91" s="2"/>
    </row>
    <row r="92" spans="1:24" ht="17.149999999999999" customHeight="1" x14ac:dyDescent="0.25">
      <c r="A92" s="173"/>
      <c r="B92" s="169"/>
      <c r="C92" s="169"/>
      <c r="D92" s="169"/>
      <c r="E92" s="174"/>
      <c r="F92" s="171"/>
      <c r="G92" s="170"/>
      <c r="H92" s="169"/>
      <c r="I92" s="170"/>
      <c r="J92" s="170"/>
      <c r="K92" s="170"/>
      <c r="L92" s="171"/>
      <c r="M92" s="169"/>
      <c r="N92" s="169"/>
      <c r="O92" s="169"/>
      <c r="P92" s="169"/>
      <c r="Q92" s="174"/>
      <c r="R92" s="171"/>
      <c r="S92" s="170"/>
      <c r="T92" s="169"/>
      <c r="U92" s="170"/>
      <c r="V92" s="170"/>
      <c r="W92" s="3"/>
      <c r="X92" s="2"/>
    </row>
    <row r="93" spans="1:24" ht="17.149999999999999" customHeight="1" x14ac:dyDescent="0.25">
      <c r="A93" s="173"/>
      <c r="B93" s="169"/>
      <c r="C93" s="169"/>
      <c r="D93" s="169"/>
      <c r="E93" s="174"/>
      <c r="F93" s="171"/>
      <c r="G93" s="170"/>
      <c r="H93" s="169"/>
      <c r="I93" s="170"/>
      <c r="J93" s="170"/>
      <c r="K93" s="170"/>
      <c r="L93" s="171"/>
      <c r="M93" s="169"/>
      <c r="N93" s="169"/>
      <c r="O93" s="169"/>
      <c r="P93" s="169"/>
      <c r="Q93" s="169"/>
      <c r="R93" s="169"/>
      <c r="S93" s="169"/>
      <c r="T93" s="169"/>
      <c r="U93" s="170"/>
      <c r="V93" s="170"/>
      <c r="W93" s="3"/>
      <c r="X93" s="2"/>
    </row>
    <row r="94" spans="1:24" ht="17.149999999999999" customHeight="1" x14ac:dyDescent="0.25">
      <c r="A94" s="173"/>
      <c r="B94" s="169"/>
      <c r="C94" s="169"/>
      <c r="D94" s="169"/>
      <c r="E94" s="174"/>
      <c r="F94" s="171"/>
      <c r="G94" s="170"/>
      <c r="H94" s="169"/>
      <c r="I94" s="170"/>
      <c r="J94" s="170"/>
      <c r="K94" s="170"/>
      <c r="L94" s="171"/>
      <c r="M94" s="169"/>
      <c r="N94" s="169"/>
      <c r="O94" s="169"/>
      <c r="P94" s="169"/>
      <c r="Q94" s="169"/>
      <c r="R94" s="169"/>
      <c r="S94" s="169"/>
      <c r="T94" s="169"/>
      <c r="U94" s="170"/>
      <c r="V94" s="170"/>
      <c r="W94" s="3"/>
      <c r="X94" s="2"/>
    </row>
    <row r="95" spans="1:24" ht="17.149999999999999" customHeight="1" x14ac:dyDescent="0.25">
      <c r="A95" s="173"/>
      <c r="B95" s="169"/>
      <c r="C95" s="170"/>
      <c r="D95" s="169"/>
      <c r="E95" s="174"/>
      <c r="F95" s="171"/>
      <c r="G95" s="170"/>
      <c r="H95" s="187"/>
      <c r="I95" s="188"/>
      <c r="J95" s="170"/>
      <c r="K95" s="188"/>
      <c r="L95" s="189"/>
      <c r="M95" s="169"/>
      <c r="N95" s="169"/>
      <c r="O95" s="170"/>
      <c r="P95" s="169"/>
      <c r="Q95" s="190"/>
      <c r="R95" s="171"/>
      <c r="S95" s="170"/>
      <c r="T95" s="169"/>
      <c r="U95" s="170"/>
      <c r="V95" s="170"/>
      <c r="W95" s="3"/>
      <c r="X95" s="2"/>
    </row>
    <row r="96" spans="1:24" ht="17.149999999999999" customHeight="1" x14ac:dyDescent="0.25">
      <c r="A96" s="169"/>
      <c r="B96" s="169"/>
      <c r="C96" s="169"/>
      <c r="D96" s="170"/>
      <c r="E96" s="171"/>
      <c r="F96" s="171"/>
      <c r="G96" s="170"/>
      <c r="H96" s="169"/>
      <c r="I96" s="170"/>
      <c r="J96" s="170"/>
      <c r="K96" s="170"/>
      <c r="L96" s="171"/>
      <c r="M96" s="169"/>
      <c r="N96" s="169"/>
      <c r="O96" s="169"/>
      <c r="P96" s="169"/>
      <c r="Q96" s="169"/>
      <c r="R96" s="169"/>
      <c r="S96" s="169"/>
      <c r="T96" s="169"/>
      <c r="U96" s="169"/>
      <c r="V96" s="169"/>
    </row>
    <row r="97" spans="1:22" x14ac:dyDescent="0.25">
      <c r="A97" s="169"/>
      <c r="B97" s="169"/>
      <c r="C97" s="169"/>
      <c r="D97" s="170"/>
      <c r="E97" s="171"/>
      <c r="F97" s="171"/>
      <c r="G97" s="170"/>
      <c r="H97" s="169"/>
      <c r="I97" s="170"/>
      <c r="J97" s="170"/>
      <c r="K97" s="170"/>
      <c r="L97" s="171"/>
      <c r="M97" s="169"/>
      <c r="N97" s="169"/>
      <c r="O97" s="169"/>
      <c r="P97" s="169"/>
      <c r="Q97" s="169"/>
      <c r="R97" s="169"/>
      <c r="S97" s="169"/>
      <c r="T97" s="169"/>
      <c r="U97" s="169"/>
      <c r="V97" s="169"/>
    </row>
    <row r="98" spans="1:22" x14ac:dyDescent="0.25">
      <c r="A98" s="169"/>
      <c r="B98" s="169"/>
      <c r="C98" s="169"/>
      <c r="D98" s="170"/>
      <c r="E98" s="171"/>
      <c r="F98" s="171"/>
      <c r="G98" s="170"/>
      <c r="H98" s="169"/>
      <c r="I98" s="170"/>
      <c r="J98" s="170"/>
      <c r="K98" s="170"/>
      <c r="L98" s="171"/>
      <c r="M98" s="169"/>
      <c r="N98" s="169"/>
      <c r="O98" s="169"/>
      <c r="P98" s="169"/>
      <c r="Q98" s="169"/>
      <c r="R98" s="169"/>
      <c r="S98" s="169"/>
      <c r="T98" s="169"/>
      <c r="U98" s="169"/>
      <c r="V98" s="169"/>
    </row>
    <row r="99" spans="1:22" x14ac:dyDescent="0.25">
      <c r="A99" s="169"/>
      <c r="B99" s="169"/>
      <c r="C99" s="169"/>
      <c r="D99" s="170"/>
      <c r="E99" s="171"/>
      <c r="F99" s="171"/>
      <c r="G99" s="170"/>
      <c r="H99" s="169"/>
      <c r="I99" s="170"/>
      <c r="J99" s="170"/>
      <c r="K99" s="170"/>
      <c r="L99" s="171"/>
      <c r="M99" s="169"/>
      <c r="N99" s="169"/>
      <c r="O99" s="169"/>
      <c r="P99" s="169"/>
      <c r="Q99" s="169"/>
      <c r="R99" s="169"/>
      <c r="S99" s="169"/>
      <c r="T99" s="169"/>
      <c r="U99" s="169"/>
      <c r="V99" s="169"/>
    </row>
    <row r="242" spans="2:6" x14ac:dyDescent="0.25">
      <c r="B242" s="5"/>
      <c r="C242" s="5"/>
    </row>
    <row r="256" spans="2:6" x14ac:dyDescent="0.25">
      <c r="E256" s="6"/>
      <c r="F256" s="6"/>
    </row>
    <row r="260" spans="5:6" x14ac:dyDescent="0.25">
      <c r="E260" s="6"/>
      <c r="F260" s="6"/>
    </row>
  </sheetData>
  <phoneticPr fontId="7" type="noConversion"/>
  <printOptions gridLines="1"/>
  <pageMargins left="0.56000000000000005" right="0.57999999999999996" top="0.59" bottom="0.2" header="0.31" footer="0.51"/>
  <pageSetup paperSize="9" scale="84" fitToHeight="2" orientation="portrait" verticalDpi="4"/>
  <headerFooter alignWithMargins="0">
    <oddHeader>&amp;A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N91"/>
  <sheetViews>
    <sheetView workbookViewId="0">
      <pane xSplit="3" ySplit="4" topLeftCell="D20" activePane="bottomRight" state="frozenSplit"/>
      <selection activeCell="A7" sqref="A7"/>
      <selection pane="topRight" activeCell="A7" sqref="A7"/>
      <selection pane="bottomLeft" activeCell="A7" sqref="A7"/>
      <selection pane="bottomRight" activeCell="M44" sqref="M44"/>
    </sheetView>
  </sheetViews>
  <sheetFormatPr defaultColWidth="8.81640625" defaultRowHeight="12.5" x14ac:dyDescent="0.25"/>
  <cols>
    <col min="1" max="1" width="6.81640625" customWidth="1"/>
    <col min="2" max="2" width="11.26953125" customWidth="1"/>
    <col min="3" max="3" width="4.453125" customWidth="1"/>
    <col min="4" max="4" width="8.26953125" style="19" customWidth="1"/>
    <col min="5" max="6" width="6.453125" customWidth="1"/>
    <col min="7" max="7" width="7.7265625" customWidth="1"/>
    <col min="8" max="8" width="6.81640625" customWidth="1"/>
    <col min="9" max="9" width="7.7265625" customWidth="1"/>
    <col min="10" max="11" width="7.453125" customWidth="1"/>
    <col min="13" max="13" width="63.453125" customWidth="1"/>
  </cols>
  <sheetData>
    <row r="1" spans="1:13" x14ac:dyDescent="0.25">
      <c r="A1" t="s">
        <v>59</v>
      </c>
      <c r="B1" t="s">
        <v>54</v>
      </c>
      <c r="C1" t="s">
        <v>55</v>
      </c>
      <c r="D1" s="5" t="s">
        <v>55</v>
      </c>
      <c r="E1" s="5" t="s">
        <v>19</v>
      </c>
      <c r="F1" s="5" t="s">
        <v>30</v>
      </c>
      <c r="G1" s="2" t="s">
        <v>18</v>
      </c>
      <c r="H1" s="2" t="s">
        <v>36</v>
      </c>
      <c r="I1" s="2" t="s">
        <v>18</v>
      </c>
      <c r="J1" t="s">
        <v>26</v>
      </c>
      <c r="K1" t="s">
        <v>28</v>
      </c>
      <c r="L1" t="s">
        <v>37</v>
      </c>
      <c r="M1" t="s">
        <v>34</v>
      </c>
    </row>
    <row r="2" spans="1:13" x14ac:dyDescent="0.25">
      <c r="C2" t="s">
        <v>24</v>
      </c>
      <c r="D2" s="5" t="s">
        <v>71</v>
      </c>
      <c r="E2" t="s">
        <v>20</v>
      </c>
      <c r="F2" t="s">
        <v>114</v>
      </c>
      <c r="G2" t="s">
        <v>0</v>
      </c>
      <c r="I2" t="s">
        <v>21</v>
      </c>
      <c r="J2" s="5"/>
      <c r="K2" s="5" t="s">
        <v>27</v>
      </c>
      <c r="L2" s="5"/>
    </row>
    <row r="3" spans="1:13" x14ac:dyDescent="0.25">
      <c r="D3" s="5"/>
      <c r="G3" t="s">
        <v>16</v>
      </c>
      <c r="H3" t="s">
        <v>16</v>
      </c>
      <c r="I3" t="s">
        <v>22</v>
      </c>
    </row>
    <row r="5" spans="1:13" x14ac:dyDescent="0.25">
      <c r="D5" s="5"/>
    </row>
    <row r="6" spans="1:13" x14ac:dyDescent="0.25">
      <c r="A6" s="60">
        <v>2011</v>
      </c>
      <c r="B6" s="58" t="s">
        <v>111</v>
      </c>
      <c r="C6" s="57">
        <v>1</v>
      </c>
      <c r="D6" s="60"/>
      <c r="E6" s="2"/>
    </row>
    <row r="7" spans="1:13" x14ac:dyDescent="0.25">
      <c r="A7" s="60">
        <v>2011</v>
      </c>
      <c r="B7" s="58" t="s">
        <v>111</v>
      </c>
      <c r="C7" s="57">
        <v>2</v>
      </c>
      <c r="D7" s="61"/>
      <c r="E7" s="5"/>
      <c r="F7" s="5"/>
      <c r="G7" s="5"/>
      <c r="H7" s="5"/>
      <c r="I7" s="5"/>
      <c r="J7" s="13"/>
      <c r="L7" s="13"/>
    </row>
    <row r="8" spans="1:13" x14ac:dyDescent="0.25">
      <c r="A8" s="60">
        <v>2011</v>
      </c>
      <c r="B8" s="58" t="s">
        <v>111</v>
      </c>
      <c r="C8" s="57">
        <v>3</v>
      </c>
      <c r="D8" s="60"/>
      <c r="E8" s="5"/>
      <c r="F8" s="5"/>
      <c r="G8" s="5"/>
      <c r="H8" s="5"/>
      <c r="I8" s="5"/>
      <c r="J8" s="13"/>
      <c r="L8" s="13"/>
    </row>
    <row r="9" spans="1:13" x14ac:dyDescent="0.25">
      <c r="A9" s="60">
        <v>2011</v>
      </c>
      <c r="B9" s="58" t="s">
        <v>111</v>
      </c>
      <c r="C9" s="57">
        <v>4</v>
      </c>
      <c r="D9" s="61"/>
      <c r="E9" s="5"/>
      <c r="F9" s="5"/>
      <c r="H9" s="5"/>
      <c r="I9" s="5"/>
      <c r="J9" s="13"/>
    </row>
    <row r="10" spans="1:13" x14ac:dyDescent="0.25">
      <c r="A10" s="60">
        <v>2011</v>
      </c>
      <c r="B10" s="58" t="s">
        <v>111</v>
      </c>
      <c r="C10" s="57">
        <v>5</v>
      </c>
      <c r="D10" s="61"/>
      <c r="E10" s="5"/>
      <c r="F10" s="5"/>
      <c r="G10" s="5"/>
      <c r="H10" s="5"/>
      <c r="I10" s="5"/>
      <c r="J10" s="13"/>
      <c r="L10" s="13"/>
    </row>
    <row r="11" spans="1:13" x14ac:dyDescent="0.25">
      <c r="A11" s="60">
        <v>2011</v>
      </c>
      <c r="B11" s="58" t="s">
        <v>111</v>
      </c>
      <c r="C11" s="57">
        <v>6</v>
      </c>
      <c r="D11" s="61"/>
      <c r="E11" s="5"/>
      <c r="F11" s="5"/>
      <c r="H11" s="5"/>
      <c r="I11" s="5"/>
      <c r="J11" s="13"/>
      <c r="L11" s="13"/>
    </row>
    <row r="12" spans="1:13" x14ac:dyDescent="0.25">
      <c r="A12" s="60">
        <v>2011</v>
      </c>
      <c r="B12" s="58" t="s">
        <v>111</v>
      </c>
      <c r="C12" s="57">
        <v>7</v>
      </c>
      <c r="D12" s="61"/>
      <c r="E12" s="5"/>
      <c r="F12" s="5"/>
      <c r="G12" s="5"/>
      <c r="H12" s="5"/>
      <c r="I12" s="5"/>
      <c r="J12" s="13"/>
    </row>
    <row r="13" spans="1:13" x14ac:dyDescent="0.25">
      <c r="A13" s="60">
        <v>2011</v>
      </c>
      <c r="B13" s="58" t="s">
        <v>111</v>
      </c>
      <c r="C13" s="57">
        <v>8</v>
      </c>
      <c r="D13" s="61"/>
      <c r="E13" s="5"/>
      <c r="F13" s="5"/>
      <c r="G13" s="5"/>
      <c r="H13" s="5"/>
      <c r="I13" s="5"/>
      <c r="J13" s="13"/>
    </row>
    <row r="14" spans="1:13" x14ac:dyDescent="0.25">
      <c r="A14" s="60">
        <v>2011</v>
      </c>
      <c r="B14" s="58" t="s">
        <v>111</v>
      </c>
      <c r="C14" s="57">
        <v>9</v>
      </c>
      <c r="D14" s="61"/>
      <c r="E14" s="5"/>
      <c r="F14" s="5"/>
      <c r="G14" s="5"/>
      <c r="H14" s="5"/>
      <c r="I14" s="5"/>
      <c r="J14" s="13"/>
      <c r="L14" s="5"/>
    </row>
    <row r="15" spans="1:13" x14ac:dyDescent="0.25">
      <c r="A15" s="60">
        <v>2011</v>
      </c>
      <c r="B15" s="58" t="s">
        <v>111</v>
      </c>
      <c r="C15" s="57">
        <v>10</v>
      </c>
      <c r="D15" s="61"/>
      <c r="E15" s="5"/>
      <c r="F15" s="5"/>
      <c r="G15" s="5"/>
      <c r="H15" s="5"/>
      <c r="I15" s="5"/>
      <c r="J15" s="13"/>
      <c r="L15" s="5"/>
    </row>
    <row r="16" spans="1:13" x14ac:dyDescent="0.25">
      <c r="A16" s="60">
        <v>2011</v>
      </c>
      <c r="B16" s="58" t="s">
        <v>111</v>
      </c>
      <c r="C16" s="57">
        <v>11</v>
      </c>
      <c r="D16" s="61"/>
      <c r="E16" s="5"/>
      <c r="F16" s="5"/>
      <c r="G16" s="5"/>
      <c r="H16" s="5"/>
      <c r="I16" s="5"/>
      <c r="J16" s="13"/>
      <c r="L16" s="5"/>
    </row>
    <row r="17" spans="1:14" x14ac:dyDescent="0.25">
      <c r="A17" s="60">
        <v>2011</v>
      </c>
      <c r="B17" s="58" t="s">
        <v>111</v>
      </c>
      <c r="C17" s="57">
        <v>12</v>
      </c>
      <c r="D17" s="61"/>
      <c r="E17" s="5"/>
      <c r="F17" s="5"/>
      <c r="G17" s="5"/>
      <c r="H17" s="5"/>
      <c r="I17" s="5"/>
      <c r="J17" s="13"/>
      <c r="L17" s="13"/>
    </row>
    <row r="18" spans="1:14" x14ac:dyDescent="0.25">
      <c r="A18" s="60">
        <v>2011</v>
      </c>
      <c r="B18" s="58" t="s">
        <v>111</v>
      </c>
      <c r="C18" s="57">
        <v>13</v>
      </c>
      <c r="D18" s="61"/>
      <c r="E18" s="5"/>
      <c r="F18" s="5"/>
      <c r="G18" s="5"/>
      <c r="H18" s="5"/>
      <c r="I18" s="5"/>
      <c r="J18" s="13"/>
      <c r="L18" s="13"/>
    </row>
    <row r="19" spans="1:14" x14ac:dyDescent="0.25">
      <c r="A19" s="60">
        <v>2011</v>
      </c>
      <c r="B19" s="58" t="s">
        <v>111</v>
      </c>
      <c r="C19" s="57">
        <v>14</v>
      </c>
      <c r="D19" s="61"/>
      <c r="E19" s="5"/>
      <c r="F19" s="5"/>
      <c r="G19" s="5"/>
      <c r="H19" s="5"/>
      <c r="I19" s="5"/>
      <c r="J19" s="13"/>
      <c r="L19" s="13"/>
    </row>
    <row r="20" spans="1:14" x14ac:dyDescent="0.25">
      <c r="A20" s="60">
        <v>2011</v>
      </c>
      <c r="B20" s="58" t="s">
        <v>111</v>
      </c>
      <c r="C20" s="57">
        <v>15</v>
      </c>
      <c r="D20" s="61"/>
      <c r="E20" s="5"/>
      <c r="F20" s="5"/>
      <c r="H20" s="5"/>
      <c r="I20" s="5"/>
      <c r="J20" s="13"/>
      <c r="L20" s="5"/>
    </row>
    <row r="21" spans="1:14" x14ac:dyDescent="0.25">
      <c r="A21" s="60">
        <v>2011</v>
      </c>
      <c r="B21" s="58" t="s">
        <v>111</v>
      </c>
      <c r="C21" s="57">
        <v>16</v>
      </c>
      <c r="D21" s="61"/>
      <c r="E21" s="5"/>
      <c r="F21" s="5"/>
      <c r="H21" s="5"/>
      <c r="I21" s="5"/>
      <c r="J21" s="13"/>
      <c r="L21" s="5"/>
    </row>
    <row r="22" spans="1:14" x14ac:dyDescent="0.25">
      <c r="A22" s="60">
        <v>2011</v>
      </c>
      <c r="B22" s="58" t="s">
        <v>111</v>
      </c>
      <c r="C22" s="57">
        <v>17</v>
      </c>
      <c r="D22" s="61"/>
      <c r="E22" s="5"/>
      <c r="F22" s="5"/>
      <c r="G22" s="5"/>
      <c r="H22" s="5"/>
      <c r="I22" s="5"/>
      <c r="J22" s="13"/>
      <c r="L22" s="13"/>
    </row>
    <row r="23" spans="1:14" ht="13" x14ac:dyDescent="0.3">
      <c r="A23" s="60">
        <v>2011</v>
      </c>
      <c r="B23" s="58" t="s">
        <v>111</v>
      </c>
      <c r="C23" s="57">
        <v>18</v>
      </c>
      <c r="D23" s="61"/>
      <c r="E23" s="5"/>
      <c r="F23" s="5"/>
      <c r="G23" s="5"/>
      <c r="H23" s="5"/>
      <c r="I23" s="5"/>
      <c r="J23" s="13"/>
      <c r="L23" s="5"/>
      <c r="M23" s="10"/>
      <c r="N23" s="10"/>
    </row>
    <row r="24" spans="1:14" ht="13" x14ac:dyDescent="0.3">
      <c r="A24" s="60">
        <v>2011</v>
      </c>
      <c r="B24" s="58" t="s">
        <v>111</v>
      </c>
      <c r="C24" s="57">
        <v>19</v>
      </c>
      <c r="D24" s="61"/>
      <c r="E24" s="5"/>
      <c r="F24" s="5"/>
      <c r="G24" s="5"/>
      <c r="H24" s="5"/>
      <c r="I24" s="5"/>
      <c r="J24" s="13"/>
      <c r="L24" s="5"/>
      <c r="M24" s="10"/>
      <c r="N24" s="10"/>
    </row>
    <row r="25" spans="1:14" ht="13" x14ac:dyDescent="0.3">
      <c r="A25" s="60">
        <v>2011</v>
      </c>
      <c r="B25" s="58" t="s">
        <v>111</v>
      </c>
      <c r="C25" s="57">
        <v>20</v>
      </c>
      <c r="D25" s="61"/>
      <c r="E25" s="5"/>
      <c r="F25" s="5"/>
      <c r="G25" s="5"/>
      <c r="H25" s="5"/>
      <c r="I25" s="5"/>
      <c r="J25" s="16"/>
      <c r="L25" s="5"/>
      <c r="M25" s="10"/>
      <c r="N25" s="10"/>
    </row>
    <row r="26" spans="1:14" ht="13" x14ac:dyDescent="0.3">
      <c r="A26" s="60">
        <v>2011</v>
      </c>
      <c r="B26" s="58" t="s">
        <v>111</v>
      </c>
      <c r="C26" s="57">
        <v>21</v>
      </c>
      <c r="D26" s="60"/>
      <c r="E26" s="5"/>
      <c r="F26" s="5"/>
      <c r="H26" s="16"/>
      <c r="I26" s="5"/>
      <c r="J26" s="16"/>
      <c r="L26" s="13"/>
      <c r="M26" s="10"/>
      <c r="N26" s="10"/>
    </row>
    <row r="27" spans="1:14" ht="13" x14ac:dyDescent="0.3">
      <c r="A27" s="58" t="s">
        <v>58</v>
      </c>
      <c r="B27" s="58"/>
      <c r="C27" s="57"/>
      <c r="D27" s="60"/>
      <c r="E27" s="5"/>
      <c r="F27" s="5"/>
      <c r="J27" s="15"/>
      <c r="M27" s="10"/>
      <c r="N27" s="10"/>
    </row>
    <row r="28" spans="1:14" ht="13" x14ac:dyDescent="0.3">
      <c r="A28" s="58" t="s">
        <v>50</v>
      </c>
      <c r="B28" s="58"/>
      <c r="C28" s="57"/>
      <c r="D28" s="61"/>
      <c r="E28" s="5"/>
      <c r="F28" s="5"/>
      <c r="G28" s="5"/>
      <c r="H28" s="5"/>
      <c r="I28" s="5"/>
      <c r="J28" s="13"/>
      <c r="M28" s="10"/>
      <c r="N28" s="10"/>
    </row>
    <row r="29" spans="1:14" ht="13" x14ac:dyDescent="0.3">
      <c r="A29" s="61">
        <v>2011</v>
      </c>
      <c r="B29" s="58" t="s">
        <v>115</v>
      </c>
      <c r="C29" s="57">
        <v>1</v>
      </c>
      <c r="D29" s="60"/>
      <c r="E29" s="5"/>
      <c r="F29" s="7"/>
      <c r="G29" s="5"/>
      <c r="H29" s="5"/>
      <c r="I29" s="5"/>
      <c r="J29" s="13"/>
      <c r="M29" s="10"/>
      <c r="N29" s="10"/>
    </row>
    <row r="30" spans="1:14" ht="13" x14ac:dyDescent="0.3">
      <c r="A30" s="61">
        <v>2011</v>
      </c>
      <c r="B30" s="58" t="s">
        <v>115</v>
      </c>
      <c r="C30" s="57">
        <v>2</v>
      </c>
      <c r="D30" s="61"/>
      <c r="E30" s="5"/>
      <c r="F30" s="7"/>
      <c r="G30" s="5"/>
      <c r="H30" s="5"/>
      <c r="I30" s="5"/>
      <c r="J30" s="13"/>
      <c r="M30" s="10"/>
      <c r="N30" s="10"/>
    </row>
    <row r="31" spans="1:14" ht="13" x14ac:dyDescent="0.3">
      <c r="A31" s="61">
        <v>2011</v>
      </c>
      <c r="B31" s="58" t="s">
        <v>115</v>
      </c>
      <c r="C31" s="57">
        <v>3</v>
      </c>
      <c r="D31" s="61"/>
      <c r="E31" s="5"/>
      <c r="F31" s="7"/>
      <c r="G31" s="5"/>
      <c r="H31" s="5"/>
      <c r="I31" s="5"/>
      <c r="J31" s="13"/>
      <c r="M31" s="10"/>
      <c r="N31" s="10"/>
    </row>
    <row r="32" spans="1:14" ht="13" x14ac:dyDescent="0.3">
      <c r="A32" s="61">
        <v>2011</v>
      </c>
      <c r="B32" s="58" t="s">
        <v>115</v>
      </c>
      <c r="C32" s="57">
        <v>4</v>
      </c>
      <c r="D32" s="61"/>
      <c r="E32" s="5"/>
      <c r="F32" s="7"/>
      <c r="G32" s="5"/>
      <c r="H32" s="5"/>
      <c r="I32" s="5"/>
      <c r="J32" s="13"/>
      <c r="M32" s="10"/>
      <c r="N32" s="10"/>
    </row>
    <row r="33" spans="1:14" ht="13" x14ac:dyDescent="0.3">
      <c r="A33" s="61">
        <v>2011</v>
      </c>
      <c r="B33" s="58" t="s">
        <v>115</v>
      </c>
      <c r="C33" s="57">
        <v>5</v>
      </c>
      <c r="D33" s="61"/>
      <c r="E33" s="5"/>
      <c r="F33" s="7"/>
      <c r="G33" s="5"/>
      <c r="H33" s="5"/>
      <c r="I33" s="5"/>
      <c r="J33" s="13"/>
      <c r="L33" s="5"/>
      <c r="M33" s="10"/>
      <c r="N33" s="10"/>
    </row>
    <row r="34" spans="1:14" ht="13" x14ac:dyDescent="0.3">
      <c r="A34" s="61">
        <v>2011</v>
      </c>
      <c r="B34" s="58" t="s">
        <v>115</v>
      </c>
      <c r="C34" s="57">
        <v>6</v>
      </c>
      <c r="D34" s="61"/>
      <c r="E34" s="5"/>
      <c r="F34" s="7"/>
      <c r="G34" s="5"/>
      <c r="H34" s="5"/>
      <c r="I34" s="5"/>
      <c r="J34" s="13"/>
      <c r="L34" s="5"/>
      <c r="M34" s="10"/>
      <c r="N34" s="10"/>
    </row>
    <row r="35" spans="1:14" ht="13" x14ac:dyDescent="0.3">
      <c r="A35" s="61">
        <v>2011</v>
      </c>
      <c r="B35" s="58" t="s">
        <v>115</v>
      </c>
      <c r="C35" s="57">
        <v>7</v>
      </c>
      <c r="D35" s="61"/>
      <c r="E35" s="5"/>
      <c r="F35" s="7"/>
      <c r="G35" s="5"/>
      <c r="H35" s="5"/>
      <c r="I35" s="5"/>
      <c r="J35" s="13"/>
      <c r="M35" s="10"/>
      <c r="N35" s="10"/>
    </row>
    <row r="36" spans="1:14" ht="13" x14ac:dyDescent="0.3">
      <c r="A36" s="61">
        <v>2011</v>
      </c>
      <c r="B36" s="58" t="s">
        <v>115</v>
      </c>
      <c r="C36" s="57">
        <v>8</v>
      </c>
      <c r="D36" s="61"/>
      <c r="E36" s="5"/>
      <c r="F36" s="7"/>
      <c r="G36" s="5"/>
      <c r="H36" s="5"/>
      <c r="I36" s="5"/>
      <c r="J36" s="13"/>
      <c r="L36" s="5"/>
      <c r="M36" s="10"/>
      <c r="N36" s="10"/>
    </row>
    <row r="37" spans="1:14" ht="13" x14ac:dyDescent="0.3">
      <c r="A37" s="61">
        <v>2011</v>
      </c>
      <c r="B37" s="58" t="s">
        <v>115</v>
      </c>
      <c r="C37" s="57">
        <v>9</v>
      </c>
      <c r="D37" s="61"/>
      <c r="E37" s="5"/>
      <c r="F37" s="7"/>
      <c r="G37" s="5"/>
      <c r="H37" s="5"/>
      <c r="I37" s="5"/>
      <c r="J37" s="16"/>
      <c r="L37" s="5"/>
      <c r="M37" s="10"/>
      <c r="N37" s="10"/>
    </row>
    <row r="38" spans="1:14" x14ac:dyDescent="0.25">
      <c r="A38" s="61">
        <v>2011</v>
      </c>
      <c r="B38" s="58" t="s">
        <v>115</v>
      </c>
      <c r="C38" s="57">
        <v>10</v>
      </c>
      <c r="D38" s="61"/>
      <c r="E38" s="5"/>
      <c r="F38" s="7"/>
      <c r="G38" s="5"/>
      <c r="H38" s="5"/>
      <c r="I38" s="5"/>
      <c r="J38" s="16"/>
      <c r="L38" s="5"/>
    </row>
    <row r="39" spans="1:14" x14ac:dyDescent="0.25">
      <c r="A39" s="61">
        <v>2011</v>
      </c>
      <c r="B39" s="58" t="s">
        <v>115</v>
      </c>
      <c r="C39" s="57">
        <v>11</v>
      </c>
      <c r="D39" s="61"/>
      <c r="E39" s="5"/>
      <c r="F39" s="7"/>
      <c r="G39" s="5"/>
      <c r="H39" s="5"/>
      <c r="I39" s="5"/>
      <c r="J39" s="16"/>
    </row>
    <row r="40" spans="1:14" x14ac:dyDescent="0.25">
      <c r="A40" s="58" t="s">
        <v>58</v>
      </c>
      <c r="B40" s="58"/>
      <c r="C40" s="57"/>
      <c r="D40" s="61"/>
      <c r="E40" s="5"/>
      <c r="F40" s="5"/>
      <c r="G40" s="5"/>
      <c r="H40" s="5"/>
      <c r="I40" s="5"/>
      <c r="J40" s="16"/>
      <c r="L40" s="5"/>
    </row>
    <row r="41" spans="1:14" x14ac:dyDescent="0.25">
      <c r="A41" s="57" t="s">
        <v>50</v>
      </c>
      <c r="B41" s="57"/>
      <c r="C41" s="57"/>
      <c r="D41" s="61"/>
      <c r="E41" s="5"/>
      <c r="F41" s="5"/>
      <c r="G41" s="5"/>
      <c r="H41" s="5"/>
      <c r="I41" s="5"/>
      <c r="J41" s="16"/>
      <c r="L41" s="5"/>
    </row>
    <row r="42" spans="1:14" x14ac:dyDescent="0.25">
      <c r="A42" s="60">
        <v>2011</v>
      </c>
      <c r="B42" s="58" t="s">
        <v>109</v>
      </c>
      <c r="C42" s="57">
        <v>1</v>
      </c>
      <c r="D42" s="61"/>
      <c r="E42" s="5"/>
      <c r="F42" s="5"/>
      <c r="H42" s="5"/>
      <c r="I42" s="5"/>
      <c r="J42" s="16"/>
      <c r="L42" s="5"/>
    </row>
    <row r="43" spans="1:14" x14ac:dyDescent="0.25">
      <c r="A43" s="60">
        <v>2011</v>
      </c>
      <c r="B43" s="58" t="s">
        <v>109</v>
      </c>
      <c r="C43" s="57">
        <v>2</v>
      </c>
      <c r="D43" s="61"/>
      <c r="E43" s="5"/>
      <c r="F43" s="5"/>
      <c r="G43" s="5"/>
      <c r="H43" s="5"/>
      <c r="I43" s="5"/>
      <c r="J43" s="16"/>
      <c r="L43" s="5"/>
    </row>
    <row r="44" spans="1:14" x14ac:dyDescent="0.25">
      <c r="A44" s="60">
        <v>2011</v>
      </c>
      <c r="B44" s="58" t="s">
        <v>109</v>
      </c>
      <c r="C44" s="57">
        <v>3</v>
      </c>
      <c r="D44" s="61"/>
      <c r="E44" s="5"/>
      <c r="F44" s="5"/>
      <c r="G44" s="16"/>
      <c r="H44" s="16"/>
      <c r="I44" s="16"/>
      <c r="J44" s="16"/>
    </row>
    <row r="45" spans="1:14" x14ac:dyDescent="0.25">
      <c r="A45" s="60">
        <v>2011</v>
      </c>
      <c r="B45" s="58" t="s">
        <v>109</v>
      </c>
      <c r="C45" s="57">
        <v>4</v>
      </c>
      <c r="D45" s="61"/>
      <c r="E45" s="5"/>
      <c r="F45" s="5"/>
      <c r="G45" s="16"/>
      <c r="H45" s="16"/>
      <c r="I45" s="16"/>
      <c r="J45" s="16"/>
      <c r="L45" s="5"/>
    </row>
    <row r="46" spans="1:14" x14ac:dyDescent="0.25">
      <c r="A46" s="60">
        <v>2011</v>
      </c>
      <c r="B46" s="58" t="s">
        <v>109</v>
      </c>
      <c r="C46" s="57">
        <v>5</v>
      </c>
      <c r="D46" s="61"/>
      <c r="E46" s="5"/>
      <c r="F46" s="5"/>
      <c r="G46" s="16"/>
      <c r="H46" s="16"/>
      <c r="I46" s="16"/>
      <c r="J46" s="16"/>
    </row>
    <row r="47" spans="1:14" x14ac:dyDescent="0.25">
      <c r="A47" s="60">
        <v>2011</v>
      </c>
      <c r="B47" s="58" t="s">
        <v>109</v>
      </c>
      <c r="C47" s="57">
        <v>6</v>
      </c>
      <c r="D47" s="60"/>
      <c r="E47" s="5"/>
      <c r="F47" s="5"/>
      <c r="G47" s="16"/>
      <c r="H47" s="16"/>
      <c r="I47" s="16"/>
      <c r="J47" s="16"/>
    </row>
    <row r="48" spans="1:14" x14ac:dyDescent="0.25">
      <c r="A48" s="60">
        <v>2011</v>
      </c>
      <c r="B48" s="58" t="s">
        <v>109</v>
      </c>
      <c r="C48" s="57">
        <v>7</v>
      </c>
      <c r="D48" s="60"/>
      <c r="E48" s="5"/>
      <c r="F48" s="5"/>
      <c r="G48" s="16"/>
      <c r="H48" s="16"/>
      <c r="I48" s="16"/>
      <c r="J48" s="16"/>
    </row>
    <row r="49" spans="1:13" x14ac:dyDescent="0.25">
      <c r="A49" s="60">
        <v>2011</v>
      </c>
      <c r="B49" s="58" t="s">
        <v>109</v>
      </c>
      <c r="C49" s="57">
        <v>8</v>
      </c>
      <c r="D49" s="60"/>
      <c r="E49" s="5"/>
      <c r="F49" s="5"/>
      <c r="G49" s="5"/>
      <c r="H49" s="16"/>
      <c r="I49" s="5"/>
      <c r="J49" s="16"/>
    </row>
    <row r="50" spans="1:13" x14ac:dyDescent="0.25">
      <c r="A50" s="60">
        <v>2011</v>
      </c>
      <c r="B50" s="58" t="s">
        <v>109</v>
      </c>
      <c r="C50" s="57">
        <v>9</v>
      </c>
      <c r="D50" s="60"/>
      <c r="E50" s="5"/>
      <c r="F50" s="5"/>
      <c r="G50" s="5"/>
      <c r="H50" s="16"/>
      <c r="I50" s="5"/>
      <c r="J50" s="16"/>
    </row>
    <row r="51" spans="1:13" x14ac:dyDescent="0.25">
      <c r="A51" s="60">
        <v>2011</v>
      </c>
      <c r="B51" s="58" t="s">
        <v>109</v>
      </c>
      <c r="C51" s="57">
        <v>10</v>
      </c>
      <c r="D51" s="60"/>
      <c r="E51" s="5"/>
      <c r="F51" s="5"/>
      <c r="G51" s="5"/>
      <c r="H51" s="16"/>
      <c r="I51" s="5"/>
      <c r="J51" s="16"/>
    </row>
    <row r="52" spans="1:13" x14ac:dyDescent="0.25">
      <c r="A52" s="60">
        <v>2011</v>
      </c>
      <c r="B52" s="58" t="s">
        <v>109</v>
      </c>
      <c r="C52" s="57">
        <v>11</v>
      </c>
      <c r="D52" s="60"/>
      <c r="E52" s="5"/>
      <c r="F52" s="5"/>
      <c r="G52" s="5"/>
      <c r="H52" s="16"/>
      <c r="I52" s="5"/>
      <c r="J52" s="13"/>
    </row>
    <row r="53" spans="1:13" x14ac:dyDescent="0.25">
      <c r="A53" s="60">
        <v>2011</v>
      </c>
      <c r="B53" s="58" t="s">
        <v>109</v>
      </c>
      <c r="C53" s="57">
        <v>12</v>
      </c>
      <c r="D53" s="60"/>
      <c r="E53" s="5"/>
      <c r="F53" s="5"/>
      <c r="G53" s="5"/>
      <c r="H53" s="16"/>
      <c r="I53" s="5"/>
      <c r="J53" s="5"/>
    </row>
    <row r="54" spans="1:13" x14ac:dyDescent="0.25">
      <c r="A54" s="60">
        <v>2011</v>
      </c>
      <c r="B54" s="58" t="s">
        <v>109</v>
      </c>
      <c r="C54" s="57">
        <v>13</v>
      </c>
      <c r="D54" s="60"/>
      <c r="E54" s="5"/>
      <c r="F54" s="5"/>
      <c r="G54" s="5"/>
      <c r="H54" s="16"/>
      <c r="I54" s="5"/>
    </row>
    <row r="55" spans="1:13" x14ac:dyDescent="0.25">
      <c r="A55" s="60">
        <v>2011</v>
      </c>
      <c r="B55" s="58" t="s">
        <v>109</v>
      </c>
      <c r="C55" s="57">
        <v>14</v>
      </c>
      <c r="D55" s="60"/>
      <c r="E55" s="5"/>
      <c r="F55" s="5"/>
      <c r="G55" s="5"/>
      <c r="H55" s="16"/>
      <c r="I55" s="5"/>
      <c r="J55" s="13"/>
      <c r="L55" s="13"/>
      <c r="M55" s="14"/>
    </row>
    <row r="56" spans="1:13" x14ac:dyDescent="0.25">
      <c r="A56" s="60">
        <v>2011</v>
      </c>
      <c r="B56" s="58" t="s">
        <v>109</v>
      </c>
      <c r="C56" s="57">
        <v>15</v>
      </c>
      <c r="D56" s="60"/>
      <c r="E56" s="5"/>
      <c r="F56" s="5"/>
      <c r="G56" s="5"/>
      <c r="H56" s="16"/>
      <c r="I56" s="5"/>
      <c r="J56" s="13"/>
      <c r="L56" s="13"/>
      <c r="M56" s="14"/>
    </row>
    <row r="57" spans="1:13" x14ac:dyDescent="0.25">
      <c r="A57" s="60">
        <v>2011</v>
      </c>
      <c r="B57" s="58" t="s">
        <v>109</v>
      </c>
      <c r="C57" s="57">
        <v>16</v>
      </c>
      <c r="D57" s="60"/>
      <c r="E57" s="5"/>
      <c r="F57" s="5"/>
      <c r="G57" s="5"/>
      <c r="H57" s="16"/>
      <c r="I57" s="5"/>
      <c r="J57" s="13"/>
      <c r="L57" s="13"/>
      <c r="M57" s="14"/>
    </row>
    <row r="58" spans="1:13" x14ac:dyDescent="0.25">
      <c r="A58" s="60">
        <v>2011</v>
      </c>
      <c r="B58" s="58" t="s">
        <v>109</v>
      </c>
      <c r="C58" s="57">
        <v>17</v>
      </c>
      <c r="D58" s="60"/>
      <c r="E58" s="5"/>
      <c r="F58" s="5"/>
      <c r="G58" s="5"/>
      <c r="H58" s="16"/>
      <c r="I58" s="5"/>
      <c r="J58" s="13"/>
      <c r="L58" s="13"/>
      <c r="M58" s="14"/>
    </row>
    <row r="59" spans="1:13" x14ac:dyDescent="0.25">
      <c r="A59" s="60">
        <v>2011</v>
      </c>
      <c r="B59" s="58" t="s">
        <v>109</v>
      </c>
      <c r="C59" s="57">
        <v>18</v>
      </c>
      <c r="D59" s="60"/>
      <c r="E59" s="5"/>
      <c r="F59" s="5"/>
      <c r="G59" s="5"/>
      <c r="H59" s="16"/>
      <c r="I59" s="5"/>
      <c r="J59" s="13"/>
      <c r="L59" s="13"/>
      <c r="M59" s="14"/>
    </row>
    <row r="60" spans="1:13" x14ac:dyDescent="0.25">
      <c r="A60" s="60">
        <v>2011</v>
      </c>
      <c r="B60" s="58" t="s">
        <v>109</v>
      </c>
      <c r="C60" s="57">
        <v>19</v>
      </c>
      <c r="D60" s="60"/>
      <c r="E60" s="5"/>
      <c r="F60" s="5"/>
      <c r="G60" s="5"/>
      <c r="H60" s="16"/>
      <c r="I60" s="5"/>
      <c r="J60" s="13"/>
      <c r="L60" s="13"/>
    </row>
    <row r="61" spans="1:13" x14ac:dyDescent="0.25">
      <c r="A61" s="60">
        <v>2011</v>
      </c>
      <c r="B61" s="58" t="s">
        <v>109</v>
      </c>
      <c r="C61" s="57">
        <v>20</v>
      </c>
      <c r="D61" s="61"/>
      <c r="E61" s="5"/>
      <c r="F61" s="5"/>
      <c r="G61" s="5"/>
      <c r="H61" s="16"/>
      <c r="I61" s="5"/>
      <c r="J61" s="13"/>
      <c r="K61" s="5"/>
      <c r="L61" s="13"/>
    </row>
    <row r="62" spans="1:13" x14ac:dyDescent="0.25">
      <c r="A62" s="60">
        <v>2011</v>
      </c>
      <c r="B62" s="58" t="s">
        <v>109</v>
      </c>
      <c r="C62" s="57">
        <v>21</v>
      </c>
      <c r="D62" s="60"/>
      <c r="E62" s="5"/>
      <c r="F62" s="5"/>
      <c r="G62" s="5"/>
      <c r="H62" s="5"/>
      <c r="I62" s="5"/>
      <c r="J62" s="13"/>
      <c r="K62" s="5"/>
      <c r="L62" s="13"/>
    </row>
    <row r="63" spans="1:13" x14ac:dyDescent="0.25">
      <c r="A63" s="58" t="s">
        <v>58</v>
      </c>
      <c r="B63" s="57"/>
      <c r="C63" s="57"/>
      <c r="D63" s="60"/>
      <c r="E63" s="5"/>
      <c r="F63" s="5"/>
      <c r="G63" s="5"/>
      <c r="H63" s="5"/>
      <c r="I63" s="5"/>
      <c r="J63" s="13"/>
      <c r="K63" s="5"/>
      <c r="L63" s="13"/>
    </row>
    <row r="64" spans="1:13" x14ac:dyDescent="0.25">
      <c r="A64" s="57" t="s">
        <v>50</v>
      </c>
      <c r="B64" s="57"/>
      <c r="C64" s="57"/>
      <c r="D64" s="60"/>
      <c r="E64" s="5"/>
      <c r="F64" s="5"/>
      <c r="G64" s="5"/>
      <c r="H64" s="5"/>
      <c r="I64" s="5"/>
      <c r="J64" s="13"/>
      <c r="K64" s="5"/>
      <c r="L64" s="13"/>
    </row>
    <row r="65" spans="1:12" x14ac:dyDescent="0.25">
      <c r="A65" s="60">
        <v>2011</v>
      </c>
      <c r="B65" s="58" t="s">
        <v>118</v>
      </c>
      <c r="C65" s="57">
        <v>1</v>
      </c>
      <c r="D65" s="60"/>
      <c r="E65" s="5"/>
      <c r="F65" s="5"/>
      <c r="G65" s="5"/>
      <c r="H65" s="5"/>
      <c r="I65" s="5"/>
      <c r="J65" s="13"/>
      <c r="K65" s="5"/>
      <c r="L65" s="13"/>
    </row>
    <row r="66" spans="1:12" x14ac:dyDescent="0.25">
      <c r="A66" s="60">
        <v>2011</v>
      </c>
      <c r="B66" s="58" t="s">
        <v>118</v>
      </c>
      <c r="C66" s="57">
        <v>2</v>
      </c>
      <c r="D66" s="60"/>
      <c r="E66" s="5"/>
      <c r="F66" s="5"/>
      <c r="G66" s="5"/>
      <c r="H66" s="5"/>
      <c r="I66" s="5"/>
      <c r="J66" s="13"/>
      <c r="K66" s="5"/>
      <c r="L66" s="13"/>
    </row>
    <row r="67" spans="1:12" x14ac:dyDescent="0.25">
      <c r="A67" s="60">
        <v>2011</v>
      </c>
      <c r="B67" s="58" t="s">
        <v>118</v>
      </c>
      <c r="C67" s="57">
        <v>3</v>
      </c>
      <c r="D67" s="60"/>
      <c r="E67" s="5"/>
      <c r="F67" s="5"/>
      <c r="G67" s="5"/>
      <c r="H67" s="5"/>
      <c r="I67" s="5"/>
      <c r="J67" s="13"/>
      <c r="K67" s="5"/>
      <c r="L67" s="13"/>
    </row>
    <row r="68" spans="1:12" x14ac:dyDescent="0.25">
      <c r="A68" s="60">
        <v>2011</v>
      </c>
      <c r="B68" s="58" t="s">
        <v>118</v>
      </c>
      <c r="C68" s="57">
        <v>4</v>
      </c>
      <c r="D68" s="60"/>
      <c r="E68" s="5"/>
      <c r="F68" s="5"/>
      <c r="G68" s="5"/>
      <c r="H68" s="5"/>
      <c r="I68" s="5"/>
      <c r="J68" s="15"/>
      <c r="K68" s="5"/>
      <c r="L68" s="13"/>
    </row>
    <row r="69" spans="1:12" x14ac:dyDescent="0.25">
      <c r="A69" s="60">
        <v>2011</v>
      </c>
      <c r="B69" s="58" t="s">
        <v>118</v>
      </c>
      <c r="C69" s="57">
        <v>5</v>
      </c>
      <c r="D69" s="60"/>
      <c r="E69" s="5"/>
      <c r="F69" s="5"/>
      <c r="G69" s="5"/>
      <c r="H69" s="5"/>
      <c r="I69" s="5"/>
      <c r="J69" s="15"/>
      <c r="K69" s="5"/>
      <c r="L69" s="13"/>
    </row>
    <row r="70" spans="1:12" x14ac:dyDescent="0.25">
      <c r="A70" s="60">
        <v>2011</v>
      </c>
      <c r="B70" s="58" t="s">
        <v>118</v>
      </c>
      <c r="C70" s="57">
        <v>6</v>
      </c>
      <c r="D70" s="60"/>
      <c r="E70" s="5"/>
      <c r="F70" s="5"/>
      <c r="G70" s="5"/>
      <c r="H70" s="5"/>
      <c r="I70" s="5"/>
      <c r="J70" s="15"/>
      <c r="K70" s="5"/>
      <c r="L70" s="13"/>
    </row>
    <row r="71" spans="1:12" x14ac:dyDescent="0.25">
      <c r="A71" s="60">
        <v>2011</v>
      </c>
      <c r="B71" s="58" t="s">
        <v>118</v>
      </c>
      <c r="C71" s="57">
        <v>7</v>
      </c>
      <c r="D71" s="60"/>
      <c r="E71" s="5"/>
      <c r="F71" s="5"/>
      <c r="G71" s="5"/>
      <c r="H71" s="5"/>
      <c r="I71" s="5"/>
      <c r="J71" s="15"/>
      <c r="K71" s="5"/>
      <c r="L71" s="13"/>
    </row>
    <row r="72" spans="1:12" x14ac:dyDescent="0.25">
      <c r="A72" s="60">
        <v>2011</v>
      </c>
      <c r="B72" s="58" t="s">
        <v>118</v>
      </c>
      <c r="C72" s="57">
        <v>8</v>
      </c>
      <c r="D72" s="60"/>
      <c r="E72" s="5"/>
      <c r="F72" s="5"/>
      <c r="G72" s="5"/>
      <c r="J72" s="15"/>
      <c r="K72" s="15"/>
      <c r="L72" s="13"/>
    </row>
    <row r="73" spans="1:12" x14ac:dyDescent="0.25">
      <c r="A73" s="60">
        <v>2011</v>
      </c>
      <c r="B73" s="58" t="s">
        <v>118</v>
      </c>
      <c r="C73" s="57">
        <v>9</v>
      </c>
      <c r="D73" s="60"/>
      <c r="E73" s="5"/>
      <c r="F73" s="5"/>
      <c r="J73" s="15"/>
      <c r="K73" s="15"/>
      <c r="L73" s="13"/>
    </row>
    <row r="74" spans="1:12" x14ac:dyDescent="0.25">
      <c r="A74" s="60">
        <v>2011</v>
      </c>
      <c r="B74" s="58" t="s">
        <v>118</v>
      </c>
      <c r="C74" s="57">
        <v>10</v>
      </c>
      <c r="D74" s="60"/>
      <c r="G74" s="5"/>
      <c r="H74" s="5"/>
      <c r="I74" s="5"/>
      <c r="J74" s="5"/>
      <c r="K74" s="20"/>
      <c r="L74" s="13"/>
    </row>
    <row r="75" spans="1:12" x14ac:dyDescent="0.25">
      <c r="A75" s="60">
        <v>2011</v>
      </c>
      <c r="B75" s="58" t="s">
        <v>118</v>
      </c>
      <c r="C75" s="57">
        <v>11</v>
      </c>
      <c r="D75" s="61"/>
      <c r="G75" s="5"/>
      <c r="H75" s="5"/>
      <c r="I75" s="5"/>
      <c r="J75" s="5"/>
      <c r="K75" s="19"/>
      <c r="L75" s="13"/>
    </row>
    <row r="76" spans="1:12" x14ac:dyDescent="0.25">
      <c r="A76" s="60">
        <v>2011</v>
      </c>
      <c r="B76" s="58" t="s">
        <v>118</v>
      </c>
      <c r="C76" s="57">
        <v>12</v>
      </c>
      <c r="D76" s="61"/>
      <c r="G76" s="5"/>
      <c r="H76" s="5"/>
      <c r="I76" s="5"/>
      <c r="J76" s="5"/>
      <c r="K76" s="19"/>
      <c r="L76" s="13"/>
    </row>
    <row r="77" spans="1:12" x14ac:dyDescent="0.25">
      <c r="A77" s="60">
        <v>2011</v>
      </c>
      <c r="B77" s="58" t="s">
        <v>118</v>
      </c>
      <c r="C77" s="57">
        <v>13</v>
      </c>
      <c r="D77" s="61"/>
      <c r="G77" s="5"/>
      <c r="H77" s="5"/>
      <c r="I77" s="5"/>
      <c r="J77" s="5"/>
      <c r="K77" s="19"/>
      <c r="L77" s="13"/>
    </row>
    <row r="78" spans="1:12" x14ac:dyDescent="0.25">
      <c r="A78" s="59"/>
      <c r="B78" s="57"/>
      <c r="C78" s="57"/>
      <c r="D78" s="61"/>
      <c r="E78" s="5"/>
      <c r="G78" s="5"/>
      <c r="H78" s="5"/>
      <c r="I78" s="5"/>
      <c r="J78" s="5"/>
      <c r="K78" s="19"/>
      <c r="L78" s="13"/>
    </row>
    <row r="79" spans="1:12" x14ac:dyDescent="0.25">
      <c r="A79" s="57"/>
      <c r="B79" s="57"/>
      <c r="C79" s="57"/>
      <c r="D79" s="61"/>
      <c r="E79" s="5"/>
      <c r="G79" s="5"/>
      <c r="H79" s="5"/>
      <c r="I79" s="5"/>
      <c r="J79" s="5"/>
      <c r="K79" s="19"/>
      <c r="L79" s="13"/>
    </row>
    <row r="80" spans="1:12" x14ac:dyDescent="0.25">
      <c r="A80" s="57"/>
      <c r="B80" s="57"/>
      <c r="C80" s="57"/>
      <c r="D80" s="61"/>
      <c r="E80" s="5"/>
      <c r="J80" s="15"/>
      <c r="K80" s="15"/>
      <c r="L80" s="13"/>
    </row>
    <row r="81" spans="1:13" x14ac:dyDescent="0.25">
      <c r="A81" s="57"/>
      <c r="B81" s="58"/>
      <c r="C81" s="57"/>
      <c r="D81" s="60"/>
      <c r="E81" s="5"/>
      <c r="G81" s="5"/>
      <c r="H81" s="5"/>
      <c r="I81" s="5"/>
      <c r="J81" s="5"/>
      <c r="K81" s="5"/>
    </row>
    <row r="82" spans="1:13" x14ac:dyDescent="0.25">
      <c r="A82" s="57"/>
      <c r="B82" s="57"/>
      <c r="C82" s="57"/>
      <c r="D82" s="61"/>
      <c r="E82" s="5"/>
      <c r="G82" s="5"/>
      <c r="H82" s="5"/>
      <c r="I82" s="5"/>
      <c r="J82" s="5"/>
      <c r="K82" s="5"/>
    </row>
    <row r="83" spans="1:13" x14ac:dyDescent="0.25">
      <c r="A83" s="57"/>
      <c r="B83" s="58"/>
      <c r="C83" s="57"/>
      <c r="D83" s="61"/>
      <c r="E83" s="5"/>
      <c r="G83" s="5"/>
      <c r="H83" s="5"/>
      <c r="I83" s="5"/>
      <c r="J83" s="5"/>
      <c r="K83" s="5"/>
      <c r="L83" s="13"/>
    </row>
    <row r="84" spans="1:13" x14ac:dyDescent="0.25">
      <c r="B84" s="5"/>
      <c r="E84" s="5"/>
      <c r="J84" s="13"/>
      <c r="K84" s="13"/>
      <c r="L84" s="13"/>
    </row>
    <row r="85" spans="1:13" x14ac:dyDescent="0.25">
      <c r="E85" s="5"/>
      <c r="F85" s="5"/>
      <c r="J85" s="13"/>
      <c r="K85" s="13"/>
      <c r="L85" s="13"/>
    </row>
    <row r="88" spans="1:13" x14ac:dyDescent="0.25">
      <c r="B88" s="8"/>
    </row>
    <row r="91" spans="1:13" x14ac:dyDescent="0.25">
      <c r="M91" s="12"/>
    </row>
  </sheetData>
  <phoneticPr fontId="0" type="noConversion"/>
  <printOptions gridLines="1"/>
  <pageMargins left="0.55000000000000004" right="0.23622047244093999" top="0.33" bottom="0.66929133858267997" header="0.27559055118109999" footer="0.47244094488188998"/>
  <pageSetup paperSize="9" scale="75" orientation="landscape" horizontalDpi="4294967293"/>
  <headerFooter alignWithMargins="0">
    <oddFooter>&amp;L&amp;F, &amp;A&amp;C&amp;D&amp;R&amp;P/&amp;N</oddFooter>
  </headerFooter>
  <rowBreaks count="1" manualBreakCount="1">
    <brk id="8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P44"/>
  <sheetViews>
    <sheetView zoomScale="80" zoomScaleNormal="80" zoomScalePageLayoutView="80" workbookViewId="0">
      <selection activeCell="T9" sqref="T9"/>
    </sheetView>
  </sheetViews>
  <sheetFormatPr defaultColWidth="9.26953125" defaultRowHeight="39.75" customHeight="1" x14ac:dyDescent="0.25"/>
  <cols>
    <col min="1" max="1" width="12.26953125" style="21" customWidth="1"/>
    <col min="2" max="2" width="8.453125" style="21" customWidth="1"/>
    <col min="3" max="3" width="3.81640625" style="23" customWidth="1"/>
    <col min="4" max="4" width="12.453125" style="21" customWidth="1"/>
    <col min="5" max="5" width="13.26953125" style="21" customWidth="1"/>
    <col min="6" max="6" width="11.1796875" style="21" customWidth="1"/>
    <col min="7" max="7" width="3.453125" style="23" bestFit="1" customWidth="1"/>
    <col min="8" max="8" width="14.7265625" style="21" customWidth="1"/>
    <col min="9" max="9" width="14.1796875" style="21" customWidth="1"/>
    <col min="10" max="10" width="9" style="21" bestFit="1" customWidth="1"/>
    <col min="11" max="11" width="3.453125" style="23" bestFit="1" customWidth="1"/>
    <col min="12" max="12" width="9.26953125" style="21" customWidth="1"/>
    <col min="13" max="13" width="14" style="21" customWidth="1"/>
    <col min="14" max="14" width="11.453125" style="21" customWidth="1"/>
    <col min="15" max="15" width="4.7265625" style="21" customWidth="1"/>
    <col min="16" max="16" width="15.7265625" style="21" customWidth="1"/>
    <col min="17" max="16384" width="9.26953125" style="21"/>
  </cols>
  <sheetData>
    <row r="1" spans="1:16" ht="39.75" customHeight="1" x14ac:dyDescent="0.25">
      <c r="A1" s="46" t="s">
        <v>377</v>
      </c>
      <c r="B1" s="47" t="s">
        <v>111</v>
      </c>
      <c r="C1" s="48">
        <v>1</v>
      </c>
      <c r="D1" s="49" t="s">
        <v>112</v>
      </c>
      <c r="E1" s="46" t="s">
        <v>378</v>
      </c>
      <c r="F1" s="55" t="s">
        <v>109</v>
      </c>
      <c r="G1" s="48">
        <v>1</v>
      </c>
      <c r="H1" s="49" t="s">
        <v>112</v>
      </c>
      <c r="I1" s="46" t="s">
        <v>378</v>
      </c>
      <c r="J1" s="55" t="s">
        <v>118</v>
      </c>
      <c r="K1" s="48">
        <v>1</v>
      </c>
      <c r="L1" s="49" t="s">
        <v>112</v>
      </c>
      <c r="M1" s="46"/>
      <c r="N1" s="55"/>
      <c r="O1" s="55"/>
      <c r="P1" s="55"/>
    </row>
    <row r="2" spans="1:16" ht="39.75" customHeight="1" x14ac:dyDescent="0.25">
      <c r="A2" s="46" t="s">
        <v>377</v>
      </c>
      <c r="B2" s="22" t="s">
        <v>111</v>
      </c>
      <c r="C2" s="23">
        <v>2</v>
      </c>
      <c r="D2" s="51" t="s">
        <v>112</v>
      </c>
      <c r="E2" s="46" t="s">
        <v>378</v>
      </c>
      <c r="F2" s="21" t="s">
        <v>109</v>
      </c>
      <c r="G2" s="23">
        <v>2</v>
      </c>
      <c r="H2" s="51" t="s">
        <v>112</v>
      </c>
      <c r="I2" s="46" t="s">
        <v>378</v>
      </c>
      <c r="J2" s="21" t="s">
        <v>118</v>
      </c>
      <c r="K2" s="23">
        <v>2</v>
      </c>
      <c r="L2" s="51" t="s">
        <v>112</v>
      </c>
      <c r="M2" s="50"/>
    </row>
    <row r="3" spans="1:16" ht="39.75" customHeight="1" x14ac:dyDescent="0.25">
      <c r="A3" s="46" t="s">
        <v>377</v>
      </c>
      <c r="B3" s="22" t="s">
        <v>111</v>
      </c>
      <c r="C3" s="23">
        <v>3</v>
      </c>
      <c r="D3" s="51" t="s">
        <v>112</v>
      </c>
      <c r="E3" s="46" t="s">
        <v>378</v>
      </c>
      <c r="F3" s="21" t="s">
        <v>109</v>
      </c>
      <c r="G3" s="23">
        <v>3</v>
      </c>
      <c r="H3" s="51" t="s">
        <v>112</v>
      </c>
      <c r="I3" s="46" t="s">
        <v>378</v>
      </c>
      <c r="J3" s="21" t="s">
        <v>118</v>
      </c>
      <c r="K3" s="23">
        <v>3</v>
      </c>
      <c r="L3" s="51" t="s">
        <v>112</v>
      </c>
      <c r="M3" s="50"/>
    </row>
    <row r="4" spans="1:16" ht="39.75" customHeight="1" x14ac:dyDescent="0.25">
      <c r="A4" s="46" t="s">
        <v>377</v>
      </c>
      <c r="B4" s="22" t="s">
        <v>111</v>
      </c>
      <c r="C4" s="23">
        <v>4</v>
      </c>
      <c r="D4" s="51" t="s">
        <v>112</v>
      </c>
      <c r="E4" s="46" t="s">
        <v>378</v>
      </c>
      <c r="F4" s="21" t="s">
        <v>109</v>
      </c>
      <c r="G4" s="23">
        <v>4</v>
      </c>
      <c r="H4" s="51" t="s">
        <v>112</v>
      </c>
      <c r="I4" s="46" t="s">
        <v>378</v>
      </c>
      <c r="J4" s="21" t="s">
        <v>118</v>
      </c>
      <c r="K4" s="23">
        <v>4</v>
      </c>
      <c r="L4" s="51" t="s">
        <v>112</v>
      </c>
      <c r="M4" s="50"/>
    </row>
    <row r="5" spans="1:16" ht="39.75" customHeight="1" x14ac:dyDescent="0.25">
      <c r="A5" s="46" t="s">
        <v>377</v>
      </c>
      <c r="B5" s="22" t="s">
        <v>111</v>
      </c>
      <c r="C5" s="23">
        <v>5</v>
      </c>
      <c r="D5" s="51" t="s">
        <v>112</v>
      </c>
      <c r="E5" s="46" t="s">
        <v>378</v>
      </c>
      <c r="F5" s="21" t="s">
        <v>109</v>
      </c>
      <c r="G5" s="23">
        <v>5</v>
      </c>
      <c r="H5" s="51" t="s">
        <v>112</v>
      </c>
      <c r="I5" s="46" t="s">
        <v>378</v>
      </c>
      <c r="J5" s="21" t="s">
        <v>118</v>
      </c>
      <c r="K5" s="23">
        <v>5</v>
      </c>
      <c r="L5" s="51" t="s">
        <v>112</v>
      </c>
      <c r="M5" s="50"/>
    </row>
    <row r="6" spans="1:16" ht="39.75" customHeight="1" x14ac:dyDescent="0.25">
      <c r="A6" s="46" t="s">
        <v>377</v>
      </c>
      <c r="B6" s="22" t="s">
        <v>111</v>
      </c>
      <c r="C6" s="23">
        <v>6</v>
      </c>
      <c r="D6" s="51" t="s">
        <v>112</v>
      </c>
      <c r="E6" s="46" t="s">
        <v>378</v>
      </c>
      <c r="F6" s="21" t="s">
        <v>109</v>
      </c>
      <c r="G6" s="23">
        <v>6</v>
      </c>
      <c r="H6" s="51" t="s">
        <v>112</v>
      </c>
      <c r="I6" s="46" t="s">
        <v>378</v>
      </c>
      <c r="J6" s="21" t="s">
        <v>118</v>
      </c>
      <c r="K6" s="23">
        <v>6</v>
      </c>
      <c r="L6" s="51" t="s">
        <v>112</v>
      </c>
      <c r="M6" s="50"/>
    </row>
    <row r="7" spans="1:16" ht="39.75" customHeight="1" x14ac:dyDescent="0.25">
      <c r="A7" s="46" t="s">
        <v>377</v>
      </c>
      <c r="B7" s="22" t="s">
        <v>111</v>
      </c>
      <c r="C7" s="23">
        <v>7</v>
      </c>
      <c r="D7" s="51" t="s">
        <v>112</v>
      </c>
      <c r="E7" s="46" t="s">
        <v>378</v>
      </c>
      <c r="F7" s="21" t="s">
        <v>109</v>
      </c>
      <c r="G7" s="23">
        <v>7</v>
      </c>
      <c r="H7" s="51" t="s">
        <v>112</v>
      </c>
      <c r="I7" s="46" t="s">
        <v>378</v>
      </c>
      <c r="J7" s="21" t="s">
        <v>118</v>
      </c>
      <c r="K7" s="23">
        <v>7</v>
      </c>
      <c r="L7" s="51" t="s">
        <v>112</v>
      </c>
      <c r="M7" s="50"/>
    </row>
    <row r="8" spans="1:16" ht="39.75" customHeight="1" x14ac:dyDescent="0.25">
      <c r="A8" s="46" t="s">
        <v>377</v>
      </c>
      <c r="B8" s="22" t="s">
        <v>111</v>
      </c>
      <c r="C8" s="23">
        <v>8</v>
      </c>
      <c r="D8" s="51" t="s">
        <v>112</v>
      </c>
      <c r="E8" s="46" t="s">
        <v>378</v>
      </c>
      <c r="F8" s="21" t="s">
        <v>109</v>
      </c>
      <c r="G8" s="23">
        <v>8</v>
      </c>
      <c r="H8" s="51" t="s">
        <v>112</v>
      </c>
      <c r="I8" s="46" t="s">
        <v>378</v>
      </c>
      <c r="J8" s="21" t="s">
        <v>118</v>
      </c>
      <c r="K8" s="23">
        <v>8</v>
      </c>
      <c r="L8" s="51" t="s">
        <v>112</v>
      </c>
      <c r="M8" s="50"/>
    </row>
    <row r="9" spans="1:16" ht="39.75" customHeight="1" x14ac:dyDescent="0.25">
      <c r="A9" s="46" t="s">
        <v>377</v>
      </c>
      <c r="B9" s="22" t="s">
        <v>111</v>
      </c>
      <c r="C9" s="23">
        <v>9</v>
      </c>
      <c r="D9" s="51" t="s">
        <v>112</v>
      </c>
      <c r="E9" s="46" t="s">
        <v>378</v>
      </c>
      <c r="F9" s="21" t="s">
        <v>109</v>
      </c>
      <c r="G9" s="23">
        <v>9</v>
      </c>
      <c r="H9" s="51" t="s">
        <v>112</v>
      </c>
      <c r="I9" s="46" t="s">
        <v>378</v>
      </c>
      <c r="J9" s="21" t="s">
        <v>118</v>
      </c>
      <c r="K9" s="23">
        <v>9</v>
      </c>
      <c r="L9" s="51" t="s">
        <v>112</v>
      </c>
      <c r="M9" s="50"/>
    </row>
    <row r="10" spans="1:16" ht="39.75" customHeight="1" x14ac:dyDescent="0.25">
      <c r="A10" s="46" t="s">
        <v>377</v>
      </c>
      <c r="B10" s="22" t="s">
        <v>111</v>
      </c>
      <c r="C10" s="23">
        <v>10</v>
      </c>
      <c r="D10" s="51" t="s">
        <v>112</v>
      </c>
      <c r="E10" s="46" t="s">
        <v>378</v>
      </c>
      <c r="F10" s="21" t="s">
        <v>109</v>
      </c>
      <c r="G10" s="23">
        <v>10</v>
      </c>
      <c r="H10" s="51" t="s">
        <v>112</v>
      </c>
      <c r="I10" s="46" t="s">
        <v>378</v>
      </c>
      <c r="J10" s="21" t="s">
        <v>118</v>
      </c>
      <c r="K10" s="23">
        <v>10</v>
      </c>
      <c r="L10" s="51" t="s">
        <v>112</v>
      </c>
      <c r="M10" s="50"/>
    </row>
    <row r="11" spans="1:16" ht="39.75" customHeight="1" x14ac:dyDescent="0.25">
      <c r="A11" s="46" t="s">
        <v>377</v>
      </c>
      <c r="B11" s="22" t="s">
        <v>111</v>
      </c>
      <c r="C11" s="23">
        <v>11</v>
      </c>
      <c r="D11" s="51" t="s">
        <v>112</v>
      </c>
      <c r="E11" s="46" t="s">
        <v>378</v>
      </c>
      <c r="F11" s="21" t="s">
        <v>109</v>
      </c>
      <c r="G11" s="23">
        <v>11</v>
      </c>
      <c r="H11" s="51" t="s">
        <v>112</v>
      </c>
      <c r="I11" s="46" t="s">
        <v>378</v>
      </c>
      <c r="J11" s="21" t="s">
        <v>118</v>
      </c>
      <c r="K11" s="23">
        <v>11</v>
      </c>
      <c r="L11" s="51" t="s">
        <v>112</v>
      </c>
      <c r="M11" s="50"/>
    </row>
    <row r="12" spans="1:16" ht="39.75" customHeight="1" x14ac:dyDescent="0.25">
      <c r="A12" s="46" t="s">
        <v>377</v>
      </c>
      <c r="B12" s="22" t="s">
        <v>111</v>
      </c>
      <c r="C12" s="23">
        <v>12</v>
      </c>
      <c r="D12" s="51" t="s">
        <v>112</v>
      </c>
      <c r="E12" s="46" t="s">
        <v>378</v>
      </c>
      <c r="F12" s="21" t="s">
        <v>109</v>
      </c>
      <c r="G12" s="23">
        <v>12</v>
      </c>
      <c r="H12" s="51" t="s">
        <v>112</v>
      </c>
      <c r="I12" s="46" t="s">
        <v>378</v>
      </c>
      <c r="J12" s="21" t="s">
        <v>118</v>
      </c>
      <c r="K12" s="23">
        <v>12</v>
      </c>
      <c r="L12" s="51" t="s">
        <v>112</v>
      </c>
      <c r="M12" s="50"/>
    </row>
    <row r="13" spans="1:16" ht="39.75" customHeight="1" x14ac:dyDescent="0.25">
      <c r="A13" s="46" t="s">
        <v>377</v>
      </c>
      <c r="B13" s="22" t="s">
        <v>111</v>
      </c>
      <c r="C13" s="23">
        <v>13</v>
      </c>
      <c r="D13" s="51" t="s">
        <v>112</v>
      </c>
      <c r="E13" s="46" t="s">
        <v>378</v>
      </c>
      <c r="F13" s="21" t="s">
        <v>109</v>
      </c>
      <c r="G13" s="23">
        <v>13</v>
      </c>
      <c r="H13" s="51" t="s">
        <v>112</v>
      </c>
      <c r="I13" s="46" t="s">
        <v>378</v>
      </c>
      <c r="J13" s="21" t="s">
        <v>118</v>
      </c>
      <c r="K13" s="23">
        <v>13</v>
      </c>
      <c r="L13" s="51" t="s">
        <v>112</v>
      </c>
      <c r="M13" s="50"/>
    </row>
    <row r="14" spans="1:16" ht="39.75" customHeight="1" x14ac:dyDescent="0.25">
      <c r="A14" s="46" t="s">
        <v>377</v>
      </c>
      <c r="B14" s="22" t="s">
        <v>111</v>
      </c>
      <c r="C14" s="23">
        <v>14</v>
      </c>
      <c r="D14" s="51" t="s">
        <v>112</v>
      </c>
      <c r="E14" s="46" t="s">
        <v>378</v>
      </c>
      <c r="F14" s="21" t="s">
        <v>109</v>
      </c>
      <c r="G14" s="23">
        <v>14</v>
      </c>
      <c r="H14" s="21" t="s">
        <v>112</v>
      </c>
    </row>
    <row r="15" spans="1:16" ht="39.75" customHeight="1" x14ac:dyDescent="0.25">
      <c r="A15" s="46" t="s">
        <v>377</v>
      </c>
      <c r="B15" s="22" t="s">
        <v>111</v>
      </c>
      <c r="C15" s="23">
        <v>15</v>
      </c>
      <c r="D15" s="51" t="s">
        <v>112</v>
      </c>
      <c r="E15" s="46" t="s">
        <v>378</v>
      </c>
      <c r="F15" s="21" t="s">
        <v>109</v>
      </c>
      <c r="G15" s="23">
        <v>15</v>
      </c>
      <c r="H15" s="21" t="s">
        <v>112</v>
      </c>
    </row>
    <row r="16" spans="1:16" ht="39.75" customHeight="1" x14ac:dyDescent="0.25">
      <c r="A16" s="46" t="s">
        <v>377</v>
      </c>
      <c r="B16" s="22" t="s">
        <v>111</v>
      </c>
      <c r="C16" s="23">
        <v>16</v>
      </c>
      <c r="D16" s="51" t="s">
        <v>112</v>
      </c>
      <c r="E16" s="46" t="s">
        <v>378</v>
      </c>
      <c r="F16" s="21" t="s">
        <v>109</v>
      </c>
      <c r="G16" s="23">
        <v>16</v>
      </c>
      <c r="H16" s="21" t="s">
        <v>112</v>
      </c>
    </row>
    <row r="17" spans="1:8" ht="39.75" customHeight="1" x14ac:dyDescent="0.25">
      <c r="A17" s="46" t="s">
        <v>377</v>
      </c>
      <c r="B17" s="22" t="s">
        <v>111</v>
      </c>
      <c r="C17" s="23">
        <v>17</v>
      </c>
      <c r="D17" s="51" t="s">
        <v>112</v>
      </c>
      <c r="E17" s="46" t="s">
        <v>378</v>
      </c>
      <c r="F17" s="21" t="s">
        <v>109</v>
      </c>
      <c r="G17" s="23">
        <v>17</v>
      </c>
      <c r="H17" s="21" t="s">
        <v>112</v>
      </c>
    </row>
    <row r="18" spans="1:8" ht="39.75" customHeight="1" x14ac:dyDescent="0.25">
      <c r="A18" s="46" t="s">
        <v>377</v>
      </c>
      <c r="B18" s="22" t="s">
        <v>111</v>
      </c>
      <c r="C18" s="23">
        <v>18</v>
      </c>
      <c r="D18" s="51" t="s">
        <v>112</v>
      </c>
      <c r="E18" s="46" t="s">
        <v>378</v>
      </c>
      <c r="F18" s="21" t="s">
        <v>109</v>
      </c>
      <c r="G18" s="23">
        <v>18</v>
      </c>
      <c r="H18" s="21" t="s">
        <v>112</v>
      </c>
    </row>
    <row r="19" spans="1:8" ht="39.75" customHeight="1" x14ac:dyDescent="0.25">
      <c r="A19" s="46" t="s">
        <v>377</v>
      </c>
      <c r="B19" s="22" t="s">
        <v>111</v>
      </c>
      <c r="C19" s="23">
        <v>19</v>
      </c>
      <c r="D19" s="51" t="s">
        <v>112</v>
      </c>
      <c r="E19" s="46" t="s">
        <v>378</v>
      </c>
      <c r="F19" s="21" t="s">
        <v>109</v>
      </c>
      <c r="G19" s="23">
        <v>19</v>
      </c>
      <c r="H19" s="21" t="s">
        <v>112</v>
      </c>
    </row>
    <row r="20" spans="1:8" ht="39.75" customHeight="1" x14ac:dyDescent="0.25">
      <c r="A20" s="46" t="s">
        <v>377</v>
      </c>
      <c r="B20" s="22" t="s">
        <v>111</v>
      </c>
      <c r="C20" s="23">
        <v>20</v>
      </c>
      <c r="D20" s="51" t="s">
        <v>112</v>
      </c>
      <c r="E20" s="46" t="s">
        <v>378</v>
      </c>
      <c r="F20" s="21" t="s">
        <v>109</v>
      </c>
      <c r="G20" s="23">
        <v>20</v>
      </c>
      <c r="H20" s="21" t="s">
        <v>112</v>
      </c>
    </row>
    <row r="21" spans="1:8" ht="39.75" customHeight="1" x14ac:dyDescent="0.25">
      <c r="A21" s="46" t="s">
        <v>377</v>
      </c>
      <c r="B21" s="52" t="s">
        <v>111</v>
      </c>
      <c r="C21" s="53">
        <v>21</v>
      </c>
      <c r="D21" s="54" t="s">
        <v>112</v>
      </c>
      <c r="E21" s="46" t="s">
        <v>378</v>
      </c>
      <c r="F21" s="56" t="s">
        <v>109</v>
      </c>
      <c r="G21" s="53">
        <v>21</v>
      </c>
      <c r="H21" s="56" t="s">
        <v>112</v>
      </c>
    </row>
    <row r="23" spans="1:8" ht="39.75" customHeight="1" x14ac:dyDescent="0.25">
      <c r="B23" s="22"/>
    </row>
    <row r="24" spans="1:8" ht="39.75" customHeight="1" x14ac:dyDescent="0.25">
      <c r="B24" s="22"/>
    </row>
    <row r="25" spans="1:8" ht="39.75" customHeight="1" x14ac:dyDescent="0.25">
      <c r="B25" s="22"/>
    </row>
    <row r="26" spans="1:8" ht="39.75" customHeight="1" x14ac:dyDescent="0.25">
      <c r="B26" s="22"/>
    </row>
    <row r="27" spans="1:8" ht="39.75" customHeight="1" x14ac:dyDescent="0.25">
      <c r="B27" s="22"/>
    </row>
    <row r="28" spans="1:8" ht="39.75" customHeight="1" x14ac:dyDescent="0.25">
      <c r="B28" s="22"/>
    </row>
    <row r="29" spans="1:8" ht="39.75" customHeight="1" x14ac:dyDescent="0.25">
      <c r="B29" s="22"/>
    </row>
    <row r="30" spans="1:8" ht="39.75" customHeight="1" x14ac:dyDescent="0.25">
      <c r="B30" s="22"/>
    </row>
    <row r="31" spans="1:8" ht="39.75" customHeight="1" x14ac:dyDescent="0.25">
      <c r="B31" s="22"/>
    </row>
    <row r="32" spans="1:8" ht="39.75" customHeight="1" x14ac:dyDescent="0.25">
      <c r="B32" s="22"/>
    </row>
    <row r="33" spans="1:3" ht="39.75" customHeight="1" x14ac:dyDescent="0.25">
      <c r="B33" s="22"/>
    </row>
    <row r="34" spans="1:3" ht="39.75" customHeight="1" x14ac:dyDescent="0.25">
      <c r="A34" s="33"/>
      <c r="B34" s="22"/>
      <c r="C34" s="21"/>
    </row>
    <row r="35" spans="1:3" ht="39.75" customHeight="1" x14ac:dyDescent="0.25">
      <c r="A35" s="33"/>
      <c r="B35" s="22"/>
      <c r="C35" s="21"/>
    </row>
    <row r="36" spans="1:3" ht="39.75" customHeight="1" x14ac:dyDescent="0.25">
      <c r="C36" s="21"/>
    </row>
    <row r="37" spans="1:3" ht="39.75" customHeight="1" x14ac:dyDescent="0.25">
      <c r="C37" s="21"/>
    </row>
    <row r="38" spans="1:3" ht="39.75" customHeight="1" x14ac:dyDescent="0.25">
      <c r="C38" s="21"/>
    </row>
    <row r="39" spans="1:3" ht="39.75" customHeight="1" x14ac:dyDescent="0.25">
      <c r="C39" s="21"/>
    </row>
    <row r="40" spans="1:3" ht="39.75" customHeight="1" x14ac:dyDescent="0.25">
      <c r="C40" s="21"/>
    </row>
    <row r="41" spans="1:3" ht="39.75" customHeight="1" x14ac:dyDescent="0.25">
      <c r="C41" s="21"/>
    </row>
    <row r="42" spans="1:3" ht="39.75" customHeight="1" x14ac:dyDescent="0.25">
      <c r="C42" s="21"/>
    </row>
    <row r="43" spans="1:3" ht="39.75" customHeight="1" x14ac:dyDescent="0.25">
      <c r="C43" s="21"/>
    </row>
    <row r="44" spans="1:3" ht="39.75" customHeight="1" x14ac:dyDescent="0.25">
      <c r="C44" s="21"/>
    </row>
  </sheetData>
  <phoneticPr fontId="0" type="noConversion"/>
  <pageMargins left="0.4" right="0.39" top="0.55000000000000004" bottom="0.59" header="0.51" footer="0.51"/>
  <pageSetup paperSize="9" scale="62" orientation="landscape" horizontalDpi="4294967293" verticalDpi="4294967293" r:id="rId1"/>
  <headerFooter alignWithMargins="0">
    <oddHeader>&amp;F</oddHeader>
  </headerFooter>
  <rowBreaks count="1" manualBreakCount="1">
    <brk id="21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V74"/>
  <sheetViews>
    <sheetView topLeftCell="A49" zoomScale="125" zoomScaleNormal="125" zoomScalePageLayoutView="125" workbookViewId="0">
      <selection activeCell="P79" sqref="P79"/>
    </sheetView>
  </sheetViews>
  <sheetFormatPr defaultColWidth="8.81640625" defaultRowHeight="12.5" x14ac:dyDescent="0.25"/>
  <cols>
    <col min="18" max="18" width="9.26953125" style="90" bestFit="1" customWidth="1"/>
    <col min="19" max="20" width="10.453125" bestFit="1" customWidth="1"/>
    <col min="21" max="22" width="9.453125" bestFit="1" customWidth="1"/>
  </cols>
  <sheetData>
    <row r="1" spans="18:19" ht="13" x14ac:dyDescent="0.3">
      <c r="R1" s="45">
        <v>2015</v>
      </c>
    </row>
    <row r="2" spans="18:19" x14ac:dyDescent="0.25">
      <c r="R2" s="90" t="s">
        <v>121</v>
      </c>
    </row>
    <row r="3" spans="18:19" x14ac:dyDescent="0.25">
      <c r="R3" s="94" t="s">
        <v>22</v>
      </c>
    </row>
    <row r="4" spans="18:19" x14ac:dyDescent="0.25">
      <c r="R4" s="90" t="s">
        <v>148</v>
      </c>
    </row>
    <row r="5" spans="18:19" x14ac:dyDescent="0.25">
      <c r="R5" s="94" t="s">
        <v>44</v>
      </c>
    </row>
    <row r="6" spans="18:19" ht="13" x14ac:dyDescent="0.3">
      <c r="R6" s="95">
        <f>AVERAGE(main!I7:I27)</f>
        <v>4.4472804921968798</v>
      </c>
      <c r="S6" t="s">
        <v>242</v>
      </c>
    </row>
    <row r="7" spans="18:19" ht="13" x14ac:dyDescent="0.3">
      <c r="R7" s="95">
        <f>MEDIAN(main!I7:I27)</f>
        <v>1.3271773109243696</v>
      </c>
      <c r="S7" t="s">
        <v>243</v>
      </c>
    </row>
    <row r="18" spans="18:22" ht="13" x14ac:dyDescent="0.3">
      <c r="R18" s="45"/>
    </row>
    <row r="19" spans="18:22" ht="13" x14ac:dyDescent="0.3">
      <c r="R19" s="95">
        <f>AVERAGE(main!I31:I51)</f>
        <v>20.813228271308525</v>
      </c>
      <c r="S19" t="s">
        <v>242</v>
      </c>
    </row>
    <row r="20" spans="18:22" ht="13" x14ac:dyDescent="0.3">
      <c r="R20" s="95">
        <f>MEDIAN(main!I31:I51)</f>
        <v>15.232459663865548</v>
      </c>
      <c r="S20" t="s">
        <v>243</v>
      </c>
    </row>
    <row r="22" spans="18:22" ht="13" x14ac:dyDescent="0.3">
      <c r="R22" s="300"/>
      <c r="S22" s="169"/>
      <c r="T22" s="169"/>
      <c r="U22" s="169"/>
      <c r="V22" s="169"/>
    </row>
    <row r="23" spans="18:22" ht="13" x14ac:dyDescent="0.3">
      <c r="R23" s="300"/>
      <c r="S23" s="169"/>
      <c r="T23" s="169"/>
      <c r="U23" s="169"/>
      <c r="V23" s="169"/>
    </row>
    <row r="37" spans="18:20" ht="13" x14ac:dyDescent="0.3">
      <c r="R37" s="95">
        <f>AVERAGE(main!I55:I67)</f>
        <v>21.573505372405371</v>
      </c>
      <c r="S37" t="s">
        <v>242</v>
      </c>
    </row>
    <row r="38" spans="18:20" ht="13" x14ac:dyDescent="0.3">
      <c r="R38" s="95">
        <f>MEDIAN(main!I55:I67)</f>
        <v>15.194786507936509</v>
      </c>
      <c r="S38" t="s">
        <v>243</v>
      </c>
    </row>
    <row r="40" spans="18:20" ht="13" x14ac:dyDescent="0.3">
      <c r="R40" s="300"/>
      <c r="S40" s="169"/>
      <c r="T40" s="169"/>
    </row>
    <row r="41" spans="18:20" ht="13" x14ac:dyDescent="0.3">
      <c r="R41" s="300"/>
      <c r="S41" s="169"/>
      <c r="T41" s="169"/>
    </row>
    <row r="54" spans="18:18" ht="13" x14ac:dyDescent="0.3">
      <c r="R54" s="95"/>
    </row>
    <row r="55" spans="18:18" ht="13" x14ac:dyDescent="0.3">
      <c r="R55" s="95"/>
    </row>
    <row r="57" spans="18:18" ht="13" x14ac:dyDescent="0.3">
      <c r="R57" s="95"/>
    </row>
    <row r="69" spans="1:18" ht="13" x14ac:dyDescent="0.3">
      <c r="R69" s="45"/>
    </row>
    <row r="72" spans="1:18" x14ac:dyDescent="0.25">
      <c r="A72" s="11">
        <v>41122</v>
      </c>
      <c r="B72">
        <f>A72</f>
        <v>41122</v>
      </c>
    </row>
    <row r="73" spans="1:18" x14ac:dyDescent="0.25">
      <c r="A73" s="11">
        <v>41525</v>
      </c>
      <c r="B73">
        <f>A73</f>
        <v>41525</v>
      </c>
    </row>
    <row r="74" spans="1:18" x14ac:dyDescent="0.25">
      <c r="A74" t="s">
        <v>119</v>
      </c>
      <c r="B74">
        <v>31</v>
      </c>
    </row>
  </sheetData>
  <phoneticPr fontId="7" type="noConversion"/>
  <pageMargins left="0.3" right="0.16" top="0.3" bottom="0.34" header="0.27" footer="0.19"/>
  <pageSetup paperSize="9" scale="65" orientation="landscape" verticalDpi="4"/>
  <headerFooter alignWithMargins="0">
    <oddFooter>&amp;L&amp;F, &amp;A&amp;C&amp;D&amp;R&amp;P/&amp;N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L14"/>
  <sheetViews>
    <sheetView workbookViewId="0">
      <selection activeCell="E17" sqref="E17"/>
    </sheetView>
  </sheetViews>
  <sheetFormatPr defaultColWidth="11.453125" defaultRowHeight="12.5" x14ac:dyDescent="0.25"/>
  <cols>
    <col min="1" max="1" width="45.453125" customWidth="1"/>
    <col min="2" max="2" width="27.81640625" customWidth="1"/>
    <col min="3" max="3" width="21.7265625" customWidth="1"/>
    <col min="4" max="4" width="23.1796875" customWidth="1"/>
    <col min="5" max="5" width="66.1796875" customWidth="1"/>
    <col min="6" max="6" width="14.81640625" customWidth="1"/>
    <col min="7" max="7" width="18.1796875" customWidth="1"/>
  </cols>
  <sheetData>
    <row r="1" spans="1:12" ht="15.5" x14ac:dyDescent="0.35">
      <c r="A1" t="s">
        <v>357</v>
      </c>
    </row>
    <row r="2" spans="1:12" x14ac:dyDescent="0.25">
      <c r="A2" t="s">
        <v>358</v>
      </c>
      <c r="B2">
        <f>42-(42/100*4)</f>
        <v>40.32</v>
      </c>
    </row>
    <row r="4" spans="1:12" ht="13" x14ac:dyDescent="0.3">
      <c r="B4" s="156" t="s">
        <v>359</v>
      </c>
      <c r="C4" s="156" t="s">
        <v>360</v>
      </c>
      <c r="D4" s="156" t="s">
        <v>361</v>
      </c>
      <c r="E4" s="10" t="s">
        <v>362</v>
      </c>
      <c r="F4" t="s">
        <v>363</v>
      </c>
      <c r="G4" t="s">
        <v>364</v>
      </c>
    </row>
    <row r="5" spans="1:12" x14ac:dyDescent="0.25">
      <c r="A5" s="79" t="s">
        <v>365</v>
      </c>
      <c r="B5" s="79">
        <v>40</v>
      </c>
      <c r="C5" s="157">
        <v>62.6</v>
      </c>
      <c r="D5" s="3">
        <f>C5/12</f>
        <v>5.2166666666666668</v>
      </c>
      <c r="E5" s="158">
        <f>((C5/12+35)*0.25)-((C5/12+35)*0.25)*10/250</f>
        <v>9.652000000000001</v>
      </c>
      <c r="F5" s="159">
        <f>E5*4</f>
        <v>38.608000000000004</v>
      </c>
      <c r="G5" s="159">
        <f>C5/12*20</f>
        <v>104.33333333333334</v>
      </c>
      <c r="H5" s="17" t="s">
        <v>3202</v>
      </c>
    </row>
    <row r="6" spans="1:12" x14ac:dyDescent="0.25">
      <c r="A6" s="97" t="s">
        <v>366</v>
      </c>
      <c r="B6" s="97">
        <v>2</v>
      </c>
      <c r="C6" s="160">
        <v>25</v>
      </c>
      <c r="D6" s="3">
        <f>C6/12</f>
        <v>2.0833333333333335</v>
      </c>
      <c r="E6" s="161">
        <f>(((C6)/12)*0.25)-(((C6)/12)*0.25)*(10/250)</f>
        <v>0.5</v>
      </c>
      <c r="F6" s="3">
        <f>E6*4</f>
        <v>2</v>
      </c>
      <c r="G6" s="3">
        <f>C6/12*20</f>
        <v>41.666666666666671</v>
      </c>
      <c r="H6" s="436" t="s">
        <v>1292</v>
      </c>
      <c r="I6" s="436"/>
      <c r="J6" s="436"/>
      <c r="K6" s="436"/>
      <c r="L6" s="436"/>
    </row>
    <row r="7" spans="1:12" x14ac:dyDescent="0.25">
      <c r="A7" s="97" t="s">
        <v>367</v>
      </c>
      <c r="B7" s="97">
        <v>0.22</v>
      </c>
      <c r="C7" s="160">
        <v>2.75</v>
      </c>
      <c r="D7" s="3">
        <f>C7/12</f>
        <v>0.22916666666666666</v>
      </c>
      <c r="E7" s="161">
        <f>(((C7)/12)*0.25)-(((C7)/12)*0.25)*(10/250)</f>
        <v>5.5E-2</v>
      </c>
      <c r="F7" s="3">
        <f>E7*4</f>
        <v>0.22</v>
      </c>
      <c r="G7" s="3">
        <f>C7/12*20</f>
        <v>4.583333333333333</v>
      </c>
      <c r="H7" s="436">
        <f>39 - (39/100)*4</f>
        <v>37.44</v>
      </c>
      <c r="I7" s="436"/>
      <c r="J7" s="436"/>
      <c r="K7" s="436"/>
      <c r="L7" s="436"/>
    </row>
    <row r="8" spans="1:12" x14ac:dyDescent="0.25">
      <c r="A8" s="97" t="s">
        <v>368</v>
      </c>
      <c r="B8" s="97">
        <v>3</v>
      </c>
      <c r="C8" s="162">
        <v>0</v>
      </c>
      <c r="D8" s="3">
        <f>C8/12</f>
        <v>0</v>
      </c>
      <c r="E8" s="161">
        <f>(((C8)/12)*0.25)-(((C8)/12)*0.25)*(10/250)</f>
        <v>0</v>
      </c>
      <c r="F8" s="3">
        <f>E8*4</f>
        <v>0</v>
      </c>
      <c r="G8" s="3">
        <f>C8/12*20</f>
        <v>0</v>
      </c>
    </row>
    <row r="9" spans="1:12" x14ac:dyDescent="0.25">
      <c r="A9" s="97" t="s">
        <v>369</v>
      </c>
      <c r="B9" s="163" t="s">
        <v>370</v>
      </c>
      <c r="C9" s="160">
        <v>0</v>
      </c>
      <c r="D9" s="3">
        <f>C9/12</f>
        <v>0</v>
      </c>
      <c r="E9" s="161">
        <v>0</v>
      </c>
    </row>
    <row r="10" spans="1:12" x14ac:dyDescent="0.25">
      <c r="A10" s="83"/>
      <c r="B10" s="83"/>
      <c r="C10" s="164"/>
      <c r="D10" s="3"/>
      <c r="E10" s="165"/>
    </row>
    <row r="13" spans="1:12" x14ac:dyDescent="0.25">
      <c r="E13">
        <f>(10.4-(41.6/4)/25)*4</f>
        <v>39.936</v>
      </c>
      <c r="F13" s="96" t="s">
        <v>371</v>
      </c>
      <c r="G13" s="96"/>
    </row>
    <row r="14" spans="1:12" x14ac:dyDescent="0.25">
      <c r="F14" s="96" t="s">
        <v>372</v>
      </c>
      <c r="G14" s="96"/>
    </row>
  </sheetData>
  <pageMargins left="0.75" right="0.75" top="1" bottom="1" header="0.5" footer="0.5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146"/>
  <sheetViews>
    <sheetView zoomScaleSheetLayoutView="80" workbookViewId="0">
      <pane xSplit="3" ySplit="4" topLeftCell="D5" activePane="bottomRight" state="frozenSplit"/>
      <selection activeCell="L21" sqref="L21"/>
      <selection pane="topRight" activeCell="L21" sqref="L21"/>
      <selection pane="bottomLeft" activeCell="L21" sqref="L21"/>
      <selection pane="bottomRight" activeCell="F63" sqref="F63"/>
    </sheetView>
  </sheetViews>
  <sheetFormatPr defaultColWidth="8.81640625" defaultRowHeight="12.5" x14ac:dyDescent="0.25"/>
  <cols>
    <col min="1" max="1" width="7.453125" customWidth="1"/>
    <col min="2" max="2" width="11.1796875" customWidth="1"/>
    <col min="3" max="3" width="4.453125" customWidth="1"/>
    <col min="4" max="5" width="9.1796875" style="19" bestFit="1" customWidth="1"/>
    <col min="6" max="6" width="9.26953125" style="5" customWidth="1"/>
    <col min="7" max="7" width="10.453125" style="5" customWidth="1"/>
  </cols>
  <sheetData>
    <row r="1" spans="1:7" x14ac:dyDescent="0.25">
      <c r="A1" t="s">
        <v>59</v>
      </c>
      <c r="B1" t="s">
        <v>54</v>
      </c>
      <c r="C1" t="s">
        <v>55</v>
      </c>
      <c r="D1" s="1" t="s">
        <v>56</v>
      </c>
      <c r="E1" s="1" t="s">
        <v>56</v>
      </c>
      <c r="F1" s="2" t="s">
        <v>149</v>
      </c>
      <c r="G1"/>
    </row>
    <row r="2" spans="1:7" x14ac:dyDescent="0.25">
      <c r="D2" s="5" t="s">
        <v>15</v>
      </c>
      <c r="E2" s="5" t="s">
        <v>15</v>
      </c>
      <c r="F2" s="2" t="s">
        <v>27</v>
      </c>
      <c r="G2"/>
    </row>
    <row r="3" spans="1:7" x14ac:dyDescent="0.25">
      <c r="D3" s="7" t="s">
        <v>25</v>
      </c>
      <c r="E3" s="7" t="s">
        <v>147</v>
      </c>
      <c r="F3" s="9"/>
      <c r="G3"/>
    </row>
    <row r="4" spans="1:7" x14ac:dyDescent="0.25">
      <c r="A4" s="5"/>
      <c r="D4" s="5" t="s">
        <v>53</v>
      </c>
      <c r="E4" s="5" t="s">
        <v>53</v>
      </c>
      <c r="F4" s="2"/>
      <c r="G4"/>
    </row>
    <row r="5" spans="1:7" x14ac:dyDescent="0.25">
      <c r="A5" s="20">
        <v>2016</v>
      </c>
      <c r="B5" s="238" t="s">
        <v>111</v>
      </c>
      <c r="C5">
        <v>1</v>
      </c>
      <c r="D5" s="3">
        <f>mass_filt_1!S8</f>
        <v>530.17142857142858</v>
      </c>
      <c r="E5" s="3">
        <f>mass_filt_1!R8</f>
        <v>371.12</v>
      </c>
      <c r="F5" s="5">
        <v>1</v>
      </c>
    </row>
    <row r="6" spans="1:7" x14ac:dyDescent="0.25">
      <c r="A6" s="20">
        <v>2016</v>
      </c>
      <c r="B6" s="238" t="s">
        <v>111</v>
      </c>
      <c r="C6">
        <v>2</v>
      </c>
      <c r="D6" s="3">
        <f>mass_filt_1!S9</f>
        <v>211.89999999999995</v>
      </c>
      <c r="E6" s="3">
        <f>mass_filt_1!R9</f>
        <v>148.32999999999998</v>
      </c>
      <c r="F6" s="5">
        <v>1</v>
      </c>
    </row>
    <row r="7" spans="1:7" x14ac:dyDescent="0.25">
      <c r="A7" s="20">
        <v>2016</v>
      </c>
      <c r="B7" s="238" t="s">
        <v>111</v>
      </c>
      <c r="C7">
        <v>3</v>
      </c>
      <c r="D7" s="3">
        <f>mass_filt_1!S10</f>
        <v>175.27142857142857</v>
      </c>
      <c r="E7" s="3">
        <f>mass_filt_1!R10</f>
        <v>122.69</v>
      </c>
      <c r="F7" s="5">
        <v>1</v>
      </c>
    </row>
    <row r="8" spans="1:7" x14ac:dyDescent="0.25">
      <c r="A8" s="20">
        <v>2016</v>
      </c>
      <c r="B8" s="238" t="s">
        <v>111</v>
      </c>
      <c r="C8">
        <v>4</v>
      </c>
      <c r="D8" s="3">
        <f>mass_filt_1!S11</f>
        <v>223.42857142857139</v>
      </c>
      <c r="E8" s="3">
        <f>mass_filt_1!R11</f>
        <v>156.39999999999998</v>
      </c>
      <c r="F8" s="5">
        <v>1</v>
      </c>
    </row>
    <row r="9" spans="1:7" x14ac:dyDescent="0.25">
      <c r="A9" s="20">
        <v>2016</v>
      </c>
      <c r="B9" s="238" t="s">
        <v>111</v>
      </c>
      <c r="C9">
        <v>5</v>
      </c>
      <c r="D9" s="3">
        <f>mass_filt_1!S12</f>
        <v>340.01428571428579</v>
      </c>
      <c r="E9" s="3">
        <f>mass_filt_1!R12</f>
        <v>238.01000000000002</v>
      </c>
      <c r="F9" s="5">
        <v>1</v>
      </c>
    </row>
    <row r="10" spans="1:7" x14ac:dyDescent="0.25">
      <c r="A10" s="20">
        <v>2016</v>
      </c>
      <c r="B10" s="238" t="s">
        <v>111</v>
      </c>
      <c r="C10">
        <v>6</v>
      </c>
      <c r="D10" s="3">
        <f>mass_filt_1!S13</f>
        <v>66.357142857142861</v>
      </c>
      <c r="E10" s="3">
        <f>mass_filt_1!R13</f>
        <v>46.45</v>
      </c>
      <c r="F10" s="5">
        <v>1</v>
      </c>
    </row>
    <row r="11" spans="1:7" x14ac:dyDescent="0.25">
      <c r="A11" s="20">
        <v>2016</v>
      </c>
      <c r="B11" s="238" t="s">
        <v>111</v>
      </c>
      <c r="C11">
        <v>7</v>
      </c>
      <c r="D11" s="3">
        <f>mass_filt_1!S14</f>
        <v>14.12857142857143</v>
      </c>
      <c r="E11" s="3">
        <f>mass_filt_1!R14</f>
        <v>9.89</v>
      </c>
      <c r="F11" s="5">
        <v>1</v>
      </c>
    </row>
    <row r="12" spans="1:7" x14ac:dyDescent="0.25">
      <c r="A12" s="20">
        <v>2016</v>
      </c>
      <c r="B12" s="238" t="s">
        <v>111</v>
      </c>
      <c r="C12">
        <v>8</v>
      </c>
      <c r="D12" s="3">
        <f>mass_filt_1!S15</f>
        <v>179.90000000000003</v>
      </c>
      <c r="E12" s="3">
        <f>mass_filt_1!R15</f>
        <v>125.93</v>
      </c>
      <c r="F12" s="5">
        <v>1</v>
      </c>
    </row>
    <row r="13" spans="1:7" x14ac:dyDescent="0.25">
      <c r="A13" s="20">
        <v>2016</v>
      </c>
      <c r="B13" s="238" t="s">
        <v>111</v>
      </c>
      <c r="C13">
        <v>9</v>
      </c>
      <c r="D13" s="3">
        <f>mass_filt_1!S16</f>
        <v>124.47142857142856</v>
      </c>
      <c r="E13" s="3">
        <f>mass_filt_1!R16</f>
        <v>87.13</v>
      </c>
      <c r="F13" s="5">
        <v>1</v>
      </c>
    </row>
    <row r="14" spans="1:7" x14ac:dyDescent="0.25">
      <c r="A14" s="20">
        <v>2016</v>
      </c>
      <c r="B14" s="238" t="s">
        <v>111</v>
      </c>
      <c r="C14">
        <v>10</v>
      </c>
      <c r="D14" s="3">
        <f>mass_filt_1!S17</f>
        <v>60.557142857142843</v>
      </c>
      <c r="E14" s="3">
        <f>mass_filt_1!R17</f>
        <v>42.389999999999993</v>
      </c>
      <c r="F14" s="5">
        <v>1</v>
      </c>
    </row>
    <row r="15" spans="1:7" x14ac:dyDescent="0.25">
      <c r="A15" s="20">
        <v>2016</v>
      </c>
      <c r="B15" s="238" t="s">
        <v>111</v>
      </c>
      <c r="C15">
        <v>11</v>
      </c>
      <c r="D15" s="3">
        <f>mass_filt_1!S18</f>
        <v>147.34285714285713</v>
      </c>
      <c r="E15" s="3">
        <f>mass_filt_1!R18</f>
        <v>103.13999999999999</v>
      </c>
      <c r="F15" s="5">
        <v>1</v>
      </c>
    </row>
    <row r="16" spans="1:7" x14ac:dyDescent="0.25">
      <c r="A16" s="20">
        <v>2016</v>
      </c>
      <c r="B16" s="238" t="s">
        <v>111</v>
      </c>
      <c r="C16">
        <v>12</v>
      </c>
      <c r="D16" s="3">
        <f>mass_filt_1!S19</f>
        <v>17.842857142857156</v>
      </c>
      <c r="E16" s="3">
        <f>mass_filt_1!R19</f>
        <v>12.490000000000009</v>
      </c>
      <c r="F16" s="5">
        <v>1</v>
      </c>
    </row>
    <row r="17" spans="1:7" x14ac:dyDescent="0.25">
      <c r="A17" s="20">
        <v>2016</v>
      </c>
      <c r="B17" s="238" t="s">
        <v>111</v>
      </c>
      <c r="C17">
        <v>13</v>
      </c>
      <c r="D17" s="3">
        <f>mass_filt_1!S20</f>
        <v>14.399999999999997</v>
      </c>
      <c r="E17" s="3">
        <f>mass_filt_1!R20</f>
        <v>10.079999999999998</v>
      </c>
      <c r="F17" s="5">
        <v>1</v>
      </c>
    </row>
    <row r="18" spans="1:7" x14ac:dyDescent="0.25">
      <c r="A18" s="20">
        <v>2016</v>
      </c>
      <c r="B18" s="238" t="s">
        <v>111</v>
      </c>
      <c r="C18">
        <v>14</v>
      </c>
      <c r="D18" s="3">
        <f>mass_filt_1!S21</f>
        <v>30.885714285714283</v>
      </c>
      <c r="E18" s="3">
        <f>mass_filt_1!R21</f>
        <v>21.619999999999997</v>
      </c>
      <c r="F18" s="5">
        <v>1</v>
      </c>
    </row>
    <row r="19" spans="1:7" x14ac:dyDescent="0.25">
      <c r="A19" s="20">
        <v>2016</v>
      </c>
      <c r="B19" s="238" t="s">
        <v>111</v>
      </c>
      <c r="C19">
        <v>15</v>
      </c>
      <c r="D19" s="3">
        <f>mass_filt_1!S22</f>
        <v>13.671428571428573</v>
      </c>
      <c r="E19" s="3">
        <f>mass_filt_1!R22</f>
        <v>9.57</v>
      </c>
      <c r="F19" s="5">
        <v>1</v>
      </c>
    </row>
    <row r="20" spans="1:7" x14ac:dyDescent="0.25">
      <c r="A20" s="20">
        <v>2016</v>
      </c>
      <c r="B20" s="238" t="s">
        <v>111</v>
      </c>
      <c r="C20">
        <v>16</v>
      </c>
      <c r="D20" s="3">
        <f>mass_filt_1!S23</f>
        <v>7.1857142857142877</v>
      </c>
      <c r="E20" s="3">
        <f>mass_filt_1!R23</f>
        <v>5.0300000000000011</v>
      </c>
      <c r="F20" s="5" t="s">
        <v>809</v>
      </c>
    </row>
    <row r="21" spans="1:7" x14ac:dyDescent="0.25">
      <c r="A21" s="20">
        <v>2016</v>
      </c>
      <c r="B21" s="238" t="s">
        <v>111</v>
      </c>
      <c r="C21">
        <v>17</v>
      </c>
      <c r="D21" s="3">
        <f>mass_filt_1!S24</f>
        <v>5.3857142857142906</v>
      </c>
      <c r="E21" s="3">
        <f>mass_filt_1!R24</f>
        <v>3.7700000000000031</v>
      </c>
      <c r="F21" s="5" t="s">
        <v>809</v>
      </c>
    </row>
    <row r="22" spans="1:7" x14ac:dyDescent="0.25">
      <c r="A22" s="20">
        <v>2016</v>
      </c>
      <c r="B22" s="238" t="s">
        <v>111</v>
      </c>
      <c r="C22">
        <v>18</v>
      </c>
      <c r="D22" s="3">
        <f>mass_filt_1!S25</f>
        <v>2.9285714285714346</v>
      </c>
      <c r="E22" s="3">
        <f>mass_filt_1!R25</f>
        <v>2.0500000000000043</v>
      </c>
      <c r="F22" s="5" t="s">
        <v>809</v>
      </c>
    </row>
    <row r="23" spans="1:7" x14ac:dyDescent="0.25">
      <c r="A23" s="20">
        <v>2016</v>
      </c>
      <c r="B23" s="238" t="s">
        <v>111</v>
      </c>
      <c r="C23">
        <v>19</v>
      </c>
      <c r="D23" s="3">
        <f>mass_filt_1!S26</f>
        <v>3.8285714285714385</v>
      </c>
      <c r="E23" s="3">
        <f>mass_filt_1!R26</f>
        <v>2.6800000000000068</v>
      </c>
      <c r="F23" s="5" t="s">
        <v>809</v>
      </c>
    </row>
    <row r="24" spans="1:7" x14ac:dyDescent="0.25">
      <c r="A24" s="20">
        <v>2016</v>
      </c>
      <c r="B24" s="238" t="s">
        <v>111</v>
      </c>
      <c r="C24">
        <v>20</v>
      </c>
      <c r="D24" s="3">
        <f>mass_filt_1!S27</f>
        <v>2.2142857142857104</v>
      </c>
      <c r="E24" s="3">
        <f>mass_filt_1!R27</f>
        <v>1.5499999999999972</v>
      </c>
      <c r="F24" s="5" t="s">
        <v>809</v>
      </c>
    </row>
    <row r="25" spans="1:7" x14ac:dyDescent="0.25">
      <c r="A25" s="20">
        <v>2016</v>
      </c>
      <c r="B25" s="238" t="s">
        <v>111</v>
      </c>
      <c r="C25">
        <v>21</v>
      </c>
      <c r="D25" s="3">
        <f>mass_filt_1!S28</f>
        <v>1.5285714285714289</v>
      </c>
      <c r="E25" s="3">
        <f>mass_filt_1!R28</f>
        <v>1.0700000000000003</v>
      </c>
      <c r="F25" s="5" t="s">
        <v>809</v>
      </c>
    </row>
    <row r="26" spans="1:7" x14ac:dyDescent="0.25">
      <c r="D26" s="5"/>
      <c r="E26" s="5"/>
      <c r="G26"/>
    </row>
    <row r="27" spans="1:7" x14ac:dyDescent="0.25">
      <c r="A27" s="20">
        <v>2016</v>
      </c>
      <c r="B27" s="238" t="s">
        <v>109</v>
      </c>
      <c r="C27">
        <v>1</v>
      </c>
      <c r="D27" s="3">
        <f>mass_filt_1!S34</f>
        <v>260.89999999999998</v>
      </c>
      <c r="E27" s="3">
        <f>mass_filt_1!R34</f>
        <v>156.93999999999997</v>
      </c>
      <c r="F27" s="5">
        <v>1</v>
      </c>
      <c r="G27"/>
    </row>
    <row r="28" spans="1:7" x14ac:dyDescent="0.25">
      <c r="A28" s="20">
        <v>2016</v>
      </c>
      <c r="B28" s="238" t="s">
        <v>109</v>
      </c>
      <c r="C28">
        <v>2</v>
      </c>
      <c r="D28" s="3">
        <f>mass_filt_1!S35</f>
        <v>261.28571428571428</v>
      </c>
      <c r="E28" s="3">
        <f>mass_filt_1!R35</f>
        <v>182.9</v>
      </c>
      <c r="F28" s="5">
        <v>1</v>
      </c>
      <c r="G28"/>
    </row>
    <row r="29" spans="1:7" x14ac:dyDescent="0.25">
      <c r="A29" s="20">
        <v>2016</v>
      </c>
      <c r="B29" s="238" t="s">
        <v>109</v>
      </c>
      <c r="C29">
        <v>3</v>
      </c>
      <c r="D29" s="3">
        <f>mass_filt_1!S36</f>
        <v>327.95714285714286</v>
      </c>
      <c r="E29" s="3">
        <f>mass_filt_1!R36</f>
        <v>229.57</v>
      </c>
      <c r="F29" s="5">
        <v>1</v>
      </c>
      <c r="G29"/>
    </row>
    <row r="30" spans="1:7" x14ac:dyDescent="0.25">
      <c r="A30" s="20">
        <v>2016</v>
      </c>
      <c r="B30" s="238" t="s">
        <v>109</v>
      </c>
      <c r="C30">
        <v>4</v>
      </c>
      <c r="D30" s="3">
        <f>mass_filt_1!S37</f>
        <v>393.98571428571432</v>
      </c>
      <c r="E30" s="3">
        <f>mass_filt_1!R37</f>
        <v>275.79000000000002</v>
      </c>
      <c r="F30" s="5">
        <v>1</v>
      </c>
      <c r="G30"/>
    </row>
    <row r="31" spans="1:7" x14ac:dyDescent="0.25">
      <c r="A31" s="20">
        <v>2016</v>
      </c>
      <c r="B31" s="238" t="s">
        <v>109</v>
      </c>
      <c r="C31">
        <v>5</v>
      </c>
      <c r="D31" s="3">
        <f>mass_filt_1!S38</f>
        <v>535.21428571428567</v>
      </c>
      <c r="E31" s="3">
        <f>mass_filt_1!R38</f>
        <v>374.65</v>
      </c>
      <c r="F31" s="5">
        <v>1</v>
      </c>
      <c r="G31"/>
    </row>
    <row r="32" spans="1:7" x14ac:dyDescent="0.25">
      <c r="A32" s="20">
        <v>2016</v>
      </c>
      <c r="B32" s="238" t="s">
        <v>109</v>
      </c>
      <c r="C32">
        <v>6</v>
      </c>
      <c r="D32" s="3">
        <f>mass_filt_1!S39</f>
        <v>385.25714285714287</v>
      </c>
      <c r="E32" s="3">
        <f>mass_filt_1!R39</f>
        <v>269.68</v>
      </c>
      <c r="F32" s="5">
        <v>1</v>
      </c>
      <c r="G32"/>
    </row>
    <row r="33" spans="1:7" x14ac:dyDescent="0.25">
      <c r="A33" s="20">
        <v>2016</v>
      </c>
      <c r="B33" s="238" t="s">
        <v>109</v>
      </c>
      <c r="C33">
        <v>7</v>
      </c>
      <c r="D33" s="3">
        <f>mass_filt_1!S40</f>
        <v>266.32857142857137</v>
      </c>
      <c r="E33" s="3">
        <f>mass_filt_1!R40</f>
        <v>186.42999999999998</v>
      </c>
      <c r="F33" s="5">
        <v>1</v>
      </c>
      <c r="G33"/>
    </row>
    <row r="34" spans="1:7" x14ac:dyDescent="0.25">
      <c r="A34" s="20">
        <v>2016</v>
      </c>
      <c r="B34" s="238" t="s">
        <v>109</v>
      </c>
      <c r="C34">
        <v>8</v>
      </c>
      <c r="D34" s="3">
        <f>mass_filt_1!S41</f>
        <v>354.48571428571432</v>
      </c>
      <c r="E34" s="3">
        <f>mass_filt_1!R41</f>
        <v>248.14000000000001</v>
      </c>
      <c r="F34" s="5">
        <v>1</v>
      </c>
      <c r="G34"/>
    </row>
    <row r="35" spans="1:7" x14ac:dyDescent="0.25">
      <c r="A35" s="20">
        <v>2016</v>
      </c>
      <c r="B35" s="238" t="s">
        <v>109</v>
      </c>
      <c r="C35">
        <v>9</v>
      </c>
      <c r="D35" s="3">
        <f>mass_filt_1!S42</f>
        <v>238.10000000000005</v>
      </c>
      <c r="E35" s="3">
        <f>mass_filt_1!R42</f>
        <v>166.67000000000002</v>
      </c>
      <c r="F35" s="5">
        <v>1</v>
      </c>
      <c r="G35"/>
    </row>
    <row r="36" spans="1:7" x14ac:dyDescent="0.25">
      <c r="A36" s="20">
        <v>2016</v>
      </c>
      <c r="B36" s="238" t="s">
        <v>109</v>
      </c>
      <c r="C36">
        <v>10</v>
      </c>
      <c r="D36" s="3">
        <f>mass_filt_1!S43</f>
        <v>347.98571428571421</v>
      </c>
      <c r="E36" s="3">
        <f>mass_filt_1!R43</f>
        <v>243.58999999999997</v>
      </c>
      <c r="F36" s="5">
        <v>1</v>
      </c>
      <c r="G36"/>
    </row>
    <row r="37" spans="1:7" x14ac:dyDescent="0.25">
      <c r="A37" s="20">
        <v>2016</v>
      </c>
      <c r="B37" s="238" t="s">
        <v>109</v>
      </c>
      <c r="C37">
        <v>11</v>
      </c>
      <c r="D37" s="3">
        <f>mass_filt_1!S44</f>
        <v>309.05714285714294</v>
      </c>
      <c r="E37" s="3">
        <f>mass_filt_1!R44</f>
        <v>216.34000000000003</v>
      </c>
      <c r="F37" s="5">
        <v>1</v>
      </c>
      <c r="G37"/>
    </row>
    <row r="38" spans="1:7" x14ac:dyDescent="0.25">
      <c r="A38" s="20">
        <v>2016</v>
      </c>
      <c r="B38" s="238" t="s">
        <v>109</v>
      </c>
      <c r="C38">
        <v>12</v>
      </c>
      <c r="D38" s="3">
        <f>mass_filt_1!S45</f>
        <v>363.97142857142859</v>
      </c>
      <c r="E38" s="3">
        <f>mass_filt_1!R45</f>
        <v>254.78</v>
      </c>
      <c r="F38" s="5">
        <v>1</v>
      </c>
      <c r="G38"/>
    </row>
    <row r="39" spans="1:7" x14ac:dyDescent="0.25">
      <c r="A39" s="20">
        <v>2016</v>
      </c>
      <c r="B39" s="238" t="s">
        <v>109</v>
      </c>
      <c r="C39">
        <v>13</v>
      </c>
      <c r="D39" s="3">
        <f>mass_filt_1!S46</f>
        <v>517.97142857142853</v>
      </c>
      <c r="E39" s="3">
        <f>mass_filt_1!R46</f>
        <v>362.58</v>
      </c>
      <c r="F39" s="5">
        <v>1</v>
      </c>
      <c r="G39"/>
    </row>
    <row r="40" spans="1:7" x14ac:dyDescent="0.25">
      <c r="A40" s="20">
        <v>2016</v>
      </c>
      <c r="B40" s="238" t="s">
        <v>109</v>
      </c>
      <c r="C40">
        <v>14</v>
      </c>
      <c r="D40" s="3">
        <f>mass_filt_1!S47</f>
        <v>724.85714285714289</v>
      </c>
      <c r="E40" s="3">
        <f>mass_filt_1!R47</f>
        <v>507.40000000000003</v>
      </c>
      <c r="F40" s="5">
        <v>1</v>
      </c>
      <c r="G40"/>
    </row>
    <row r="41" spans="1:7" x14ac:dyDescent="0.25">
      <c r="A41" s="20">
        <v>2016</v>
      </c>
      <c r="B41" s="238" t="s">
        <v>109</v>
      </c>
      <c r="C41">
        <v>15</v>
      </c>
      <c r="D41" s="3">
        <f>mass_filt_1!S50</f>
        <v>1210.6571428571428</v>
      </c>
      <c r="E41" s="3">
        <f>mass_filt_1!R50</f>
        <v>847.46</v>
      </c>
      <c r="F41" s="5">
        <v>1</v>
      </c>
      <c r="G41"/>
    </row>
    <row r="42" spans="1:7" x14ac:dyDescent="0.25">
      <c r="A42" s="20">
        <v>2016</v>
      </c>
      <c r="B42" s="238" t="s">
        <v>109</v>
      </c>
      <c r="C42">
        <v>16</v>
      </c>
      <c r="D42" s="3">
        <f>mass_filt_1!S53</f>
        <v>1365.542857142857</v>
      </c>
      <c r="E42" s="3">
        <f>mass_filt_1!R53</f>
        <v>955.88</v>
      </c>
      <c r="F42" s="5">
        <v>1</v>
      </c>
      <c r="G42"/>
    </row>
    <row r="43" spans="1:7" x14ac:dyDescent="0.25">
      <c r="A43" s="20">
        <v>2016</v>
      </c>
      <c r="B43" s="238" t="s">
        <v>109</v>
      </c>
      <c r="C43">
        <v>17</v>
      </c>
      <c r="D43" s="3">
        <f>mass_filt_1!S56</f>
        <v>1584.0571428571427</v>
      </c>
      <c r="E43" s="3">
        <f>mass_filt_1!R56</f>
        <v>1108.8399999999999</v>
      </c>
      <c r="F43" s="5">
        <v>1</v>
      </c>
      <c r="G43"/>
    </row>
    <row r="44" spans="1:7" x14ac:dyDescent="0.25">
      <c r="A44" s="20">
        <v>2016</v>
      </c>
      <c r="B44" s="238" t="s">
        <v>109</v>
      </c>
      <c r="C44">
        <v>18</v>
      </c>
      <c r="D44" s="3">
        <f>mass_filt_1!S59</f>
        <v>713.67142857142846</v>
      </c>
      <c r="E44" s="3">
        <f>mass_filt_1!R59</f>
        <v>499.56999999999994</v>
      </c>
      <c r="F44" s="5">
        <v>1</v>
      </c>
      <c r="G44"/>
    </row>
    <row r="45" spans="1:7" x14ac:dyDescent="0.25">
      <c r="A45" s="20">
        <v>2016</v>
      </c>
      <c r="B45" s="238" t="s">
        <v>109</v>
      </c>
      <c r="C45">
        <v>19</v>
      </c>
      <c r="D45" s="3">
        <f>mass_filt_1!S60</f>
        <v>6.5142857142857178</v>
      </c>
      <c r="E45" s="3">
        <f>mass_filt_1!R60</f>
        <v>4.5600000000000023</v>
      </c>
      <c r="F45" s="5" t="s">
        <v>809</v>
      </c>
      <c r="G45"/>
    </row>
    <row r="46" spans="1:7" x14ac:dyDescent="0.25">
      <c r="A46" s="20">
        <v>2016</v>
      </c>
      <c r="B46" s="238" t="s">
        <v>109</v>
      </c>
      <c r="C46">
        <v>20</v>
      </c>
      <c r="D46" s="3">
        <f>mass_filt_1!S61</f>
        <v>2.2428571428571433</v>
      </c>
      <c r="E46" s="3">
        <f>mass_filt_1!R61</f>
        <v>1.5700000000000003</v>
      </c>
      <c r="F46" s="5" t="s">
        <v>809</v>
      </c>
      <c r="G46"/>
    </row>
    <row r="47" spans="1:7" x14ac:dyDescent="0.25">
      <c r="A47" s="20">
        <v>2016</v>
      </c>
      <c r="B47" s="238" t="s">
        <v>109</v>
      </c>
      <c r="C47">
        <v>21</v>
      </c>
      <c r="D47" s="3">
        <f>mass_filt_1!S62</f>
        <v>1.5142857142857176</v>
      </c>
      <c r="E47" s="3">
        <f>mass_filt_1!R62</f>
        <v>1.0600000000000023</v>
      </c>
      <c r="F47" s="5" t="s">
        <v>809</v>
      </c>
      <c r="G47"/>
    </row>
    <row r="49" spans="1:7" x14ac:dyDescent="0.25">
      <c r="A49" s="20">
        <v>2016</v>
      </c>
      <c r="B49" s="238" t="s">
        <v>110</v>
      </c>
      <c r="C49">
        <v>1</v>
      </c>
      <c r="D49" s="3">
        <f>mass_filt_1!S66</f>
        <v>451.30000000000007</v>
      </c>
      <c r="E49" s="3">
        <f>mass_filt_1!R66</f>
        <v>315.91000000000003</v>
      </c>
      <c r="F49" s="5">
        <v>1</v>
      </c>
      <c r="G49"/>
    </row>
    <row r="50" spans="1:7" x14ac:dyDescent="0.25">
      <c r="A50" s="20">
        <v>2016</v>
      </c>
      <c r="B50" s="238" t="s">
        <v>110</v>
      </c>
      <c r="C50">
        <v>2</v>
      </c>
      <c r="D50" s="3">
        <f>mass_filt_1!S67</f>
        <v>554.51428571428562</v>
      </c>
      <c r="E50" s="3">
        <f>mass_filt_1!R67</f>
        <v>388.15999999999997</v>
      </c>
      <c r="F50" s="5">
        <v>1</v>
      </c>
      <c r="G50"/>
    </row>
    <row r="51" spans="1:7" x14ac:dyDescent="0.25">
      <c r="A51" s="20">
        <v>2016</v>
      </c>
      <c r="B51" s="238" t="s">
        <v>110</v>
      </c>
      <c r="C51">
        <v>3</v>
      </c>
      <c r="D51" s="3">
        <f>mass_filt_1!S68</f>
        <v>710.14285714285711</v>
      </c>
      <c r="E51" s="3">
        <f>mass_filt_1!R68</f>
        <v>497.09999999999997</v>
      </c>
      <c r="F51" s="5">
        <v>1</v>
      </c>
      <c r="G51"/>
    </row>
    <row r="52" spans="1:7" x14ac:dyDescent="0.25">
      <c r="A52" s="20">
        <v>2016</v>
      </c>
      <c r="B52" s="238" t="s">
        <v>110</v>
      </c>
      <c r="C52">
        <v>4</v>
      </c>
      <c r="D52" s="3">
        <f>mass_filt_1!S69</f>
        <v>641.98571428571427</v>
      </c>
      <c r="E52" s="3">
        <f>mass_filt_1!R69</f>
        <v>449.39</v>
      </c>
      <c r="F52" s="5">
        <v>1</v>
      </c>
      <c r="G52"/>
    </row>
    <row r="53" spans="1:7" x14ac:dyDescent="0.25">
      <c r="A53" s="20">
        <v>2016</v>
      </c>
      <c r="B53" s="238" t="s">
        <v>110</v>
      </c>
      <c r="C53">
        <v>5</v>
      </c>
      <c r="D53" s="3">
        <f>mass_filt_1!S70</f>
        <v>540.52857142857135</v>
      </c>
      <c r="E53" s="3">
        <f>mass_filt_1!R70</f>
        <v>378.37</v>
      </c>
      <c r="F53" s="5">
        <v>1</v>
      </c>
      <c r="G53"/>
    </row>
    <row r="54" spans="1:7" x14ac:dyDescent="0.25">
      <c r="A54" s="20">
        <v>2016</v>
      </c>
      <c r="B54" s="238" t="s">
        <v>110</v>
      </c>
      <c r="C54">
        <v>6</v>
      </c>
      <c r="D54" s="3">
        <f>mass_filt_1!S71</f>
        <v>436.58571428571423</v>
      </c>
      <c r="E54" s="3">
        <f>mass_filt_1!R71</f>
        <v>305.60999999999996</v>
      </c>
      <c r="F54" s="5">
        <v>1</v>
      </c>
      <c r="G54"/>
    </row>
    <row r="55" spans="1:7" x14ac:dyDescent="0.25">
      <c r="A55" s="20">
        <v>2016</v>
      </c>
      <c r="B55" s="238" t="s">
        <v>110</v>
      </c>
      <c r="C55">
        <v>7</v>
      </c>
      <c r="D55" s="3">
        <f>mass_filt_1!S72</f>
        <v>431.51428571428562</v>
      </c>
      <c r="E55" s="3">
        <f>mass_filt_1!R72</f>
        <v>302.05999999999995</v>
      </c>
      <c r="F55" s="5">
        <v>1</v>
      </c>
      <c r="G55"/>
    </row>
    <row r="56" spans="1:7" x14ac:dyDescent="0.25">
      <c r="A56" s="20">
        <v>2016</v>
      </c>
      <c r="B56" s="238" t="s">
        <v>110</v>
      </c>
      <c r="C56">
        <v>8</v>
      </c>
      <c r="D56" s="3">
        <f>mass_filt_1!S73</f>
        <v>492.55714285714282</v>
      </c>
      <c r="E56" s="3">
        <f>mass_filt_1!R73</f>
        <v>344.78999999999996</v>
      </c>
      <c r="F56" s="5">
        <v>1</v>
      </c>
      <c r="G56"/>
    </row>
    <row r="57" spans="1:7" x14ac:dyDescent="0.25">
      <c r="A57" s="20">
        <v>2016</v>
      </c>
      <c r="B57" s="238" t="s">
        <v>110</v>
      </c>
      <c r="C57">
        <v>9</v>
      </c>
      <c r="D57" s="3">
        <f>mass_filt_1!S74</f>
        <v>561.61428571428576</v>
      </c>
      <c r="E57" s="3">
        <f>mass_filt_1!R74</f>
        <v>393.13</v>
      </c>
      <c r="F57" s="5">
        <v>1</v>
      </c>
      <c r="G57"/>
    </row>
    <row r="58" spans="1:7" x14ac:dyDescent="0.25">
      <c r="A58" s="20">
        <v>2016</v>
      </c>
      <c r="B58" s="238" t="s">
        <v>110</v>
      </c>
      <c r="C58">
        <v>10</v>
      </c>
      <c r="D58" s="3">
        <f>mass_filt_1!S75</f>
        <v>1514.2857142857142</v>
      </c>
      <c r="E58" s="3">
        <f>mass_filt_1!R75</f>
        <v>1060</v>
      </c>
      <c r="F58" s="5">
        <v>1</v>
      </c>
    </row>
    <row r="59" spans="1:7" x14ac:dyDescent="0.25">
      <c r="A59" s="20">
        <v>2016</v>
      </c>
      <c r="B59" s="238" t="s">
        <v>110</v>
      </c>
      <c r="C59">
        <v>11</v>
      </c>
      <c r="D59" s="3">
        <f>mass_filt_1!S78</f>
        <v>1724.3857142857141</v>
      </c>
      <c r="E59" s="3">
        <f>mass_filt_1!R78</f>
        <v>1207.07</v>
      </c>
      <c r="F59" s="5">
        <v>1</v>
      </c>
    </row>
    <row r="60" spans="1:7" x14ac:dyDescent="0.25">
      <c r="A60" s="20">
        <v>2016</v>
      </c>
      <c r="B60" s="238" t="s">
        <v>110</v>
      </c>
      <c r="C60">
        <v>12</v>
      </c>
      <c r="D60" s="3">
        <f>mass_filt_1!S81</f>
        <v>1376.1571428571426</v>
      </c>
      <c r="E60" s="3">
        <f>mass_filt_1!R81</f>
        <v>963.31</v>
      </c>
      <c r="F60" s="5">
        <v>1</v>
      </c>
    </row>
    <row r="61" spans="1:7" x14ac:dyDescent="0.25">
      <c r="A61" s="20">
        <v>2016</v>
      </c>
      <c r="B61" s="238" t="s">
        <v>110</v>
      </c>
      <c r="C61">
        <v>13</v>
      </c>
      <c r="D61" s="3">
        <f>mass_filt_1!S84</f>
        <v>930.34285714285704</v>
      </c>
      <c r="E61" s="3">
        <f>mass_filt_1!R84</f>
        <v>651.24</v>
      </c>
      <c r="F61" s="5">
        <v>1</v>
      </c>
    </row>
    <row r="62" spans="1:7" x14ac:dyDescent="0.25">
      <c r="A62" s="19"/>
      <c r="B62" s="5"/>
      <c r="D62" s="5"/>
      <c r="E62" s="5"/>
    </row>
    <row r="63" spans="1:7" x14ac:dyDescent="0.25">
      <c r="A63" s="19"/>
      <c r="B63" s="5"/>
      <c r="D63" s="5"/>
      <c r="E63" s="5"/>
      <c r="F63"/>
    </row>
    <row r="64" spans="1:7" x14ac:dyDescent="0.25">
      <c r="A64" s="19"/>
      <c r="B64" s="5"/>
      <c r="D64" s="5"/>
      <c r="E64" s="5"/>
      <c r="F64"/>
    </row>
    <row r="65" spans="1:7" x14ac:dyDescent="0.25">
      <c r="A65" s="19"/>
      <c r="B65" s="5"/>
      <c r="D65" s="5"/>
      <c r="E65" s="5"/>
      <c r="F65"/>
    </row>
    <row r="66" spans="1:7" x14ac:dyDescent="0.25">
      <c r="A66" s="19"/>
      <c r="B66" s="5"/>
      <c r="D66" s="5"/>
      <c r="E66" s="5"/>
      <c r="F66"/>
    </row>
    <row r="68" spans="1:7" x14ac:dyDescent="0.25">
      <c r="E68" s="20"/>
    </row>
    <row r="69" spans="1:7" x14ac:dyDescent="0.25">
      <c r="D69" s="5"/>
      <c r="E69"/>
      <c r="F69"/>
      <c r="G69"/>
    </row>
    <row r="70" spans="1:7" x14ac:dyDescent="0.25">
      <c r="D70" s="5"/>
      <c r="E70"/>
      <c r="F70"/>
      <c r="G70"/>
    </row>
    <row r="71" spans="1:7" x14ac:dyDescent="0.25">
      <c r="D71" s="5"/>
      <c r="E71"/>
      <c r="F71"/>
      <c r="G71"/>
    </row>
    <row r="72" spans="1:7" x14ac:dyDescent="0.25">
      <c r="D72" s="5"/>
      <c r="E72"/>
      <c r="F72"/>
      <c r="G72"/>
    </row>
    <row r="73" spans="1:7" x14ac:dyDescent="0.25">
      <c r="D73" s="5"/>
      <c r="E73"/>
      <c r="F73"/>
      <c r="G73"/>
    </row>
    <row r="74" spans="1:7" x14ac:dyDescent="0.25">
      <c r="A74" s="2"/>
      <c r="B74" s="2"/>
      <c r="C74" s="20"/>
      <c r="D74" s="5"/>
      <c r="E74"/>
      <c r="F74"/>
      <c r="G74"/>
    </row>
    <row r="75" spans="1:7" x14ac:dyDescent="0.25">
      <c r="A75" s="5"/>
      <c r="B75" s="17"/>
      <c r="C75" s="17"/>
      <c r="D75" s="5"/>
      <c r="E75"/>
      <c r="F75"/>
      <c r="G75"/>
    </row>
    <row r="76" spans="1:7" x14ac:dyDescent="0.25">
      <c r="A76" s="5"/>
      <c r="B76" s="17"/>
      <c r="C76" s="17"/>
      <c r="D76" s="5"/>
      <c r="E76"/>
      <c r="F76"/>
      <c r="G76"/>
    </row>
    <row r="77" spans="1:7" x14ac:dyDescent="0.25">
      <c r="A77" s="17"/>
      <c r="D77" s="5"/>
      <c r="E77"/>
      <c r="F77"/>
      <c r="G77"/>
    </row>
    <row r="78" spans="1:7" x14ac:dyDescent="0.25">
      <c r="A78" s="5"/>
      <c r="D78" s="5"/>
      <c r="E78"/>
      <c r="F78"/>
      <c r="G78"/>
    </row>
    <row r="79" spans="1:7" x14ac:dyDescent="0.25">
      <c r="A79" s="2"/>
      <c r="C79" s="5"/>
      <c r="D79" s="5"/>
      <c r="E79"/>
      <c r="F79"/>
      <c r="G79"/>
    </row>
    <row r="80" spans="1:7" x14ac:dyDescent="0.25">
      <c r="A80" s="2"/>
      <c r="C80" s="5"/>
      <c r="D80" s="5"/>
      <c r="E80"/>
      <c r="F80"/>
      <c r="G80"/>
    </row>
    <row r="81" spans="1:7" x14ac:dyDescent="0.25">
      <c r="C81" s="5"/>
      <c r="D81" s="5"/>
      <c r="E81"/>
      <c r="F81"/>
      <c r="G81"/>
    </row>
    <row r="82" spans="1:7" x14ac:dyDescent="0.25">
      <c r="B82" s="5"/>
      <c r="D82" s="5"/>
      <c r="E82"/>
      <c r="F82"/>
      <c r="G82"/>
    </row>
    <row r="83" spans="1:7" x14ac:dyDescent="0.25">
      <c r="B83" s="5"/>
      <c r="D83" s="5"/>
      <c r="E83"/>
      <c r="F83"/>
      <c r="G83"/>
    </row>
    <row r="84" spans="1:7" x14ac:dyDescent="0.25">
      <c r="B84" s="5"/>
      <c r="D84" s="5"/>
      <c r="E84"/>
      <c r="F84"/>
      <c r="G84"/>
    </row>
    <row r="85" spans="1:7" x14ac:dyDescent="0.25">
      <c r="B85" s="5"/>
      <c r="D85" s="5"/>
      <c r="E85"/>
      <c r="F85"/>
      <c r="G85"/>
    </row>
    <row r="86" spans="1:7" x14ac:dyDescent="0.25">
      <c r="B86" s="5"/>
      <c r="D86" s="5"/>
      <c r="E86"/>
      <c r="F86"/>
      <c r="G86"/>
    </row>
    <row r="87" spans="1:7" x14ac:dyDescent="0.25">
      <c r="B87" s="5"/>
      <c r="D87" s="5"/>
      <c r="E87"/>
      <c r="F87"/>
      <c r="G87"/>
    </row>
    <row r="88" spans="1:7" x14ac:dyDescent="0.25">
      <c r="B88" s="5"/>
      <c r="D88" s="5"/>
      <c r="E88"/>
      <c r="F88"/>
      <c r="G88"/>
    </row>
    <row r="89" spans="1:7" x14ac:dyDescent="0.25">
      <c r="B89" s="5"/>
      <c r="D89" s="5"/>
      <c r="E89"/>
      <c r="F89"/>
      <c r="G89"/>
    </row>
    <row r="90" spans="1:7" x14ac:dyDescent="0.25">
      <c r="A90" s="5"/>
      <c r="B90" s="5"/>
      <c r="D90" s="5"/>
      <c r="E90"/>
      <c r="F90"/>
      <c r="G90"/>
    </row>
    <row r="91" spans="1:7" x14ac:dyDescent="0.25">
      <c r="A91" s="5"/>
      <c r="B91" s="5"/>
      <c r="D91" s="5"/>
      <c r="E91"/>
      <c r="F91"/>
      <c r="G91"/>
    </row>
    <row r="92" spans="1:7" x14ac:dyDescent="0.25">
      <c r="A92" s="5"/>
      <c r="B92" s="5"/>
      <c r="D92" s="5"/>
      <c r="E92"/>
      <c r="F92"/>
      <c r="G92"/>
    </row>
    <row r="93" spans="1:7" x14ac:dyDescent="0.25">
      <c r="A93" s="5"/>
      <c r="B93" s="5"/>
      <c r="D93" s="5"/>
      <c r="E93"/>
      <c r="F93"/>
      <c r="G93"/>
    </row>
    <row r="94" spans="1:7" x14ac:dyDescent="0.25">
      <c r="A94" s="5"/>
      <c r="B94" s="5"/>
      <c r="D94" s="5"/>
      <c r="E94"/>
      <c r="F94"/>
      <c r="G94"/>
    </row>
    <row r="95" spans="1:7" x14ac:dyDescent="0.25">
      <c r="A95" s="5"/>
      <c r="B95" s="5"/>
      <c r="D95" s="5"/>
      <c r="E95"/>
      <c r="F95"/>
      <c r="G95"/>
    </row>
    <row r="96" spans="1:7" x14ac:dyDescent="0.25">
      <c r="A96" s="5"/>
      <c r="B96" s="5"/>
      <c r="D96"/>
      <c r="E96"/>
      <c r="F96"/>
      <c r="G96"/>
    </row>
    <row r="97" spans="1:7" x14ac:dyDescent="0.25">
      <c r="A97" s="5"/>
      <c r="B97" s="5"/>
      <c r="D97"/>
      <c r="E97"/>
      <c r="F97"/>
      <c r="G97"/>
    </row>
    <row r="98" spans="1:7" x14ac:dyDescent="0.25">
      <c r="A98" s="5"/>
      <c r="B98" s="5"/>
      <c r="D98"/>
      <c r="E98"/>
      <c r="F98"/>
      <c r="G98"/>
    </row>
    <row r="99" spans="1:7" x14ac:dyDescent="0.25">
      <c r="A99" s="5"/>
      <c r="B99" s="5"/>
      <c r="D99"/>
      <c r="E99"/>
      <c r="F99"/>
      <c r="G99"/>
    </row>
    <row r="100" spans="1:7" x14ac:dyDescent="0.25">
      <c r="A100" s="5"/>
      <c r="B100" s="5"/>
      <c r="D100" s="5"/>
      <c r="E100"/>
      <c r="F100"/>
      <c r="G100"/>
    </row>
    <row r="101" spans="1:7" x14ac:dyDescent="0.25">
      <c r="A101" s="5"/>
      <c r="B101" s="5"/>
      <c r="D101" s="5"/>
      <c r="E101"/>
      <c r="F101"/>
      <c r="G101"/>
    </row>
    <row r="102" spans="1:7" x14ac:dyDescent="0.25">
      <c r="D102" s="5"/>
      <c r="E102"/>
      <c r="F102"/>
      <c r="G102"/>
    </row>
    <row r="103" spans="1:7" x14ac:dyDescent="0.25">
      <c r="B103" s="5"/>
      <c r="D103" s="5"/>
      <c r="E103"/>
      <c r="F103"/>
      <c r="G103"/>
    </row>
    <row r="104" spans="1:7" x14ac:dyDescent="0.25">
      <c r="B104" s="5"/>
      <c r="D104" s="5"/>
      <c r="E104"/>
      <c r="F104"/>
      <c r="G104"/>
    </row>
    <row r="105" spans="1:7" x14ac:dyDescent="0.25">
      <c r="B105" s="5"/>
      <c r="D105" s="5"/>
      <c r="E105"/>
      <c r="F105"/>
      <c r="G105"/>
    </row>
    <row r="106" spans="1:7" x14ac:dyDescent="0.25">
      <c r="B106" s="5"/>
      <c r="D106" s="5"/>
      <c r="E106"/>
      <c r="F106"/>
      <c r="G106"/>
    </row>
    <row r="107" spans="1:7" x14ac:dyDescent="0.25">
      <c r="B107" s="5"/>
      <c r="D107" s="5"/>
      <c r="E107"/>
      <c r="F107"/>
      <c r="G107"/>
    </row>
    <row r="108" spans="1:7" x14ac:dyDescent="0.25">
      <c r="B108" s="5"/>
      <c r="D108" s="5"/>
      <c r="E108"/>
      <c r="F108"/>
      <c r="G108"/>
    </row>
    <row r="109" spans="1:7" x14ac:dyDescent="0.25">
      <c r="B109" s="5"/>
      <c r="D109" s="5"/>
      <c r="E109"/>
      <c r="F109"/>
      <c r="G109"/>
    </row>
    <row r="110" spans="1:7" x14ac:dyDescent="0.25">
      <c r="B110" s="5"/>
      <c r="D110" s="5"/>
      <c r="E110"/>
      <c r="F110"/>
      <c r="G110"/>
    </row>
    <row r="111" spans="1:7" x14ac:dyDescent="0.25">
      <c r="B111" s="5"/>
      <c r="D111" s="5"/>
      <c r="E111"/>
      <c r="F111"/>
      <c r="G111"/>
    </row>
    <row r="112" spans="1:7" x14ac:dyDescent="0.25">
      <c r="B112" s="5"/>
      <c r="D112" s="5"/>
      <c r="E112"/>
      <c r="F112"/>
      <c r="G112"/>
    </row>
    <row r="113" spans="1:7" x14ac:dyDescent="0.25">
      <c r="B113" s="5"/>
      <c r="D113" s="5"/>
      <c r="E113"/>
      <c r="F113"/>
      <c r="G113"/>
    </row>
    <row r="114" spans="1:7" x14ac:dyDescent="0.25">
      <c r="B114" s="5"/>
      <c r="D114" s="5"/>
      <c r="E114"/>
      <c r="F114"/>
      <c r="G114"/>
    </row>
    <row r="115" spans="1:7" x14ac:dyDescent="0.25">
      <c r="B115" s="5"/>
      <c r="D115" s="5"/>
      <c r="E115"/>
      <c r="F115"/>
      <c r="G115"/>
    </row>
    <row r="116" spans="1:7" x14ac:dyDescent="0.25">
      <c r="B116" s="5"/>
      <c r="D116" s="5"/>
      <c r="E116"/>
      <c r="F116"/>
      <c r="G116"/>
    </row>
    <row r="117" spans="1:7" x14ac:dyDescent="0.25">
      <c r="B117" s="5"/>
      <c r="D117" s="5"/>
      <c r="E117"/>
      <c r="F117"/>
      <c r="G117"/>
    </row>
    <row r="118" spans="1:7" x14ac:dyDescent="0.25">
      <c r="B118" s="5"/>
      <c r="D118" s="5"/>
      <c r="E118"/>
      <c r="F118"/>
      <c r="G118"/>
    </row>
    <row r="119" spans="1:7" x14ac:dyDescent="0.25">
      <c r="B119" s="5"/>
      <c r="D119" s="5"/>
      <c r="E119"/>
      <c r="F119"/>
      <c r="G119"/>
    </row>
    <row r="120" spans="1:7" x14ac:dyDescent="0.25">
      <c r="B120" s="5"/>
      <c r="D120" s="5"/>
      <c r="E120"/>
      <c r="F120"/>
      <c r="G120"/>
    </row>
    <row r="121" spans="1:7" x14ac:dyDescent="0.25">
      <c r="B121" s="5"/>
      <c r="D121" s="5"/>
      <c r="E121"/>
      <c r="F121"/>
      <c r="G121"/>
    </row>
    <row r="122" spans="1:7" x14ac:dyDescent="0.25">
      <c r="B122" s="5"/>
      <c r="D122" s="5"/>
      <c r="E122"/>
      <c r="F122"/>
      <c r="G122"/>
    </row>
    <row r="123" spans="1:7" x14ac:dyDescent="0.25">
      <c r="B123" s="5"/>
      <c r="D123" s="5"/>
      <c r="E123"/>
      <c r="F123"/>
      <c r="G123"/>
    </row>
    <row r="124" spans="1:7" x14ac:dyDescent="0.25">
      <c r="A124" s="5"/>
      <c r="D124" s="5"/>
      <c r="E124"/>
      <c r="F124"/>
      <c r="G124"/>
    </row>
    <row r="125" spans="1:7" x14ac:dyDescent="0.25">
      <c r="D125" s="5"/>
      <c r="E125"/>
      <c r="F125"/>
      <c r="G125"/>
    </row>
    <row r="126" spans="1:7" x14ac:dyDescent="0.25">
      <c r="B126" s="5"/>
      <c r="D126" s="5"/>
      <c r="E126"/>
      <c r="F126"/>
      <c r="G126"/>
    </row>
    <row r="127" spans="1:7" x14ac:dyDescent="0.25">
      <c r="B127" s="5"/>
      <c r="D127" s="5"/>
      <c r="E127"/>
      <c r="F127"/>
      <c r="G127"/>
    </row>
    <row r="128" spans="1:7" x14ac:dyDescent="0.25">
      <c r="B128" s="5"/>
      <c r="D128" s="5"/>
      <c r="E128"/>
      <c r="F128"/>
      <c r="G128"/>
    </row>
    <row r="129" spans="2:7" x14ac:dyDescent="0.25">
      <c r="B129" s="5"/>
      <c r="D129" s="5"/>
      <c r="E129"/>
      <c r="F129"/>
      <c r="G129"/>
    </row>
    <row r="130" spans="2:7" x14ac:dyDescent="0.25">
      <c r="B130" s="5"/>
      <c r="D130" s="5"/>
      <c r="E130"/>
      <c r="F130"/>
      <c r="G130"/>
    </row>
    <row r="131" spans="2:7" x14ac:dyDescent="0.25">
      <c r="B131" s="5"/>
      <c r="D131" s="5"/>
      <c r="E131"/>
      <c r="F131"/>
      <c r="G131"/>
    </row>
    <row r="132" spans="2:7" x14ac:dyDescent="0.25">
      <c r="B132" s="5"/>
      <c r="D132" s="5"/>
      <c r="E132"/>
      <c r="F132"/>
      <c r="G132"/>
    </row>
    <row r="133" spans="2:7" x14ac:dyDescent="0.25">
      <c r="B133" s="5"/>
      <c r="D133" s="5"/>
      <c r="E133"/>
      <c r="F133"/>
      <c r="G133"/>
    </row>
    <row r="134" spans="2:7" x14ac:dyDescent="0.25">
      <c r="B134" s="5"/>
      <c r="D134" s="5"/>
      <c r="E134"/>
      <c r="F134"/>
      <c r="G134"/>
    </row>
    <row r="135" spans="2:7" x14ac:dyDescent="0.25">
      <c r="B135" s="5"/>
      <c r="D135" s="5"/>
      <c r="E135"/>
      <c r="F135"/>
      <c r="G135"/>
    </row>
    <row r="136" spans="2:7" x14ac:dyDescent="0.25">
      <c r="B136" s="5"/>
      <c r="D136" s="5"/>
      <c r="E136"/>
      <c r="F136"/>
      <c r="G136"/>
    </row>
    <row r="137" spans="2:7" x14ac:dyDescent="0.25">
      <c r="B137" s="5"/>
      <c r="D137" s="5"/>
      <c r="E137"/>
      <c r="F137"/>
      <c r="G137"/>
    </row>
    <row r="138" spans="2:7" x14ac:dyDescent="0.25">
      <c r="B138" s="5"/>
      <c r="D138" s="5"/>
      <c r="E138"/>
      <c r="F138"/>
      <c r="G138"/>
    </row>
    <row r="139" spans="2:7" x14ac:dyDescent="0.25">
      <c r="B139" s="5"/>
      <c r="D139" s="5"/>
      <c r="E139"/>
      <c r="F139"/>
      <c r="G139"/>
    </row>
    <row r="140" spans="2:7" x14ac:dyDescent="0.25">
      <c r="B140" s="5"/>
      <c r="D140" s="5"/>
      <c r="E140"/>
      <c r="F140"/>
      <c r="G140"/>
    </row>
    <row r="141" spans="2:7" x14ac:dyDescent="0.25">
      <c r="B141" s="5"/>
      <c r="D141" s="5"/>
      <c r="E141"/>
      <c r="F141"/>
      <c r="G141"/>
    </row>
    <row r="142" spans="2:7" x14ac:dyDescent="0.25">
      <c r="B142" s="5"/>
      <c r="D142" s="5"/>
      <c r="E142"/>
      <c r="F142"/>
      <c r="G142"/>
    </row>
    <row r="143" spans="2:7" x14ac:dyDescent="0.25">
      <c r="B143" s="5"/>
      <c r="D143" s="5"/>
      <c r="E143"/>
      <c r="F143"/>
      <c r="G143"/>
    </row>
    <row r="144" spans="2:7" x14ac:dyDescent="0.25">
      <c r="B144" s="5"/>
      <c r="D144" s="5"/>
      <c r="E144"/>
      <c r="F144"/>
      <c r="G144"/>
    </row>
    <row r="145" spans="2:7" x14ac:dyDescent="0.25">
      <c r="B145" s="5"/>
      <c r="D145" s="5"/>
      <c r="E145"/>
      <c r="F145"/>
      <c r="G145"/>
    </row>
    <row r="146" spans="2:7" x14ac:dyDescent="0.25">
      <c r="B146" s="5"/>
      <c r="D146" s="5"/>
      <c r="E146"/>
      <c r="F146"/>
      <c r="G146"/>
    </row>
  </sheetData>
  <phoneticPr fontId="0" type="noConversion"/>
  <printOptions gridLines="1"/>
  <pageMargins left="0.39370078740157" right="0.41" top="0.32" bottom="0.39" header="0.27559055118109999" footer="0.23622047244093999"/>
  <pageSetup paperSize="9" scale="85" orientation="portrait"/>
  <headerFooter alignWithMargins="0">
    <oddFooter>&amp;L&amp;F,  &amp;A&amp;C&amp;D&amp;R&amp;P/&amp;N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J105"/>
  <sheetViews>
    <sheetView zoomScale="103" zoomScaleSheetLayoutView="125" workbookViewId="0">
      <selection activeCell="F12" sqref="F12"/>
    </sheetView>
  </sheetViews>
  <sheetFormatPr defaultColWidth="8.81640625" defaultRowHeight="12.5" x14ac:dyDescent="0.25"/>
  <cols>
    <col min="1" max="1" width="78.1796875" customWidth="1"/>
    <col min="2" max="2" width="8.453125" customWidth="1"/>
    <col min="3" max="3" width="4.453125" customWidth="1"/>
    <col min="4" max="4" width="12.7265625" style="19" customWidth="1"/>
    <col min="5" max="5" width="9.26953125" style="5" customWidth="1"/>
    <col min="6" max="6" width="10.453125" style="5" customWidth="1"/>
    <col min="7" max="7" width="26.1796875" style="2" customWidth="1"/>
    <col min="8" max="8" width="7.7265625" customWidth="1"/>
    <col min="9" max="9" width="6.26953125" customWidth="1"/>
  </cols>
  <sheetData>
    <row r="1" spans="1:10" ht="13" x14ac:dyDescent="0.3">
      <c r="A1" s="10"/>
      <c r="B1" s="17"/>
      <c r="D1" s="5"/>
      <c r="E1" s="1"/>
      <c r="F1" s="27"/>
      <c r="H1" s="2"/>
      <c r="I1" s="2"/>
      <c r="J1" s="2"/>
    </row>
    <row r="2" spans="1:10" ht="13" x14ac:dyDescent="0.3">
      <c r="A2" s="10" t="s">
        <v>246</v>
      </c>
      <c r="B2" s="17"/>
      <c r="D2" s="5"/>
      <c r="F2" s="15"/>
      <c r="G2" s="6"/>
      <c r="H2" s="2"/>
      <c r="I2" s="2"/>
    </row>
    <row r="3" spans="1:10" x14ac:dyDescent="0.25">
      <c r="A3" s="17" t="s">
        <v>247</v>
      </c>
      <c r="B3" s="64"/>
      <c r="D3" s="5"/>
      <c r="E3" s="7"/>
      <c r="F3" s="15"/>
      <c r="H3" s="6"/>
      <c r="I3" s="2"/>
    </row>
    <row r="4" spans="1:10" x14ac:dyDescent="0.25">
      <c r="A4" s="17"/>
      <c r="B4" s="64"/>
      <c r="D4" s="5"/>
      <c r="E4" s="7"/>
      <c r="F4" s="15"/>
      <c r="H4" s="6"/>
      <c r="I4" s="2"/>
    </row>
    <row r="5" spans="1:10" x14ac:dyDescent="0.25">
      <c r="A5" s="17" t="s">
        <v>248</v>
      </c>
      <c r="B5" s="64"/>
      <c r="D5" s="5"/>
      <c r="F5" s="15"/>
      <c r="H5" s="6"/>
      <c r="I5" s="2"/>
    </row>
    <row r="6" spans="1:10" x14ac:dyDescent="0.25">
      <c r="A6" s="17" t="s">
        <v>249</v>
      </c>
      <c r="B6" s="64"/>
      <c r="D6" s="5"/>
      <c r="F6" s="15"/>
      <c r="H6" s="6"/>
      <c r="I6" s="2"/>
    </row>
    <row r="7" spans="1:10" x14ac:dyDescent="0.25">
      <c r="A7" s="17"/>
      <c r="B7" s="64"/>
      <c r="F7" s="15"/>
      <c r="H7" s="6"/>
      <c r="I7" s="2"/>
    </row>
    <row r="8" spans="1:10" ht="87.5" x14ac:dyDescent="0.25">
      <c r="A8" s="301" t="s">
        <v>373</v>
      </c>
      <c r="B8" s="64"/>
      <c r="D8" s="5"/>
      <c r="F8" s="15"/>
      <c r="H8" s="6"/>
      <c r="I8" s="2"/>
    </row>
    <row r="9" spans="1:10" x14ac:dyDescent="0.25">
      <c r="A9" s="17" t="s">
        <v>374</v>
      </c>
      <c r="B9" s="64"/>
      <c r="D9" s="5"/>
      <c r="F9" s="15"/>
      <c r="H9" s="6"/>
      <c r="I9" s="2"/>
    </row>
    <row r="10" spans="1:10" x14ac:dyDescent="0.25">
      <c r="A10" s="17"/>
      <c r="B10" s="17"/>
      <c r="D10" s="20"/>
      <c r="F10" s="15"/>
    </row>
    <row r="11" spans="1:10" x14ac:dyDescent="0.25">
      <c r="B11" s="1"/>
      <c r="F11" s="3"/>
      <c r="G11" s="5"/>
      <c r="H11" s="3"/>
      <c r="I11" s="2"/>
    </row>
    <row r="12" spans="1:10" x14ac:dyDescent="0.25">
      <c r="A12" s="143" t="s">
        <v>1288</v>
      </c>
      <c r="B12" s="1"/>
      <c r="D12" s="20"/>
      <c r="F12" s="3"/>
      <c r="G12" s="5"/>
      <c r="H12" s="3"/>
      <c r="I12" s="2"/>
    </row>
    <row r="13" spans="1:10" ht="15.5" x14ac:dyDescent="0.35">
      <c r="A13" s="433" t="s">
        <v>1286</v>
      </c>
      <c r="B13" s="5"/>
      <c r="F13" s="3"/>
      <c r="G13" s="5"/>
      <c r="H13" s="3"/>
      <c r="I13" s="2"/>
    </row>
    <row r="14" spans="1:10" x14ac:dyDescent="0.25">
      <c r="A14" s="143"/>
      <c r="B14" s="5"/>
      <c r="F14" s="3"/>
      <c r="G14" s="5"/>
      <c r="H14" s="3"/>
      <c r="I14" s="2"/>
    </row>
    <row r="15" spans="1:10" x14ac:dyDescent="0.25">
      <c r="A15" s="143" t="s">
        <v>1287</v>
      </c>
      <c r="B15" s="5"/>
      <c r="F15" s="3"/>
      <c r="G15" s="5"/>
      <c r="H15" s="3"/>
      <c r="I15" s="2"/>
    </row>
    <row r="16" spans="1:10" x14ac:dyDescent="0.25">
      <c r="A16" s="25"/>
      <c r="B16" s="5"/>
      <c r="F16" s="3"/>
      <c r="G16" s="5"/>
      <c r="H16" s="3"/>
      <c r="I16" s="2"/>
    </row>
    <row r="17" spans="1:9" x14ac:dyDescent="0.25">
      <c r="A17" s="143" t="s">
        <v>1289</v>
      </c>
      <c r="B17" s="5"/>
      <c r="F17" s="28"/>
      <c r="G17" s="5"/>
      <c r="H17" s="3"/>
      <c r="I17" s="2"/>
    </row>
    <row r="18" spans="1:9" x14ac:dyDescent="0.25">
      <c r="A18" s="25"/>
      <c r="B18" s="5"/>
      <c r="F18" s="28"/>
      <c r="G18" s="5"/>
      <c r="H18" s="3"/>
      <c r="I18" s="2"/>
    </row>
    <row r="19" spans="1:9" x14ac:dyDescent="0.25">
      <c r="A19" s="25"/>
      <c r="B19" s="5"/>
      <c r="H19" s="3"/>
      <c r="I19" s="2"/>
    </row>
    <row r="20" spans="1:9" x14ac:dyDescent="0.25">
      <c r="A20" s="25"/>
      <c r="B20" s="5"/>
      <c r="H20" s="3"/>
      <c r="I20" s="2"/>
    </row>
    <row r="21" spans="1:9" x14ac:dyDescent="0.25">
      <c r="A21" s="25"/>
      <c r="B21" s="5"/>
      <c r="H21" s="3"/>
      <c r="I21" s="2"/>
    </row>
    <row r="22" spans="1:9" x14ac:dyDescent="0.25">
      <c r="A22" s="25"/>
      <c r="B22" s="5"/>
      <c r="F22" s="28"/>
      <c r="G22" s="5"/>
      <c r="H22" s="3"/>
      <c r="I22" s="2"/>
    </row>
    <row r="23" spans="1:9" x14ac:dyDescent="0.25">
      <c r="A23" s="25"/>
      <c r="H23" s="5"/>
      <c r="I23" s="5"/>
    </row>
    <row r="24" spans="1:9" x14ac:dyDescent="0.25">
      <c r="H24" s="5"/>
      <c r="I24" s="5"/>
    </row>
    <row r="25" spans="1:9" x14ac:dyDescent="0.25">
      <c r="B25" s="25"/>
      <c r="C25" s="25"/>
      <c r="D25" s="31"/>
      <c r="H25" s="5"/>
      <c r="I25" s="5"/>
    </row>
    <row r="26" spans="1:9" x14ac:dyDescent="0.25">
      <c r="A26" s="25"/>
      <c r="B26" s="25"/>
      <c r="C26" s="25"/>
      <c r="D26" s="31"/>
      <c r="H26" s="5"/>
      <c r="I26" s="5"/>
    </row>
    <row r="27" spans="1:9" x14ac:dyDescent="0.25">
      <c r="D27" s="31"/>
      <c r="H27" s="5"/>
      <c r="I27" s="5"/>
    </row>
    <row r="28" spans="1:9" x14ac:dyDescent="0.25">
      <c r="A28" s="25"/>
      <c r="D28" s="31"/>
      <c r="H28" s="5"/>
      <c r="I28" s="5"/>
    </row>
    <row r="29" spans="1:9" x14ac:dyDescent="0.25">
      <c r="A29" s="25"/>
      <c r="B29" s="25"/>
      <c r="C29" s="25"/>
      <c r="D29" s="31"/>
      <c r="E29" s="32"/>
      <c r="H29" s="5"/>
      <c r="I29" s="5"/>
    </row>
    <row r="30" spans="1:9" x14ac:dyDescent="0.25">
      <c r="A30" s="25"/>
      <c r="B30" s="25"/>
      <c r="C30" s="25"/>
      <c r="D30" s="31"/>
      <c r="E30" s="32"/>
      <c r="H30" s="5"/>
      <c r="I30" s="5"/>
    </row>
    <row r="31" spans="1:9" x14ac:dyDescent="0.25">
      <c r="A31" s="25"/>
      <c r="D31"/>
      <c r="E31"/>
      <c r="I31" s="25"/>
    </row>
    <row r="32" spans="1:9" x14ac:dyDescent="0.25">
      <c r="A32" s="25"/>
      <c r="D32"/>
      <c r="E32"/>
      <c r="I32" s="25"/>
    </row>
    <row r="33" spans="1:9" x14ac:dyDescent="0.25">
      <c r="A33" s="25"/>
      <c r="D33"/>
      <c r="E33"/>
      <c r="I33" s="25"/>
    </row>
    <row r="34" spans="1:9" x14ac:dyDescent="0.25">
      <c r="A34" s="25"/>
      <c r="D34"/>
      <c r="E34"/>
      <c r="I34" s="25"/>
    </row>
    <row r="35" spans="1:9" x14ac:dyDescent="0.25">
      <c r="A35" s="25"/>
      <c r="D35"/>
      <c r="E35"/>
      <c r="I35" s="25"/>
    </row>
    <row r="36" spans="1:9" x14ac:dyDescent="0.25">
      <c r="A36" s="25"/>
      <c r="D36"/>
      <c r="E36"/>
      <c r="I36" s="25"/>
    </row>
    <row r="37" spans="1:9" x14ac:dyDescent="0.25">
      <c r="A37" s="25"/>
      <c r="D37"/>
      <c r="E37"/>
      <c r="I37" s="25"/>
    </row>
    <row r="38" spans="1:9" x14ac:dyDescent="0.25">
      <c r="A38" s="25"/>
      <c r="D38"/>
      <c r="E38"/>
      <c r="I38" s="25"/>
    </row>
    <row r="39" spans="1:9" x14ac:dyDescent="0.25">
      <c r="A39" s="25"/>
      <c r="D39"/>
      <c r="E39"/>
      <c r="I39" s="25"/>
    </row>
    <row r="40" spans="1:9" x14ac:dyDescent="0.25">
      <c r="A40" s="25"/>
      <c r="D40"/>
      <c r="E40"/>
      <c r="I40" s="25"/>
    </row>
    <row r="41" spans="1:9" x14ac:dyDescent="0.25">
      <c r="A41" s="11"/>
      <c r="B41" s="35"/>
      <c r="D41"/>
      <c r="E41"/>
      <c r="I41" s="25"/>
    </row>
    <row r="42" spans="1:9" x14ac:dyDescent="0.25">
      <c r="B42" s="25"/>
      <c r="D42"/>
      <c r="E42"/>
      <c r="I42" s="25"/>
    </row>
    <row r="43" spans="1:9" x14ac:dyDescent="0.25">
      <c r="A43" s="11"/>
      <c r="D43"/>
      <c r="E43"/>
      <c r="I43" s="25"/>
    </row>
    <row r="44" spans="1:9" x14ac:dyDescent="0.25">
      <c r="A44" s="25"/>
      <c r="D44"/>
      <c r="E44"/>
      <c r="I44" s="25"/>
    </row>
    <row r="45" spans="1:9" x14ac:dyDescent="0.25">
      <c r="A45" s="25"/>
      <c r="D45"/>
      <c r="E45"/>
      <c r="I45" s="25"/>
    </row>
    <row r="46" spans="1:9" x14ac:dyDescent="0.25">
      <c r="A46" s="25"/>
      <c r="D46"/>
      <c r="E46"/>
      <c r="I46" s="25"/>
    </row>
    <row r="47" spans="1:9" x14ac:dyDescent="0.25">
      <c r="D47"/>
      <c r="E47"/>
      <c r="I47" s="25"/>
    </row>
    <row r="48" spans="1:9" x14ac:dyDescent="0.25">
      <c r="A48" s="25"/>
      <c r="D48"/>
      <c r="E48"/>
      <c r="I48" s="25"/>
    </row>
    <row r="49" spans="1:9" x14ac:dyDescent="0.25">
      <c r="A49" s="25"/>
      <c r="D49"/>
      <c r="E49"/>
      <c r="I49" s="25"/>
    </row>
    <row r="50" spans="1:9" x14ac:dyDescent="0.25">
      <c r="A50" s="25"/>
      <c r="D50"/>
      <c r="E50"/>
      <c r="I50" s="25"/>
    </row>
    <row r="51" spans="1:9" x14ac:dyDescent="0.25">
      <c r="A51" s="25"/>
      <c r="D51"/>
      <c r="E51"/>
      <c r="I51" s="25"/>
    </row>
    <row r="52" spans="1:9" x14ac:dyDescent="0.25">
      <c r="A52" s="25"/>
      <c r="D52"/>
      <c r="E52"/>
      <c r="I52" s="25"/>
    </row>
    <row r="53" spans="1:9" x14ac:dyDescent="0.25">
      <c r="D53"/>
      <c r="E53"/>
      <c r="I53" s="25"/>
    </row>
    <row r="54" spans="1:9" x14ac:dyDescent="0.25">
      <c r="A54" s="25"/>
      <c r="I54" s="25"/>
    </row>
    <row r="55" spans="1:9" x14ac:dyDescent="0.25">
      <c r="I55" s="25"/>
    </row>
    <row r="99" spans="1:9" ht="13" x14ac:dyDescent="0.3">
      <c r="A99" s="10"/>
    </row>
    <row r="101" spans="1:9" ht="13" x14ac:dyDescent="0.3">
      <c r="I101" s="10"/>
    </row>
    <row r="102" spans="1:9" ht="13" x14ac:dyDescent="0.3">
      <c r="A102" s="10"/>
    </row>
    <row r="105" spans="1:9" ht="13" x14ac:dyDescent="0.3">
      <c r="I105" s="10"/>
    </row>
  </sheetData>
  <phoneticPr fontId="0" type="noConversion"/>
  <printOptions gridLines="1"/>
  <pageMargins left="0.39370078740157" right="0.41" top="0.35433070866142002" bottom="0.44" header="0.27559055118109999" footer="0.23622047244093999"/>
  <pageSetup paperSize="9" scale="115" orientation="landscape"/>
  <headerFooter alignWithMargins="0">
    <oddFooter>&amp;L&amp;F,  &amp;A&amp;C&amp;D&amp;R&amp;P/&amp;N</oddFooter>
  </headerFooter>
  <rowBreaks count="1" manualBreakCount="1">
    <brk id="2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AG983"/>
  <sheetViews>
    <sheetView workbookViewId="0">
      <selection activeCell="M49" sqref="M49"/>
    </sheetView>
  </sheetViews>
  <sheetFormatPr defaultColWidth="11.453125" defaultRowHeight="12.5" x14ac:dyDescent="0.25"/>
  <cols>
    <col min="1" max="3" width="11.453125" customWidth="1"/>
    <col min="4" max="4" width="10.81640625" style="89" customWidth="1"/>
    <col min="5" max="5" width="10.81640625" style="92" customWidth="1"/>
    <col min="6" max="10" width="11.453125" customWidth="1"/>
    <col min="11" max="11" width="10.81640625" style="89" customWidth="1"/>
    <col min="12" max="12" width="11.453125" customWidth="1"/>
    <col min="13" max="13" width="19" customWidth="1"/>
    <col min="14" max="14" width="11.453125" customWidth="1"/>
    <col min="15" max="15" width="9.26953125" customWidth="1"/>
  </cols>
  <sheetData>
    <row r="1" spans="1:33" ht="15.5" x14ac:dyDescent="0.35">
      <c r="A1" s="230" t="s">
        <v>380</v>
      </c>
      <c r="B1" s="178"/>
      <c r="C1" s="178"/>
      <c r="D1" s="208"/>
      <c r="E1" s="231"/>
      <c r="F1" s="169"/>
      <c r="G1" s="169"/>
      <c r="H1" s="87" t="s">
        <v>279</v>
      </c>
      <c r="I1" s="178"/>
      <c r="J1" s="178"/>
      <c r="K1" s="208"/>
      <c r="L1" s="209"/>
      <c r="M1" s="169"/>
      <c r="N1" s="87" t="s">
        <v>279</v>
      </c>
      <c r="O1" s="178"/>
      <c r="P1" s="178"/>
      <c r="Q1" s="178"/>
      <c r="R1" s="20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</row>
    <row r="2" spans="1:33" s="88" customFormat="1" ht="15.5" x14ac:dyDescent="0.35">
      <c r="A2" s="227" t="s">
        <v>664</v>
      </c>
      <c r="B2" s="210"/>
      <c r="C2" s="210"/>
      <c r="D2" s="211"/>
      <c r="E2" s="232"/>
      <c r="F2" s="210"/>
      <c r="G2" s="210"/>
      <c r="H2" s="227" t="s">
        <v>663</v>
      </c>
      <c r="I2" s="210"/>
      <c r="J2" s="210"/>
      <c r="K2" s="211"/>
      <c r="L2" s="212"/>
      <c r="M2" s="210"/>
      <c r="N2" s="227" t="s">
        <v>665</v>
      </c>
      <c r="O2" s="210"/>
      <c r="P2" s="210"/>
      <c r="Q2" s="210"/>
      <c r="R2" s="212"/>
      <c r="V2" s="210"/>
      <c r="W2" s="210"/>
      <c r="X2" s="210"/>
      <c r="Y2" s="210"/>
      <c r="Z2" s="210"/>
      <c r="AA2" s="210"/>
      <c r="AB2" s="210"/>
      <c r="AC2" s="210"/>
      <c r="AD2" s="210"/>
      <c r="AE2" s="210"/>
      <c r="AF2" s="210"/>
      <c r="AG2" s="210"/>
    </row>
    <row r="3" spans="1:33" x14ac:dyDescent="0.25">
      <c r="A3" s="228" t="s">
        <v>381</v>
      </c>
      <c r="B3" s="169"/>
      <c r="C3" s="169"/>
      <c r="D3" s="169"/>
      <c r="E3" s="253">
        <v>42453</v>
      </c>
      <c r="G3" s="169"/>
      <c r="H3" s="213"/>
      <c r="I3" s="169"/>
      <c r="J3" s="169"/>
      <c r="K3" s="197"/>
      <c r="L3" s="214"/>
      <c r="M3" s="169"/>
      <c r="N3" s="213"/>
      <c r="O3" s="169"/>
      <c r="P3" s="169"/>
      <c r="Q3" s="169"/>
      <c r="R3" s="214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</row>
    <row r="4" spans="1:33" x14ac:dyDescent="0.25">
      <c r="A4" s="228" t="s">
        <v>382</v>
      </c>
      <c r="B4" s="169"/>
      <c r="C4" s="169"/>
      <c r="D4" s="169"/>
      <c r="E4" s="253">
        <v>42470</v>
      </c>
      <c r="F4" s="3"/>
      <c r="G4" s="169"/>
      <c r="H4" s="228" t="s">
        <v>381</v>
      </c>
      <c r="I4" s="169"/>
      <c r="J4" s="169"/>
      <c r="L4" s="272">
        <v>42453</v>
      </c>
      <c r="M4" s="252"/>
      <c r="N4" s="228" t="s">
        <v>581</v>
      </c>
      <c r="O4" s="170"/>
      <c r="P4" s="171"/>
      <c r="Q4" s="171"/>
      <c r="R4" s="272">
        <v>42453</v>
      </c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</row>
    <row r="5" spans="1:33" x14ac:dyDescent="0.25">
      <c r="A5" s="228" t="s">
        <v>383</v>
      </c>
      <c r="B5" s="169"/>
      <c r="C5" s="169"/>
      <c r="D5" s="169"/>
      <c r="E5" s="253">
        <v>42487</v>
      </c>
      <c r="G5" s="169"/>
      <c r="H5" s="228" t="s">
        <v>382</v>
      </c>
      <c r="I5" s="169"/>
      <c r="J5" s="169"/>
      <c r="L5" s="272">
        <v>42470</v>
      </c>
      <c r="M5" s="251"/>
      <c r="N5" s="228" t="s">
        <v>582</v>
      </c>
      <c r="O5" s="170"/>
      <c r="P5" s="171"/>
      <c r="Q5" s="169"/>
      <c r="R5" s="272">
        <v>42480</v>
      </c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</row>
    <row r="6" spans="1:33" x14ac:dyDescent="0.25">
      <c r="A6" s="228" t="s">
        <v>384</v>
      </c>
      <c r="B6" s="169"/>
      <c r="C6" s="169"/>
      <c r="D6" s="169"/>
      <c r="E6" s="253">
        <v>42504</v>
      </c>
      <c r="F6" s="30"/>
      <c r="G6" s="169"/>
      <c r="H6" s="228" t="s">
        <v>383</v>
      </c>
      <c r="I6" s="169"/>
      <c r="J6" s="169"/>
      <c r="L6" s="253">
        <v>42487</v>
      </c>
      <c r="M6" s="169"/>
      <c r="N6" s="228" t="s">
        <v>583</v>
      </c>
      <c r="O6" s="170"/>
      <c r="P6" s="171"/>
      <c r="Q6" s="169"/>
      <c r="R6" s="272">
        <v>42507</v>
      </c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</row>
    <row r="7" spans="1:33" x14ac:dyDescent="0.25">
      <c r="A7" s="228" t="s">
        <v>385</v>
      </c>
      <c r="B7" s="169"/>
      <c r="C7" s="169"/>
      <c r="D7" s="169"/>
      <c r="E7" s="253">
        <v>42521</v>
      </c>
      <c r="F7" s="30"/>
      <c r="G7" s="170"/>
      <c r="H7" s="228" t="s">
        <v>384</v>
      </c>
      <c r="I7" s="169"/>
      <c r="J7" s="169"/>
      <c r="L7" s="253">
        <v>42504</v>
      </c>
      <c r="M7" s="169"/>
      <c r="N7" s="228" t="s">
        <v>584</v>
      </c>
      <c r="O7" s="170"/>
      <c r="P7" s="171"/>
      <c r="Q7" s="169"/>
      <c r="R7" s="272">
        <v>42534</v>
      </c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</row>
    <row r="8" spans="1:33" x14ac:dyDescent="0.25">
      <c r="A8" s="228" t="s">
        <v>386</v>
      </c>
      <c r="B8" s="169"/>
      <c r="C8" s="169"/>
      <c r="D8" s="169"/>
      <c r="E8" s="253">
        <v>42538</v>
      </c>
      <c r="G8" s="169"/>
      <c r="H8" s="228" t="s">
        <v>385</v>
      </c>
      <c r="I8" s="169"/>
      <c r="J8" s="169"/>
      <c r="L8" s="253">
        <v>42521</v>
      </c>
      <c r="M8" s="169"/>
      <c r="N8" s="228" t="s">
        <v>585</v>
      </c>
      <c r="O8" s="170"/>
      <c r="P8" s="171"/>
      <c r="Q8" s="169"/>
      <c r="R8" s="272">
        <v>42561</v>
      </c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</row>
    <row r="9" spans="1:33" x14ac:dyDescent="0.25">
      <c r="A9" s="228" t="s">
        <v>387</v>
      </c>
      <c r="B9" s="169"/>
      <c r="C9" s="169"/>
      <c r="D9" s="169"/>
      <c r="E9" s="253">
        <v>42555</v>
      </c>
      <c r="G9" s="169"/>
      <c r="H9" s="228" t="s">
        <v>386</v>
      </c>
      <c r="I9" s="169"/>
      <c r="J9" s="169"/>
      <c r="L9" s="253">
        <v>42538</v>
      </c>
      <c r="M9" s="170"/>
      <c r="N9" s="228" t="s">
        <v>586</v>
      </c>
      <c r="O9" s="170"/>
      <c r="P9" s="171"/>
      <c r="Q9" s="169"/>
      <c r="R9" s="272">
        <v>42588</v>
      </c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</row>
    <row r="10" spans="1:33" x14ac:dyDescent="0.25">
      <c r="A10" s="228" t="s">
        <v>388</v>
      </c>
      <c r="B10" s="169"/>
      <c r="C10" s="169"/>
      <c r="D10" s="169"/>
      <c r="E10" s="253">
        <v>42572</v>
      </c>
      <c r="G10" s="169"/>
      <c r="H10" s="228" t="s">
        <v>387</v>
      </c>
      <c r="I10" s="169"/>
      <c r="J10" s="169"/>
      <c r="L10" s="253">
        <v>42555</v>
      </c>
      <c r="M10" s="169"/>
      <c r="N10" s="228" t="s">
        <v>587</v>
      </c>
      <c r="O10" s="170"/>
      <c r="P10" s="171"/>
      <c r="Q10" s="169"/>
      <c r="R10" s="272">
        <v>42615</v>
      </c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</row>
    <row r="11" spans="1:33" x14ac:dyDescent="0.25">
      <c r="A11" s="228" t="s">
        <v>389</v>
      </c>
      <c r="B11" s="169"/>
      <c r="C11" s="169"/>
      <c r="D11" s="169"/>
      <c r="E11" s="253">
        <v>42589</v>
      </c>
      <c r="G11" s="169"/>
      <c r="H11" s="228" t="s">
        <v>388</v>
      </c>
      <c r="I11" s="169"/>
      <c r="J11" s="169"/>
      <c r="L11" s="253">
        <v>42572</v>
      </c>
      <c r="M11" s="169"/>
      <c r="N11" s="228" t="s">
        <v>588</v>
      </c>
      <c r="O11" s="170"/>
      <c r="P11" s="171"/>
      <c r="Q11" s="169"/>
      <c r="R11" s="272">
        <v>42642</v>
      </c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</row>
    <row r="12" spans="1:33" x14ac:dyDescent="0.25">
      <c r="A12" s="228" t="s">
        <v>390</v>
      </c>
      <c r="B12" s="169"/>
      <c r="C12" s="169"/>
      <c r="D12" s="169"/>
      <c r="E12" s="253">
        <v>42606</v>
      </c>
      <c r="G12" s="169"/>
      <c r="H12" s="228" t="s">
        <v>389</v>
      </c>
      <c r="I12" s="169"/>
      <c r="J12" s="169"/>
      <c r="L12" s="253">
        <v>42589</v>
      </c>
      <c r="M12" s="169"/>
      <c r="N12" s="228" t="s">
        <v>589</v>
      </c>
      <c r="O12" s="170"/>
      <c r="P12" s="171"/>
      <c r="Q12" s="169"/>
      <c r="R12" s="272">
        <v>42669</v>
      </c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</row>
    <row r="13" spans="1:33" x14ac:dyDescent="0.25">
      <c r="A13" s="228" t="s">
        <v>391</v>
      </c>
      <c r="B13" s="169"/>
      <c r="C13" s="169"/>
      <c r="D13" s="169"/>
      <c r="E13" s="253">
        <v>42623</v>
      </c>
      <c r="G13" s="169"/>
      <c r="H13" s="228" t="s">
        <v>390</v>
      </c>
      <c r="I13" s="169"/>
      <c r="J13" s="169"/>
      <c r="L13" s="253">
        <v>42606</v>
      </c>
      <c r="M13" s="169"/>
      <c r="N13" s="228" t="s">
        <v>590</v>
      </c>
      <c r="O13" s="170"/>
      <c r="P13" s="171"/>
      <c r="Q13" s="169"/>
      <c r="R13" s="272">
        <v>42696</v>
      </c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</row>
    <row r="14" spans="1:33" x14ac:dyDescent="0.25">
      <c r="A14" s="228" t="s">
        <v>392</v>
      </c>
      <c r="B14" s="169"/>
      <c r="C14" s="169"/>
      <c r="D14" s="169"/>
      <c r="E14" s="253">
        <v>42640</v>
      </c>
      <c r="G14" s="169"/>
      <c r="H14" s="228" t="s">
        <v>391</v>
      </c>
      <c r="I14" s="169"/>
      <c r="J14" s="169"/>
      <c r="L14" s="253">
        <v>42623</v>
      </c>
      <c r="M14" s="169"/>
      <c r="N14" s="228" t="s">
        <v>591</v>
      </c>
      <c r="O14" s="170"/>
      <c r="P14" s="171"/>
      <c r="Q14" s="169"/>
      <c r="R14" s="272">
        <v>42723</v>
      </c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</row>
    <row r="15" spans="1:33" x14ac:dyDescent="0.25">
      <c r="A15" s="228" t="s">
        <v>393</v>
      </c>
      <c r="B15" s="169"/>
      <c r="C15" s="169"/>
      <c r="D15" s="169"/>
      <c r="E15" s="253">
        <v>42657</v>
      </c>
      <c r="G15" s="169"/>
      <c r="H15" s="228" t="s">
        <v>392</v>
      </c>
      <c r="I15" s="169"/>
      <c r="J15" s="169"/>
      <c r="L15" s="253">
        <v>42640</v>
      </c>
      <c r="M15" s="169"/>
      <c r="N15" s="228" t="s">
        <v>592</v>
      </c>
      <c r="O15" s="170"/>
      <c r="P15" s="171"/>
      <c r="Q15" s="169"/>
      <c r="R15" s="272">
        <v>42750</v>
      </c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</row>
    <row r="16" spans="1:33" x14ac:dyDescent="0.25">
      <c r="A16" s="228" t="s">
        <v>394</v>
      </c>
      <c r="B16" s="169"/>
      <c r="C16" s="169"/>
      <c r="D16" s="169"/>
      <c r="E16" s="253">
        <v>42674</v>
      </c>
      <c r="G16" s="169"/>
      <c r="H16" s="228" t="s">
        <v>393</v>
      </c>
      <c r="I16" s="169"/>
      <c r="J16" s="169"/>
      <c r="L16" s="253">
        <v>42657</v>
      </c>
      <c r="M16" s="169"/>
      <c r="N16" s="228" t="s">
        <v>593</v>
      </c>
      <c r="O16" s="170"/>
      <c r="P16" s="171"/>
      <c r="Q16" s="169"/>
      <c r="R16" s="272">
        <v>42777</v>
      </c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</row>
    <row r="17" spans="1:33" x14ac:dyDescent="0.25">
      <c r="A17" s="228" t="s">
        <v>395</v>
      </c>
      <c r="B17" s="169"/>
      <c r="C17" s="169"/>
      <c r="D17" s="169"/>
      <c r="E17" s="253">
        <v>42691</v>
      </c>
      <c r="G17" s="169"/>
      <c r="H17" s="228" t="s">
        <v>394</v>
      </c>
      <c r="I17" s="169"/>
      <c r="J17" s="169"/>
      <c r="L17" s="253">
        <v>42674</v>
      </c>
      <c r="M17" s="169"/>
      <c r="N17" s="228" t="s">
        <v>594</v>
      </c>
      <c r="O17" s="170"/>
      <c r="P17" s="171"/>
      <c r="Q17" s="169"/>
      <c r="R17" s="272">
        <v>42804</v>
      </c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</row>
    <row r="18" spans="1:33" x14ac:dyDescent="0.25">
      <c r="A18" s="228" t="s">
        <v>396</v>
      </c>
      <c r="B18" s="169"/>
      <c r="C18" s="169"/>
      <c r="D18" s="169"/>
      <c r="E18" s="253">
        <v>42708</v>
      </c>
      <c r="G18" s="169"/>
      <c r="H18" s="228" t="s">
        <v>395</v>
      </c>
      <c r="I18" s="169"/>
      <c r="J18" s="169"/>
      <c r="L18" s="253">
        <v>42691</v>
      </c>
      <c r="M18" s="169"/>
      <c r="N18" s="233"/>
      <c r="O18" s="170"/>
      <c r="P18" s="171"/>
      <c r="Q18" s="169"/>
      <c r="R18" s="236"/>
      <c r="S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</row>
    <row r="19" spans="1:33" x14ac:dyDescent="0.25">
      <c r="A19" s="228" t="s">
        <v>397</v>
      </c>
      <c r="B19" s="169"/>
      <c r="C19" s="169"/>
      <c r="D19" s="197"/>
      <c r="E19" s="253">
        <v>42725</v>
      </c>
      <c r="G19" s="169"/>
      <c r="H19" s="228" t="s">
        <v>396</v>
      </c>
      <c r="I19" s="169"/>
      <c r="J19" s="169"/>
      <c r="L19" s="253">
        <v>42708</v>
      </c>
      <c r="M19" s="169"/>
      <c r="N19" s="233"/>
      <c r="O19" s="170"/>
      <c r="P19" s="171"/>
      <c r="Q19" s="169"/>
      <c r="R19" s="214"/>
      <c r="S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</row>
    <row r="20" spans="1:33" x14ac:dyDescent="0.25">
      <c r="A20" s="228" t="s">
        <v>398</v>
      </c>
      <c r="B20" s="169"/>
      <c r="C20" s="169"/>
      <c r="D20" s="197"/>
      <c r="E20" s="253">
        <v>42742</v>
      </c>
      <c r="G20" s="169"/>
      <c r="H20" s="228" t="s">
        <v>397</v>
      </c>
      <c r="I20" s="169"/>
      <c r="J20" s="169"/>
      <c r="L20" s="253">
        <v>42725</v>
      </c>
      <c r="M20" s="169"/>
      <c r="N20" s="233"/>
      <c r="O20" s="170"/>
      <c r="P20" s="171"/>
      <c r="Q20" s="169"/>
      <c r="R20" s="214"/>
      <c r="S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</row>
    <row r="21" spans="1:33" x14ac:dyDescent="0.25">
      <c r="A21" s="228" t="s">
        <v>399</v>
      </c>
      <c r="B21" s="169"/>
      <c r="C21" s="169"/>
      <c r="D21" s="197"/>
      <c r="E21" s="253">
        <v>42759</v>
      </c>
      <c r="G21" s="169"/>
      <c r="H21" s="228" t="s">
        <v>398</v>
      </c>
      <c r="I21" s="169"/>
      <c r="J21" s="169"/>
      <c r="L21" s="253">
        <v>42742</v>
      </c>
      <c r="M21" s="169"/>
      <c r="N21" s="233"/>
      <c r="O21" s="170"/>
      <c r="P21" s="171"/>
      <c r="Q21" s="169"/>
      <c r="R21" s="214"/>
      <c r="S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</row>
    <row r="22" spans="1:33" x14ac:dyDescent="0.25">
      <c r="A22" s="228" t="s">
        <v>400</v>
      </c>
      <c r="B22" s="169"/>
      <c r="C22" s="169"/>
      <c r="D22" s="197"/>
      <c r="E22" s="253">
        <v>42776</v>
      </c>
      <c r="G22" s="169"/>
      <c r="H22" s="228" t="s">
        <v>399</v>
      </c>
      <c r="I22" s="169"/>
      <c r="J22" s="169"/>
      <c r="L22" s="253">
        <v>42759</v>
      </c>
      <c r="M22" s="169"/>
      <c r="N22" s="233"/>
      <c r="O22" s="170"/>
      <c r="P22" s="171"/>
      <c r="Q22" s="169"/>
      <c r="R22" s="214"/>
      <c r="S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</row>
    <row r="23" spans="1:33" x14ac:dyDescent="0.25">
      <c r="A23" s="228" t="s">
        <v>401</v>
      </c>
      <c r="B23" s="169"/>
      <c r="C23" s="169"/>
      <c r="D23" s="197"/>
      <c r="E23" s="253">
        <v>42793</v>
      </c>
      <c r="G23" s="169"/>
      <c r="H23" s="228" t="s">
        <v>400</v>
      </c>
      <c r="I23" s="169"/>
      <c r="J23" s="169"/>
      <c r="L23" s="253">
        <v>42776</v>
      </c>
      <c r="M23" s="169"/>
      <c r="N23" s="233"/>
      <c r="O23" s="170"/>
      <c r="P23" s="171"/>
      <c r="Q23" s="169"/>
      <c r="R23" s="214"/>
      <c r="S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</row>
    <row r="24" spans="1:33" x14ac:dyDescent="0.25">
      <c r="A24" s="229" t="s">
        <v>402</v>
      </c>
      <c r="B24" s="179"/>
      <c r="C24" s="179"/>
      <c r="D24" s="216"/>
      <c r="E24" s="254">
        <v>42810</v>
      </c>
      <c r="G24" s="169"/>
      <c r="H24" s="228" t="s">
        <v>401</v>
      </c>
      <c r="I24" s="169"/>
      <c r="J24" s="169"/>
      <c r="L24" s="253">
        <v>42793</v>
      </c>
      <c r="M24" s="169"/>
      <c r="N24" s="233"/>
      <c r="O24" s="170"/>
      <c r="P24" s="171"/>
      <c r="Q24" s="169"/>
      <c r="R24" s="214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</row>
    <row r="25" spans="1:33" x14ac:dyDescent="0.25">
      <c r="A25" s="169"/>
      <c r="B25" s="169"/>
      <c r="C25" s="169"/>
      <c r="D25" s="215"/>
      <c r="E25" s="207"/>
      <c r="F25" s="169"/>
      <c r="G25" s="169"/>
      <c r="H25" s="229" t="s">
        <v>402</v>
      </c>
      <c r="I25" s="179"/>
      <c r="J25" s="179"/>
      <c r="K25" s="235"/>
      <c r="L25" s="254">
        <v>42810</v>
      </c>
      <c r="M25" s="169"/>
      <c r="N25" s="234"/>
      <c r="O25" s="179"/>
      <c r="P25" s="179"/>
      <c r="Q25" s="179"/>
      <c r="R25" s="217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</row>
    <row r="26" spans="1:33" x14ac:dyDescent="0.25">
      <c r="A26" s="169"/>
      <c r="B26" s="169"/>
      <c r="C26" s="169"/>
      <c r="D26" s="197"/>
      <c r="E26" s="207"/>
      <c r="F26" s="169"/>
      <c r="G26" s="169"/>
      <c r="H26" s="169"/>
      <c r="I26" s="169"/>
      <c r="J26" s="169"/>
      <c r="K26" s="197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</row>
    <row r="27" spans="1:33" x14ac:dyDescent="0.25">
      <c r="A27" s="169"/>
      <c r="B27" s="169"/>
      <c r="C27" s="169"/>
      <c r="D27" s="197"/>
      <c r="E27" s="207"/>
      <c r="F27" s="169"/>
      <c r="G27" s="169"/>
      <c r="H27" s="169"/>
      <c r="I27" s="169"/>
      <c r="J27" s="169"/>
      <c r="K27" s="197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</row>
    <row r="28" spans="1:33" ht="18" x14ac:dyDescent="0.4">
      <c r="A28" s="206" t="s">
        <v>277</v>
      </c>
      <c r="B28" s="169"/>
      <c r="C28" s="169"/>
      <c r="D28" s="197"/>
      <c r="E28" s="207"/>
      <c r="F28" s="169"/>
      <c r="G28" s="169"/>
      <c r="H28" s="169"/>
      <c r="I28" s="169"/>
      <c r="J28" s="169"/>
      <c r="K28" s="197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</row>
    <row r="29" spans="1:33" x14ac:dyDescent="0.25">
      <c r="A29" s="169"/>
      <c r="B29" s="169"/>
      <c r="C29" s="169"/>
      <c r="D29" s="197"/>
      <c r="E29" s="207"/>
      <c r="F29" s="169"/>
      <c r="G29" s="169"/>
      <c r="H29" s="169"/>
      <c r="I29" s="169"/>
      <c r="J29" s="169"/>
      <c r="K29" s="197"/>
      <c r="L29" s="169"/>
      <c r="M29" s="169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</row>
    <row r="30" spans="1:33" x14ac:dyDescent="0.25">
      <c r="A30" s="169"/>
      <c r="B30" s="169"/>
      <c r="C30" s="169"/>
      <c r="D30" s="197"/>
      <c r="E30" s="207"/>
      <c r="F30" s="169"/>
      <c r="G30" s="169"/>
      <c r="H30" s="169"/>
      <c r="I30" s="169"/>
      <c r="J30" s="169"/>
      <c r="K30" s="197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</row>
    <row r="31" spans="1:33" x14ac:dyDescent="0.25">
      <c r="A31" s="169"/>
      <c r="B31" s="169"/>
      <c r="C31" s="169"/>
      <c r="D31" s="197"/>
      <c r="E31" s="207"/>
      <c r="F31" s="169"/>
      <c r="G31" s="169"/>
      <c r="H31" s="169"/>
      <c r="I31" s="169"/>
      <c r="J31" s="169"/>
      <c r="K31" s="197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</row>
    <row r="32" spans="1:33" ht="13" x14ac:dyDescent="0.3">
      <c r="A32" s="221" t="s">
        <v>515</v>
      </c>
      <c r="B32" s="218"/>
      <c r="C32" s="218"/>
      <c r="D32" s="224"/>
      <c r="E32" s="207"/>
      <c r="F32" s="169"/>
      <c r="G32" s="221" t="s">
        <v>521</v>
      </c>
      <c r="H32" s="169"/>
      <c r="I32" s="169"/>
      <c r="J32" s="169"/>
      <c r="K32" s="197"/>
      <c r="L32" s="169"/>
      <c r="M32" s="221" t="s">
        <v>573</v>
      </c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</row>
    <row r="33" spans="1:33" ht="13" x14ac:dyDescent="0.3">
      <c r="A33" s="262" t="s">
        <v>669</v>
      </c>
      <c r="B33" s="218"/>
      <c r="C33" s="218"/>
      <c r="D33" s="197"/>
      <c r="E33" s="207"/>
      <c r="F33" s="169"/>
      <c r="G33" s="219" t="s">
        <v>522</v>
      </c>
      <c r="H33" s="169"/>
      <c r="I33" s="169"/>
      <c r="J33" s="169"/>
      <c r="K33" s="197"/>
      <c r="L33" s="169"/>
      <c r="M33" s="219" t="s">
        <v>574</v>
      </c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</row>
    <row r="34" spans="1:33" ht="13" x14ac:dyDescent="0.3">
      <c r="A34" s="221" t="s">
        <v>516</v>
      </c>
      <c r="B34" s="218"/>
      <c r="C34" s="218"/>
      <c r="D34" s="197"/>
      <c r="F34" s="169"/>
      <c r="G34" s="219" t="s">
        <v>516</v>
      </c>
      <c r="H34" s="219"/>
      <c r="I34" s="169"/>
      <c r="J34" s="169"/>
      <c r="K34" s="197"/>
      <c r="L34" s="169"/>
      <c r="M34" s="219" t="s">
        <v>575</v>
      </c>
      <c r="N34" s="219" t="s">
        <v>576</v>
      </c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</row>
    <row r="35" spans="1:33" ht="13" x14ac:dyDescent="0.3">
      <c r="A35" s="221" t="s">
        <v>667</v>
      </c>
      <c r="B35" s="218"/>
      <c r="C35" s="218"/>
      <c r="D35" s="197"/>
      <c r="E35" s="207"/>
      <c r="F35" s="169"/>
      <c r="G35" s="219" t="s">
        <v>523</v>
      </c>
      <c r="H35" s="219" t="s">
        <v>524</v>
      </c>
      <c r="I35" s="169"/>
      <c r="J35" s="169"/>
      <c r="K35" s="197"/>
      <c r="L35" s="169"/>
      <c r="M35" s="219" t="s">
        <v>523</v>
      </c>
      <c r="N35" s="219" t="s">
        <v>578</v>
      </c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</row>
    <row r="36" spans="1:33" ht="13" x14ac:dyDescent="0.3">
      <c r="A36" s="221" t="s">
        <v>517</v>
      </c>
      <c r="B36" s="218"/>
      <c r="C36" s="218"/>
      <c r="D36" s="197"/>
      <c r="E36" s="207"/>
      <c r="F36" s="169"/>
      <c r="G36" s="219" t="s">
        <v>525</v>
      </c>
      <c r="H36" s="169"/>
      <c r="I36" s="169"/>
      <c r="J36" s="169"/>
      <c r="K36" s="197"/>
      <c r="L36" s="169"/>
      <c r="M36" s="219" t="s">
        <v>577</v>
      </c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</row>
    <row r="37" spans="1:33" x14ac:dyDescent="0.25">
      <c r="A37" s="169"/>
      <c r="B37" s="169"/>
      <c r="C37" s="169"/>
      <c r="D37" s="197"/>
      <c r="E37" s="207"/>
      <c r="F37" s="169"/>
      <c r="G37" s="169"/>
      <c r="H37" s="169"/>
      <c r="I37" s="169"/>
      <c r="J37" s="169"/>
      <c r="K37" s="197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</row>
    <row r="38" spans="1:33" x14ac:dyDescent="0.25">
      <c r="A38" s="219" t="s">
        <v>518</v>
      </c>
      <c r="B38" s="169"/>
      <c r="C38" s="169"/>
      <c r="D38" s="197"/>
      <c r="E38" s="207"/>
      <c r="F38" s="169"/>
      <c r="G38" s="219" t="s">
        <v>526</v>
      </c>
      <c r="H38" s="169"/>
      <c r="I38" s="169"/>
      <c r="J38" s="169"/>
      <c r="K38" s="197"/>
      <c r="L38" s="169"/>
      <c r="M38" s="219" t="s">
        <v>579</v>
      </c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</row>
    <row r="39" spans="1:33" x14ac:dyDescent="0.25">
      <c r="A39" s="219"/>
      <c r="B39" s="169"/>
      <c r="C39" s="169"/>
      <c r="D39" s="197"/>
      <c r="E39" s="207"/>
      <c r="F39" s="169"/>
      <c r="G39" s="219"/>
      <c r="H39" s="169"/>
      <c r="I39" s="169"/>
      <c r="J39" s="169"/>
      <c r="K39" s="197"/>
      <c r="L39" s="169"/>
      <c r="M39" s="21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</row>
    <row r="40" spans="1:33" x14ac:dyDescent="0.25">
      <c r="A40" s="219" t="s">
        <v>519</v>
      </c>
      <c r="B40" s="169"/>
      <c r="C40" s="169"/>
      <c r="D40" s="197"/>
      <c r="E40" s="207"/>
      <c r="F40" s="169"/>
      <c r="G40" s="219" t="s">
        <v>527</v>
      </c>
      <c r="H40" s="169"/>
      <c r="I40" s="169"/>
      <c r="J40" s="169"/>
      <c r="K40" s="197"/>
      <c r="L40" s="169"/>
      <c r="M40" s="219" t="s">
        <v>580</v>
      </c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</row>
    <row r="41" spans="1:33" x14ac:dyDescent="0.25">
      <c r="A41" s="169"/>
      <c r="B41" s="169"/>
      <c r="C41" s="169"/>
      <c r="D41" s="197"/>
      <c r="E41" s="207"/>
      <c r="F41" s="169"/>
      <c r="G41" s="169"/>
      <c r="H41" s="169"/>
      <c r="I41" s="169"/>
      <c r="J41" s="169"/>
      <c r="K41" s="197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</row>
    <row r="42" spans="1:33" x14ac:dyDescent="0.25">
      <c r="A42" s="219"/>
      <c r="B42" s="219"/>
      <c r="C42" s="169"/>
      <c r="D42" s="197"/>
      <c r="E42" s="207"/>
      <c r="F42" s="169"/>
      <c r="G42" s="169"/>
      <c r="H42" s="169"/>
      <c r="I42" s="169"/>
      <c r="J42" s="169"/>
      <c r="K42" s="197"/>
      <c r="L42" s="169"/>
      <c r="M42" s="169"/>
      <c r="N42" s="169"/>
      <c r="O42" s="169"/>
      <c r="P42" s="169"/>
      <c r="Q42" s="169"/>
      <c r="R42" s="169"/>
      <c r="S42" s="169"/>
      <c r="T42" s="169"/>
      <c r="U42" s="169"/>
      <c r="V42" s="169"/>
      <c r="W42" s="169"/>
      <c r="X42" s="169"/>
      <c r="Y42" s="169"/>
      <c r="Z42" s="169"/>
      <c r="AA42" s="169"/>
      <c r="AB42" s="169"/>
      <c r="AC42" s="169"/>
      <c r="AD42" s="169"/>
      <c r="AE42" s="169"/>
      <c r="AF42" s="169"/>
      <c r="AG42" s="169"/>
    </row>
    <row r="43" spans="1:33" x14ac:dyDescent="0.25">
      <c r="A43" s="219"/>
      <c r="B43" s="219"/>
      <c r="C43" s="169"/>
      <c r="D43" s="197"/>
      <c r="E43" s="207"/>
      <c r="F43" s="169"/>
      <c r="G43" s="169"/>
      <c r="H43" s="169"/>
      <c r="I43" s="169"/>
      <c r="J43" s="169"/>
      <c r="K43" s="197"/>
      <c r="L43" s="169"/>
      <c r="M43" s="169"/>
      <c r="N43" s="169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</row>
    <row r="44" spans="1:33" x14ac:dyDescent="0.25">
      <c r="A44" s="219" t="s">
        <v>250</v>
      </c>
      <c r="B44" s="219"/>
      <c r="C44" s="169"/>
      <c r="D44" s="197"/>
      <c r="E44" s="207"/>
      <c r="F44" s="169"/>
      <c r="G44" s="169"/>
      <c r="H44" s="169"/>
      <c r="I44" s="169"/>
      <c r="J44" s="169"/>
      <c r="K44" s="197"/>
      <c r="L44" s="169"/>
      <c r="M44" s="169"/>
      <c r="N44" s="169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69"/>
      <c r="AB44" s="169"/>
      <c r="AC44" s="169"/>
      <c r="AD44" s="169"/>
      <c r="AE44" s="169"/>
      <c r="AF44" s="169"/>
      <c r="AG44" s="169"/>
    </row>
    <row r="45" spans="1:33" x14ac:dyDescent="0.25">
      <c r="A45" s="219"/>
      <c r="B45" s="219"/>
      <c r="C45" s="169"/>
      <c r="D45" s="197"/>
      <c r="E45" s="207"/>
      <c r="F45" s="169"/>
      <c r="H45" s="169"/>
      <c r="I45" s="169"/>
      <c r="J45" s="169"/>
      <c r="K45" s="197"/>
      <c r="L45" s="169"/>
      <c r="M45" s="169"/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</row>
    <row r="46" spans="1:33" x14ac:dyDescent="0.25">
      <c r="A46" s="219" t="s">
        <v>251</v>
      </c>
      <c r="B46" s="219"/>
      <c r="C46" s="169"/>
      <c r="D46" s="197"/>
      <c r="E46" s="207"/>
      <c r="F46" s="169"/>
      <c r="H46" s="169"/>
      <c r="I46" s="169"/>
      <c r="J46" s="169"/>
      <c r="K46" s="197"/>
      <c r="L46" s="169"/>
      <c r="M46" s="169"/>
      <c r="N46" s="169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  <c r="AA46" s="169"/>
      <c r="AB46" s="169"/>
      <c r="AC46" s="169"/>
      <c r="AD46" s="169"/>
      <c r="AE46" s="169"/>
      <c r="AF46" s="169"/>
      <c r="AG46" s="169"/>
    </row>
    <row r="47" spans="1:33" x14ac:dyDescent="0.25">
      <c r="A47" s="219"/>
      <c r="B47" s="219"/>
      <c r="C47" s="169"/>
      <c r="D47" s="197"/>
      <c r="E47" s="207"/>
      <c r="F47" s="169"/>
      <c r="H47" s="169"/>
      <c r="I47" s="169"/>
      <c r="J47" s="169"/>
      <c r="K47" s="197"/>
      <c r="L47" s="169"/>
      <c r="M47" s="169"/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  <c r="AA47" s="169"/>
      <c r="AB47" s="169"/>
      <c r="AC47" s="169"/>
      <c r="AD47" s="169"/>
      <c r="AE47" s="169"/>
      <c r="AF47" s="169"/>
      <c r="AG47" s="169"/>
    </row>
    <row r="48" spans="1:33" x14ac:dyDescent="0.25">
      <c r="A48" s="243" t="s">
        <v>520</v>
      </c>
      <c r="B48" s="219"/>
      <c r="C48" s="169"/>
      <c r="D48" s="197"/>
      <c r="E48" s="207"/>
      <c r="F48" s="169"/>
      <c r="G48" s="225" t="s">
        <v>528</v>
      </c>
      <c r="H48" s="225"/>
      <c r="I48" s="225"/>
      <c r="J48" s="225"/>
      <c r="K48" s="226"/>
      <c r="L48" s="225"/>
      <c r="M48" s="143" t="s">
        <v>3303</v>
      </c>
      <c r="N48" s="225"/>
      <c r="O48" s="225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  <c r="AA48" s="169"/>
      <c r="AB48" s="169"/>
      <c r="AC48" s="169"/>
      <c r="AD48" s="169"/>
      <c r="AE48" s="169"/>
      <c r="AF48" s="169"/>
      <c r="AG48" s="169"/>
    </row>
    <row r="49" spans="1:33" x14ac:dyDescent="0.25">
      <c r="A49" s="219" t="s">
        <v>252</v>
      </c>
      <c r="B49" s="219"/>
      <c r="C49" s="169"/>
      <c r="D49" s="197"/>
      <c r="E49" s="207"/>
      <c r="F49" s="169"/>
      <c r="G49" s="219" t="s">
        <v>252</v>
      </c>
      <c r="H49" s="169"/>
      <c r="I49" s="169"/>
      <c r="J49" s="169"/>
      <c r="K49" s="197"/>
      <c r="L49" s="169"/>
      <c r="M49" s="219" t="s">
        <v>252</v>
      </c>
      <c r="N49" s="169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  <c r="AD49" s="169"/>
      <c r="AE49" s="169"/>
      <c r="AF49" s="169"/>
      <c r="AG49" s="169"/>
    </row>
    <row r="50" spans="1:33" x14ac:dyDescent="0.25">
      <c r="A50" s="219"/>
      <c r="B50" s="219"/>
      <c r="C50" s="169"/>
      <c r="D50" s="197"/>
      <c r="E50" s="207"/>
      <c r="F50" s="169"/>
      <c r="G50" s="219" t="s">
        <v>253</v>
      </c>
      <c r="H50" s="169"/>
      <c r="I50" s="169"/>
      <c r="J50" s="169"/>
      <c r="K50" s="197"/>
      <c r="L50" s="169"/>
      <c r="M50" s="219" t="s">
        <v>253</v>
      </c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</row>
    <row r="51" spans="1:33" x14ac:dyDescent="0.25">
      <c r="A51" s="219" t="s">
        <v>253</v>
      </c>
      <c r="B51" s="219"/>
      <c r="C51" s="169"/>
      <c r="D51" s="197"/>
      <c r="E51" s="207"/>
      <c r="F51" s="169"/>
      <c r="J51" s="169"/>
      <c r="K51" s="197"/>
      <c r="L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</row>
    <row r="52" spans="1:33" x14ac:dyDescent="0.25">
      <c r="A52" s="219"/>
      <c r="B52" s="219"/>
      <c r="C52" s="169"/>
      <c r="D52" s="197"/>
      <c r="E52" s="207"/>
      <c r="F52" s="169"/>
      <c r="J52" s="169"/>
      <c r="K52" s="197"/>
      <c r="L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</row>
    <row r="53" spans="1:33" x14ac:dyDescent="0.25">
      <c r="A53" s="219"/>
      <c r="B53" s="219"/>
      <c r="C53" s="169"/>
      <c r="D53" s="197"/>
      <c r="E53" s="207"/>
      <c r="F53" s="169"/>
      <c r="J53" s="169"/>
      <c r="K53" s="197"/>
      <c r="L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</row>
    <row r="54" spans="1:33" x14ac:dyDescent="0.25">
      <c r="A54" s="219"/>
      <c r="B54" s="219"/>
      <c r="C54" s="169"/>
      <c r="D54" s="197"/>
      <c r="E54" s="207"/>
      <c r="F54" s="169"/>
      <c r="J54" s="169"/>
      <c r="K54" s="197"/>
      <c r="L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</row>
    <row r="55" spans="1:33" x14ac:dyDescent="0.25">
      <c r="A55" s="219" t="s">
        <v>381</v>
      </c>
      <c r="B55" s="169"/>
      <c r="C55" s="169"/>
      <c r="D55" s="197"/>
      <c r="E55" s="207"/>
      <c r="F55" s="169"/>
      <c r="G55" s="219" t="s">
        <v>381</v>
      </c>
      <c r="H55" s="169"/>
      <c r="I55" s="169"/>
      <c r="J55" s="169"/>
      <c r="K55" s="197"/>
      <c r="L55" s="169"/>
      <c r="M55" s="219" t="s">
        <v>581</v>
      </c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</row>
    <row r="56" spans="1:33" x14ac:dyDescent="0.25">
      <c r="A56" s="219"/>
      <c r="B56" s="169"/>
      <c r="C56" s="169"/>
      <c r="D56" s="197"/>
      <c r="E56" s="207"/>
      <c r="F56" s="169"/>
      <c r="G56" s="219"/>
      <c r="H56" s="169"/>
      <c r="I56" s="169"/>
      <c r="J56" s="169"/>
      <c r="K56" s="197"/>
      <c r="L56" s="169"/>
      <c r="M56" s="21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</row>
    <row r="57" spans="1:33" x14ac:dyDescent="0.25">
      <c r="A57" s="219" t="s">
        <v>382</v>
      </c>
      <c r="B57" s="169"/>
      <c r="C57" s="169"/>
      <c r="D57" s="197"/>
      <c r="E57" s="207"/>
      <c r="F57" s="169"/>
      <c r="G57" s="219" t="s">
        <v>382</v>
      </c>
      <c r="H57" s="169"/>
      <c r="I57" s="169"/>
      <c r="J57" s="169"/>
      <c r="K57" s="197"/>
      <c r="L57" s="169"/>
      <c r="M57" s="219" t="s">
        <v>582</v>
      </c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</row>
    <row r="58" spans="1:33" x14ac:dyDescent="0.25">
      <c r="A58" s="219"/>
      <c r="B58" s="169"/>
      <c r="C58" s="169"/>
      <c r="D58" s="197"/>
      <c r="E58" s="207"/>
      <c r="F58" s="169"/>
      <c r="G58" s="219"/>
      <c r="H58" s="169"/>
      <c r="I58" s="169"/>
      <c r="J58" s="169"/>
      <c r="K58" s="197"/>
      <c r="L58" s="169"/>
      <c r="M58" s="21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</row>
    <row r="59" spans="1:33" x14ac:dyDescent="0.25">
      <c r="A59" s="219" t="s">
        <v>383</v>
      </c>
      <c r="B59" s="169"/>
      <c r="C59" s="169"/>
      <c r="D59" s="197"/>
      <c r="E59" s="207"/>
      <c r="F59" s="169"/>
      <c r="G59" s="219" t="s">
        <v>383</v>
      </c>
      <c r="H59" s="169"/>
      <c r="I59" s="169"/>
      <c r="J59" s="169"/>
      <c r="K59" s="197"/>
      <c r="L59" s="169"/>
      <c r="M59" s="219" t="s">
        <v>583</v>
      </c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</row>
    <row r="60" spans="1:33" x14ac:dyDescent="0.25">
      <c r="A60" s="219"/>
      <c r="B60" s="169"/>
      <c r="C60" s="169"/>
      <c r="D60" s="197"/>
      <c r="E60" s="207"/>
      <c r="F60" s="169"/>
      <c r="G60" s="219"/>
      <c r="H60" s="169"/>
      <c r="I60" s="169"/>
      <c r="J60" s="169"/>
      <c r="K60" s="197"/>
      <c r="L60" s="169"/>
      <c r="M60" s="21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</row>
    <row r="61" spans="1:33" x14ac:dyDescent="0.25">
      <c r="A61" s="219" t="s">
        <v>384</v>
      </c>
      <c r="B61" s="169"/>
      <c r="C61" s="169"/>
      <c r="D61" s="197"/>
      <c r="E61" s="207"/>
      <c r="F61" s="169"/>
      <c r="G61" s="219" t="s">
        <v>384</v>
      </c>
      <c r="H61" s="169"/>
      <c r="I61" s="169"/>
      <c r="J61" s="169"/>
      <c r="K61" s="197"/>
      <c r="L61" s="169"/>
      <c r="M61" s="219" t="s">
        <v>584</v>
      </c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</row>
    <row r="62" spans="1:33" x14ac:dyDescent="0.25">
      <c r="A62" s="219"/>
      <c r="B62" s="169"/>
      <c r="C62" s="169"/>
      <c r="D62" s="197"/>
      <c r="E62" s="207"/>
      <c r="F62" s="169"/>
      <c r="G62" s="219"/>
      <c r="H62" s="169"/>
      <c r="I62" s="169"/>
      <c r="J62" s="169"/>
      <c r="K62" s="197"/>
      <c r="L62" s="169"/>
      <c r="M62" s="21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</row>
    <row r="63" spans="1:33" x14ac:dyDescent="0.25">
      <c r="A63" s="219" t="s">
        <v>385</v>
      </c>
      <c r="B63" s="169"/>
      <c r="C63" s="169"/>
      <c r="D63" s="197"/>
      <c r="E63" s="207"/>
      <c r="F63" s="169"/>
      <c r="G63" s="219" t="s">
        <v>385</v>
      </c>
      <c r="H63" s="169"/>
      <c r="I63" s="169"/>
      <c r="J63" s="169"/>
      <c r="K63" s="197"/>
      <c r="L63" s="169"/>
      <c r="M63" s="219" t="s">
        <v>585</v>
      </c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</row>
    <row r="64" spans="1:33" x14ac:dyDescent="0.25">
      <c r="A64" s="219"/>
      <c r="B64" s="169"/>
      <c r="C64" s="169"/>
      <c r="D64" s="197"/>
      <c r="E64" s="207"/>
      <c r="F64" s="169"/>
      <c r="G64" s="219"/>
      <c r="H64" s="169"/>
      <c r="I64" s="169"/>
      <c r="J64" s="169"/>
      <c r="K64" s="197"/>
      <c r="L64" s="169"/>
      <c r="M64" s="21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</row>
    <row r="65" spans="1:33" x14ac:dyDescent="0.25">
      <c r="A65" s="219" t="s">
        <v>386</v>
      </c>
      <c r="B65" s="169"/>
      <c r="C65" s="169"/>
      <c r="D65" s="197"/>
      <c r="E65" s="207"/>
      <c r="F65" s="169"/>
      <c r="G65" s="219" t="s">
        <v>386</v>
      </c>
      <c r="H65" s="169"/>
      <c r="I65" s="169"/>
      <c r="J65" s="169"/>
      <c r="K65" s="197"/>
      <c r="L65" s="169"/>
      <c r="M65" s="219" t="s">
        <v>586</v>
      </c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</row>
    <row r="66" spans="1:33" x14ac:dyDescent="0.25">
      <c r="A66" s="219"/>
      <c r="B66" s="169"/>
      <c r="C66" s="169"/>
      <c r="D66" s="197"/>
      <c r="E66" s="207"/>
      <c r="F66" s="169"/>
      <c r="G66" s="219"/>
      <c r="H66" s="169"/>
      <c r="I66" s="169"/>
      <c r="J66" s="169"/>
      <c r="K66" s="197"/>
      <c r="L66" s="169"/>
      <c r="M66" s="21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</row>
    <row r="67" spans="1:33" x14ac:dyDescent="0.25">
      <c r="A67" s="219" t="s">
        <v>387</v>
      </c>
      <c r="B67" s="169"/>
      <c r="C67" s="169"/>
      <c r="D67" s="197"/>
      <c r="E67" s="207"/>
      <c r="F67" s="169"/>
      <c r="G67" s="219" t="s">
        <v>387</v>
      </c>
      <c r="H67" s="169"/>
      <c r="I67" s="169"/>
      <c r="J67" s="169"/>
      <c r="K67" s="197"/>
      <c r="L67" s="169"/>
      <c r="M67" s="219" t="s">
        <v>587</v>
      </c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</row>
    <row r="68" spans="1:33" x14ac:dyDescent="0.25">
      <c r="A68" s="219"/>
      <c r="B68" s="169"/>
      <c r="C68" s="169"/>
      <c r="D68" s="197"/>
      <c r="E68" s="207"/>
      <c r="F68" s="169"/>
      <c r="G68" s="219"/>
      <c r="H68" s="169"/>
      <c r="I68" s="169"/>
      <c r="J68" s="169"/>
      <c r="K68" s="197"/>
      <c r="L68" s="169"/>
      <c r="M68" s="21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</row>
    <row r="69" spans="1:33" x14ac:dyDescent="0.25">
      <c r="A69" s="219" t="s">
        <v>388</v>
      </c>
      <c r="B69" s="169"/>
      <c r="C69" s="169"/>
      <c r="D69" s="197"/>
      <c r="E69" s="207"/>
      <c r="F69" s="169"/>
      <c r="G69" s="219" t="s">
        <v>388</v>
      </c>
      <c r="H69" s="169"/>
      <c r="I69" s="169"/>
      <c r="J69" s="169"/>
      <c r="K69" s="197"/>
      <c r="L69" s="169"/>
      <c r="M69" s="219" t="s">
        <v>588</v>
      </c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</row>
    <row r="70" spans="1:33" x14ac:dyDescent="0.25">
      <c r="A70" s="219"/>
      <c r="B70" s="169"/>
      <c r="C70" s="169"/>
      <c r="D70" s="197"/>
      <c r="E70" s="207"/>
      <c r="F70" s="169"/>
      <c r="G70" s="219"/>
      <c r="H70" s="169"/>
      <c r="I70" s="169"/>
      <c r="J70" s="169"/>
      <c r="K70" s="197"/>
      <c r="L70" s="169"/>
      <c r="M70" s="21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</row>
    <row r="71" spans="1:33" ht="13" x14ac:dyDescent="0.3">
      <c r="A71" s="219" t="s">
        <v>389</v>
      </c>
      <c r="B71" s="169"/>
      <c r="C71" s="169"/>
      <c r="D71" s="197"/>
      <c r="E71" s="207"/>
      <c r="F71" s="169"/>
      <c r="G71" s="219" t="s">
        <v>389</v>
      </c>
      <c r="H71" s="169"/>
      <c r="I71" s="169"/>
      <c r="J71" s="169"/>
      <c r="K71" s="197"/>
      <c r="L71" s="169"/>
      <c r="M71" s="219" t="s">
        <v>589</v>
      </c>
      <c r="N71" s="169"/>
      <c r="O71" s="169"/>
      <c r="P71" s="169"/>
      <c r="Q71" s="169"/>
      <c r="R71" s="169"/>
      <c r="S71" s="220"/>
      <c r="T71" s="169"/>
      <c r="U71" s="169"/>
      <c r="V71" s="169"/>
      <c r="W71" s="169"/>
      <c r="X71" s="169"/>
      <c r="Y71" s="169"/>
      <c r="Z71" s="169"/>
      <c r="AA71" s="169"/>
      <c r="AB71" s="169"/>
      <c r="AC71" s="169"/>
      <c r="AD71" s="169"/>
      <c r="AE71" s="169"/>
      <c r="AF71" s="169"/>
      <c r="AG71" s="169"/>
    </row>
    <row r="72" spans="1:33" x14ac:dyDescent="0.25">
      <c r="A72" s="219"/>
      <c r="B72" s="169"/>
      <c r="C72" s="169"/>
      <c r="D72" s="197"/>
      <c r="E72" s="207"/>
      <c r="F72" s="169"/>
      <c r="G72" s="219"/>
      <c r="H72" s="169"/>
      <c r="I72" s="169"/>
      <c r="J72" s="169"/>
      <c r="K72" s="197"/>
      <c r="L72" s="169"/>
      <c r="M72" s="219"/>
      <c r="N72" s="169"/>
      <c r="O72" s="169"/>
      <c r="P72" s="169"/>
      <c r="Q72" s="169"/>
      <c r="R72" s="169"/>
      <c r="S72" s="169"/>
      <c r="T72" s="169"/>
      <c r="U72" s="169"/>
      <c r="V72" s="169"/>
      <c r="W72" s="169"/>
      <c r="X72" s="169"/>
      <c r="Y72" s="169"/>
      <c r="Z72" s="169"/>
      <c r="AA72" s="169"/>
      <c r="AB72" s="169"/>
      <c r="AC72" s="169"/>
      <c r="AD72" s="169"/>
      <c r="AE72" s="169"/>
      <c r="AF72" s="169"/>
      <c r="AG72" s="169"/>
    </row>
    <row r="73" spans="1:33" x14ac:dyDescent="0.25">
      <c r="A73" s="219" t="s">
        <v>390</v>
      </c>
      <c r="B73" s="169"/>
      <c r="C73" s="169"/>
      <c r="D73" s="197"/>
      <c r="E73" s="207"/>
      <c r="F73" s="169"/>
      <c r="G73" s="219" t="s">
        <v>390</v>
      </c>
      <c r="H73" s="169"/>
      <c r="I73" s="169"/>
      <c r="J73" s="169"/>
      <c r="K73" s="197"/>
      <c r="L73" s="169"/>
      <c r="M73" s="219" t="s">
        <v>590</v>
      </c>
      <c r="N73" s="169"/>
      <c r="O73" s="169"/>
      <c r="P73" s="169"/>
      <c r="Q73" s="169"/>
      <c r="R73" s="169"/>
      <c r="S73" s="169"/>
      <c r="T73" s="169"/>
      <c r="U73" s="169"/>
      <c r="V73" s="169"/>
      <c r="W73" s="169"/>
      <c r="X73" s="169"/>
      <c r="Y73" s="169"/>
      <c r="Z73" s="169"/>
      <c r="AA73" s="169"/>
      <c r="AB73" s="169"/>
      <c r="AC73" s="169"/>
      <c r="AD73" s="169"/>
      <c r="AE73" s="169"/>
      <c r="AF73" s="169"/>
      <c r="AG73" s="169"/>
    </row>
    <row r="74" spans="1:33" x14ac:dyDescent="0.25">
      <c r="A74" s="219"/>
      <c r="B74" s="169"/>
      <c r="C74" s="169"/>
      <c r="D74" s="197"/>
      <c r="E74" s="207"/>
      <c r="F74" s="169"/>
      <c r="G74" s="219"/>
      <c r="H74" s="169"/>
      <c r="I74" s="169"/>
      <c r="J74" s="169"/>
      <c r="K74" s="197"/>
      <c r="L74" s="169"/>
      <c r="M74" s="219"/>
      <c r="N74" s="169"/>
      <c r="O74" s="169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</row>
    <row r="75" spans="1:33" x14ac:dyDescent="0.25">
      <c r="A75" s="219" t="s">
        <v>391</v>
      </c>
      <c r="B75" s="169"/>
      <c r="C75" s="169"/>
      <c r="D75" s="197"/>
      <c r="E75" s="207"/>
      <c r="F75" s="169"/>
      <c r="G75" s="219" t="s">
        <v>391</v>
      </c>
      <c r="H75" s="169"/>
      <c r="I75" s="169"/>
      <c r="J75" s="169"/>
      <c r="K75" s="197"/>
      <c r="L75" s="169"/>
      <c r="M75" s="219" t="s">
        <v>591</v>
      </c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69"/>
    </row>
    <row r="76" spans="1:33" x14ac:dyDescent="0.25">
      <c r="A76" s="219"/>
      <c r="B76" s="169"/>
      <c r="C76" s="169"/>
      <c r="D76" s="197"/>
      <c r="E76" s="207"/>
      <c r="F76" s="169"/>
      <c r="G76" s="219"/>
      <c r="H76" s="169"/>
      <c r="I76" s="169"/>
      <c r="J76" s="169"/>
      <c r="K76" s="197"/>
      <c r="L76" s="169"/>
      <c r="M76" s="219"/>
      <c r="N76" s="169"/>
      <c r="O76" s="169"/>
      <c r="P76" s="169"/>
      <c r="Q76" s="169"/>
      <c r="R76" s="169"/>
      <c r="S76" s="169"/>
      <c r="T76" s="169"/>
      <c r="U76" s="169"/>
      <c r="V76" s="169"/>
      <c r="W76" s="169"/>
      <c r="X76" s="169"/>
      <c r="Y76" s="169"/>
      <c r="Z76" s="169"/>
      <c r="AA76" s="169"/>
      <c r="AB76" s="169"/>
      <c r="AC76" s="169"/>
      <c r="AD76" s="169"/>
      <c r="AE76" s="169"/>
      <c r="AF76" s="169"/>
      <c r="AG76" s="169"/>
    </row>
    <row r="77" spans="1:33" x14ac:dyDescent="0.25">
      <c r="A77" s="219" t="s">
        <v>392</v>
      </c>
      <c r="B77" s="169"/>
      <c r="C77" s="169"/>
      <c r="D77" s="197"/>
      <c r="E77" s="207"/>
      <c r="F77" s="169"/>
      <c r="G77" s="219" t="s">
        <v>392</v>
      </c>
      <c r="H77" s="169"/>
      <c r="I77" s="169"/>
      <c r="J77" s="169"/>
      <c r="K77" s="197"/>
      <c r="L77" s="169"/>
      <c r="M77" s="219" t="s">
        <v>592</v>
      </c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  <c r="Y77" s="169"/>
      <c r="Z77" s="169"/>
      <c r="AA77" s="169"/>
      <c r="AB77" s="169"/>
      <c r="AC77" s="169"/>
      <c r="AD77" s="169"/>
      <c r="AE77" s="169"/>
      <c r="AF77" s="169"/>
      <c r="AG77" s="169"/>
    </row>
    <row r="78" spans="1:33" x14ac:dyDescent="0.25">
      <c r="A78" s="219"/>
      <c r="B78" s="169"/>
      <c r="C78" s="169"/>
      <c r="D78" s="197"/>
      <c r="E78" s="207"/>
      <c r="F78" s="169"/>
      <c r="G78" s="219"/>
      <c r="H78" s="169"/>
      <c r="I78" s="169"/>
      <c r="J78" s="169"/>
      <c r="K78" s="197"/>
      <c r="L78" s="169"/>
      <c r="M78" s="219"/>
      <c r="N78" s="169"/>
      <c r="O78" s="169"/>
      <c r="P78" s="169"/>
      <c r="Q78" s="169"/>
      <c r="R78" s="169"/>
      <c r="S78" s="169"/>
      <c r="T78" s="169"/>
      <c r="U78" s="169"/>
      <c r="V78" s="169"/>
      <c r="W78" s="169"/>
      <c r="X78" s="169"/>
      <c r="Y78" s="169"/>
      <c r="Z78" s="169"/>
      <c r="AA78" s="169"/>
      <c r="AB78" s="169"/>
      <c r="AC78" s="169"/>
      <c r="AD78" s="169"/>
      <c r="AE78" s="169"/>
      <c r="AF78" s="169"/>
      <c r="AG78" s="169"/>
    </row>
    <row r="79" spans="1:33" ht="13" x14ac:dyDescent="0.3">
      <c r="A79" s="219" t="s">
        <v>393</v>
      </c>
      <c r="B79" s="169"/>
      <c r="C79" s="169"/>
      <c r="D79" s="197"/>
      <c r="E79" s="207"/>
      <c r="F79" s="169"/>
      <c r="G79" s="219" t="s">
        <v>393</v>
      </c>
      <c r="H79" s="169"/>
      <c r="I79" s="169"/>
      <c r="J79" s="169"/>
      <c r="K79" s="197"/>
      <c r="L79" s="169"/>
      <c r="M79" s="219" t="s">
        <v>593</v>
      </c>
      <c r="N79" s="169"/>
      <c r="O79" s="169"/>
      <c r="P79" s="169"/>
      <c r="Q79" s="169"/>
      <c r="R79" s="169"/>
      <c r="S79" s="220"/>
      <c r="T79" s="169"/>
      <c r="U79" s="169"/>
      <c r="V79" s="169"/>
      <c r="W79" s="169"/>
      <c r="X79" s="169"/>
      <c r="Y79" s="169"/>
      <c r="Z79" s="169"/>
      <c r="AA79" s="169"/>
      <c r="AB79" s="169"/>
      <c r="AC79" s="169"/>
      <c r="AD79" s="169"/>
      <c r="AE79" s="169"/>
      <c r="AF79" s="169"/>
      <c r="AG79" s="169"/>
    </row>
    <row r="80" spans="1:33" x14ac:dyDescent="0.25">
      <c r="A80" s="219"/>
      <c r="B80" s="169"/>
      <c r="C80" s="169"/>
      <c r="D80" s="197"/>
      <c r="E80" s="207"/>
      <c r="F80" s="169"/>
      <c r="G80" s="219"/>
      <c r="H80" s="169"/>
      <c r="I80" s="169"/>
      <c r="J80" s="169"/>
      <c r="K80" s="197"/>
      <c r="L80" s="169"/>
      <c r="M80" s="219"/>
      <c r="N80" s="169"/>
      <c r="O80" s="169"/>
      <c r="P80" s="169"/>
      <c r="Q80" s="169"/>
      <c r="R80" s="169"/>
      <c r="S80" s="169"/>
      <c r="T80" s="169"/>
      <c r="U80" s="169"/>
      <c r="V80" s="169"/>
      <c r="W80" s="169"/>
      <c r="X80" s="169"/>
      <c r="Y80" s="169"/>
      <c r="Z80" s="169"/>
      <c r="AA80" s="169"/>
      <c r="AB80" s="169"/>
      <c r="AC80" s="169"/>
      <c r="AD80" s="169"/>
      <c r="AE80" s="169"/>
      <c r="AF80" s="169"/>
      <c r="AG80" s="169"/>
    </row>
    <row r="81" spans="1:33" x14ac:dyDescent="0.25">
      <c r="A81" s="219" t="s">
        <v>394</v>
      </c>
      <c r="B81" s="169"/>
      <c r="C81" s="169"/>
      <c r="D81" s="197"/>
      <c r="E81" s="207"/>
      <c r="F81" s="169"/>
      <c r="G81" s="219" t="s">
        <v>394</v>
      </c>
      <c r="H81" s="169"/>
      <c r="I81" s="169"/>
      <c r="J81" s="169"/>
      <c r="K81" s="197"/>
      <c r="L81" s="169"/>
      <c r="M81" s="219" t="s">
        <v>594</v>
      </c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  <c r="AA81" s="169"/>
      <c r="AB81" s="169"/>
      <c r="AC81" s="169"/>
      <c r="AD81" s="169"/>
      <c r="AE81" s="169"/>
      <c r="AF81" s="169"/>
      <c r="AG81" s="169"/>
    </row>
    <row r="82" spans="1:33" x14ac:dyDescent="0.25">
      <c r="A82" s="219"/>
      <c r="B82" s="169"/>
      <c r="C82" s="169"/>
      <c r="D82" s="197"/>
      <c r="E82" s="207"/>
      <c r="F82" s="169"/>
      <c r="G82" s="219"/>
      <c r="H82" s="169"/>
      <c r="I82" s="169"/>
      <c r="J82" s="169"/>
      <c r="K82" s="197"/>
      <c r="L82" s="169"/>
      <c r="M82" s="21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</row>
    <row r="83" spans="1:33" x14ac:dyDescent="0.25">
      <c r="A83" s="219" t="s">
        <v>395</v>
      </c>
      <c r="B83" s="169"/>
      <c r="C83" s="169"/>
      <c r="D83" s="197"/>
      <c r="E83" s="207"/>
      <c r="F83" s="169"/>
      <c r="G83" s="219" t="s">
        <v>395</v>
      </c>
      <c r="H83" s="169"/>
      <c r="I83" s="169"/>
      <c r="J83" s="169"/>
      <c r="K83" s="197"/>
      <c r="L83" s="169"/>
      <c r="M83" s="219" t="s">
        <v>254</v>
      </c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</row>
    <row r="84" spans="1:33" x14ac:dyDescent="0.25">
      <c r="A84" s="219"/>
      <c r="B84" s="169"/>
      <c r="C84" s="169"/>
      <c r="D84" s="197"/>
      <c r="E84" s="207"/>
      <c r="F84" s="169"/>
      <c r="G84" s="219"/>
      <c r="H84" s="169"/>
      <c r="I84" s="169"/>
      <c r="J84" s="169"/>
      <c r="K84" s="197"/>
      <c r="L84" s="169"/>
      <c r="M84" s="21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</row>
    <row r="85" spans="1:33" x14ac:dyDescent="0.25">
      <c r="A85" s="219" t="s">
        <v>396</v>
      </c>
      <c r="B85" s="169"/>
      <c r="C85" s="169"/>
      <c r="D85" s="197"/>
      <c r="E85" s="207"/>
      <c r="F85" s="169"/>
      <c r="G85" s="219" t="s">
        <v>396</v>
      </c>
      <c r="H85" s="169"/>
      <c r="I85" s="169"/>
      <c r="J85" s="169"/>
      <c r="K85" s="197"/>
      <c r="L85" s="169"/>
      <c r="M85" s="219" t="s">
        <v>255</v>
      </c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</row>
    <row r="86" spans="1:33" x14ac:dyDescent="0.25">
      <c r="A86" s="219"/>
      <c r="B86" s="169"/>
      <c r="C86" s="169"/>
      <c r="D86" s="197"/>
      <c r="E86" s="207"/>
      <c r="F86" s="169"/>
      <c r="G86" s="219"/>
      <c r="H86" s="169"/>
      <c r="I86" s="169"/>
      <c r="J86" s="169"/>
      <c r="K86" s="197"/>
      <c r="L86" s="169"/>
      <c r="M86" s="21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</row>
    <row r="87" spans="1:33" ht="13" x14ac:dyDescent="0.3">
      <c r="A87" s="219" t="s">
        <v>397</v>
      </c>
      <c r="B87" s="169"/>
      <c r="C87" s="169"/>
      <c r="D87" s="197"/>
      <c r="E87" s="207"/>
      <c r="F87" s="169"/>
      <c r="G87" s="219" t="s">
        <v>397</v>
      </c>
      <c r="H87" s="169"/>
      <c r="I87" s="169"/>
      <c r="J87" s="169"/>
      <c r="K87" s="197"/>
      <c r="L87" s="169"/>
      <c r="M87" s="219"/>
      <c r="N87" s="169"/>
      <c r="O87" s="169"/>
      <c r="P87" s="169"/>
      <c r="Q87" s="169"/>
      <c r="R87" s="169"/>
      <c r="S87" s="220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</row>
    <row r="88" spans="1:33" x14ac:dyDescent="0.25">
      <c r="A88" s="219"/>
      <c r="B88" s="169"/>
      <c r="C88" s="169"/>
      <c r="D88" s="197"/>
      <c r="E88" s="207"/>
      <c r="F88" s="169"/>
      <c r="G88" s="219"/>
      <c r="H88" s="169"/>
      <c r="I88" s="169"/>
      <c r="J88" s="169"/>
      <c r="K88" s="197"/>
      <c r="L88" s="169"/>
      <c r="M88" s="21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69"/>
      <c r="AB88" s="169"/>
      <c r="AC88" s="169"/>
      <c r="AD88" s="169"/>
      <c r="AE88" s="169"/>
      <c r="AF88" s="169"/>
      <c r="AG88" s="169"/>
    </row>
    <row r="89" spans="1:33" x14ac:dyDescent="0.25">
      <c r="A89" s="219" t="s">
        <v>398</v>
      </c>
      <c r="B89" s="169"/>
      <c r="C89" s="169"/>
      <c r="D89" s="197"/>
      <c r="E89" s="207"/>
      <c r="F89" s="169"/>
      <c r="G89" s="219" t="s">
        <v>398</v>
      </c>
      <c r="H89" s="169"/>
      <c r="I89" s="169"/>
      <c r="J89" s="169"/>
      <c r="K89" s="197"/>
      <c r="L89" s="169"/>
      <c r="M89" s="21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169"/>
      <c r="AG89" s="169"/>
    </row>
    <row r="90" spans="1:33" x14ac:dyDescent="0.25">
      <c r="A90" s="219"/>
      <c r="B90" s="169"/>
      <c r="C90" s="169"/>
      <c r="D90" s="197"/>
      <c r="E90" s="207"/>
      <c r="F90" s="169"/>
      <c r="G90" s="219"/>
      <c r="H90" s="169"/>
      <c r="I90" s="169"/>
      <c r="J90" s="169"/>
      <c r="K90" s="197"/>
      <c r="L90" s="169"/>
      <c r="M90" s="21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  <c r="AA90" s="169"/>
      <c r="AB90" s="169"/>
      <c r="AC90" s="169"/>
      <c r="AD90" s="169"/>
      <c r="AE90" s="169"/>
      <c r="AF90" s="169"/>
      <c r="AG90" s="169"/>
    </row>
    <row r="91" spans="1:33" x14ac:dyDescent="0.25">
      <c r="A91" s="219" t="s">
        <v>399</v>
      </c>
      <c r="B91" s="169"/>
      <c r="C91" s="169"/>
      <c r="D91" s="197"/>
      <c r="E91" s="207"/>
      <c r="F91" s="169"/>
      <c r="G91" s="219" t="s">
        <v>399</v>
      </c>
      <c r="H91" s="169"/>
      <c r="I91" s="169"/>
      <c r="J91" s="169"/>
      <c r="K91" s="197"/>
      <c r="L91" s="169"/>
      <c r="M91" s="21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</row>
    <row r="92" spans="1:33" x14ac:dyDescent="0.25">
      <c r="A92" s="219"/>
      <c r="B92" s="169"/>
      <c r="C92" s="169"/>
      <c r="D92" s="197"/>
      <c r="E92" s="207"/>
      <c r="F92" s="169"/>
      <c r="G92" s="219"/>
      <c r="H92" s="169"/>
      <c r="I92" s="169"/>
      <c r="J92" s="169"/>
      <c r="K92" s="197"/>
      <c r="L92" s="169"/>
      <c r="M92" s="21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169"/>
      <c r="AG92" s="169"/>
    </row>
    <row r="93" spans="1:33" x14ac:dyDescent="0.25">
      <c r="A93" s="219" t="s">
        <v>400</v>
      </c>
      <c r="B93" s="169"/>
      <c r="C93" s="169"/>
      <c r="D93" s="197"/>
      <c r="E93" s="207"/>
      <c r="F93" s="169"/>
      <c r="G93" s="219" t="s">
        <v>400</v>
      </c>
      <c r="H93" s="169"/>
      <c r="I93" s="169"/>
      <c r="J93" s="169"/>
      <c r="K93" s="197"/>
      <c r="L93" s="169"/>
      <c r="M93" s="21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</row>
    <row r="94" spans="1:33" x14ac:dyDescent="0.25">
      <c r="A94" s="219"/>
      <c r="B94" s="169"/>
      <c r="C94" s="169"/>
      <c r="D94" s="197"/>
      <c r="E94" s="207"/>
      <c r="F94" s="169"/>
      <c r="G94" s="219"/>
      <c r="H94" s="169"/>
      <c r="I94" s="169"/>
      <c r="J94" s="169"/>
      <c r="K94" s="197"/>
      <c r="L94" s="169"/>
      <c r="M94" s="21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</row>
    <row r="95" spans="1:33" ht="13" x14ac:dyDescent="0.3">
      <c r="A95" s="219" t="s">
        <v>401</v>
      </c>
      <c r="B95" s="169"/>
      <c r="C95" s="169"/>
      <c r="D95" s="197"/>
      <c r="E95" s="207"/>
      <c r="F95" s="169"/>
      <c r="G95" s="219" t="s">
        <v>401</v>
      </c>
      <c r="H95" s="169"/>
      <c r="I95" s="169"/>
      <c r="J95" s="169"/>
      <c r="K95" s="197"/>
      <c r="L95" s="169"/>
      <c r="M95" s="219"/>
      <c r="N95" s="169"/>
      <c r="O95" s="169"/>
      <c r="P95" s="169"/>
      <c r="Q95" s="169"/>
      <c r="R95" s="169"/>
      <c r="S95" s="220"/>
      <c r="T95" s="169"/>
      <c r="U95" s="169"/>
      <c r="V95" s="169"/>
      <c r="W95" s="169"/>
      <c r="X95" s="169"/>
      <c r="Y95" s="169"/>
      <c r="Z95" s="169"/>
      <c r="AA95" s="169"/>
      <c r="AB95" s="169"/>
      <c r="AC95" s="169"/>
      <c r="AD95" s="169"/>
      <c r="AE95" s="169"/>
      <c r="AF95" s="169"/>
      <c r="AG95" s="169"/>
    </row>
    <row r="96" spans="1:33" x14ac:dyDescent="0.25">
      <c r="A96" s="219"/>
      <c r="B96" s="169"/>
      <c r="C96" s="169"/>
      <c r="D96" s="197"/>
      <c r="E96" s="207"/>
      <c r="F96" s="169"/>
      <c r="G96" s="219"/>
      <c r="H96" s="169"/>
      <c r="I96" s="169"/>
      <c r="J96" s="169"/>
      <c r="K96" s="197"/>
      <c r="L96" s="169"/>
      <c r="M96" s="219"/>
      <c r="N96" s="169"/>
      <c r="O96" s="169"/>
      <c r="P96" s="169"/>
      <c r="Q96" s="169"/>
      <c r="R96" s="169"/>
      <c r="S96" s="169"/>
      <c r="T96" s="169"/>
      <c r="U96" s="169"/>
      <c r="V96" s="169"/>
      <c r="W96" s="169"/>
      <c r="X96" s="169"/>
      <c r="Y96" s="169"/>
      <c r="Z96" s="169"/>
      <c r="AA96" s="169"/>
      <c r="AB96" s="169"/>
      <c r="AC96" s="169"/>
      <c r="AD96" s="169"/>
      <c r="AE96" s="169"/>
      <c r="AF96" s="169"/>
      <c r="AG96" s="169"/>
    </row>
    <row r="97" spans="1:33" x14ac:dyDescent="0.25">
      <c r="A97" s="219" t="s">
        <v>402</v>
      </c>
      <c r="B97" s="169"/>
      <c r="C97" s="169"/>
      <c r="D97" s="197"/>
      <c r="E97" s="207"/>
      <c r="F97" s="169"/>
      <c r="G97" s="219" t="s">
        <v>402</v>
      </c>
      <c r="H97" s="169"/>
      <c r="I97" s="169"/>
      <c r="J97" s="169"/>
      <c r="K97" s="197"/>
      <c r="L97" s="169"/>
      <c r="M97" s="219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  <c r="AA97" s="169"/>
      <c r="AB97" s="169"/>
      <c r="AC97" s="169"/>
      <c r="AD97" s="169"/>
      <c r="AE97" s="169"/>
      <c r="AF97" s="169"/>
      <c r="AG97" s="169"/>
    </row>
    <row r="98" spans="1:33" x14ac:dyDescent="0.25">
      <c r="A98" s="219"/>
      <c r="B98" s="169"/>
      <c r="C98" s="169"/>
      <c r="D98" s="197"/>
      <c r="E98" s="207"/>
      <c r="F98" s="169"/>
      <c r="G98" s="219"/>
      <c r="H98" s="169"/>
      <c r="I98" s="169"/>
      <c r="J98" s="169"/>
      <c r="K98" s="197"/>
      <c r="L98" s="169"/>
      <c r="M98" s="21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  <c r="AA98" s="169"/>
      <c r="AB98" s="169"/>
      <c r="AC98" s="169"/>
      <c r="AD98" s="169"/>
      <c r="AE98" s="169"/>
      <c r="AF98" s="169"/>
      <c r="AG98" s="169"/>
    </row>
    <row r="99" spans="1:33" x14ac:dyDescent="0.25">
      <c r="A99" s="219"/>
      <c r="B99" s="169"/>
      <c r="C99" s="169"/>
      <c r="D99" s="197"/>
      <c r="E99" s="207"/>
      <c r="F99" s="169"/>
      <c r="G99" s="219"/>
      <c r="H99" s="169"/>
      <c r="I99" s="169"/>
      <c r="J99" s="169"/>
      <c r="K99" s="197"/>
      <c r="L99" s="169"/>
      <c r="M99" s="21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  <c r="AA99" s="169"/>
      <c r="AB99" s="169"/>
      <c r="AC99" s="169"/>
      <c r="AD99" s="169"/>
      <c r="AE99" s="169"/>
      <c r="AF99" s="169"/>
      <c r="AG99" s="169"/>
    </row>
    <row r="100" spans="1:33" x14ac:dyDescent="0.25">
      <c r="A100" s="219"/>
      <c r="B100" s="169"/>
      <c r="C100" s="169"/>
      <c r="D100" s="197"/>
      <c r="E100" s="207"/>
      <c r="F100" s="169"/>
      <c r="G100" s="219"/>
      <c r="H100" s="169"/>
      <c r="I100" s="169"/>
      <c r="J100" s="169"/>
      <c r="K100" s="197"/>
      <c r="L100" s="169"/>
      <c r="M100" s="219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69"/>
      <c r="Y100" s="169"/>
      <c r="Z100" s="169"/>
      <c r="AA100" s="169"/>
      <c r="AB100" s="169"/>
      <c r="AC100" s="169"/>
      <c r="AD100" s="169"/>
      <c r="AE100" s="169"/>
      <c r="AF100" s="169"/>
      <c r="AG100" s="169"/>
    </row>
    <row r="101" spans="1:33" x14ac:dyDescent="0.25">
      <c r="A101" s="219" t="s">
        <v>254</v>
      </c>
      <c r="B101" s="169"/>
      <c r="C101" s="169"/>
      <c r="D101" s="197"/>
      <c r="E101" s="207"/>
      <c r="F101" s="169"/>
      <c r="G101" s="219" t="s">
        <v>254</v>
      </c>
      <c r="H101" s="169"/>
      <c r="I101" s="169"/>
      <c r="J101" s="169"/>
      <c r="K101" s="197"/>
      <c r="L101" s="169"/>
      <c r="M101" s="219"/>
      <c r="N101" s="169"/>
      <c r="O101" s="169"/>
      <c r="P101" s="169"/>
      <c r="Q101" s="169"/>
      <c r="R101" s="169"/>
      <c r="S101" s="169"/>
      <c r="T101" s="169"/>
      <c r="U101" s="169"/>
      <c r="V101" s="169"/>
      <c r="W101" s="169"/>
      <c r="X101" s="169"/>
      <c r="Y101" s="169"/>
      <c r="Z101" s="169"/>
      <c r="AA101" s="169"/>
      <c r="AB101" s="169"/>
      <c r="AC101" s="169"/>
      <c r="AD101" s="169"/>
      <c r="AE101" s="169"/>
      <c r="AF101" s="169"/>
      <c r="AG101" s="169"/>
    </row>
    <row r="102" spans="1:33" x14ac:dyDescent="0.25">
      <c r="A102" s="169"/>
      <c r="B102" s="169"/>
      <c r="C102" s="169"/>
      <c r="D102" s="197"/>
      <c r="E102" s="207"/>
      <c r="F102" s="169"/>
      <c r="G102" s="219" t="s">
        <v>255</v>
      </c>
      <c r="H102" s="169"/>
      <c r="I102" s="169"/>
      <c r="J102" s="169"/>
      <c r="K102" s="197"/>
      <c r="L102" s="169"/>
      <c r="M102" s="219"/>
      <c r="N102" s="169"/>
      <c r="O102" s="169"/>
      <c r="P102" s="169"/>
      <c r="Q102" s="169"/>
      <c r="R102" s="169"/>
      <c r="S102" s="169"/>
      <c r="T102" s="169"/>
      <c r="U102" s="169"/>
      <c r="V102" s="169"/>
      <c r="W102" s="169"/>
      <c r="X102" s="169"/>
      <c r="Y102" s="169"/>
      <c r="Z102" s="169"/>
      <c r="AA102" s="169"/>
      <c r="AB102" s="169"/>
      <c r="AC102" s="169"/>
      <c r="AD102" s="169"/>
      <c r="AE102" s="169"/>
      <c r="AF102" s="169"/>
      <c r="AG102" s="169"/>
    </row>
    <row r="103" spans="1:33" ht="13" x14ac:dyDescent="0.3">
      <c r="A103" s="169"/>
      <c r="B103" s="169"/>
      <c r="C103" s="169"/>
      <c r="D103" s="197"/>
      <c r="E103" s="207"/>
      <c r="F103" s="169"/>
      <c r="G103" s="169"/>
      <c r="H103" s="169"/>
      <c r="I103" s="169"/>
      <c r="J103" s="169"/>
      <c r="K103" s="197"/>
      <c r="L103" s="169"/>
      <c r="M103" s="219"/>
      <c r="N103" s="169"/>
      <c r="O103" s="169"/>
      <c r="P103" s="169"/>
      <c r="Q103" s="169"/>
      <c r="R103" s="169"/>
      <c r="S103" s="220"/>
      <c r="T103" s="169"/>
      <c r="U103" s="169"/>
      <c r="V103" s="169"/>
      <c r="W103" s="169"/>
      <c r="X103" s="169"/>
      <c r="Y103" s="169"/>
      <c r="Z103" s="169"/>
      <c r="AA103" s="169"/>
      <c r="AB103" s="169"/>
      <c r="AC103" s="169"/>
      <c r="AD103" s="169"/>
      <c r="AE103" s="169"/>
      <c r="AF103" s="169"/>
      <c r="AG103" s="169"/>
    </row>
    <row r="104" spans="1:33" x14ac:dyDescent="0.25">
      <c r="A104" s="169"/>
      <c r="B104" s="169"/>
      <c r="C104" s="169"/>
      <c r="D104" s="197"/>
      <c r="E104" s="207"/>
      <c r="F104" s="169"/>
      <c r="G104" s="169"/>
      <c r="H104" s="169"/>
      <c r="I104" s="169"/>
      <c r="J104" s="169"/>
      <c r="K104" s="197"/>
      <c r="L104" s="169"/>
      <c r="M104" s="21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</row>
    <row r="105" spans="1:33" s="10" customFormat="1" ht="13" x14ac:dyDescent="0.3">
      <c r="A105" s="221" t="s">
        <v>256</v>
      </c>
      <c r="B105" s="220"/>
      <c r="C105" s="220"/>
      <c r="D105" s="223"/>
      <c r="E105" s="222"/>
      <c r="F105" s="220"/>
      <c r="G105" s="221" t="s">
        <v>256</v>
      </c>
      <c r="H105" s="220"/>
      <c r="I105" s="220"/>
      <c r="J105" s="220"/>
      <c r="K105" s="223"/>
      <c r="L105" s="220"/>
      <c r="M105" s="221" t="s">
        <v>256</v>
      </c>
      <c r="N105" s="220"/>
      <c r="O105" s="220"/>
      <c r="P105" s="220"/>
      <c r="Q105" s="220"/>
      <c r="R105" s="220"/>
      <c r="S105" s="169"/>
      <c r="T105" s="220"/>
      <c r="U105" s="220"/>
      <c r="V105" s="220"/>
      <c r="W105" s="220"/>
      <c r="X105" s="220"/>
      <c r="Y105" s="220"/>
      <c r="Z105" s="220"/>
      <c r="AA105" s="220"/>
      <c r="AB105" s="220"/>
      <c r="AC105" s="220"/>
      <c r="AD105" s="220"/>
      <c r="AE105" s="220"/>
      <c r="AF105" s="220"/>
      <c r="AG105" s="220"/>
    </row>
    <row r="106" spans="1:33" x14ac:dyDescent="0.25">
      <c r="A106" s="219" t="s">
        <v>403</v>
      </c>
      <c r="B106" s="169"/>
      <c r="C106" s="169"/>
      <c r="D106" s="197"/>
      <c r="E106" s="207"/>
      <c r="F106" s="169"/>
      <c r="G106" s="219" t="s">
        <v>403</v>
      </c>
      <c r="H106" s="169"/>
      <c r="I106" s="169"/>
      <c r="J106" s="169"/>
      <c r="K106" s="197"/>
      <c r="L106" s="169"/>
      <c r="M106" s="219" t="s">
        <v>403</v>
      </c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9"/>
      <c r="AG106" s="169"/>
    </row>
    <row r="107" spans="1:33" x14ac:dyDescent="0.25">
      <c r="A107" s="219" t="s">
        <v>404</v>
      </c>
      <c r="B107" s="169"/>
      <c r="C107" s="169"/>
      <c r="D107" s="197"/>
      <c r="E107" s="207"/>
      <c r="F107" s="169"/>
      <c r="G107" s="219" t="s">
        <v>404</v>
      </c>
      <c r="H107" s="169"/>
      <c r="I107" s="169"/>
      <c r="J107" s="169"/>
      <c r="K107" s="197"/>
      <c r="L107" s="169"/>
      <c r="M107" s="219" t="s">
        <v>404</v>
      </c>
      <c r="N107" s="169"/>
      <c r="O107" s="169"/>
      <c r="P107" s="169"/>
      <c r="Q107" s="169"/>
      <c r="R107" s="169"/>
      <c r="S107" s="169"/>
      <c r="T107" s="169"/>
      <c r="U107" s="169"/>
      <c r="V107" s="169"/>
      <c r="W107" s="169"/>
      <c r="X107" s="169"/>
      <c r="Y107" s="169"/>
      <c r="Z107" s="169"/>
      <c r="AA107" s="169"/>
      <c r="AB107" s="169"/>
      <c r="AC107" s="169"/>
      <c r="AD107" s="169"/>
      <c r="AE107" s="169"/>
      <c r="AF107" s="169"/>
      <c r="AG107" s="169"/>
    </row>
    <row r="108" spans="1:33" x14ac:dyDescent="0.25">
      <c r="A108" s="219" t="s">
        <v>405</v>
      </c>
      <c r="B108" s="169"/>
      <c r="C108" s="169"/>
      <c r="D108" s="197"/>
      <c r="E108" s="207"/>
      <c r="F108" s="169"/>
      <c r="G108" s="219" t="s">
        <v>405</v>
      </c>
      <c r="H108" s="169"/>
      <c r="I108" s="169"/>
      <c r="J108" s="169"/>
      <c r="K108" s="197"/>
      <c r="L108" s="169"/>
      <c r="M108" s="219" t="s">
        <v>595</v>
      </c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69"/>
      <c r="AG108" s="169"/>
    </row>
    <row r="109" spans="1:33" x14ac:dyDescent="0.25">
      <c r="A109" s="219" t="s">
        <v>278</v>
      </c>
      <c r="B109" s="169"/>
      <c r="C109" s="169"/>
      <c r="D109" s="197"/>
      <c r="E109" s="207"/>
      <c r="F109" s="169"/>
      <c r="G109" s="219" t="s">
        <v>278</v>
      </c>
      <c r="H109" s="169"/>
      <c r="I109" s="169"/>
      <c r="J109" s="169"/>
      <c r="K109" s="197"/>
      <c r="L109" s="169"/>
      <c r="M109" s="219" t="s">
        <v>278</v>
      </c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69"/>
      <c r="Y109" s="169"/>
      <c r="Z109" s="169"/>
      <c r="AA109" s="169"/>
      <c r="AB109" s="169"/>
      <c r="AC109" s="169"/>
      <c r="AD109" s="169"/>
      <c r="AE109" s="169"/>
      <c r="AF109" s="169"/>
      <c r="AG109" s="169"/>
    </row>
    <row r="110" spans="1:33" x14ac:dyDescent="0.25">
      <c r="A110" s="219" t="s">
        <v>406</v>
      </c>
      <c r="B110" s="169"/>
      <c r="C110" s="169"/>
      <c r="D110" s="197"/>
      <c r="E110" s="207"/>
      <c r="F110" s="169"/>
      <c r="G110" s="219" t="s">
        <v>529</v>
      </c>
      <c r="H110" s="169"/>
      <c r="I110" s="169"/>
      <c r="J110" s="169"/>
      <c r="K110" s="197"/>
      <c r="L110" s="169"/>
      <c r="M110" s="219" t="s">
        <v>596</v>
      </c>
      <c r="N110" s="169"/>
      <c r="O110" s="169"/>
      <c r="P110" s="169"/>
      <c r="Q110" s="169"/>
      <c r="R110" s="169"/>
      <c r="S110" s="169"/>
      <c r="T110" s="169"/>
      <c r="U110" s="169"/>
      <c r="V110" s="169"/>
      <c r="W110" s="169"/>
      <c r="X110" s="169"/>
      <c r="Y110" s="169"/>
      <c r="Z110" s="169"/>
      <c r="AA110" s="169"/>
      <c r="AB110" s="169"/>
      <c r="AC110" s="169"/>
      <c r="AD110" s="169"/>
      <c r="AE110" s="169"/>
      <c r="AF110" s="169"/>
      <c r="AG110" s="169"/>
    </row>
    <row r="111" spans="1:33" ht="13" x14ac:dyDescent="0.3">
      <c r="A111" s="219" t="s">
        <v>407</v>
      </c>
      <c r="B111" s="169"/>
      <c r="C111" s="169"/>
      <c r="D111" s="197"/>
      <c r="E111" s="207"/>
      <c r="F111" s="169"/>
      <c r="G111" s="219" t="s">
        <v>530</v>
      </c>
      <c r="H111" s="169"/>
      <c r="I111" s="169"/>
      <c r="J111" s="169"/>
      <c r="K111" s="197"/>
      <c r="L111" s="169"/>
      <c r="M111" s="219" t="s">
        <v>597</v>
      </c>
      <c r="N111" s="169"/>
      <c r="O111" s="169"/>
      <c r="P111" s="169"/>
      <c r="Q111" s="169"/>
      <c r="R111" s="169"/>
      <c r="S111" s="220"/>
      <c r="T111" s="169"/>
      <c r="U111" s="169"/>
      <c r="V111" s="169"/>
      <c r="W111" s="169"/>
      <c r="X111" s="169"/>
      <c r="Y111" s="169"/>
      <c r="Z111" s="169"/>
      <c r="AA111" s="169"/>
      <c r="AB111" s="169"/>
      <c r="AC111" s="169"/>
      <c r="AD111" s="169"/>
      <c r="AE111" s="169"/>
      <c r="AF111" s="169"/>
      <c r="AG111" s="169"/>
    </row>
    <row r="112" spans="1:33" x14ac:dyDescent="0.25">
      <c r="A112" s="219"/>
      <c r="B112" s="169"/>
      <c r="C112" s="169"/>
      <c r="D112" s="197"/>
      <c r="E112" s="207"/>
      <c r="F112" s="169"/>
      <c r="G112" s="219"/>
      <c r="H112" s="169"/>
      <c r="I112" s="169"/>
      <c r="J112" s="169"/>
      <c r="K112" s="197"/>
      <c r="L112" s="169"/>
      <c r="M112" s="219"/>
      <c r="N112" s="169"/>
      <c r="O112" s="169"/>
      <c r="P112" s="169"/>
      <c r="Q112" s="169"/>
      <c r="R112" s="169"/>
      <c r="S112" s="169"/>
      <c r="T112" s="169"/>
      <c r="U112" s="169"/>
      <c r="V112" s="169"/>
      <c r="W112" s="169"/>
      <c r="X112" s="169"/>
      <c r="Y112" s="169"/>
      <c r="Z112" s="169"/>
      <c r="AA112" s="169"/>
      <c r="AB112" s="169"/>
      <c r="AC112" s="169"/>
      <c r="AD112" s="169"/>
      <c r="AE112" s="169"/>
      <c r="AF112" s="169"/>
      <c r="AG112" s="169"/>
    </row>
    <row r="113" spans="1:33" s="10" customFormat="1" ht="13" x14ac:dyDescent="0.3">
      <c r="A113" s="221" t="s">
        <v>257</v>
      </c>
      <c r="B113" s="220"/>
      <c r="C113" s="220"/>
      <c r="D113" s="223"/>
      <c r="E113" s="222"/>
      <c r="F113" s="220"/>
      <c r="G113" s="221" t="s">
        <v>257</v>
      </c>
      <c r="H113" s="220"/>
      <c r="I113" s="220"/>
      <c r="J113" s="220"/>
      <c r="K113" s="223"/>
      <c r="L113" s="220"/>
      <c r="M113" s="221" t="s">
        <v>257</v>
      </c>
      <c r="N113" s="220"/>
      <c r="O113" s="220"/>
      <c r="P113" s="220"/>
      <c r="Q113" s="220"/>
      <c r="R113" s="220"/>
      <c r="S113" s="169"/>
      <c r="T113" s="220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</row>
    <row r="114" spans="1:33" x14ac:dyDescent="0.25">
      <c r="A114" s="219" t="s">
        <v>408</v>
      </c>
      <c r="B114" s="169"/>
      <c r="C114" s="169"/>
      <c r="D114" s="197"/>
      <c r="E114" s="207"/>
      <c r="F114" s="169"/>
      <c r="G114" s="219" t="s">
        <v>408</v>
      </c>
      <c r="H114" s="169"/>
      <c r="I114" s="169"/>
      <c r="J114" s="169"/>
      <c r="K114" s="197"/>
      <c r="L114" s="169"/>
      <c r="M114" s="219" t="s">
        <v>598</v>
      </c>
      <c r="N114" s="169"/>
      <c r="O114" s="169"/>
      <c r="P114" s="169"/>
      <c r="Q114" s="169"/>
      <c r="R114" s="169"/>
      <c r="S114" s="169"/>
      <c r="T114" s="169"/>
      <c r="U114" s="169"/>
      <c r="V114" s="169"/>
      <c r="W114" s="169"/>
      <c r="X114" s="169"/>
      <c r="Y114" s="169"/>
      <c r="Z114" s="169"/>
      <c r="AA114" s="169"/>
      <c r="AB114" s="169"/>
      <c r="AC114" s="169"/>
      <c r="AD114" s="169"/>
      <c r="AE114" s="169"/>
      <c r="AF114" s="169"/>
      <c r="AG114" s="169"/>
    </row>
    <row r="115" spans="1:33" x14ac:dyDescent="0.25">
      <c r="A115" s="219" t="s">
        <v>409</v>
      </c>
      <c r="B115" s="169"/>
      <c r="C115" s="169"/>
      <c r="D115" s="197"/>
      <c r="E115" s="207"/>
      <c r="F115" s="169"/>
      <c r="G115" s="219" t="s">
        <v>409</v>
      </c>
      <c r="H115" s="169"/>
      <c r="I115" s="169"/>
      <c r="J115" s="169"/>
      <c r="K115" s="197"/>
      <c r="L115" s="169"/>
      <c r="M115" s="219" t="s">
        <v>599</v>
      </c>
      <c r="N115" s="169"/>
      <c r="O115" s="169"/>
      <c r="P115" s="169"/>
      <c r="Q115" s="169"/>
      <c r="R115" s="169"/>
      <c r="S115" s="169"/>
      <c r="T115" s="169"/>
      <c r="U115" s="169"/>
      <c r="V115" s="169"/>
      <c r="W115" s="169"/>
      <c r="X115" s="169"/>
      <c r="Y115" s="169"/>
      <c r="Z115" s="169"/>
      <c r="AA115" s="169"/>
      <c r="AB115" s="169"/>
      <c r="AC115" s="169"/>
      <c r="AD115" s="169"/>
      <c r="AE115" s="169"/>
      <c r="AF115" s="169"/>
      <c r="AG115" s="169"/>
    </row>
    <row r="116" spans="1:33" x14ac:dyDescent="0.25">
      <c r="A116" s="219" t="s">
        <v>410</v>
      </c>
      <c r="B116" s="169"/>
      <c r="C116" s="169"/>
      <c r="D116" s="197"/>
      <c r="E116" s="207"/>
      <c r="F116" s="169"/>
      <c r="G116" s="219" t="s">
        <v>410</v>
      </c>
      <c r="H116" s="169"/>
      <c r="I116" s="169"/>
      <c r="J116" s="169"/>
      <c r="K116" s="197"/>
      <c r="L116" s="169"/>
      <c r="M116" s="219" t="s">
        <v>600</v>
      </c>
      <c r="N116" s="169"/>
      <c r="O116" s="169"/>
      <c r="P116" s="169"/>
      <c r="Q116" s="169"/>
      <c r="R116" s="169"/>
      <c r="S116" s="169"/>
      <c r="T116" s="169"/>
      <c r="U116" s="169"/>
      <c r="V116" s="169"/>
      <c r="W116" s="169"/>
      <c r="X116" s="169"/>
      <c r="Y116" s="169"/>
      <c r="Z116" s="169"/>
      <c r="AA116" s="169"/>
      <c r="AB116" s="169"/>
      <c r="AC116" s="169"/>
      <c r="AD116" s="169"/>
      <c r="AE116" s="169"/>
      <c r="AF116" s="169"/>
      <c r="AG116" s="169"/>
    </row>
    <row r="117" spans="1:33" x14ac:dyDescent="0.25">
      <c r="A117" s="219" t="s">
        <v>278</v>
      </c>
      <c r="B117" s="169"/>
      <c r="C117" s="169"/>
      <c r="D117" s="197"/>
      <c r="E117" s="207"/>
      <c r="F117" s="169"/>
      <c r="G117" s="219" t="s">
        <v>278</v>
      </c>
      <c r="H117" s="169"/>
      <c r="I117" s="169"/>
      <c r="J117" s="169"/>
      <c r="K117" s="197"/>
      <c r="L117" s="169"/>
      <c r="M117" s="219" t="s">
        <v>278</v>
      </c>
      <c r="N117" s="169"/>
      <c r="O117" s="169"/>
      <c r="P117" s="169"/>
      <c r="Q117" s="169"/>
      <c r="R117" s="169"/>
      <c r="S117" s="169"/>
      <c r="T117" s="169"/>
      <c r="U117" s="169"/>
      <c r="V117" s="169"/>
      <c r="W117" s="169"/>
      <c r="X117" s="169"/>
      <c r="Y117" s="169"/>
      <c r="Z117" s="169"/>
      <c r="AA117" s="169"/>
      <c r="AB117" s="169"/>
      <c r="AC117" s="169"/>
      <c r="AD117" s="169"/>
      <c r="AE117" s="169"/>
      <c r="AF117" s="169"/>
      <c r="AG117" s="169"/>
    </row>
    <row r="118" spans="1:33" x14ac:dyDescent="0.25">
      <c r="A118" s="219" t="s">
        <v>411</v>
      </c>
      <c r="B118" s="169"/>
      <c r="C118" s="169"/>
      <c r="D118" s="197"/>
      <c r="E118" s="207"/>
      <c r="F118" s="169"/>
      <c r="G118" s="219" t="s">
        <v>531</v>
      </c>
      <c r="H118" s="169"/>
      <c r="I118" s="169"/>
      <c r="J118" s="169"/>
      <c r="K118" s="197"/>
      <c r="L118" s="169"/>
      <c r="M118" s="219" t="s">
        <v>601</v>
      </c>
      <c r="N118" s="169"/>
      <c r="O118" s="169"/>
      <c r="P118" s="169"/>
      <c r="Q118" s="169"/>
      <c r="R118" s="169"/>
      <c r="S118" s="169"/>
      <c r="T118" s="169"/>
      <c r="U118" s="169"/>
      <c r="V118" s="169"/>
      <c r="W118" s="169"/>
      <c r="X118" s="169"/>
      <c r="Y118" s="169"/>
      <c r="Z118" s="169"/>
      <c r="AA118" s="169"/>
      <c r="AB118" s="169"/>
      <c r="AC118" s="169"/>
      <c r="AD118" s="169"/>
      <c r="AE118" s="169"/>
      <c r="AF118" s="169"/>
      <c r="AG118" s="169"/>
    </row>
    <row r="119" spans="1:33" ht="13" x14ac:dyDescent="0.3">
      <c r="A119" s="219" t="s">
        <v>412</v>
      </c>
      <c r="B119" s="169"/>
      <c r="C119" s="169"/>
      <c r="D119" s="197"/>
      <c r="E119" s="207"/>
      <c r="F119" s="169"/>
      <c r="G119" s="219" t="s">
        <v>532</v>
      </c>
      <c r="H119" s="169"/>
      <c r="I119" s="169"/>
      <c r="J119" s="169"/>
      <c r="K119" s="197"/>
      <c r="L119" s="169"/>
      <c r="M119" s="219" t="s">
        <v>602</v>
      </c>
      <c r="N119" s="169"/>
      <c r="O119" s="169"/>
      <c r="P119" s="169"/>
      <c r="Q119" s="169"/>
      <c r="R119" s="169"/>
      <c r="S119" s="220"/>
      <c r="T119" s="169"/>
      <c r="U119" s="169"/>
      <c r="V119" s="169"/>
      <c r="W119" s="169"/>
      <c r="X119" s="169"/>
      <c r="Y119" s="169"/>
      <c r="Z119" s="169"/>
      <c r="AA119" s="169"/>
      <c r="AB119" s="169"/>
      <c r="AC119" s="169"/>
      <c r="AD119" s="169"/>
      <c r="AE119" s="169"/>
      <c r="AF119" s="169"/>
      <c r="AG119" s="169"/>
    </row>
    <row r="120" spans="1:33" x14ac:dyDescent="0.25">
      <c r="A120" s="219"/>
      <c r="B120" s="169"/>
      <c r="C120" s="169"/>
      <c r="D120" s="197"/>
      <c r="E120" s="207"/>
      <c r="F120" s="169"/>
      <c r="G120" s="219"/>
      <c r="H120" s="169"/>
      <c r="I120" s="169"/>
      <c r="J120" s="169"/>
      <c r="K120" s="197"/>
      <c r="L120" s="169"/>
      <c r="M120" s="219"/>
      <c r="N120" s="169"/>
      <c r="O120" s="169"/>
      <c r="P120" s="169"/>
      <c r="Q120" s="169"/>
      <c r="R120" s="169"/>
      <c r="S120" s="169"/>
      <c r="T120" s="169"/>
      <c r="U120" s="169"/>
      <c r="V120" s="169"/>
      <c r="W120" s="169"/>
      <c r="X120" s="169"/>
      <c r="Y120" s="169"/>
      <c r="Z120" s="169"/>
      <c r="AA120" s="169"/>
      <c r="AB120" s="169"/>
      <c r="AC120" s="169"/>
      <c r="AD120" s="169"/>
      <c r="AE120" s="169"/>
      <c r="AF120" s="169"/>
      <c r="AG120" s="169"/>
    </row>
    <row r="121" spans="1:33" s="10" customFormat="1" ht="13" x14ac:dyDescent="0.3">
      <c r="A121" s="221" t="s">
        <v>258</v>
      </c>
      <c r="B121" s="220"/>
      <c r="C121" s="220"/>
      <c r="D121" s="223"/>
      <c r="E121" s="222"/>
      <c r="F121" s="220"/>
      <c r="G121" s="221" t="s">
        <v>258</v>
      </c>
      <c r="H121" s="220"/>
      <c r="I121" s="220"/>
      <c r="J121" s="220"/>
      <c r="K121" s="223"/>
      <c r="L121" s="220"/>
      <c r="M121" s="221" t="s">
        <v>258</v>
      </c>
      <c r="N121" s="220"/>
      <c r="O121" s="220"/>
      <c r="P121" s="220"/>
      <c r="Q121" s="220"/>
      <c r="R121" s="220"/>
      <c r="S121" s="169"/>
      <c r="T121" s="220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</row>
    <row r="122" spans="1:33" x14ac:dyDescent="0.25">
      <c r="A122" s="219" t="s">
        <v>413</v>
      </c>
      <c r="B122" s="169"/>
      <c r="C122" s="169"/>
      <c r="D122" s="197"/>
      <c r="E122" s="207"/>
      <c r="F122" s="169"/>
      <c r="G122" s="219" t="s">
        <v>413</v>
      </c>
      <c r="H122" s="169"/>
      <c r="I122" s="169"/>
      <c r="J122" s="169"/>
      <c r="K122" s="197"/>
      <c r="L122" s="169"/>
      <c r="M122" s="219" t="s">
        <v>603</v>
      </c>
      <c r="N122" s="169"/>
      <c r="O122" s="169"/>
      <c r="P122" s="169"/>
      <c r="Q122" s="169"/>
      <c r="R122" s="169"/>
      <c r="S122" s="169"/>
      <c r="T122" s="169"/>
      <c r="U122" s="169"/>
      <c r="V122" s="169"/>
      <c r="W122" s="169"/>
      <c r="X122" s="169"/>
      <c r="Y122" s="169"/>
      <c r="Z122" s="169"/>
      <c r="AA122" s="169"/>
      <c r="AB122" s="169"/>
      <c r="AC122" s="169"/>
      <c r="AD122" s="169"/>
      <c r="AE122" s="169"/>
      <c r="AF122" s="169"/>
      <c r="AG122" s="169"/>
    </row>
    <row r="123" spans="1:33" x14ac:dyDescent="0.25">
      <c r="A123" s="219" t="s">
        <v>414</v>
      </c>
      <c r="B123" s="169"/>
      <c r="C123" s="169"/>
      <c r="D123" s="197"/>
      <c r="E123" s="207"/>
      <c r="F123" s="169"/>
      <c r="G123" s="219" t="s">
        <v>414</v>
      </c>
      <c r="H123" s="169"/>
      <c r="I123" s="169"/>
      <c r="J123" s="169"/>
      <c r="K123" s="197"/>
      <c r="L123" s="169"/>
      <c r="M123" s="219" t="s">
        <v>604</v>
      </c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  <c r="AA123" s="169"/>
      <c r="AB123" s="169"/>
      <c r="AC123" s="169"/>
      <c r="AD123" s="169"/>
      <c r="AE123" s="169"/>
      <c r="AF123" s="169"/>
      <c r="AG123" s="169"/>
    </row>
    <row r="124" spans="1:33" x14ac:dyDescent="0.25">
      <c r="A124" s="219" t="s">
        <v>415</v>
      </c>
      <c r="B124" s="169"/>
      <c r="C124" s="169"/>
      <c r="D124" s="197"/>
      <c r="E124" s="207"/>
      <c r="F124" s="169"/>
      <c r="G124" s="219" t="s">
        <v>415</v>
      </c>
      <c r="H124" s="169"/>
      <c r="I124" s="169"/>
      <c r="J124" s="169"/>
      <c r="K124" s="197"/>
      <c r="L124" s="169"/>
      <c r="M124" s="219" t="s">
        <v>605</v>
      </c>
      <c r="N124" s="169"/>
      <c r="O124" s="169"/>
      <c r="P124" s="169"/>
      <c r="Q124" s="169"/>
      <c r="R124" s="169"/>
      <c r="S124" s="169"/>
      <c r="T124" s="169"/>
      <c r="U124" s="169"/>
      <c r="V124" s="169"/>
      <c r="W124" s="169"/>
      <c r="X124" s="169"/>
      <c r="Y124" s="169"/>
      <c r="Z124" s="169"/>
      <c r="AA124" s="169"/>
      <c r="AB124" s="169"/>
      <c r="AC124" s="169"/>
      <c r="AD124" s="169"/>
      <c r="AE124" s="169"/>
      <c r="AF124" s="169"/>
      <c r="AG124" s="169"/>
    </row>
    <row r="125" spans="1:33" x14ac:dyDescent="0.25">
      <c r="A125" s="219" t="s">
        <v>278</v>
      </c>
      <c r="B125" s="169"/>
      <c r="C125" s="169"/>
      <c r="D125" s="197"/>
      <c r="E125" s="207"/>
      <c r="F125" s="169"/>
      <c r="G125" s="219" t="s">
        <v>278</v>
      </c>
      <c r="H125" s="169"/>
      <c r="I125" s="169"/>
      <c r="J125" s="169"/>
      <c r="K125" s="197"/>
      <c r="L125" s="169"/>
      <c r="M125" s="219" t="s">
        <v>278</v>
      </c>
      <c r="N125" s="169"/>
      <c r="O125" s="169"/>
      <c r="P125" s="169"/>
      <c r="Q125" s="169"/>
      <c r="R125" s="169"/>
      <c r="S125" s="169"/>
      <c r="T125" s="169"/>
      <c r="U125" s="169"/>
      <c r="V125" s="169"/>
      <c r="W125" s="169"/>
      <c r="X125" s="169"/>
      <c r="Y125" s="169"/>
      <c r="Z125" s="169"/>
      <c r="AA125" s="169"/>
      <c r="AB125" s="169"/>
      <c r="AC125" s="169"/>
      <c r="AD125" s="169"/>
      <c r="AE125" s="169"/>
      <c r="AF125" s="169"/>
      <c r="AG125" s="169"/>
    </row>
    <row r="126" spans="1:33" x14ac:dyDescent="0.25">
      <c r="A126" s="219" t="s">
        <v>416</v>
      </c>
      <c r="B126" s="169"/>
      <c r="C126" s="169"/>
      <c r="D126" s="197"/>
      <c r="E126" s="207"/>
      <c r="F126" s="169"/>
      <c r="G126" s="219" t="s">
        <v>533</v>
      </c>
      <c r="H126" s="169"/>
      <c r="I126" s="169"/>
      <c r="J126" s="169"/>
      <c r="K126" s="197"/>
      <c r="L126" s="169"/>
      <c r="M126" s="219" t="s">
        <v>606</v>
      </c>
      <c r="N126" s="169"/>
      <c r="O126" s="169"/>
      <c r="P126" s="169"/>
      <c r="Q126" s="169"/>
      <c r="R126" s="169"/>
      <c r="S126" s="169"/>
      <c r="T126" s="169"/>
      <c r="U126" s="169"/>
      <c r="V126" s="169"/>
      <c r="W126" s="169"/>
      <c r="X126" s="169"/>
      <c r="Y126" s="169"/>
      <c r="Z126" s="169"/>
      <c r="AA126" s="169"/>
      <c r="AB126" s="169"/>
      <c r="AC126" s="169"/>
      <c r="AD126" s="169"/>
      <c r="AE126" s="169"/>
      <c r="AF126" s="169"/>
      <c r="AG126" s="169"/>
    </row>
    <row r="127" spans="1:33" ht="13" x14ac:dyDescent="0.3">
      <c r="A127" s="219" t="s">
        <v>417</v>
      </c>
      <c r="B127" s="169"/>
      <c r="C127" s="169"/>
      <c r="D127" s="197"/>
      <c r="E127" s="207"/>
      <c r="F127" s="169"/>
      <c r="G127" s="219" t="s">
        <v>534</v>
      </c>
      <c r="H127" s="169"/>
      <c r="I127" s="169"/>
      <c r="J127" s="169"/>
      <c r="K127" s="197"/>
      <c r="L127" s="169"/>
      <c r="M127" s="219" t="s">
        <v>607</v>
      </c>
      <c r="N127" s="169"/>
      <c r="O127" s="169"/>
      <c r="P127" s="169"/>
      <c r="Q127" s="169"/>
      <c r="R127" s="169"/>
      <c r="S127" s="220"/>
      <c r="T127" s="169"/>
      <c r="U127" s="169"/>
      <c r="V127" s="169"/>
      <c r="W127" s="169"/>
      <c r="X127" s="169"/>
      <c r="Y127" s="169"/>
      <c r="Z127" s="169"/>
      <c r="AA127" s="169"/>
      <c r="AB127" s="169"/>
      <c r="AC127" s="169"/>
      <c r="AD127" s="169"/>
      <c r="AE127" s="169"/>
      <c r="AF127" s="169"/>
      <c r="AG127" s="169"/>
    </row>
    <row r="128" spans="1:33" x14ac:dyDescent="0.25">
      <c r="A128" s="219"/>
      <c r="B128" s="169"/>
      <c r="C128" s="169"/>
      <c r="D128" s="197"/>
      <c r="E128" s="207"/>
      <c r="F128" s="169"/>
      <c r="G128" s="219"/>
      <c r="H128" s="169"/>
      <c r="I128" s="169"/>
      <c r="J128" s="169"/>
      <c r="K128" s="197"/>
      <c r="L128" s="169"/>
      <c r="M128" s="219"/>
      <c r="N128" s="169"/>
      <c r="O128" s="169"/>
      <c r="P128" s="169"/>
      <c r="Q128" s="169"/>
      <c r="R128" s="169"/>
      <c r="S128" s="169"/>
      <c r="T128" s="169"/>
      <c r="U128" s="169"/>
      <c r="V128" s="169"/>
      <c r="W128" s="169"/>
      <c r="X128" s="169"/>
      <c r="Y128" s="169"/>
      <c r="Z128" s="169"/>
      <c r="AA128" s="169"/>
      <c r="AB128" s="169"/>
      <c r="AC128" s="169"/>
      <c r="AD128" s="169"/>
      <c r="AE128" s="169"/>
      <c r="AF128" s="169"/>
      <c r="AG128" s="169"/>
    </row>
    <row r="129" spans="1:33" s="10" customFormat="1" ht="13" x14ac:dyDescent="0.3">
      <c r="A129" s="221" t="s">
        <v>259</v>
      </c>
      <c r="B129" s="220"/>
      <c r="C129" s="220"/>
      <c r="D129" s="223"/>
      <c r="E129" s="222"/>
      <c r="F129" s="220"/>
      <c r="G129" s="221" t="s">
        <v>259</v>
      </c>
      <c r="H129" s="220"/>
      <c r="I129" s="220"/>
      <c r="J129" s="220"/>
      <c r="K129" s="223"/>
      <c r="L129" s="220"/>
      <c r="M129" s="221" t="s">
        <v>259</v>
      </c>
      <c r="N129" s="220"/>
      <c r="O129" s="220"/>
      <c r="P129" s="220"/>
      <c r="Q129" s="220"/>
      <c r="R129" s="220"/>
      <c r="S129" s="169"/>
      <c r="T129" s="220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</row>
    <row r="130" spans="1:33" x14ac:dyDescent="0.25">
      <c r="A130" s="219" t="s">
        <v>418</v>
      </c>
      <c r="B130" s="169"/>
      <c r="C130" s="169"/>
      <c r="D130" s="197"/>
      <c r="E130" s="207"/>
      <c r="F130" s="169"/>
      <c r="G130" s="219" t="s">
        <v>418</v>
      </c>
      <c r="H130" s="169"/>
      <c r="I130" s="169"/>
      <c r="J130" s="169"/>
      <c r="K130" s="197"/>
      <c r="L130" s="169"/>
      <c r="M130" s="219" t="s">
        <v>608</v>
      </c>
      <c r="N130" s="169"/>
      <c r="O130" s="169"/>
      <c r="P130" s="169"/>
      <c r="Q130" s="169"/>
      <c r="R130" s="169"/>
      <c r="S130" s="169"/>
      <c r="T130" s="169"/>
      <c r="U130" s="169"/>
      <c r="V130" s="169"/>
      <c r="W130" s="169"/>
      <c r="X130" s="169"/>
      <c r="Y130" s="169"/>
      <c r="Z130" s="169"/>
      <c r="AA130" s="169"/>
      <c r="AB130" s="169"/>
      <c r="AC130" s="169"/>
      <c r="AD130" s="169"/>
      <c r="AE130" s="169"/>
      <c r="AF130" s="169"/>
      <c r="AG130" s="169"/>
    </row>
    <row r="131" spans="1:33" x14ac:dyDescent="0.25">
      <c r="A131" s="219" t="s">
        <v>419</v>
      </c>
      <c r="B131" s="169"/>
      <c r="C131" s="169"/>
      <c r="D131" s="197"/>
      <c r="E131" s="207"/>
      <c r="F131" s="169"/>
      <c r="G131" s="219" t="s">
        <v>419</v>
      </c>
      <c r="H131" s="169"/>
      <c r="I131" s="169"/>
      <c r="J131" s="169"/>
      <c r="K131" s="197"/>
      <c r="L131" s="169"/>
      <c r="M131" s="219" t="s">
        <v>609</v>
      </c>
      <c r="N131" s="169"/>
      <c r="O131" s="169"/>
      <c r="P131" s="169"/>
      <c r="Q131" s="169"/>
      <c r="R131" s="169"/>
      <c r="S131" s="169"/>
      <c r="T131" s="169"/>
      <c r="U131" s="169"/>
      <c r="V131" s="169"/>
      <c r="W131" s="169"/>
      <c r="X131" s="169"/>
      <c r="Y131" s="169"/>
      <c r="Z131" s="169"/>
      <c r="AA131" s="169"/>
      <c r="AB131" s="169"/>
      <c r="AC131" s="169"/>
      <c r="AD131" s="169"/>
      <c r="AE131" s="169"/>
      <c r="AF131" s="169"/>
      <c r="AG131" s="169"/>
    </row>
    <row r="132" spans="1:33" x14ac:dyDescent="0.25">
      <c r="A132" s="219" t="s">
        <v>420</v>
      </c>
      <c r="B132" s="169"/>
      <c r="C132" s="169"/>
      <c r="D132" s="197"/>
      <c r="E132" s="207"/>
      <c r="F132" s="169"/>
      <c r="G132" s="219" t="s">
        <v>420</v>
      </c>
      <c r="H132" s="169"/>
      <c r="I132" s="169"/>
      <c r="J132" s="169"/>
      <c r="K132" s="197"/>
      <c r="L132" s="169"/>
      <c r="M132" s="219" t="s">
        <v>610</v>
      </c>
      <c r="N132" s="169"/>
      <c r="O132" s="169"/>
      <c r="P132" s="169"/>
      <c r="Q132" s="169"/>
      <c r="R132" s="169"/>
      <c r="S132" s="169"/>
      <c r="T132" s="169"/>
      <c r="U132" s="169"/>
      <c r="V132" s="169"/>
      <c r="W132" s="169"/>
      <c r="X132" s="169"/>
      <c r="Y132" s="169"/>
      <c r="Z132" s="169"/>
      <c r="AA132" s="169"/>
      <c r="AB132" s="169"/>
      <c r="AC132" s="169"/>
      <c r="AD132" s="169"/>
      <c r="AE132" s="169"/>
      <c r="AF132" s="169"/>
      <c r="AG132" s="169"/>
    </row>
    <row r="133" spans="1:33" x14ac:dyDescent="0.25">
      <c r="A133" s="219" t="s">
        <v>278</v>
      </c>
      <c r="B133" s="169"/>
      <c r="C133" s="169"/>
      <c r="D133" s="197"/>
      <c r="E133" s="207"/>
      <c r="F133" s="169"/>
      <c r="G133" s="219" t="s">
        <v>278</v>
      </c>
      <c r="H133" s="169"/>
      <c r="I133" s="169"/>
      <c r="J133" s="169"/>
      <c r="K133" s="197"/>
      <c r="L133" s="169"/>
      <c r="M133" s="219" t="s">
        <v>278</v>
      </c>
      <c r="N133" s="169"/>
      <c r="O133" s="169"/>
      <c r="P133" s="169"/>
      <c r="Q133" s="169"/>
      <c r="R133" s="169"/>
      <c r="S133" s="169"/>
      <c r="T133" s="169"/>
      <c r="U133" s="169"/>
      <c r="V133" s="169"/>
      <c r="W133" s="169"/>
      <c r="X133" s="169"/>
      <c r="Y133" s="169"/>
      <c r="Z133" s="169"/>
      <c r="AA133" s="169"/>
      <c r="AB133" s="169"/>
      <c r="AC133" s="169"/>
      <c r="AD133" s="169"/>
      <c r="AE133" s="169"/>
      <c r="AF133" s="169"/>
      <c r="AG133" s="169"/>
    </row>
    <row r="134" spans="1:33" x14ac:dyDescent="0.25">
      <c r="A134" s="219" t="s">
        <v>421</v>
      </c>
      <c r="B134" s="169"/>
      <c r="C134" s="169"/>
      <c r="D134" s="197"/>
      <c r="E134" s="207"/>
      <c r="F134" s="169"/>
      <c r="G134" s="219" t="s">
        <v>535</v>
      </c>
      <c r="H134" s="169"/>
      <c r="I134" s="169"/>
      <c r="J134" s="169"/>
      <c r="K134" s="197"/>
      <c r="L134" s="169"/>
      <c r="M134" s="219" t="s">
        <v>611</v>
      </c>
      <c r="N134" s="169"/>
      <c r="O134" s="169"/>
      <c r="P134" s="169"/>
      <c r="Q134" s="169"/>
      <c r="R134" s="169"/>
      <c r="S134" s="169"/>
      <c r="T134" s="169"/>
      <c r="U134" s="169"/>
      <c r="V134" s="169"/>
      <c r="W134" s="169"/>
      <c r="X134" s="169"/>
      <c r="Y134" s="169"/>
      <c r="Z134" s="169"/>
      <c r="AA134" s="169"/>
      <c r="AB134" s="169"/>
      <c r="AC134" s="169"/>
      <c r="AD134" s="169"/>
      <c r="AE134" s="169"/>
      <c r="AF134" s="169"/>
      <c r="AG134" s="169"/>
    </row>
    <row r="135" spans="1:33" ht="13" x14ac:dyDescent="0.3">
      <c r="A135" s="219" t="s">
        <v>422</v>
      </c>
      <c r="B135" s="169"/>
      <c r="C135" s="169"/>
      <c r="D135" s="197"/>
      <c r="E135" s="207"/>
      <c r="F135" s="169"/>
      <c r="G135" s="219" t="s">
        <v>536</v>
      </c>
      <c r="H135" s="169"/>
      <c r="I135" s="169"/>
      <c r="J135" s="169"/>
      <c r="K135" s="197"/>
      <c r="L135" s="169"/>
      <c r="M135" s="219" t="s">
        <v>612</v>
      </c>
      <c r="N135" s="169"/>
      <c r="O135" s="169"/>
      <c r="P135" s="169"/>
      <c r="Q135" s="169"/>
      <c r="R135" s="169"/>
      <c r="S135" s="220"/>
      <c r="T135" s="169"/>
      <c r="U135" s="169"/>
      <c r="V135" s="169"/>
      <c r="W135" s="169"/>
      <c r="X135" s="169"/>
      <c r="Y135" s="169"/>
      <c r="Z135" s="169"/>
      <c r="AA135" s="169"/>
      <c r="AB135" s="169"/>
      <c r="AC135" s="169"/>
      <c r="AD135" s="169"/>
      <c r="AE135" s="169"/>
      <c r="AF135" s="169"/>
      <c r="AG135" s="169"/>
    </row>
    <row r="136" spans="1:33" x14ac:dyDescent="0.25">
      <c r="A136" s="219"/>
      <c r="B136" s="169"/>
      <c r="C136" s="169"/>
      <c r="D136" s="197"/>
      <c r="E136" s="207"/>
      <c r="F136" s="169"/>
      <c r="G136" s="219"/>
      <c r="H136" s="169"/>
      <c r="I136" s="169"/>
      <c r="J136" s="169"/>
      <c r="K136" s="197"/>
      <c r="L136" s="169"/>
      <c r="M136" s="219"/>
      <c r="N136" s="169"/>
      <c r="O136" s="169"/>
      <c r="P136" s="169"/>
      <c r="Q136" s="169"/>
      <c r="R136" s="169"/>
      <c r="S136" s="169"/>
      <c r="T136" s="169"/>
      <c r="U136" s="169"/>
      <c r="V136" s="169"/>
      <c r="W136" s="169"/>
      <c r="X136" s="169"/>
      <c r="Y136" s="169"/>
      <c r="Z136" s="169"/>
      <c r="AA136" s="169"/>
      <c r="AB136" s="169"/>
      <c r="AC136" s="169"/>
      <c r="AD136" s="169"/>
      <c r="AE136" s="169"/>
      <c r="AF136" s="169"/>
      <c r="AG136" s="169"/>
    </row>
    <row r="137" spans="1:33" s="10" customFormat="1" ht="13" x14ac:dyDescent="0.3">
      <c r="A137" s="221" t="s">
        <v>260</v>
      </c>
      <c r="B137" s="220"/>
      <c r="C137" s="220"/>
      <c r="D137" s="223"/>
      <c r="E137" s="222"/>
      <c r="F137" s="220"/>
      <c r="G137" s="221" t="s">
        <v>260</v>
      </c>
      <c r="H137" s="220"/>
      <c r="I137" s="220"/>
      <c r="J137" s="220"/>
      <c r="K137" s="223"/>
      <c r="L137" s="220"/>
      <c r="M137" s="221" t="s">
        <v>260</v>
      </c>
      <c r="N137" s="220"/>
      <c r="O137" s="220"/>
      <c r="P137" s="220"/>
      <c r="Q137" s="220"/>
      <c r="R137" s="220"/>
      <c r="S137" s="169"/>
      <c r="T137" s="220"/>
      <c r="U137" s="220"/>
      <c r="V137" s="220"/>
      <c r="W137" s="220"/>
      <c r="X137" s="220"/>
      <c r="Y137" s="220"/>
      <c r="Z137" s="220"/>
      <c r="AA137" s="220"/>
      <c r="AB137" s="220"/>
      <c r="AC137" s="220"/>
      <c r="AD137" s="220"/>
      <c r="AE137" s="220"/>
      <c r="AF137" s="220"/>
      <c r="AG137" s="220"/>
    </row>
    <row r="138" spans="1:33" x14ac:dyDescent="0.25">
      <c r="A138" s="219" t="s">
        <v>423</v>
      </c>
      <c r="B138" s="169"/>
      <c r="C138" s="169"/>
      <c r="D138" s="197"/>
      <c r="E138" s="207"/>
      <c r="F138" s="169"/>
      <c r="G138" s="219" t="s">
        <v>423</v>
      </c>
      <c r="H138" s="169"/>
      <c r="I138" s="169"/>
      <c r="J138" s="169"/>
      <c r="K138" s="197"/>
      <c r="L138" s="169"/>
      <c r="M138" s="219" t="s">
        <v>613</v>
      </c>
      <c r="N138" s="169"/>
      <c r="O138" s="169"/>
      <c r="P138" s="169"/>
      <c r="Q138" s="169"/>
      <c r="R138" s="169"/>
      <c r="S138" s="169"/>
      <c r="T138" s="169"/>
      <c r="U138" s="169"/>
      <c r="V138" s="169"/>
      <c r="W138" s="169"/>
      <c r="X138" s="169"/>
      <c r="Y138" s="169"/>
      <c r="Z138" s="169"/>
      <c r="AA138" s="169"/>
      <c r="AB138" s="169"/>
      <c r="AC138" s="169"/>
      <c r="AD138" s="169"/>
      <c r="AE138" s="169"/>
      <c r="AF138" s="169"/>
      <c r="AG138" s="169"/>
    </row>
    <row r="139" spans="1:33" x14ac:dyDescent="0.25">
      <c r="A139" s="219" t="s">
        <v>424</v>
      </c>
      <c r="B139" s="169"/>
      <c r="C139" s="169"/>
      <c r="D139" s="197"/>
      <c r="E139" s="207"/>
      <c r="F139" s="169"/>
      <c r="G139" s="219" t="s">
        <v>424</v>
      </c>
      <c r="H139" s="169"/>
      <c r="I139" s="169"/>
      <c r="J139" s="169"/>
      <c r="K139" s="197"/>
      <c r="L139" s="169"/>
      <c r="M139" s="219" t="s">
        <v>614</v>
      </c>
      <c r="N139" s="169"/>
      <c r="O139" s="169"/>
      <c r="P139" s="169"/>
      <c r="Q139" s="169"/>
      <c r="R139" s="169"/>
      <c r="S139" s="169"/>
      <c r="T139" s="169"/>
      <c r="U139" s="169"/>
      <c r="V139" s="169"/>
      <c r="W139" s="169"/>
      <c r="X139" s="169"/>
      <c r="Y139" s="169"/>
      <c r="Z139" s="169"/>
      <c r="AA139" s="169"/>
      <c r="AB139" s="169"/>
      <c r="AC139" s="169"/>
      <c r="AD139" s="169"/>
      <c r="AE139" s="169"/>
      <c r="AF139" s="169"/>
      <c r="AG139" s="169"/>
    </row>
    <row r="140" spans="1:33" x14ac:dyDescent="0.25">
      <c r="A140" s="219" t="s">
        <v>425</v>
      </c>
      <c r="B140" s="169"/>
      <c r="C140" s="169"/>
      <c r="D140" s="197"/>
      <c r="E140" s="207"/>
      <c r="F140" s="169"/>
      <c r="G140" s="219" t="s">
        <v>425</v>
      </c>
      <c r="H140" s="169"/>
      <c r="I140" s="169"/>
      <c r="J140" s="169"/>
      <c r="K140" s="197"/>
      <c r="L140" s="169"/>
      <c r="M140" s="219" t="s">
        <v>615</v>
      </c>
      <c r="N140" s="169"/>
      <c r="O140" s="169"/>
      <c r="P140" s="169"/>
      <c r="Q140" s="169"/>
      <c r="R140" s="169"/>
      <c r="S140" s="169"/>
      <c r="T140" s="169"/>
      <c r="U140" s="169"/>
      <c r="V140" s="169"/>
      <c r="W140" s="169"/>
      <c r="X140" s="169"/>
      <c r="Y140" s="169"/>
      <c r="Z140" s="169"/>
      <c r="AA140" s="169"/>
      <c r="AB140" s="169"/>
      <c r="AC140" s="169"/>
      <c r="AD140" s="169"/>
      <c r="AE140" s="169"/>
      <c r="AF140" s="169"/>
      <c r="AG140" s="169"/>
    </row>
    <row r="141" spans="1:33" x14ac:dyDescent="0.25">
      <c r="A141" s="219" t="s">
        <v>278</v>
      </c>
      <c r="B141" s="169"/>
      <c r="C141" s="169"/>
      <c r="D141" s="197"/>
      <c r="E141" s="207"/>
      <c r="F141" s="169"/>
      <c r="G141" s="219" t="s">
        <v>278</v>
      </c>
      <c r="H141" s="169"/>
      <c r="I141" s="169"/>
      <c r="J141" s="169"/>
      <c r="K141" s="197"/>
      <c r="L141" s="169"/>
      <c r="M141" s="219" t="s">
        <v>278</v>
      </c>
      <c r="N141" s="169"/>
      <c r="O141" s="169"/>
      <c r="P141" s="169"/>
      <c r="Q141" s="169"/>
      <c r="R141" s="169"/>
      <c r="S141" s="169"/>
      <c r="T141" s="169"/>
      <c r="U141" s="169"/>
      <c r="V141" s="169"/>
      <c r="W141" s="169"/>
      <c r="X141" s="169"/>
      <c r="Y141" s="169"/>
      <c r="Z141" s="169"/>
      <c r="AA141" s="169"/>
      <c r="AB141" s="169"/>
      <c r="AC141" s="169"/>
      <c r="AD141" s="169"/>
      <c r="AE141" s="169"/>
      <c r="AF141" s="169"/>
      <c r="AG141" s="169"/>
    </row>
    <row r="142" spans="1:33" x14ac:dyDescent="0.25">
      <c r="A142" s="219" t="s">
        <v>426</v>
      </c>
      <c r="B142" s="169"/>
      <c r="C142" s="169"/>
      <c r="D142" s="197"/>
      <c r="E142" s="207"/>
      <c r="F142" s="169"/>
      <c r="G142" s="219" t="s">
        <v>537</v>
      </c>
      <c r="H142" s="169"/>
      <c r="I142" s="169"/>
      <c r="J142" s="169"/>
      <c r="K142" s="197"/>
      <c r="L142" s="169"/>
      <c r="M142" s="219" t="s">
        <v>616</v>
      </c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</row>
    <row r="143" spans="1:33" ht="13" x14ac:dyDescent="0.3">
      <c r="A143" s="219" t="s">
        <v>427</v>
      </c>
      <c r="B143" s="169"/>
      <c r="C143" s="169"/>
      <c r="D143" s="197"/>
      <c r="E143" s="207"/>
      <c r="F143" s="169"/>
      <c r="G143" s="219" t="s">
        <v>538</v>
      </c>
      <c r="H143" s="169"/>
      <c r="I143" s="169"/>
      <c r="J143" s="169"/>
      <c r="K143" s="197"/>
      <c r="L143" s="169"/>
      <c r="M143" s="219" t="s">
        <v>617</v>
      </c>
      <c r="N143" s="169"/>
      <c r="O143" s="169"/>
      <c r="P143" s="169"/>
      <c r="Q143" s="169"/>
      <c r="R143" s="169"/>
      <c r="S143" s="220"/>
      <c r="T143" s="169"/>
      <c r="U143" s="169"/>
      <c r="V143" s="169"/>
      <c r="W143" s="169"/>
      <c r="X143" s="169"/>
      <c r="Y143" s="169"/>
      <c r="Z143" s="169"/>
      <c r="AA143" s="169"/>
      <c r="AB143" s="169"/>
      <c r="AC143" s="169"/>
      <c r="AD143" s="169"/>
      <c r="AE143" s="169"/>
      <c r="AF143" s="169"/>
      <c r="AG143" s="169"/>
    </row>
    <row r="144" spans="1:33" x14ac:dyDescent="0.25">
      <c r="A144" s="219"/>
      <c r="B144" s="169"/>
      <c r="C144" s="169"/>
      <c r="D144" s="197"/>
      <c r="E144" s="207"/>
      <c r="F144" s="169"/>
      <c r="G144" s="219"/>
      <c r="H144" s="169"/>
      <c r="I144" s="169"/>
      <c r="J144" s="169"/>
      <c r="K144" s="197"/>
      <c r="L144" s="169"/>
      <c r="M144" s="21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</row>
    <row r="145" spans="1:33" s="10" customFormat="1" ht="13" x14ac:dyDescent="0.3">
      <c r="A145" s="221" t="s">
        <v>261</v>
      </c>
      <c r="B145" s="220"/>
      <c r="C145" s="220"/>
      <c r="D145" s="223"/>
      <c r="E145" s="222"/>
      <c r="F145" s="220"/>
      <c r="G145" s="221" t="s">
        <v>261</v>
      </c>
      <c r="H145" s="220"/>
      <c r="I145" s="220"/>
      <c r="J145" s="220"/>
      <c r="K145" s="223"/>
      <c r="L145" s="220"/>
      <c r="M145" s="221" t="s">
        <v>261</v>
      </c>
      <c r="N145" s="220"/>
      <c r="O145" s="220"/>
      <c r="P145" s="220"/>
      <c r="Q145" s="220"/>
      <c r="R145" s="220"/>
      <c r="S145" s="169"/>
      <c r="T145" s="220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</row>
    <row r="146" spans="1:33" x14ac:dyDescent="0.25">
      <c r="A146" s="219" t="s">
        <v>428</v>
      </c>
      <c r="B146" s="169"/>
      <c r="C146" s="169"/>
      <c r="D146" s="197"/>
      <c r="E146" s="207"/>
      <c r="F146" s="169"/>
      <c r="G146" s="219" t="s">
        <v>428</v>
      </c>
      <c r="H146" s="169"/>
      <c r="I146" s="169"/>
      <c r="J146" s="169"/>
      <c r="K146" s="197"/>
      <c r="L146" s="169"/>
      <c r="M146" s="219" t="s">
        <v>618</v>
      </c>
      <c r="N146" s="169"/>
      <c r="O146" s="169"/>
      <c r="P146" s="169"/>
      <c r="Q146" s="169"/>
      <c r="R146" s="169"/>
      <c r="S146" s="169"/>
      <c r="T146" s="169"/>
      <c r="U146" s="169"/>
      <c r="V146" s="169"/>
      <c r="W146" s="169"/>
      <c r="X146" s="169"/>
      <c r="Y146" s="169"/>
      <c r="Z146" s="169"/>
      <c r="AA146" s="169"/>
      <c r="AB146" s="169"/>
      <c r="AC146" s="169"/>
      <c r="AD146" s="169"/>
      <c r="AE146" s="169"/>
      <c r="AF146" s="169"/>
      <c r="AG146" s="169"/>
    </row>
    <row r="147" spans="1:33" x14ac:dyDescent="0.25">
      <c r="A147" s="219" t="s">
        <v>429</v>
      </c>
      <c r="B147" s="169"/>
      <c r="C147" s="169"/>
      <c r="D147" s="197"/>
      <c r="E147" s="207"/>
      <c r="F147" s="169"/>
      <c r="G147" s="219" t="s">
        <v>429</v>
      </c>
      <c r="H147" s="169"/>
      <c r="I147" s="169"/>
      <c r="J147" s="169"/>
      <c r="K147" s="197"/>
      <c r="L147" s="169"/>
      <c r="M147" s="219" t="s">
        <v>619</v>
      </c>
      <c r="N147" s="169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  <c r="AA147" s="169"/>
      <c r="AB147" s="169"/>
      <c r="AC147" s="169"/>
      <c r="AD147" s="169"/>
      <c r="AE147" s="169"/>
      <c r="AF147" s="169"/>
      <c r="AG147" s="169"/>
    </row>
    <row r="148" spans="1:33" x14ac:dyDescent="0.25">
      <c r="A148" s="219" t="s">
        <v>430</v>
      </c>
      <c r="B148" s="169"/>
      <c r="C148" s="169"/>
      <c r="D148" s="197"/>
      <c r="E148" s="207"/>
      <c r="F148" s="169"/>
      <c r="G148" s="219" t="s">
        <v>430</v>
      </c>
      <c r="H148" s="169"/>
      <c r="I148" s="169"/>
      <c r="J148" s="169"/>
      <c r="K148" s="197"/>
      <c r="L148" s="169"/>
      <c r="M148" s="219" t="s">
        <v>620</v>
      </c>
      <c r="N148" s="169"/>
      <c r="O148" s="169"/>
      <c r="P148" s="169"/>
      <c r="Q148" s="169"/>
      <c r="R148" s="169"/>
      <c r="S148" s="169"/>
      <c r="T148" s="169"/>
      <c r="U148" s="169"/>
      <c r="V148" s="169"/>
      <c r="W148" s="169"/>
      <c r="X148" s="169"/>
      <c r="Y148" s="169"/>
      <c r="Z148" s="169"/>
      <c r="AA148" s="169"/>
      <c r="AB148" s="169"/>
      <c r="AC148" s="169"/>
      <c r="AD148" s="169"/>
      <c r="AE148" s="169"/>
      <c r="AF148" s="169"/>
      <c r="AG148" s="169"/>
    </row>
    <row r="149" spans="1:33" x14ac:dyDescent="0.25">
      <c r="A149" s="219" t="s">
        <v>278</v>
      </c>
      <c r="B149" s="169"/>
      <c r="C149" s="169"/>
      <c r="D149" s="197"/>
      <c r="E149" s="207"/>
      <c r="F149" s="169"/>
      <c r="G149" s="219" t="s">
        <v>278</v>
      </c>
      <c r="H149" s="169"/>
      <c r="I149" s="169"/>
      <c r="J149" s="169"/>
      <c r="K149" s="197"/>
      <c r="L149" s="169"/>
      <c r="M149" s="219" t="s">
        <v>278</v>
      </c>
      <c r="N149" s="169"/>
      <c r="O149" s="169"/>
      <c r="P149" s="169"/>
      <c r="Q149" s="169"/>
      <c r="R149" s="169"/>
      <c r="S149" s="169"/>
      <c r="T149" s="169"/>
      <c r="U149" s="169"/>
      <c r="V149" s="169"/>
      <c r="W149" s="169"/>
      <c r="X149" s="169"/>
      <c r="Y149" s="169"/>
      <c r="Z149" s="169"/>
      <c r="AA149" s="169"/>
      <c r="AB149" s="169"/>
      <c r="AC149" s="169"/>
      <c r="AD149" s="169"/>
      <c r="AE149" s="169"/>
      <c r="AF149" s="169"/>
      <c r="AG149" s="169"/>
    </row>
    <row r="150" spans="1:33" x14ac:dyDescent="0.25">
      <c r="A150" s="219" t="s">
        <v>431</v>
      </c>
      <c r="B150" s="169"/>
      <c r="C150" s="169"/>
      <c r="D150" s="197"/>
      <c r="E150" s="207"/>
      <c r="F150" s="169"/>
      <c r="G150" s="219" t="s">
        <v>539</v>
      </c>
      <c r="H150" s="169"/>
      <c r="I150" s="169"/>
      <c r="J150" s="169"/>
      <c r="K150" s="197"/>
      <c r="L150" s="169"/>
      <c r="M150" s="219" t="s">
        <v>621</v>
      </c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  <c r="AA150" s="169"/>
      <c r="AB150" s="169"/>
      <c r="AC150" s="169"/>
      <c r="AD150" s="169"/>
      <c r="AE150" s="169"/>
      <c r="AF150" s="169"/>
      <c r="AG150" s="169"/>
    </row>
    <row r="151" spans="1:33" ht="13" x14ac:dyDescent="0.3">
      <c r="A151" s="219" t="s">
        <v>432</v>
      </c>
      <c r="B151" s="169"/>
      <c r="C151" s="169"/>
      <c r="D151" s="197"/>
      <c r="E151" s="207"/>
      <c r="F151" s="169"/>
      <c r="G151" s="219" t="s">
        <v>540</v>
      </c>
      <c r="H151" s="169"/>
      <c r="I151" s="169"/>
      <c r="J151" s="169"/>
      <c r="K151" s="197"/>
      <c r="L151" s="169"/>
      <c r="M151" s="219" t="s">
        <v>622</v>
      </c>
      <c r="N151" s="169"/>
      <c r="O151" s="169"/>
      <c r="P151" s="169"/>
      <c r="Q151" s="169"/>
      <c r="R151" s="169"/>
      <c r="S151" s="220"/>
      <c r="T151" s="169"/>
      <c r="U151" s="169"/>
      <c r="V151" s="169"/>
      <c r="W151" s="169"/>
      <c r="X151" s="169"/>
      <c r="Y151" s="169"/>
      <c r="Z151" s="169"/>
      <c r="AA151" s="169"/>
      <c r="AB151" s="169"/>
      <c r="AC151" s="169"/>
      <c r="AD151" s="169"/>
      <c r="AE151" s="169"/>
      <c r="AF151" s="169"/>
      <c r="AG151" s="169"/>
    </row>
    <row r="152" spans="1:33" x14ac:dyDescent="0.25">
      <c r="A152" s="219"/>
      <c r="B152" s="169"/>
      <c r="C152" s="169"/>
      <c r="D152" s="197"/>
      <c r="E152" s="207"/>
      <c r="F152" s="169"/>
      <c r="G152" s="219"/>
      <c r="H152" s="169"/>
      <c r="I152" s="169"/>
      <c r="J152" s="169"/>
      <c r="K152" s="197"/>
      <c r="L152" s="169"/>
      <c r="M152" s="21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</row>
    <row r="153" spans="1:33" s="10" customFormat="1" ht="13" x14ac:dyDescent="0.3">
      <c r="A153" s="221" t="s">
        <v>262</v>
      </c>
      <c r="B153" s="220"/>
      <c r="C153" s="220"/>
      <c r="D153" s="223"/>
      <c r="E153" s="222"/>
      <c r="F153" s="220"/>
      <c r="G153" s="221" t="s">
        <v>262</v>
      </c>
      <c r="H153" s="220"/>
      <c r="I153" s="220"/>
      <c r="J153" s="220"/>
      <c r="K153" s="223"/>
      <c r="L153" s="220"/>
      <c r="M153" s="221" t="s">
        <v>262</v>
      </c>
      <c r="N153" s="220"/>
      <c r="O153" s="220"/>
      <c r="P153" s="220"/>
      <c r="Q153" s="220"/>
      <c r="R153" s="220"/>
      <c r="S153" s="169"/>
      <c r="T153" s="220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</row>
    <row r="154" spans="1:33" x14ac:dyDescent="0.25">
      <c r="A154" s="219" t="s">
        <v>433</v>
      </c>
      <c r="B154" s="169"/>
      <c r="C154" s="169"/>
      <c r="D154" s="197"/>
      <c r="E154" s="207"/>
      <c r="F154" s="169"/>
      <c r="G154" s="219" t="s">
        <v>433</v>
      </c>
      <c r="H154" s="169"/>
      <c r="I154" s="169"/>
      <c r="J154" s="169"/>
      <c r="K154" s="197"/>
      <c r="L154" s="169"/>
      <c r="M154" s="219" t="s">
        <v>623</v>
      </c>
      <c r="N154" s="169"/>
      <c r="O154" s="169"/>
      <c r="P154" s="169"/>
      <c r="Q154" s="169"/>
      <c r="R154" s="169"/>
      <c r="S154" s="169"/>
      <c r="T154" s="169"/>
      <c r="U154" s="169"/>
      <c r="V154" s="169"/>
      <c r="W154" s="169"/>
      <c r="X154" s="169"/>
      <c r="Y154" s="169"/>
      <c r="Z154" s="169"/>
      <c r="AA154" s="169"/>
      <c r="AB154" s="169"/>
      <c r="AC154" s="169"/>
      <c r="AD154" s="169"/>
      <c r="AE154" s="169"/>
      <c r="AF154" s="169"/>
      <c r="AG154" s="169"/>
    </row>
    <row r="155" spans="1:33" x14ac:dyDescent="0.25">
      <c r="A155" s="219" t="s">
        <v>434</v>
      </c>
      <c r="B155" s="169"/>
      <c r="C155" s="169"/>
      <c r="D155" s="197"/>
      <c r="E155" s="207"/>
      <c r="F155" s="169"/>
      <c r="G155" s="219" t="s">
        <v>434</v>
      </c>
      <c r="H155" s="169"/>
      <c r="I155" s="169"/>
      <c r="J155" s="169"/>
      <c r="K155" s="197"/>
      <c r="L155" s="169"/>
      <c r="M155" s="219" t="s">
        <v>624</v>
      </c>
      <c r="N155" s="169"/>
      <c r="O155" s="169"/>
      <c r="P155" s="169"/>
      <c r="Q155" s="169"/>
      <c r="R155" s="169"/>
      <c r="S155" s="169"/>
      <c r="T155" s="169"/>
      <c r="U155" s="169"/>
      <c r="V155" s="169"/>
      <c r="W155" s="169"/>
      <c r="X155" s="169"/>
      <c r="Y155" s="169"/>
      <c r="Z155" s="169"/>
      <c r="AA155" s="169"/>
      <c r="AB155" s="169"/>
      <c r="AC155" s="169"/>
      <c r="AD155" s="169"/>
      <c r="AE155" s="169"/>
      <c r="AF155" s="169"/>
      <c r="AG155" s="169"/>
    </row>
    <row r="156" spans="1:33" x14ac:dyDescent="0.25">
      <c r="A156" s="219" t="s">
        <v>435</v>
      </c>
      <c r="B156" s="169"/>
      <c r="C156" s="169"/>
      <c r="D156" s="197"/>
      <c r="E156" s="207"/>
      <c r="F156" s="169"/>
      <c r="G156" s="219" t="s">
        <v>435</v>
      </c>
      <c r="H156" s="169"/>
      <c r="I156" s="169"/>
      <c r="J156" s="169"/>
      <c r="K156" s="197"/>
      <c r="L156" s="169"/>
      <c r="M156" s="219" t="s">
        <v>625</v>
      </c>
      <c r="N156" s="169"/>
      <c r="O156" s="169"/>
      <c r="P156" s="169"/>
      <c r="Q156" s="169"/>
      <c r="R156" s="169"/>
      <c r="S156" s="169"/>
      <c r="T156" s="169"/>
      <c r="U156" s="169"/>
      <c r="V156" s="169"/>
      <c r="W156" s="169"/>
      <c r="X156" s="169"/>
      <c r="Y156" s="169"/>
      <c r="Z156" s="169"/>
      <c r="AA156" s="169"/>
      <c r="AB156" s="169"/>
      <c r="AC156" s="169"/>
      <c r="AD156" s="169"/>
      <c r="AE156" s="169"/>
      <c r="AF156" s="169"/>
      <c r="AG156" s="169"/>
    </row>
    <row r="157" spans="1:33" x14ac:dyDescent="0.25">
      <c r="A157" s="219" t="s">
        <v>278</v>
      </c>
      <c r="B157" s="169"/>
      <c r="C157" s="169"/>
      <c r="D157" s="197"/>
      <c r="E157" s="207"/>
      <c r="F157" s="169"/>
      <c r="G157" s="219" t="s">
        <v>278</v>
      </c>
      <c r="H157" s="169"/>
      <c r="I157" s="169"/>
      <c r="J157" s="169"/>
      <c r="K157" s="197"/>
      <c r="L157" s="169"/>
      <c r="M157" s="219" t="s">
        <v>278</v>
      </c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</row>
    <row r="158" spans="1:33" x14ac:dyDescent="0.25">
      <c r="A158" s="219" t="s">
        <v>436</v>
      </c>
      <c r="B158" s="169"/>
      <c r="C158" s="169"/>
      <c r="D158" s="197"/>
      <c r="E158" s="207"/>
      <c r="F158" s="169"/>
      <c r="G158" s="219" t="s">
        <v>541</v>
      </c>
      <c r="H158" s="169"/>
      <c r="I158" s="169"/>
      <c r="J158" s="169"/>
      <c r="K158" s="197"/>
      <c r="L158" s="169"/>
      <c r="M158" s="219" t="s">
        <v>626</v>
      </c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</row>
    <row r="159" spans="1:33" ht="13" x14ac:dyDescent="0.3">
      <c r="A159" s="219" t="s">
        <v>437</v>
      </c>
      <c r="B159" s="169"/>
      <c r="C159" s="169"/>
      <c r="D159" s="197"/>
      <c r="E159" s="207"/>
      <c r="F159" s="169"/>
      <c r="G159" s="219" t="s">
        <v>542</v>
      </c>
      <c r="H159" s="169"/>
      <c r="I159" s="169"/>
      <c r="J159" s="169"/>
      <c r="K159" s="197"/>
      <c r="L159" s="169"/>
      <c r="M159" s="219" t="s">
        <v>627</v>
      </c>
      <c r="N159" s="169"/>
      <c r="O159" s="169"/>
      <c r="P159" s="169"/>
      <c r="Q159" s="169"/>
      <c r="R159" s="169"/>
      <c r="S159" s="220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</row>
    <row r="160" spans="1:33" x14ac:dyDescent="0.25">
      <c r="A160" s="219"/>
      <c r="B160" s="169"/>
      <c r="C160" s="169"/>
      <c r="D160" s="197"/>
      <c r="E160" s="207"/>
      <c r="F160" s="169"/>
      <c r="G160" s="219"/>
      <c r="H160" s="169"/>
      <c r="I160" s="169"/>
      <c r="J160" s="169"/>
      <c r="K160" s="197"/>
      <c r="L160" s="169"/>
      <c r="M160" s="219"/>
      <c r="N160" s="169"/>
      <c r="O160" s="169"/>
      <c r="P160" s="169"/>
      <c r="Q160" s="169"/>
      <c r="R160" s="169"/>
      <c r="S160" s="169"/>
      <c r="T160" s="169"/>
      <c r="U160" s="169"/>
      <c r="V160" s="169"/>
      <c r="W160" s="169"/>
      <c r="X160" s="169"/>
      <c r="Y160" s="169"/>
      <c r="Z160" s="169"/>
      <c r="AA160" s="169"/>
      <c r="AB160" s="169"/>
      <c r="AC160" s="169"/>
      <c r="AD160" s="169"/>
      <c r="AE160" s="169"/>
      <c r="AF160" s="169"/>
      <c r="AG160" s="169"/>
    </row>
    <row r="161" spans="1:33" s="10" customFormat="1" ht="13" x14ac:dyDescent="0.3">
      <c r="A161" s="221" t="s">
        <v>263</v>
      </c>
      <c r="B161" s="220"/>
      <c r="C161" s="220"/>
      <c r="D161" s="223"/>
      <c r="E161" s="222"/>
      <c r="F161" s="220"/>
      <c r="G161" s="221" t="s">
        <v>263</v>
      </c>
      <c r="H161" s="220"/>
      <c r="I161" s="220"/>
      <c r="J161" s="220"/>
      <c r="K161" s="223"/>
      <c r="L161" s="220"/>
      <c r="M161" s="221" t="s">
        <v>263</v>
      </c>
      <c r="N161" s="220"/>
      <c r="O161" s="220"/>
      <c r="P161" s="220"/>
      <c r="Q161" s="220"/>
      <c r="R161" s="220"/>
      <c r="S161" s="169"/>
      <c r="T161" s="220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</row>
    <row r="162" spans="1:33" x14ac:dyDescent="0.25">
      <c r="A162" s="219" t="s">
        <v>438</v>
      </c>
      <c r="B162" s="169"/>
      <c r="C162" s="169"/>
      <c r="D162" s="197"/>
      <c r="E162" s="207"/>
      <c r="F162" s="169"/>
      <c r="G162" s="219" t="s">
        <v>438</v>
      </c>
      <c r="H162" s="169"/>
      <c r="I162" s="169"/>
      <c r="J162" s="169"/>
      <c r="K162" s="197"/>
      <c r="L162" s="169"/>
      <c r="M162" s="219" t="s">
        <v>628</v>
      </c>
      <c r="N162" s="169"/>
      <c r="O162" s="169"/>
      <c r="P162" s="169"/>
      <c r="Q162" s="169"/>
      <c r="R162" s="169"/>
      <c r="S162" s="169"/>
      <c r="T162" s="169"/>
      <c r="U162" s="169"/>
      <c r="V162" s="169"/>
      <c r="W162" s="169"/>
      <c r="X162" s="169"/>
      <c r="Y162" s="169"/>
      <c r="Z162" s="169"/>
      <c r="AA162" s="169"/>
      <c r="AB162" s="169"/>
      <c r="AC162" s="169"/>
      <c r="AD162" s="169"/>
      <c r="AE162" s="169"/>
      <c r="AF162" s="169"/>
      <c r="AG162" s="169"/>
    </row>
    <row r="163" spans="1:33" x14ac:dyDescent="0.25">
      <c r="A163" s="219" t="s">
        <v>439</v>
      </c>
      <c r="B163" s="169"/>
      <c r="C163" s="169"/>
      <c r="D163" s="197"/>
      <c r="E163" s="207"/>
      <c r="F163" s="169"/>
      <c r="G163" s="219" t="s">
        <v>439</v>
      </c>
      <c r="H163" s="169"/>
      <c r="I163" s="169"/>
      <c r="J163" s="169"/>
      <c r="K163" s="197"/>
      <c r="L163" s="169"/>
      <c r="M163" s="219" t="s">
        <v>629</v>
      </c>
      <c r="N163" s="169"/>
      <c r="O163" s="169"/>
      <c r="P163" s="169"/>
      <c r="Q163" s="169"/>
      <c r="R163" s="169"/>
      <c r="S163" s="169"/>
      <c r="T163" s="169"/>
      <c r="U163" s="169"/>
      <c r="V163" s="169"/>
      <c r="W163" s="169"/>
      <c r="X163" s="169"/>
      <c r="Y163" s="169"/>
      <c r="Z163" s="169"/>
      <c r="AA163" s="169"/>
      <c r="AB163" s="169"/>
      <c r="AC163" s="169"/>
      <c r="AD163" s="169"/>
      <c r="AE163" s="169"/>
      <c r="AF163" s="169"/>
      <c r="AG163" s="169"/>
    </row>
    <row r="164" spans="1:33" x14ac:dyDescent="0.25">
      <c r="A164" s="219" t="s">
        <v>440</v>
      </c>
      <c r="B164" s="169"/>
      <c r="C164" s="169"/>
      <c r="D164" s="197"/>
      <c r="E164" s="207"/>
      <c r="F164" s="169"/>
      <c r="G164" s="219" t="s">
        <v>440</v>
      </c>
      <c r="H164" s="169"/>
      <c r="I164" s="169"/>
      <c r="J164" s="169"/>
      <c r="K164" s="197"/>
      <c r="L164" s="169"/>
      <c r="M164" s="219" t="s">
        <v>630</v>
      </c>
      <c r="N164" s="169"/>
      <c r="O164" s="169"/>
      <c r="P164" s="169"/>
      <c r="Q164" s="169"/>
      <c r="R164" s="169"/>
      <c r="S164" s="169"/>
      <c r="T164" s="169"/>
      <c r="U164" s="169"/>
      <c r="V164" s="169"/>
      <c r="W164" s="169"/>
      <c r="X164" s="169"/>
      <c r="Y164" s="169"/>
      <c r="Z164" s="169"/>
      <c r="AA164" s="169"/>
      <c r="AB164" s="169"/>
      <c r="AC164" s="169"/>
      <c r="AD164" s="169"/>
      <c r="AE164" s="169"/>
      <c r="AF164" s="169"/>
      <c r="AG164" s="169"/>
    </row>
    <row r="165" spans="1:33" x14ac:dyDescent="0.25">
      <c r="A165" s="219" t="s">
        <v>278</v>
      </c>
      <c r="B165" s="169"/>
      <c r="C165" s="169"/>
      <c r="D165" s="197"/>
      <c r="E165" s="207"/>
      <c r="F165" s="169"/>
      <c r="G165" s="219" t="s">
        <v>278</v>
      </c>
      <c r="H165" s="169"/>
      <c r="I165" s="169"/>
      <c r="J165" s="169"/>
      <c r="K165" s="197"/>
      <c r="L165" s="169"/>
      <c r="M165" s="219" t="s">
        <v>278</v>
      </c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</row>
    <row r="166" spans="1:33" x14ac:dyDescent="0.25">
      <c r="A166" s="219" t="s">
        <v>441</v>
      </c>
      <c r="B166" s="169"/>
      <c r="C166" s="169"/>
      <c r="D166" s="197"/>
      <c r="E166" s="207"/>
      <c r="F166" s="169"/>
      <c r="G166" s="219" t="s">
        <v>543</v>
      </c>
      <c r="H166" s="169"/>
      <c r="I166" s="169"/>
      <c r="J166" s="169"/>
      <c r="K166" s="197"/>
      <c r="L166" s="169"/>
      <c r="M166" s="219" t="s">
        <v>631</v>
      </c>
      <c r="N166" s="169"/>
      <c r="O166" s="169"/>
      <c r="P166" s="169"/>
      <c r="Q166" s="169"/>
      <c r="R166" s="169"/>
      <c r="S166" s="169"/>
      <c r="T166" s="169"/>
      <c r="U166" s="169"/>
      <c r="V166" s="169"/>
      <c r="W166" s="169"/>
      <c r="X166" s="169"/>
      <c r="Y166" s="169"/>
      <c r="Z166" s="169"/>
      <c r="AA166" s="169"/>
      <c r="AB166" s="169"/>
      <c r="AC166" s="169"/>
      <c r="AD166" s="169"/>
      <c r="AE166" s="169"/>
      <c r="AF166" s="169"/>
      <c r="AG166" s="169"/>
    </row>
    <row r="167" spans="1:33" ht="13" x14ac:dyDescent="0.3">
      <c r="A167" s="219" t="s">
        <v>442</v>
      </c>
      <c r="B167" s="169"/>
      <c r="C167" s="169"/>
      <c r="D167" s="197"/>
      <c r="E167" s="207"/>
      <c r="F167" s="169"/>
      <c r="G167" s="219" t="s">
        <v>544</v>
      </c>
      <c r="H167" s="169"/>
      <c r="I167" s="169"/>
      <c r="J167" s="169"/>
      <c r="K167" s="197"/>
      <c r="L167" s="169"/>
      <c r="M167" s="219" t="s">
        <v>632</v>
      </c>
      <c r="N167" s="169"/>
      <c r="O167" s="169"/>
      <c r="P167" s="169"/>
      <c r="Q167" s="169"/>
      <c r="R167" s="169"/>
      <c r="S167" s="220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</row>
    <row r="168" spans="1:33" x14ac:dyDescent="0.25">
      <c r="A168" s="219"/>
      <c r="B168" s="169"/>
      <c r="C168" s="169"/>
      <c r="D168" s="197"/>
      <c r="E168" s="207"/>
      <c r="F168" s="169"/>
      <c r="G168" s="219"/>
      <c r="H168" s="169"/>
      <c r="I168" s="169"/>
      <c r="J168" s="169"/>
      <c r="K168" s="197"/>
      <c r="L168" s="169"/>
      <c r="M168" s="21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</row>
    <row r="169" spans="1:33" s="10" customFormat="1" ht="13" x14ac:dyDescent="0.3">
      <c r="A169" s="221" t="s">
        <v>264</v>
      </c>
      <c r="B169" s="220"/>
      <c r="C169" s="220"/>
      <c r="D169" s="223"/>
      <c r="E169" s="222"/>
      <c r="F169" s="220"/>
      <c r="G169" s="221" t="s">
        <v>264</v>
      </c>
      <c r="H169" s="220"/>
      <c r="I169" s="220"/>
      <c r="J169" s="220"/>
      <c r="K169" s="223"/>
      <c r="L169" s="220"/>
      <c r="M169" s="221" t="s">
        <v>264</v>
      </c>
      <c r="N169" s="220"/>
      <c r="O169" s="220"/>
      <c r="P169" s="220"/>
      <c r="Q169" s="220"/>
      <c r="R169" s="220"/>
      <c r="S169" s="169"/>
      <c r="T169" s="220"/>
      <c r="U169" s="220"/>
      <c r="V169" s="220"/>
      <c r="W169" s="220"/>
      <c r="X169" s="220"/>
      <c r="Y169" s="220"/>
      <c r="Z169" s="220"/>
      <c r="AA169" s="220"/>
      <c r="AB169" s="220"/>
      <c r="AC169" s="220"/>
      <c r="AD169" s="220"/>
      <c r="AE169" s="220"/>
      <c r="AF169" s="220"/>
      <c r="AG169" s="220"/>
    </row>
    <row r="170" spans="1:33" x14ac:dyDescent="0.25">
      <c r="A170" s="219" t="s">
        <v>443</v>
      </c>
      <c r="B170" s="169"/>
      <c r="C170" s="169"/>
      <c r="D170" s="197"/>
      <c r="E170" s="207"/>
      <c r="F170" s="169"/>
      <c r="G170" s="219" t="s">
        <v>443</v>
      </c>
      <c r="H170" s="169"/>
      <c r="I170" s="169"/>
      <c r="J170" s="169"/>
      <c r="K170" s="197"/>
      <c r="L170" s="169"/>
      <c r="M170" s="219" t="s">
        <v>633</v>
      </c>
      <c r="N170" s="169"/>
      <c r="O170" s="169"/>
      <c r="P170" s="169"/>
      <c r="Q170" s="169"/>
      <c r="R170" s="169"/>
      <c r="S170" s="169"/>
      <c r="T170" s="169"/>
      <c r="U170" s="169"/>
      <c r="V170" s="169"/>
      <c r="W170" s="169"/>
      <c r="X170" s="169"/>
      <c r="Y170" s="169"/>
      <c r="Z170" s="169"/>
      <c r="AA170" s="169"/>
      <c r="AB170" s="169"/>
      <c r="AC170" s="169"/>
      <c r="AD170" s="169"/>
      <c r="AE170" s="169"/>
      <c r="AF170" s="169"/>
      <c r="AG170" s="169"/>
    </row>
    <row r="171" spans="1:33" x14ac:dyDescent="0.25">
      <c r="A171" s="219" t="s">
        <v>444</v>
      </c>
      <c r="B171" s="169"/>
      <c r="C171" s="169"/>
      <c r="D171" s="197"/>
      <c r="E171" s="207"/>
      <c r="F171" s="169"/>
      <c r="G171" s="219" t="s">
        <v>444</v>
      </c>
      <c r="H171" s="169"/>
      <c r="I171" s="169"/>
      <c r="J171" s="169"/>
      <c r="K171" s="197"/>
      <c r="L171" s="169"/>
      <c r="M171" s="219" t="s">
        <v>634</v>
      </c>
      <c r="N171" s="169"/>
      <c r="O171" s="169"/>
      <c r="P171" s="169"/>
      <c r="Q171" s="169"/>
      <c r="R171" s="169"/>
      <c r="S171" s="169"/>
      <c r="T171" s="169"/>
      <c r="U171" s="169"/>
      <c r="V171" s="169"/>
      <c r="W171" s="169"/>
      <c r="X171" s="169"/>
      <c r="Y171" s="169"/>
      <c r="Z171" s="169"/>
      <c r="AA171" s="169"/>
      <c r="AB171" s="169"/>
      <c r="AC171" s="169"/>
      <c r="AD171" s="169"/>
      <c r="AE171" s="169"/>
      <c r="AF171" s="169"/>
      <c r="AG171" s="169"/>
    </row>
    <row r="172" spans="1:33" x14ac:dyDescent="0.25">
      <c r="A172" s="219" t="s">
        <v>445</v>
      </c>
      <c r="B172" s="169"/>
      <c r="C172" s="169"/>
      <c r="D172" s="197"/>
      <c r="E172" s="207"/>
      <c r="F172" s="169"/>
      <c r="G172" s="219" t="s">
        <v>445</v>
      </c>
      <c r="H172" s="169"/>
      <c r="I172" s="169"/>
      <c r="J172" s="169"/>
      <c r="K172" s="197"/>
      <c r="L172" s="169"/>
      <c r="M172" s="219" t="s">
        <v>635</v>
      </c>
      <c r="N172" s="169"/>
      <c r="O172" s="169"/>
      <c r="P172" s="169"/>
      <c r="Q172" s="169"/>
      <c r="R172" s="169"/>
      <c r="S172" s="169"/>
      <c r="T172" s="169"/>
      <c r="U172" s="169"/>
      <c r="V172" s="169"/>
      <c r="W172" s="169"/>
      <c r="X172" s="169"/>
      <c r="Y172" s="169"/>
      <c r="Z172" s="169"/>
      <c r="AA172" s="169"/>
      <c r="AB172" s="169"/>
      <c r="AC172" s="169"/>
      <c r="AD172" s="169"/>
      <c r="AE172" s="169"/>
      <c r="AF172" s="169"/>
      <c r="AG172" s="169"/>
    </row>
    <row r="173" spans="1:33" x14ac:dyDescent="0.25">
      <c r="A173" s="219" t="s">
        <v>278</v>
      </c>
      <c r="B173" s="169"/>
      <c r="C173" s="169"/>
      <c r="D173" s="197"/>
      <c r="E173" s="207"/>
      <c r="F173" s="169"/>
      <c r="G173" s="219" t="s">
        <v>278</v>
      </c>
      <c r="H173" s="169"/>
      <c r="I173" s="169"/>
      <c r="J173" s="169"/>
      <c r="K173" s="197"/>
      <c r="L173" s="169"/>
      <c r="M173" s="219" t="s">
        <v>278</v>
      </c>
      <c r="N173" s="169"/>
      <c r="O173" s="169"/>
      <c r="P173" s="169"/>
      <c r="Q173" s="169"/>
      <c r="R173" s="169"/>
      <c r="S173" s="169"/>
      <c r="T173" s="169"/>
      <c r="U173" s="169"/>
      <c r="V173" s="169"/>
      <c r="W173" s="169"/>
      <c r="X173" s="169"/>
      <c r="Y173" s="169"/>
      <c r="Z173" s="169"/>
      <c r="AA173" s="169"/>
      <c r="AB173" s="169"/>
      <c r="AC173" s="169"/>
      <c r="AD173" s="169"/>
      <c r="AE173" s="169"/>
      <c r="AF173" s="169"/>
      <c r="AG173" s="169"/>
    </row>
    <row r="174" spans="1:33" x14ac:dyDescent="0.25">
      <c r="A174" s="219" t="s">
        <v>446</v>
      </c>
      <c r="B174" s="169"/>
      <c r="C174" s="169"/>
      <c r="D174" s="197"/>
      <c r="E174" s="207"/>
      <c r="F174" s="169"/>
      <c r="G174" s="219" t="s">
        <v>545</v>
      </c>
      <c r="H174" s="169"/>
      <c r="I174" s="169"/>
      <c r="J174" s="169"/>
      <c r="K174" s="197"/>
      <c r="L174" s="169"/>
      <c r="M174" s="219" t="s">
        <v>636</v>
      </c>
      <c r="N174" s="169"/>
      <c r="O174" s="169"/>
      <c r="P174" s="169"/>
      <c r="Q174" s="169"/>
      <c r="R174" s="169"/>
      <c r="S174" s="169"/>
      <c r="T174" s="169"/>
      <c r="U174" s="169"/>
      <c r="V174" s="169"/>
      <c r="W174" s="169"/>
      <c r="X174" s="169"/>
      <c r="Y174" s="169"/>
      <c r="Z174" s="169"/>
      <c r="AA174" s="169"/>
      <c r="AB174" s="169"/>
      <c r="AC174" s="169"/>
      <c r="AD174" s="169"/>
      <c r="AE174" s="169"/>
      <c r="AF174" s="169"/>
      <c r="AG174" s="169"/>
    </row>
    <row r="175" spans="1:33" ht="13" x14ac:dyDescent="0.3">
      <c r="A175" s="219" t="s">
        <v>447</v>
      </c>
      <c r="B175" s="169"/>
      <c r="C175" s="169"/>
      <c r="D175" s="197"/>
      <c r="E175" s="207"/>
      <c r="F175" s="169"/>
      <c r="G175" s="219" t="s">
        <v>546</v>
      </c>
      <c r="H175" s="169"/>
      <c r="I175" s="169"/>
      <c r="J175" s="169"/>
      <c r="K175" s="197"/>
      <c r="L175" s="169"/>
      <c r="M175" s="219" t="s">
        <v>637</v>
      </c>
      <c r="N175" s="169"/>
      <c r="O175" s="169"/>
      <c r="P175" s="169"/>
      <c r="Q175" s="169"/>
      <c r="R175" s="169"/>
      <c r="S175" s="220"/>
      <c r="T175" s="169"/>
      <c r="U175" s="169"/>
      <c r="V175" s="169"/>
      <c r="W175" s="169"/>
      <c r="X175" s="169"/>
      <c r="Y175" s="169"/>
      <c r="Z175" s="169"/>
      <c r="AA175" s="169"/>
      <c r="AB175" s="169"/>
      <c r="AC175" s="169"/>
      <c r="AD175" s="169"/>
      <c r="AE175" s="169"/>
      <c r="AF175" s="169"/>
      <c r="AG175" s="169"/>
    </row>
    <row r="176" spans="1:33" x14ac:dyDescent="0.25">
      <c r="A176" s="219"/>
      <c r="B176" s="169"/>
      <c r="C176" s="169"/>
      <c r="D176" s="197"/>
      <c r="E176" s="207"/>
      <c r="F176" s="169"/>
      <c r="G176" s="219"/>
      <c r="H176" s="169"/>
      <c r="I176" s="169"/>
      <c r="J176" s="169"/>
      <c r="K176" s="197"/>
      <c r="L176" s="169"/>
      <c r="M176" s="219"/>
      <c r="N176" s="169"/>
      <c r="O176" s="169"/>
      <c r="P176" s="169"/>
      <c r="Q176" s="169"/>
      <c r="R176" s="169"/>
      <c r="S176" s="169"/>
      <c r="T176" s="169"/>
      <c r="U176" s="169"/>
      <c r="V176" s="169"/>
      <c r="W176" s="169"/>
      <c r="X176" s="169"/>
      <c r="Y176" s="169"/>
      <c r="Z176" s="169"/>
      <c r="AA176" s="169"/>
      <c r="AB176" s="169"/>
      <c r="AC176" s="169"/>
      <c r="AD176" s="169"/>
      <c r="AE176" s="169"/>
      <c r="AF176" s="169"/>
      <c r="AG176" s="169"/>
    </row>
    <row r="177" spans="1:33" s="10" customFormat="1" ht="13" x14ac:dyDescent="0.3">
      <c r="A177" s="221" t="s">
        <v>265</v>
      </c>
      <c r="B177" s="220"/>
      <c r="C177" s="220"/>
      <c r="D177" s="223"/>
      <c r="E177" s="222"/>
      <c r="F177" s="220"/>
      <c r="G177" s="221" t="s">
        <v>265</v>
      </c>
      <c r="H177" s="220"/>
      <c r="I177" s="220"/>
      <c r="J177" s="220"/>
      <c r="K177" s="223"/>
      <c r="L177" s="220"/>
      <c r="M177" s="221" t="s">
        <v>265</v>
      </c>
      <c r="N177" s="220"/>
      <c r="O177" s="220"/>
      <c r="P177" s="220"/>
      <c r="Q177" s="220"/>
      <c r="R177" s="220"/>
      <c r="S177" s="169"/>
      <c r="T177" s="220"/>
      <c r="U177" s="220"/>
      <c r="V177" s="220"/>
      <c r="W177" s="220"/>
      <c r="X177" s="220"/>
      <c r="Y177" s="220"/>
      <c r="Z177" s="220"/>
      <c r="AA177" s="220"/>
      <c r="AB177" s="220"/>
      <c r="AC177" s="220"/>
      <c r="AD177" s="220"/>
      <c r="AE177" s="220"/>
      <c r="AF177" s="220"/>
      <c r="AG177" s="220"/>
    </row>
    <row r="178" spans="1:33" x14ac:dyDescent="0.25">
      <c r="A178" s="219" t="s">
        <v>448</v>
      </c>
      <c r="B178" s="169"/>
      <c r="C178" s="169"/>
      <c r="D178" s="197"/>
      <c r="E178" s="207"/>
      <c r="F178" s="169"/>
      <c r="G178" s="219" t="s">
        <v>448</v>
      </c>
      <c r="H178" s="169"/>
      <c r="I178" s="169"/>
      <c r="J178" s="169"/>
      <c r="K178" s="197"/>
      <c r="L178" s="169"/>
      <c r="M178" s="219" t="s">
        <v>638</v>
      </c>
      <c r="N178" s="169"/>
      <c r="O178" s="169"/>
      <c r="P178" s="169"/>
      <c r="Q178" s="169"/>
      <c r="R178" s="169"/>
      <c r="S178" s="169"/>
      <c r="T178" s="169"/>
      <c r="U178" s="169"/>
      <c r="V178" s="169"/>
      <c r="W178" s="169"/>
      <c r="X178" s="169"/>
      <c r="Y178" s="169"/>
      <c r="Z178" s="169"/>
      <c r="AA178" s="169"/>
      <c r="AB178" s="169"/>
      <c r="AC178" s="169"/>
      <c r="AD178" s="169"/>
      <c r="AE178" s="169"/>
      <c r="AF178" s="169"/>
      <c r="AG178" s="169"/>
    </row>
    <row r="179" spans="1:33" x14ac:dyDescent="0.25">
      <c r="A179" s="219" t="s">
        <v>449</v>
      </c>
      <c r="B179" s="169"/>
      <c r="C179" s="169"/>
      <c r="D179" s="197"/>
      <c r="E179" s="207"/>
      <c r="F179" s="169"/>
      <c r="G179" s="219" t="s">
        <v>449</v>
      </c>
      <c r="H179" s="169"/>
      <c r="I179" s="169"/>
      <c r="J179" s="169"/>
      <c r="K179" s="197"/>
      <c r="L179" s="169"/>
      <c r="M179" s="219" t="s">
        <v>639</v>
      </c>
      <c r="N179" s="169"/>
      <c r="O179" s="169"/>
      <c r="P179" s="169"/>
      <c r="Q179" s="169"/>
      <c r="R179" s="169"/>
      <c r="S179" s="169"/>
      <c r="T179" s="169"/>
      <c r="U179" s="169"/>
      <c r="V179" s="169"/>
      <c r="W179" s="169"/>
      <c r="X179" s="169"/>
      <c r="Y179" s="169"/>
      <c r="Z179" s="169"/>
      <c r="AA179" s="169"/>
      <c r="AB179" s="169"/>
      <c r="AC179" s="169"/>
      <c r="AD179" s="169"/>
      <c r="AE179" s="169"/>
      <c r="AF179" s="169"/>
      <c r="AG179" s="169"/>
    </row>
    <row r="180" spans="1:33" x14ac:dyDescent="0.25">
      <c r="A180" s="219" t="s">
        <v>450</v>
      </c>
      <c r="B180" s="169"/>
      <c r="C180" s="169"/>
      <c r="D180" s="197"/>
      <c r="E180" s="207"/>
      <c r="F180" s="169"/>
      <c r="G180" s="219" t="s">
        <v>450</v>
      </c>
      <c r="H180" s="169"/>
      <c r="I180" s="169"/>
      <c r="J180" s="169"/>
      <c r="K180" s="197"/>
      <c r="L180" s="169"/>
      <c r="M180" s="219" t="s">
        <v>640</v>
      </c>
      <c r="N180" s="169"/>
      <c r="O180" s="169"/>
      <c r="P180" s="169"/>
      <c r="Q180" s="169"/>
      <c r="R180" s="169"/>
      <c r="S180" s="169"/>
      <c r="T180" s="169"/>
      <c r="U180" s="169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</row>
    <row r="181" spans="1:33" x14ac:dyDescent="0.25">
      <c r="A181" s="219" t="s">
        <v>278</v>
      </c>
      <c r="B181" s="169"/>
      <c r="C181" s="169"/>
      <c r="D181" s="197"/>
      <c r="E181" s="207"/>
      <c r="F181" s="169"/>
      <c r="G181" s="219" t="s">
        <v>278</v>
      </c>
      <c r="H181" s="169"/>
      <c r="I181" s="169"/>
      <c r="J181" s="169"/>
      <c r="K181" s="197"/>
      <c r="L181" s="169"/>
      <c r="M181" s="219" t="s">
        <v>278</v>
      </c>
      <c r="N181" s="169"/>
      <c r="O181" s="169"/>
      <c r="P181" s="169"/>
      <c r="Q181" s="169"/>
      <c r="R181" s="169"/>
      <c r="S181" s="169"/>
      <c r="T181" s="169"/>
      <c r="U181" s="169"/>
      <c r="V181" s="169"/>
      <c r="W181" s="169"/>
      <c r="X181" s="169"/>
      <c r="Y181" s="169"/>
      <c r="Z181" s="169"/>
      <c r="AA181" s="169"/>
      <c r="AB181" s="169"/>
      <c r="AC181" s="169"/>
      <c r="AD181" s="169"/>
      <c r="AE181" s="169"/>
      <c r="AF181" s="169"/>
      <c r="AG181" s="169"/>
    </row>
    <row r="182" spans="1:33" x14ac:dyDescent="0.25">
      <c r="A182" s="219" t="s">
        <v>451</v>
      </c>
      <c r="B182" s="169"/>
      <c r="C182" s="169"/>
      <c r="D182" s="197"/>
      <c r="E182" s="207"/>
      <c r="F182" s="169"/>
      <c r="G182" s="219" t="s">
        <v>547</v>
      </c>
      <c r="H182" s="169"/>
      <c r="I182" s="169"/>
      <c r="J182" s="169"/>
      <c r="K182" s="197"/>
      <c r="L182" s="169"/>
      <c r="M182" s="219" t="s">
        <v>641</v>
      </c>
      <c r="N182" s="169"/>
      <c r="O182" s="169"/>
      <c r="P182" s="169"/>
      <c r="Q182" s="169"/>
      <c r="R182" s="169"/>
      <c r="S182" s="169"/>
      <c r="T182" s="169"/>
      <c r="U182" s="169"/>
      <c r="V182" s="169"/>
      <c r="W182" s="169"/>
      <c r="X182" s="169"/>
      <c r="Y182" s="169"/>
      <c r="Z182" s="169"/>
      <c r="AA182" s="169"/>
      <c r="AB182" s="169"/>
      <c r="AC182" s="169"/>
      <c r="AD182" s="169"/>
      <c r="AE182" s="169"/>
      <c r="AF182" s="169"/>
      <c r="AG182" s="169"/>
    </row>
    <row r="183" spans="1:33" x14ac:dyDescent="0.25">
      <c r="A183" s="219" t="s">
        <v>452</v>
      </c>
      <c r="B183" s="169"/>
      <c r="C183" s="169"/>
      <c r="D183" s="197"/>
      <c r="E183" s="207"/>
      <c r="F183" s="169"/>
      <c r="G183" s="219" t="s">
        <v>548</v>
      </c>
      <c r="H183" s="169"/>
      <c r="I183" s="169"/>
      <c r="J183" s="169"/>
      <c r="K183" s="197"/>
      <c r="L183" s="169"/>
      <c r="M183" s="219" t="s">
        <v>642</v>
      </c>
      <c r="N183" s="169"/>
      <c r="O183" s="169"/>
      <c r="P183" s="169"/>
      <c r="Q183" s="169"/>
      <c r="R183" s="169"/>
      <c r="S183" s="169"/>
      <c r="T183" s="169"/>
      <c r="U183" s="169"/>
      <c r="V183" s="169"/>
      <c r="W183" s="169"/>
      <c r="X183" s="169"/>
      <c r="Y183" s="169"/>
      <c r="Z183" s="169"/>
      <c r="AA183" s="169"/>
      <c r="AB183" s="169"/>
      <c r="AC183" s="169"/>
      <c r="AD183" s="169"/>
      <c r="AE183" s="169"/>
      <c r="AF183" s="169"/>
      <c r="AG183" s="169"/>
    </row>
    <row r="184" spans="1:33" x14ac:dyDescent="0.25">
      <c r="A184" s="219"/>
      <c r="B184" s="169"/>
      <c r="C184" s="169"/>
      <c r="D184" s="197"/>
      <c r="E184" s="207"/>
      <c r="F184" s="169"/>
      <c r="G184" s="219"/>
      <c r="H184" s="169"/>
      <c r="I184" s="169"/>
      <c r="J184" s="169"/>
      <c r="K184" s="197"/>
      <c r="L184" s="169"/>
      <c r="M184" s="219"/>
      <c r="N184" s="169"/>
      <c r="O184" s="169"/>
      <c r="P184" s="169"/>
      <c r="Q184" s="169"/>
      <c r="R184" s="169"/>
      <c r="S184" s="169"/>
      <c r="T184" s="169"/>
      <c r="U184" s="169"/>
      <c r="V184" s="169"/>
      <c r="W184" s="169"/>
      <c r="X184" s="169"/>
      <c r="Y184" s="169"/>
      <c r="Z184" s="169"/>
      <c r="AA184" s="169"/>
      <c r="AB184" s="169"/>
      <c r="AC184" s="169"/>
      <c r="AD184" s="169"/>
      <c r="AE184" s="169"/>
      <c r="AF184" s="169"/>
      <c r="AG184" s="169"/>
    </row>
    <row r="185" spans="1:33" s="10" customFormat="1" ht="13" x14ac:dyDescent="0.3">
      <c r="A185" s="221" t="s">
        <v>266</v>
      </c>
      <c r="B185" s="220"/>
      <c r="C185" s="220"/>
      <c r="D185" s="223"/>
      <c r="E185" s="222"/>
      <c r="F185" s="220"/>
      <c r="G185" s="221" t="s">
        <v>266</v>
      </c>
      <c r="H185" s="220"/>
      <c r="I185" s="220"/>
      <c r="J185" s="220"/>
      <c r="K185" s="223"/>
      <c r="L185" s="220"/>
      <c r="M185" s="221" t="s">
        <v>266</v>
      </c>
      <c r="N185" s="220"/>
      <c r="O185" s="220"/>
      <c r="P185" s="220"/>
      <c r="Q185" s="220"/>
      <c r="R185" s="220"/>
      <c r="S185" s="169"/>
      <c r="T185" s="220"/>
      <c r="U185" s="220"/>
      <c r="V185" s="220"/>
      <c r="W185" s="220"/>
      <c r="X185" s="220"/>
      <c r="Y185" s="220"/>
      <c r="Z185" s="220"/>
      <c r="AA185" s="220"/>
      <c r="AB185" s="220"/>
      <c r="AC185" s="220"/>
      <c r="AD185" s="220"/>
      <c r="AE185" s="220"/>
      <c r="AF185" s="220"/>
      <c r="AG185" s="220"/>
    </row>
    <row r="186" spans="1:33" x14ac:dyDescent="0.25">
      <c r="A186" s="219" t="s">
        <v>453</v>
      </c>
      <c r="B186" s="169"/>
      <c r="C186" s="169"/>
      <c r="D186" s="197"/>
      <c r="E186" s="207"/>
      <c r="F186" s="169"/>
      <c r="G186" s="219" t="s">
        <v>453</v>
      </c>
      <c r="H186" s="169"/>
      <c r="I186" s="169"/>
      <c r="J186" s="169"/>
      <c r="K186" s="197"/>
      <c r="L186" s="169"/>
      <c r="M186" s="219" t="s">
        <v>643</v>
      </c>
      <c r="N186" s="169"/>
      <c r="O186" s="169"/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69"/>
      <c r="AA186" s="169"/>
      <c r="AB186" s="169"/>
      <c r="AC186" s="169"/>
      <c r="AD186" s="169"/>
      <c r="AE186" s="169"/>
      <c r="AF186" s="169"/>
      <c r="AG186" s="169"/>
    </row>
    <row r="187" spans="1:33" x14ac:dyDescent="0.25">
      <c r="A187" s="219" t="s">
        <v>454</v>
      </c>
      <c r="B187" s="169"/>
      <c r="C187" s="169"/>
      <c r="D187" s="197"/>
      <c r="E187" s="207"/>
      <c r="F187" s="169"/>
      <c r="G187" s="219" t="s">
        <v>454</v>
      </c>
      <c r="H187" s="169"/>
      <c r="I187" s="169"/>
      <c r="J187" s="169"/>
      <c r="K187" s="197"/>
      <c r="L187" s="169"/>
      <c r="M187" s="219" t="s">
        <v>644</v>
      </c>
      <c r="N187" s="169"/>
      <c r="O187" s="169"/>
      <c r="P187" s="169"/>
      <c r="Q187" s="169"/>
      <c r="R187" s="169"/>
      <c r="S187" s="169"/>
      <c r="T187" s="169"/>
      <c r="U187" s="169"/>
      <c r="V187" s="169"/>
      <c r="W187" s="169"/>
      <c r="X187" s="169"/>
      <c r="Y187" s="169"/>
      <c r="Z187" s="169"/>
      <c r="AA187" s="169"/>
      <c r="AB187" s="169"/>
      <c r="AC187" s="169"/>
      <c r="AD187" s="169"/>
      <c r="AE187" s="169"/>
      <c r="AF187" s="169"/>
      <c r="AG187" s="169"/>
    </row>
    <row r="188" spans="1:33" x14ac:dyDescent="0.25">
      <c r="A188" s="219" t="s">
        <v>455</v>
      </c>
      <c r="B188" s="169"/>
      <c r="C188" s="169"/>
      <c r="D188" s="197"/>
      <c r="E188" s="207"/>
      <c r="F188" s="169"/>
      <c r="G188" s="219" t="s">
        <v>455</v>
      </c>
      <c r="H188" s="169"/>
      <c r="I188" s="169"/>
      <c r="J188" s="169"/>
      <c r="K188" s="197"/>
      <c r="L188" s="169"/>
      <c r="M188" s="219" t="s">
        <v>645</v>
      </c>
      <c r="N188" s="169"/>
      <c r="O188" s="169"/>
      <c r="P188" s="169"/>
      <c r="Q188" s="169"/>
      <c r="R188" s="169"/>
      <c r="S188" s="169"/>
      <c r="T188" s="169"/>
      <c r="U188" s="169"/>
      <c r="V188" s="169"/>
      <c r="W188" s="169"/>
      <c r="X188" s="169"/>
      <c r="Y188" s="169"/>
      <c r="Z188" s="169"/>
      <c r="AA188" s="169"/>
      <c r="AB188" s="169"/>
      <c r="AC188" s="169"/>
      <c r="AD188" s="169"/>
      <c r="AE188" s="169"/>
      <c r="AF188" s="169"/>
      <c r="AG188" s="169"/>
    </row>
    <row r="189" spans="1:33" x14ac:dyDescent="0.25">
      <c r="A189" s="219" t="s">
        <v>278</v>
      </c>
      <c r="B189" s="169"/>
      <c r="C189" s="169"/>
      <c r="D189" s="197"/>
      <c r="E189" s="207"/>
      <c r="F189" s="169"/>
      <c r="G189" s="219" t="s">
        <v>278</v>
      </c>
      <c r="H189" s="169"/>
      <c r="I189" s="169"/>
      <c r="J189" s="169"/>
      <c r="K189" s="197"/>
      <c r="L189" s="169"/>
      <c r="M189" s="219" t="s">
        <v>278</v>
      </c>
      <c r="N189" s="169"/>
      <c r="O189" s="169"/>
      <c r="P189" s="169"/>
      <c r="Q189" s="169"/>
      <c r="R189" s="169"/>
      <c r="S189" s="169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9"/>
      <c r="AE189" s="169"/>
      <c r="AF189" s="169"/>
      <c r="AG189" s="169"/>
    </row>
    <row r="190" spans="1:33" x14ac:dyDescent="0.25">
      <c r="A190" s="219" t="s">
        <v>456</v>
      </c>
      <c r="B190" s="169"/>
      <c r="C190" s="169"/>
      <c r="D190" s="197"/>
      <c r="E190" s="207"/>
      <c r="F190" s="169"/>
      <c r="G190" s="219" t="s">
        <v>549</v>
      </c>
      <c r="H190" s="169"/>
      <c r="I190" s="169"/>
      <c r="J190" s="169"/>
      <c r="K190" s="197"/>
      <c r="L190" s="169"/>
      <c r="M190" s="219" t="s">
        <v>646</v>
      </c>
      <c r="N190" s="169"/>
      <c r="O190" s="169"/>
      <c r="P190" s="169"/>
      <c r="Q190" s="169"/>
      <c r="R190" s="169"/>
      <c r="S190" s="169"/>
      <c r="T190" s="169"/>
      <c r="U190" s="169"/>
      <c r="V190" s="169"/>
      <c r="W190" s="169"/>
      <c r="X190" s="169"/>
      <c r="Y190" s="169"/>
      <c r="Z190" s="169"/>
      <c r="AA190" s="169"/>
      <c r="AB190" s="169"/>
      <c r="AC190" s="169"/>
      <c r="AD190" s="169"/>
      <c r="AE190" s="169"/>
      <c r="AF190" s="169"/>
      <c r="AG190" s="169"/>
    </row>
    <row r="191" spans="1:33" ht="13" x14ac:dyDescent="0.3">
      <c r="A191" s="219" t="s">
        <v>457</v>
      </c>
      <c r="B191" s="169"/>
      <c r="C191" s="169"/>
      <c r="D191" s="197"/>
      <c r="E191" s="207"/>
      <c r="F191" s="169"/>
      <c r="G191" s="219" t="s">
        <v>550</v>
      </c>
      <c r="H191" s="169"/>
      <c r="I191" s="169"/>
      <c r="J191" s="169"/>
      <c r="K191" s="197"/>
      <c r="L191" s="169"/>
      <c r="M191" s="219" t="s">
        <v>647</v>
      </c>
      <c r="N191" s="169"/>
      <c r="O191" s="169"/>
      <c r="P191" s="169"/>
      <c r="Q191" s="169"/>
      <c r="R191" s="169"/>
      <c r="S191" s="220"/>
      <c r="T191" s="169"/>
      <c r="U191" s="169"/>
      <c r="V191" s="169"/>
      <c r="W191" s="169"/>
      <c r="X191" s="169"/>
      <c r="Y191" s="169"/>
      <c r="Z191" s="169"/>
      <c r="AA191" s="169"/>
      <c r="AB191" s="169"/>
      <c r="AC191" s="169"/>
      <c r="AD191" s="169"/>
      <c r="AE191" s="169"/>
      <c r="AF191" s="169"/>
      <c r="AG191" s="169"/>
    </row>
    <row r="192" spans="1:33" x14ac:dyDescent="0.25">
      <c r="A192" s="219"/>
      <c r="B192" s="169"/>
      <c r="C192" s="169"/>
      <c r="D192" s="197"/>
      <c r="E192" s="207"/>
      <c r="F192" s="169"/>
      <c r="G192" s="219"/>
      <c r="H192" s="169"/>
      <c r="I192" s="169"/>
      <c r="J192" s="169"/>
      <c r="K192" s="197"/>
      <c r="L192" s="169"/>
      <c r="M192" s="219"/>
      <c r="N192" s="169"/>
      <c r="O192" s="169"/>
      <c r="P192" s="169"/>
      <c r="Q192" s="169"/>
      <c r="R192" s="169"/>
      <c r="S192" s="169"/>
      <c r="T192" s="169"/>
      <c r="U192" s="169"/>
      <c r="V192" s="169"/>
      <c r="W192" s="169"/>
      <c r="X192" s="169"/>
      <c r="Y192" s="169"/>
      <c r="Z192" s="169"/>
      <c r="AA192" s="169"/>
      <c r="AB192" s="169"/>
      <c r="AC192" s="169"/>
      <c r="AD192" s="169"/>
      <c r="AE192" s="169"/>
      <c r="AF192" s="169"/>
      <c r="AG192" s="169"/>
    </row>
    <row r="193" spans="1:33" s="10" customFormat="1" ht="13" x14ac:dyDescent="0.3">
      <c r="A193" s="221" t="s">
        <v>267</v>
      </c>
      <c r="B193" s="220"/>
      <c r="C193" s="220"/>
      <c r="D193" s="223"/>
      <c r="E193" s="222"/>
      <c r="F193" s="220"/>
      <c r="G193" s="221" t="s">
        <v>267</v>
      </c>
      <c r="H193" s="220"/>
      <c r="I193" s="220"/>
      <c r="J193" s="220"/>
      <c r="K193" s="223"/>
      <c r="L193" s="220"/>
      <c r="M193" s="221" t="s">
        <v>267</v>
      </c>
      <c r="N193" s="220"/>
      <c r="O193" s="220"/>
      <c r="P193" s="220"/>
      <c r="Q193" s="220"/>
      <c r="R193" s="220"/>
      <c r="S193" s="169"/>
      <c r="T193" s="220"/>
      <c r="U193" s="220"/>
      <c r="V193" s="220"/>
      <c r="W193" s="220"/>
      <c r="X193" s="220"/>
      <c r="Y193" s="220"/>
      <c r="Z193" s="220"/>
      <c r="AA193" s="220"/>
      <c r="AB193" s="220"/>
      <c r="AC193" s="220"/>
      <c r="AD193" s="220"/>
      <c r="AE193" s="220"/>
      <c r="AF193" s="220"/>
      <c r="AG193" s="220"/>
    </row>
    <row r="194" spans="1:33" x14ac:dyDescent="0.25">
      <c r="A194" s="219" t="s">
        <v>458</v>
      </c>
      <c r="B194" s="169"/>
      <c r="C194" s="169"/>
      <c r="D194" s="197"/>
      <c r="E194" s="207"/>
      <c r="F194" s="169"/>
      <c r="G194" s="219" t="s">
        <v>458</v>
      </c>
      <c r="H194" s="169"/>
      <c r="I194" s="169"/>
      <c r="J194" s="169"/>
      <c r="K194" s="197"/>
      <c r="L194" s="169"/>
      <c r="M194" s="219" t="s">
        <v>648</v>
      </c>
      <c r="N194" s="169"/>
      <c r="O194" s="169"/>
      <c r="P194" s="169"/>
      <c r="Q194" s="169"/>
      <c r="R194" s="169"/>
      <c r="S194" s="169"/>
      <c r="T194" s="169"/>
      <c r="U194" s="169"/>
      <c r="V194" s="169"/>
      <c r="W194" s="169"/>
      <c r="X194" s="169"/>
      <c r="Y194" s="169"/>
      <c r="Z194" s="169"/>
      <c r="AA194" s="169"/>
      <c r="AB194" s="169"/>
      <c r="AC194" s="169"/>
      <c r="AD194" s="169"/>
      <c r="AE194" s="169"/>
      <c r="AF194" s="169"/>
      <c r="AG194" s="169"/>
    </row>
    <row r="195" spans="1:33" x14ac:dyDescent="0.25">
      <c r="A195" s="219" t="s">
        <v>459</v>
      </c>
      <c r="B195" s="169"/>
      <c r="C195" s="169"/>
      <c r="D195" s="197"/>
      <c r="E195" s="207"/>
      <c r="F195" s="169"/>
      <c r="G195" s="219" t="s">
        <v>459</v>
      </c>
      <c r="H195" s="169"/>
      <c r="I195" s="169"/>
      <c r="J195" s="169"/>
      <c r="K195" s="197"/>
      <c r="L195" s="169"/>
      <c r="M195" s="219" t="s">
        <v>649</v>
      </c>
      <c r="N195" s="169"/>
      <c r="O195" s="169"/>
      <c r="P195" s="169"/>
      <c r="Q195" s="169"/>
      <c r="R195" s="169"/>
      <c r="S195" s="169"/>
      <c r="T195" s="169"/>
      <c r="U195" s="169"/>
      <c r="V195" s="169"/>
      <c r="W195" s="169"/>
      <c r="X195" s="169"/>
      <c r="Y195" s="169"/>
      <c r="Z195" s="169"/>
      <c r="AA195" s="169"/>
      <c r="AB195" s="169"/>
      <c r="AC195" s="169"/>
      <c r="AD195" s="169"/>
      <c r="AE195" s="169"/>
      <c r="AF195" s="169"/>
      <c r="AG195" s="169"/>
    </row>
    <row r="196" spans="1:33" x14ac:dyDescent="0.25">
      <c r="A196" s="219" t="s">
        <v>460</v>
      </c>
      <c r="B196" s="169"/>
      <c r="C196" s="169"/>
      <c r="D196" s="197"/>
      <c r="E196" s="207"/>
      <c r="F196" s="169"/>
      <c r="G196" s="219" t="s">
        <v>460</v>
      </c>
      <c r="H196" s="169"/>
      <c r="I196" s="169"/>
      <c r="J196" s="169"/>
      <c r="K196" s="197"/>
      <c r="L196" s="169"/>
      <c r="M196" s="219" t="s">
        <v>650</v>
      </c>
      <c r="N196" s="169"/>
      <c r="O196" s="169"/>
      <c r="P196" s="169"/>
      <c r="Q196" s="169"/>
      <c r="R196" s="169"/>
      <c r="S196" s="169"/>
      <c r="T196" s="169"/>
      <c r="U196" s="169"/>
      <c r="V196" s="169"/>
      <c r="W196" s="169"/>
      <c r="X196" s="169"/>
      <c r="Y196" s="169"/>
      <c r="Z196" s="169"/>
      <c r="AA196" s="169"/>
      <c r="AB196" s="169"/>
      <c r="AC196" s="169"/>
      <c r="AD196" s="169"/>
      <c r="AE196" s="169"/>
      <c r="AF196" s="169"/>
      <c r="AG196" s="169"/>
    </row>
    <row r="197" spans="1:33" x14ac:dyDescent="0.25">
      <c r="A197" s="219" t="s">
        <v>278</v>
      </c>
      <c r="B197" s="169"/>
      <c r="C197" s="169"/>
      <c r="D197" s="197"/>
      <c r="E197" s="207"/>
      <c r="F197" s="169"/>
      <c r="G197" s="219" t="s">
        <v>278</v>
      </c>
      <c r="H197" s="169"/>
      <c r="I197" s="169"/>
      <c r="J197" s="169"/>
      <c r="K197" s="197"/>
      <c r="L197" s="169"/>
      <c r="M197" s="219" t="s">
        <v>278</v>
      </c>
      <c r="N197" s="169"/>
      <c r="O197" s="169"/>
      <c r="P197" s="169"/>
      <c r="Q197" s="169"/>
      <c r="R197" s="169"/>
      <c r="S197" s="169"/>
      <c r="T197" s="169"/>
      <c r="U197" s="169"/>
      <c r="V197" s="169"/>
      <c r="W197" s="169"/>
      <c r="X197" s="169"/>
      <c r="Y197" s="169"/>
      <c r="Z197" s="169"/>
      <c r="AA197" s="169"/>
      <c r="AB197" s="169"/>
      <c r="AC197" s="169"/>
      <c r="AD197" s="169"/>
      <c r="AE197" s="169"/>
      <c r="AF197" s="169"/>
      <c r="AG197" s="169"/>
    </row>
    <row r="198" spans="1:33" x14ac:dyDescent="0.25">
      <c r="A198" s="219" t="s">
        <v>461</v>
      </c>
      <c r="B198" s="169"/>
      <c r="C198" s="169"/>
      <c r="D198" s="197"/>
      <c r="E198" s="207"/>
      <c r="F198" s="169"/>
      <c r="G198" s="219" t="s">
        <v>551</v>
      </c>
      <c r="H198" s="169"/>
      <c r="I198" s="169"/>
      <c r="J198" s="169"/>
      <c r="K198" s="197"/>
      <c r="L198" s="169"/>
      <c r="M198" s="219" t="s">
        <v>651</v>
      </c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</row>
    <row r="199" spans="1:33" ht="13" x14ac:dyDescent="0.3">
      <c r="A199" s="219" t="s">
        <v>462</v>
      </c>
      <c r="B199" s="169"/>
      <c r="C199" s="169"/>
      <c r="D199" s="197"/>
      <c r="E199" s="207"/>
      <c r="F199" s="169"/>
      <c r="G199" s="219" t="s">
        <v>552</v>
      </c>
      <c r="H199" s="169"/>
      <c r="I199" s="169"/>
      <c r="J199" s="169"/>
      <c r="K199" s="197"/>
      <c r="L199" s="169"/>
      <c r="M199" s="219" t="s">
        <v>652</v>
      </c>
      <c r="N199" s="169"/>
      <c r="O199" s="169"/>
      <c r="P199" s="169"/>
      <c r="Q199" s="169"/>
      <c r="R199" s="169"/>
      <c r="S199" s="220"/>
      <c r="T199" s="169"/>
      <c r="U199" s="169"/>
      <c r="V199" s="169"/>
      <c r="W199" s="169"/>
      <c r="X199" s="169"/>
      <c r="Y199" s="169"/>
      <c r="Z199" s="169"/>
      <c r="AA199" s="169"/>
      <c r="AB199" s="169"/>
      <c r="AC199" s="169"/>
      <c r="AD199" s="169"/>
      <c r="AE199" s="169"/>
      <c r="AF199" s="169"/>
      <c r="AG199" s="169"/>
    </row>
    <row r="200" spans="1:33" x14ac:dyDescent="0.25">
      <c r="A200" s="219"/>
      <c r="B200" s="169"/>
      <c r="C200" s="169"/>
      <c r="D200" s="197"/>
      <c r="E200" s="207"/>
      <c r="F200" s="169"/>
      <c r="G200" s="219"/>
      <c r="H200" s="169"/>
      <c r="I200" s="169"/>
      <c r="J200" s="169"/>
      <c r="K200" s="197"/>
      <c r="L200" s="169"/>
      <c r="M200" s="219"/>
      <c r="N200" s="169"/>
      <c r="O200" s="169"/>
      <c r="P200" s="169"/>
      <c r="Q200" s="169"/>
      <c r="R200" s="169"/>
      <c r="S200" s="169"/>
      <c r="T200" s="169"/>
      <c r="U200" s="169"/>
      <c r="V200" s="169"/>
      <c r="W200" s="169"/>
      <c r="X200" s="169"/>
      <c r="Y200" s="169"/>
      <c r="Z200" s="169"/>
      <c r="AA200" s="169"/>
      <c r="AB200" s="169"/>
      <c r="AC200" s="169"/>
      <c r="AD200" s="169"/>
      <c r="AE200" s="169"/>
      <c r="AF200" s="169"/>
      <c r="AG200" s="169"/>
    </row>
    <row r="201" spans="1:33" s="10" customFormat="1" ht="13" x14ac:dyDescent="0.3">
      <c r="A201" s="221" t="s">
        <v>268</v>
      </c>
      <c r="B201" s="220"/>
      <c r="C201" s="220"/>
      <c r="D201" s="223"/>
      <c r="E201" s="222"/>
      <c r="F201" s="220"/>
      <c r="G201" s="221" t="s">
        <v>268</v>
      </c>
      <c r="H201" s="220"/>
      <c r="I201" s="220"/>
      <c r="J201" s="220"/>
      <c r="K201" s="223"/>
      <c r="L201" s="220"/>
      <c r="M201" s="221" t="s">
        <v>268</v>
      </c>
      <c r="N201" s="220"/>
      <c r="O201" s="220"/>
      <c r="P201" s="220"/>
      <c r="Q201" s="220"/>
      <c r="R201" s="220"/>
      <c r="S201" s="169"/>
      <c r="T201" s="220"/>
      <c r="U201" s="220"/>
      <c r="V201" s="220"/>
      <c r="W201" s="220"/>
      <c r="X201" s="220"/>
      <c r="Y201" s="220"/>
      <c r="Z201" s="220"/>
      <c r="AA201" s="220"/>
      <c r="AB201" s="220"/>
      <c r="AC201" s="220"/>
      <c r="AD201" s="220"/>
      <c r="AE201" s="220"/>
      <c r="AF201" s="220"/>
      <c r="AG201" s="220"/>
    </row>
    <row r="202" spans="1:33" x14ac:dyDescent="0.25">
      <c r="A202" s="219" t="s">
        <v>463</v>
      </c>
      <c r="B202" s="169"/>
      <c r="C202" s="169"/>
      <c r="D202" s="197"/>
      <c r="E202" s="207"/>
      <c r="F202" s="169"/>
      <c r="G202" s="219" t="s">
        <v>463</v>
      </c>
      <c r="H202" s="169"/>
      <c r="I202" s="169"/>
      <c r="J202" s="169"/>
      <c r="K202" s="197"/>
      <c r="L202" s="169"/>
      <c r="M202" s="219" t="s">
        <v>653</v>
      </c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</row>
    <row r="203" spans="1:33" x14ac:dyDescent="0.25">
      <c r="A203" s="219" t="s">
        <v>464</v>
      </c>
      <c r="B203" s="169"/>
      <c r="C203" s="169"/>
      <c r="D203" s="197"/>
      <c r="E203" s="207"/>
      <c r="F203" s="169"/>
      <c r="G203" s="219" t="s">
        <v>464</v>
      </c>
      <c r="H203" s="169"/>
      <c r="I203" s="169"/>
      <c r="J203" s="169"/>
      <c r="K203" s="197"/>
      <c r="L203" s="169"/>
      <c r="M203" s="219" t="s">
        <v>654</v>
      </c>
      <c r="N203" s="169"/>
      <c r="O203" s="169"/>
      <c r="P203" s="169"/>
      <c r="Q203" s="169"/>
      <c r="R203" s="169"/>
      <c r="S203" s="169"/>
      <c r="T203" s="169"/>
      <c r="U203" s="169"/>
      <c r="V203" s="169"/>
      <c r="W203" s="169"/>
      <c r="X203" s="169"/>
      <c r="Y203" s="169"/>
      <c r="Z203" s="169"/>
      <c r="AA203" s="169"/>
      <c r="AB203" s="169"/>
      <c r="AC203" s="169"/>
      <c r="AD203" s="169"/>
      <c r="AE203" s="169"/>
      <c r="AF203" s="169"/>
      <c r="AG203" s="169"/>
    </row>
    <row r="204" spans="1:33" x14ac:dyDescent="0.25">
      <c r="A204" s="219" t="s">
        <v>465</v>
      </c>
      <c r="B204" s="169"/>
      <c r="C204" s="169"/>
      <c r="D204" s="197"/>
      <c r="E204" s="207"/>
      <c r="F204" s="169"/>
      <c r="G204" s="219" t="s">
        <v>465</v>
      </c>
      <c r="H204" s="169"/>
      <c r="I204" s="169"/>
      <c r="J204" s="169"/>
      <c r="K204" s="197"/>
      <c r="L204" s="169"/>
      <c r="M204" s="219" t="s">
        <v>655</v>
      </c>
      <c r="N204" s="169"/>
      <c r="O204" s="169"/>
      <c r="P204" s="169"/>
      <c r="Q204" s="169"/>
      <c r="R204" s="169"/>
      <c r="S204" s="169"/>
      <c r="T204" s="169"/>
      <c r="U204" s="169"/>
      <c r="V204" s="169"/>
      <c r="W204" s="169"/>
      <c r="X204" s="169"/>
      <c r="Y204" s="169"/>
      <c r="Z204" s="169"/>
      <c r="AA204" s="169"/>
      <c r="AB204" s="169"/>
      <c r="AC204" s="169"/>
      <c r="AD204" s="169"/>
      <c r="AE204" s="169"/>
      <c r="AF204" s="169"/>
      <c r="AG204" s="169"/>
    </row>
    <row r="205" spans="1:33" x14ac:dyDescent="0.25">
      <c r="A205" s="219" t="s">
        <v>278</v>
      </c>
      <c r="B205" s="169"/>
      <c r="C205" s="169"/>
      <c r="D205" s="197"/>
      <c r="E205" s="207"/>
      <c r="F205" s="169"/>
      <c r="G205" s="219" t="s">
        <v>278</v>
      </c>
      <c r="H205" s="169"/>
      <c r="I205" s="169"/>
      <c r="J205" s="169"/>
      <c r="K205" s="197"/>
      <c r="L205" s="169"/>
      <c r="M205" s="219" t="s">
        <v>278</v>
      </c>
      <c r="N205" s="169"/>
      <c r="O205" s="169"/>
      <c r="P205" s="169"/>
      <c r="Q205" s="169"/>
      <c r="R205" s="169"/>
      <c r="S205" s="169"/>
      <c r="T205" s="169"/>
      <c r="U205" s="169"/>
      <c r="V205" s="169"/>
      <c r="W205" s="169"/>
      <c r="X205" s="169"/>
      <c r="Y205" s="169"/>
      <c r="Z205" s="169"/>
      <c r="AA205" s="169"/>
      <c r="AB205" s="169"/>
      <c r="AC205" s="169"/>
      <c r="AD205" s="169"/>
      <c r="AE205" s="169"/>
      <c r="AF205" s="169"/>
      <c r="AG205" s="169"/>
    </row>
    <row r="206" spans="1:33" x14ac:dyDescent="0.25">
      <c r="A206" s="219" t="s">
        <v>466</v>
      </c>
      <c r="B206" s="169"/>
      <c r="C206" s="169"/>
      <c r="D206" s="197"/>
      <c r="E206" s="207"/>
      <c r="F206" s="169"/>
      <c r="G206" s="219" t="s">
        <v>553</v>
      </c>
      <c r="H206" s="169"/>
      <c r="I206" s="169"/>
      <c r="J206" s="169"/>
      <c r="K206" s="197"/>
      <c r="L206" s="169"/>
      <c r="M206" s="219" t="s">
        <v>656</v>
      </c>
      <c r="N206" s="169"/>
      <c r="O206" s="169"/>
      <c r="P206" s="169"/>
      <c r="Q206" s="169"/>
      <c r="R206" s="169"/>
      <c r="S206" s="169"/>
      <c r="T206" s="169"/>
      <c r="U206" s="169"/>
      <c r="V206" s="169"/>
      <c r="W206" s="169"/>
      <c r="X206" s="169"/>
      <c r="Y206" s="169"/>
      <c r="Z206" s="169"/>
      <c r="AA206" s="169"/>
      <c r="AB206" s="169"/>
      <c r="AC206" s="169"/>
      <c r="AD206" s="169"/>
      <c r="AE206" s="169"/>
      <c r="AF206" s="169"/>
      <c r="AG206" s="169"/>
    </row>
    <row r="207" spans="1:33" ht="13" x14ac:dyDescent="0.3">
      <c r="A207" s="219" t="s">
        <v>467</v>
      </c>
      <c r="B207" s="169"/>
      <c r="C207" s="169"/>
      <c r="D207" s="197"/>
      <c r="E207" s="207"/>
      <c r="F207" s="169"/>
      <c r="G207" s="219" t="s">
        <v>554</v>
      </c>
      <c r="H207" s="169"/>
      <c r="I207" s="169"/>
      <c r="J207" s="169"/>
      <c r="K207" s="197"/>
      <c r="L207" s="169"/>
      <c r="M207" s="219" t="s">
        <v>657</v>
      </c>
      <c r="N207" s="169"/>
      <c r="O207" s="169"/>
      <c r="P207" s="169"/>
      <c r="Q207" s="169"/>
      <c r="R207" s="169"/>
      <c r="S207" s="220"/>
      <c r="T207" s="169"/>
      <c r="U207" s="169"/>
      <c r="V207" s="169"/>
      <c r="W207" s="169"/>
      <c r="X207" s="169"/>
      <c r="Y207" s="169"/>
      <c r="Z207" s="169"/>
      <c r="AA207" s="169"/>
      <c r="AB207" s="169"/>
      <c r="AC207" s="169"/>
      <c r="AD207" s="169"/>
      <c r="AE207" s="169"/>
      <c r="AF207" s="169"/>
      <c r="AG207" s="169"/>
    </row>
    <row r="208" spans="1:33" x14ac:dyDescent="0.25">
      <c r="A208" s="219"/>
      <c r="B208" s="169"/>
      <c r="C208" s="169"/>
      <c r="D208" s="197"/>
      <c r="E208" s="207"/>
      <c r="F208" s="169"/>
      <c r="G208" s="219"/>
      <c r="H208" s="169"/>
      <c r="I208" s="169"/>
      <c r="J208" s="169"/>
      <c r="K208" s="197"/>
      <c r="L208" s="169"/>
      <c r="M208" s="219"/>
      <c r="N208" s="169"/>
      <c r="O208" s="169"/>
      <c r="P208" s="169"/>
      <c r="Q208" s="169"/>
      <c r="R208" s="169"/>
      <c r="S208" s="169"/>
      <c r="T208" s="169"/>
      <c r="U208" s="169"/>
      <c r="V208" s="169"/>
      <c r="W208" s="169"/>
      <c r="X208" s="169"/>
      <c r="Y208" s="169"/>
      <c r="Z208" s="169"/>
      <c r="AA208" s="169"/>
      <c r="AB208" s="169"/>
      <c r="AC208" s="169"/>
      <c r="AD208" s="169"/>
      <c r="AE208" s="169"/>
      <c r="AF208" s="169"/>
      <c r="AG208" s="169"/>
    </row>
    <row r="209" spans="1:33" s="10" customFormat="1" ht="13" x14ac:dyDescent="0.3">
      <c r="A209" s="221" t="s">
        <v>269</v>
      </c>
      <c r="B209" s="220"/>
      <c r="C209" s="220"/>
      <c r="D209" s="223"/>
      <c r="E209" s="222"/>
      <c r="F209" s="220"/>
      <c r="G209" s="221" t="s">
        <v>269</v>
      </c>
      <c r="H209" s="220"/>
      <c r="I209" s="220"/>
      <c r="J209" s="220"/>
      <c r="K209" s="223"/>
      <c r="L209" s="220"/>
      <c r="M209" s="221" t="s">
        <v>269</v>
      </c>
      <c r="N209" s="220"/>
      <c r="O209" s="220"/>
      <c r="P209" s="220"/>
      <c r="Q209" s="220"/>
      <c r="R209" s="220"/>
      <c r="S209" s="169"/>
      <c r="T209" s="220"/>
      <c r="U209" s="220"/>
      <c r="V209" s="220"/>
      <c r="W209" s="220"/>
      <c r="X209" s="220"/>
      <c r="Y209" s="220"/>
      <c r="Z209" s="220"/>
      <c r="AA209" s="220"/>
      <c r="AB209" s="220"/>
      <c r="AC209" s="220"/>
      <c r="AD209" s="220"/>
      <c r="AE209" s="220"/>
      <c r="AF209" s="220"/>
      <c r="AG209" s="220"/>
    </row>
    <row r="210" spans="1:33" x14ac:dyDescent="0.25">
      <c r="A210" s="219" t="s">
        <v>468</v>
      </c>
      <c r="B210" s="169"/>
      <c r="C210" s="169"/>
      <c r="D210" s="197"/>
      <c r="E210" s="207"/>
      <c r="F210" s="169"/>
      <c r="G210" s="219" t="s">
        <v>468</v>
      </c>
      <c r="H210" s="169"/>
      <c r="I210" s="169"/>
      <c r="J210" s="169"/>
      <c r="K210" s="197"/>
      <c r="L210" s="169"/>
      <c r="M210" s="219" t="s">
        <v>658</v>
      </c>
      <c r="N210" s="169"/>
      <c r="O210" s="169"/>
      <c r="P210" s="169"/>
      <c r="Q210" s="169"/>
      <c r="R210" s="169"/>
      <c r="S210" s="169"/>
      <c r="T210" s="169"/>
      <c r="U210" s="169"/>
      <c r="V210" s="169"/>
      <c r="W210" s="169"/>
      <c r="X210" s="169"/>
      <c r="Y210" s="169"/>
      <c r="Z210" s="169"/>
      <c r="AA210" s="169"/>
      <c r="AB210" s="169"/>
      <c r="AC210" s="169"/>
      <c r="AD210" s="169"/>
      <c r="AE210" s="169"/>
      <c r="AF210" s="169"/>
      <c r="AG210" s="169"/>
    </row>
    <row r="211" spans="1:33" x14ac:dyDescent="0.25">
      <c r="A211" s="219" t="s">
        <v>469</v>
      </c>
      <c r="B211" s="169"/>
      <c r="C211" s="169"/>
      <c r="D211" s="197"/>
      <c r="E211" s="207"/>
      <c r="F211" s="169"/>
      <c r="G211" s="219" t="s">
        <v>469</v>
      </c>
      <c r="H211" s="169"/>
      <c r="I211" s="169"/>
      <c r="J211" s="169"/>
      <c r="K211" s="197"/>
      <c r="L211" s="169"/>
      <c r="M211" s="219" t="s">
        <v>659</v>
      </c>
      <c r="N211" s="169"/>
      <c r="O211" s="169"/>
      <c r="P211" s="169"/>
      <c r="Q211" s="169"/>
      <c r="R211" s="169"/>
      <c r="S211" s="169"/>
      <c r="T211" s="169"/>
      <c r="U211" s="169"/>
      <c r="V211" s="169"/>
      <c r="W211" s="169"/>
      <c r="X211" s="169"/>
      <c r="Y211" s="169"/>
      <c r="Z211" s="169"/>
      <c r="AA211" s="169"/>
      <c r="AB211" s="169"/>
      <c r="AC211" s="169"/>
      <c r="AD211" s="169"/>
      <c r="AE211" s="169"/>
      <c r="AF211" s="169"/>
      <c r="AG211" s="169"/>
    </row>
    <row r="212" spans="1:33" x14ac:dyDescent="0.25">
      <c r="A212" s="219" t="s">
        <v>470</v>
      </c>
      <c r="B212" s="169"/>
      <c r="C212" s="169"/>
      <c r="D212" s="197"/>
      <c r="E212" s="207"/>
      <c r="F212" s="169"/>
      <c r="G212" s="219" t="s">
        <v>470</v>
      </c>
      <c r="H212" s="169"/>
      <c r="I212" s="169"/>
      <c r="J212" s="169"/>
      <c r="K212" s="197"/>
      <c r="L212" s="169"/>
      <c r="M212" s="219" t="s">
        <v>660</v>
      </c>
      <c r="N212" s="169"/>
      <c r="O212" s="169"/>
      <c r="P212" s="169"/>
      <c r="Q212" s="169"/>
      <c r="R212" s="169"/>
      <c r="S212" s="169"/>
      <c r="T212" s="169"/>
      <c r="U212" s="169"/>
      <c r="V212" s="169"/>
      <c r="W212" s="169"/>
      <c r="X212" s="169"/>
      <c r="Y212" s="169"/>
      <c r="Z212" s="169"/>
      <c r="AA212" s="169"/>
      <c r="AB212" s="169"/>
      <c r="AC212" s="169"/>
      <c r="AD212" s="169"/>
      <c r="AE212" s="169"/>
      <c r="AF212" s="169"/>
      <c r="AG212" s="169"/>
    </row>
    <row r="213" spans="1:33" x14ac:dyDescent="0.25">
      <c r="A213" s="219" t="s">
        <v>278</v>
      </c>
      <c r="B213" s="169"/>
      <c r="C213" s="169"/>
      <c r="D213" s="197"/>
      <c r="E213" s="207"/>
      <c r="F213" s="169"/>
      <c r="G213" s="219" t="s">
        <v>278</v>
      </c>
      <c r="H213" s="169"/>
      <c r="I213" s="169"/>
      <c r="J213" s="169"/>
      <c r="K213" s="197"/>
      <c r="L213" s="169"/>
      <c r="M213" s="219" t="s">
        <v>278</v>
      </c>
      <c r="N213" s="169"/>
      <c r="O213" s="169"/>
      <c r="P213" s="169"/>
      <c r="Q213" s="169"/>
      <c r="R213" s="169"/>
      <c r="S213" s="169"/>
      <c r="T213" s="169"/>
      <c r="U213" s="169"/>
      <c r="V213" s="169"/>
      <c r="W213" s="169"/>
      <c r="X213" s="169"/>
      <c r="Y213" s="169"/>
      <c r="Z213" s="169"/>
      <c r="AA213" s="169"/>
      <c r="AB213" s="169"/>
      <c r="AC213" s="169"/>
      <c r="AD213" s="169"/>
      <c r="AE213" s="169"/>
      <c r="AF213" s="169"/>
      <c r="AG213" s="169"/>
    </row>
    <row r="214" spans="1:33" x14ac:dyDescent="0.25">
      <c r="A214" s="219" t="s">
        <v>471</v>
      </c>
      <c r="B214" s="169"/>
      <c r="C214" s="169"/>
      <c r="D214" s="197"/>
      <c r="E214" s="207"/>
      <c r="F214" s="169"/>
      <c r="G214" s="219" t="s">
        <v>555</v>
      </c>
      <c r="H214" s="169"/>
      <c r="I214" s="169"/>
      <c r="J214" s="169"/>
      <c r="K214" s="197"/>
      <c r="L214" s="169"/>
      <c r="M214" s="219" t="s">
        <v>661</v>
      </c>
      <c r="N214" s="169"/>
      <c r="O214" s="169"/>
      <c r="P214" s="169"/>
      <c r="Q214" s="169"/>
      <c r="R214" s="169"/>
      <c r="S214" s="169"/>
      <c r="T214" s="169"/>
      <c r="U214" s="169"/>
      <c r="V214" s="169"/>
      <c r="W214" s="169"/>
      <c r="X214" s="169"/>
      <c r="Y214" s="169"/>
      <c r="Z214" s="169"/>
      <c r="AA214" s="169"/>
      <c r="AB214" s="169"/>
      <c r="AC214" s="169"/>
      <c r="AD214" s="169"/>
      <c r="AE214" s="169"/>
      <c r="AF214" s="169"/>
      <c r="AG214" s="169"/>
    </row>
    <row r="215" spans="1:33" ht="13" x14ac:dyDescent="0.3">
      <c r="A215" s="219" t="s">
        <v>472</v>
      </c>
      <c r="B215" s="169"/>
      <c r="C215" s="169"/>
      <c r="D215" s="197"/>
      <c r="E215" s="207"/>
      <c r="F215" s="169"/>
      <c r="G215" s="219" t="s">
        <v>556</v>
      </c>
      <c r="H215" s="169"/>
      <c r="I215" s="169"/>
      <c r="J215" s="169"/>
      <c r="K215" s="197"/>
      <c r="L215" s="169"/>
      <c r="M215" s="219" t="s">
        <v>662</v>
      </c>
      <c r="N215" s="169"/>
      <c r="O215" s="169"/>
      <c r="P215" s="169"/>
      <c r="Q215" s="169"/>
      <c r="R215" s="169"/>
      <c r="S215" s="220"/>
      <c r="T215" s="169"/>
      <c r="U215" s="169"/>
      <c r="V215" s="169"/>
      <c r="W215" s="169"/>
      <c r="X215" s="169"/>
      <c r="Y215" s="169"/>
      <c r="Z215" s="169"/>
      <c r="AA215" s="169"/>
      <c r="AB215" s="169"/>
      <c r="AC215" s="169"/>
      <c r="AD215" s="169"/>
      <c r="AE215" s="169"/>
      <c r="AF215" s="169"/>
      <c r="AG215" s="169"/>
    </row>
    <row r="216" spans="1:33" x14ac:dyDescent="0.25">
      <c r="A216" s="219"/>
      <c r="B216" s="169"/>
      <c r="C216" s="169"/>
      <c r="D216" s="197"/>
      <c r="E216" s="207"/>
      <c r="F216" s="169"/>
      <c r="G216" s="219"/>
      <c r="H216" s="169"/>
      <c r="I216" s="169"/>
      <c r="J216" s="169"/>
      <c r="K216" s="197"/>
      <c r="L216" s="169"/>
      <c r="M216" s="219"/>
      <c r="N216" s="169"/>
      <c r="O216" s="169"/>
      <c r="P216" s="169"/>
      <c r="Q216" s="169"/>
      <c r="R216" s="169"/>
      <c r="S216" s="169"/>
      <c r="T216" s="169"/>
      <c r="U216" s="169"/>
      <c r="V216" s="169"/>
      <c r="W216" s="169"/>
      <c r="X216" s="169"/>
      <c r="Y216" s="169"/>
      <c r="Z216" s="169"/>
      <c r="AA216" s="169"/>
      <c r="AB216" s="169"/>
      <c r="AC216" s="169"/>
      <c r="AD216" s="169"/>
      <c r="AE216" s="169"/>
      <c r="AF216" s="169"/>
      <c r="AG216" s="169"/>
    </row>
    <row r="217" spans="1:33" ht="13" x14ac:dyDescent="0.3">
      <c r="A217" s="221" t="s">
        <v>270</v>
      </c>
      <c r="B217" s="169"/>
      <c r="C217" s="169"/>
      <c r="D217" s="197"/>
      <c r="E217" s="207"/>
      <c r="F217" s="169"/>
      <c r="G217" s="221" t="s">
        <v>270</v>
      </c>
      <c r="H217" s="169"/>
      <c r="I217" s="169"/>
      <c r="J217" s="169"/>
      <c r="K217" s="197"/>
      <c r="L217" s="169"/>
      <c r="M217" s="219" t="s">
        <v>514</v>
      </c>
      <c r="N217" s="169"/>
      <c r="O217" s="169"/>
      <c r="P217" s="169"/>
      <c r="Q217" s="169"/>
      <c r="R217" s="169"/>
      <c r="S217" s="169"/>
      <c r="T217" s="169"/>
      <c r="U217" s="169"/>
      <c r="V217" s="169"/>
      <c r="W217" s="169"/>
      <c r="X217" s="169"/>
      <c r="Y217" s="169"/>
      <c r="Z217" s="169"/>
      <c r="AA217" s="169"/>
      <c r="AB217" s="169"/>
      <c r="AC217" s="169"/>
      <c r="AD217" s="169"/>
      <c r="AE217" s="169"/>
      <c r="AF217" s="169"/>
      <c r="AG217" s="169"/>
    </row>
    <row r="218" spans="1:33" x14ac:dyDescent="0.25">
      <c r="A218" s="219" t="s">
        <v>473</v>
      </c>
      <c r="B218" s="169"/>
      <c r="C218" s="169"/>
      <c r="D218" s="197"/>
      <c r="E218" s="207"/>
      <c r="F218" s="169"/>
      <c r="G218" s="219" t="s">
        <v>473</v>
      </c>
      <c r="H218" s="169"/>
      <c r="I218" s="169"/>
      <c r="J218" s="169"/>
      <c r="K218" s="197"/>
      <c r="L218" s="169"/>
      <c r="M218" s="169"/>
      <c r="N218" s="169"/>
      <c r="O218" s="169"/>
      <c r="P218" s="169"/>
      <c r="Q218" s="169"/>
      <c r="R218" s="169"/>
      <c r="S218" s="169"/>
      <c r="T218" s="169"/>
      <c r="U218" s="169"/>
      <c r="V218" s="169"/>
      <c r="W218" s="169"/>
      <c r="X218" s="169"/>
      <c r="Y218" s="169"/>
      <c r="Z218" s="169"/>
      <c r="AA218" s="169"/>
      <c r="AB218" s="169"/>
      <c r="AC218" s="169"/>
      <c r="AD218" s="169"/>
      <c r="AE218" s="169"/>
      <c r="AF218" s="169"/>
      <c r="AG218" s="169"/>
    </row>
    <row r="219" spans="1:33" x14ac:dyDescent="0.25">
      <c r="A219" s="219" t="s">
        <v>474</v>
      </c>
      <c r="B219" s="169"/>
      <c r="C219" s="169"/>
      <c r="D219" s="197"/>
      <c r="E219" s="207"/>
      <c r="F219" s="169"/>
      <c r="G219" s="219" t="s">
        <v>474</v>
      </c>
      <c r="H219" s="169"/>
      <c r="I219" s="169"/>
      <c r="J219" s="169"/>
      <c r="K219" s="197"/>
      <c r="L219" s="169"/>
      <c r="M219" s="169"/>
      <c r="N219" s="169"/>
      <c r="O219" s="169"/>
      <c r="P219" s="169"/>
      <c r="Q219" s="169"/>
      <c r="R219" s="169"/>
      <c r="S219" s="169"/>
      <c r="T219" s="169"/>
      <c r="U219" s="169"/>
      <c r="V219" s="169"/>
      <c r="W219" s="169"/>
      <c r="X219" s="169"/>
      <c r="Y219" s="169"/>
      <c r="Z219" s="169"/>
      <c r="AA219" s="169"/>
      <c r="AB219" s="169"/>
      <c r="AC219" s="169"/>
      <c r="AD219" s="169"/>
      <c r="AE219" s="169"/>
      <c r="AF219" s="169"/>
      <c r="AG219" s="169"/>
    </row>
    <row r="220" spans="1:33" x14ac:dyDescent="0.25">
      <c r="A220" s="219" t="s">
        <v>475</v>
      </c>
      <c r="B220" s="169"/>
      <c r="C220" s="169"/>
      <c r="D220" s="197"/>
      <c r="E220" s="207"/>
      <c r="F220" s="169"/>
      <c r="G220" s="219" t="s">
        <v>475</v>
      </c>
      <c r="H220" s="169"/>
      <c r="I220" s="169"/>
      <c r="J220" s="169"/>
      <c r="K220" s="197"/>
      <c r="L220" s="169"/>
      <c r="M220" s="17" t="s">
        <v>1298</v>
      </c>
      <c r="N220" s="169"/>
      <c r="O220" s="169"/>
      <c r="P220" s="169"/>
      <c r="Q220" s="169"/>
      <c r="R220" s="169"/>
      <c r="S220" s="169"/>
      <c r="T220" s="169"/>
      <c r="U220" s="169"/>
      <c r="V220" s="169"/>
      <c r="W220" s="169"/>
      <c r="X220" s="169"/>
      <c r="Y220" s="169"/>
      <c r="Z220" s="169"/>
      <c r="AA220" s="169"/>
      <c r="AB220" s="169"/>
      <c r="AC220" s="169"/>
      <c r="AD220" s="169"/>
      <c r="AE220" s="169"/>
      <c r="AF220" s="169"/>
      <c r="AG220" s="169"/>
    </row>
    <row r="221" spans="1:33" x14ac:dyDescent="0.25">
      <c r="A221" s="219" t="s">
        <v>278</v>
      </c>
      <c r="B221" s="169"/>
      <c r="C221" s="169"/>
      <c r="D221" s="197"/>
      <c r="E221" s="207"/>
      <c r="F221" s="169"/>
      <c r="G221" s="219" t="s">
        <v>278</v>
      </c>
      <c r="H221" s="169"/>
      <c r="I221" s="169"/>
      <c r="J221" s="169"/>
      <c r="K221" s="197"/>
      <c r="L221" s="169"/>
      <c r="M221" s="17" t="s">
        <v>1299</v>
      </c>
      <c r="N221" s="169"/>
      <c r="O221" s="169"/>
      <c r="P221" s="169"/>
      <c r="Q221" s="169"/>
      <c r="R221" s="169"/>
      <c r="S221" s="169"/>
      <c r="T221" s="169"/>
      <c r="U221" s="169"/>
      <c r="V221" s="169"/>
      <c r="W221" s="169"/>
      <c r="X221" s="169"/>
      <c r="Y221" s="169"/>
      <c r="Z221" s="169"/>
      <c r="AA221" s="169"/>
      <c r="AB221" s="169"/>
      <c r="AC221" s="169"/>
      <c r="AD221" s="169"/>
      <c r="AE221" s="169"/>
      <c r="AF221" s="169"/>
      <c r="AG221" s="169"/>
    </row>
    <row r="222" spans="1:33" x14ac:dyDescent="0.25">
      <c r="A222" s="219" t="s">
        <v>476</v>
      </c>
      <c r="B222" s="169"/>
      <c r="C222" s="169"/>
      <c r="D222" s="197"/>
      <c r="E222" s="207"/>
      <c r="F222" s="169"/>
      <c r="G222" s="219" t="s">
        <v>557</v>
      </c>
      <c r="H222" s="169"/>
      <c r="I222" s="169"/>
      <c r="J222" s="169"/>
      <c r="K222" s="197"/>
      <c r="L222" s="169"/>
      <c r="M222" s="17" t="s">
        <v>2563</v>
      </c>
      <c r="N222" s="169"/>
      <c r="O222" s="169"/>
      <c r="P222" s="169"/>
      <c r="Q222" s="169"/>
      <c r="R222" s="169"/>
      <c r="S222" s="169"/>
      <c r="T222" s="169"/>
      <c r="U222" s="169"/>
      <c r="V222" s="169"/>
      <c r="W222" s="169"/>
      <c r="X222" s="169"/>
      <c r="Y222" s="169"/>
      <c r="Z222" s="169"/>
      <c r="AA222" s="169"/>
      <c r="AB222" s="169"/>
      <c r="AC222" s="169"/>
      <c r="AD222" s="169"/>
      <c r="AE222" s="169"/>
      <c r="AF222" s="169"/>
      <c r="AG222" s="169"/>
    </row>
    <row r="223" spans="1:33" ht="13" x14ac:dyDescent="0.3">
      <c r="A223" s="219" t="s">
        <v>477</v>
      </c>
      <c r="B223" s="169"/>
      <c r="C223" s="169"/>
      <c r="D223" s="197"/>
      <c r="E223" s="207"/>
      <c r="F223" s="169"/>
      <c r="G223" s="219" t="s">
        <v>558</v>
      </c>
      <c r="H223" s="169"/>
      <c r="I223" s="169"/>
      <c r="J223" s="169"/>
      <c r="K223" s="197"/>
      <c r="L223" s="169"/>
      <c r="M223" s="17" t="s">
        <v>2564</v>
      </c>
      <c r="N223" s="169"/>
      <c r="O223" s="169"/>
      <c r="P223" s="169"/>
      <c r="Q223" s="169"/>
      <c r="R223" s="169"/>
      <c r="S223" s="220"/>
      <c r="T223" s="169"/>
      <c r="U223" s="169"/>
      <c r="V223" s="169"/>
      <c r="W223" s="169"/>
      <c r="X223" s="169"/>
      <c r="Y223" s="169"/>
      <c r="Z223" s="169"/>
      <c r="AA223" s="169"/>
      <c r="AB223" s="169"/>
      <c r="AC223" s="169"/>
      <c r="AD223" s="169"/>
      <c r="AE223" s="169"/>
      <c r="AF223" s="169"/>
      <c r="AG223" s="169"/>
    </row>
    <row r="224" spans="1:33" x14ac:dyDescent="0.25">
      <c r="A224" s="219"/>
      <c r="B224" s="169"/>
      <c r="C224" s="169"/>
      <c r="D224" s="197"/>
      <c r="E224" s="207"/>
      <c r="F224" s="169"/>
      <c r="G224" s="219"/>
      <c r="H224" s="169"/>
      <c r="I224" s="169"/>
      <c r="J224" s="169"/>
      <c r="K224" s="197"/>
      <c r="L224" s="169"/>
      <c r="M224" s="17" t="s">
        <v>1977</v>
      </c>
      <c r="N224" s="169"/>
      <c r="O224" s="169"/>
      <c r="P224" s="169"/>
      <c r="Q224" s="169"/>
      <c r="R224" s="169"/>
      <c r="S224" s="169"/>
      <c r="T224" s="169"/>
      <c r="U224" s="169"/>
      <c r="V224" s="169"/>
      <c r="W224" s="169"/>
      <c r="X224" s="169"/>
      <c r="Y224" s="169"/>
      <c r="Z224" s="169"/>
      <c r="AA224" s="169"/>
      <c r="AB224" s="169"/>
      <c r="AC224" s="169"/>
      <c r="AD224" s="169"/>
      <c r="AE224" s="169"/>
      <c r="AF224" s="169"/>
      <c r="AG224" s="169"/>
    </row>
    <row r="225" spans="1:33" s="10" customFormat="1" ht="13" x14ac:dyDescent="0.3">
      <c r="A225" s="221" t="s">
        <v>271</v>
      </c>
      <c r="B225" s="220"/>
      <c r="C225" s="220"/>
      <c r="D225" s="223"/>
      <c r="E225" s="222"/>
      <c r="F225" s="220"/>
      <c r="G225" s="221" t="s">
        <v>271</v>
      </c>
      <c r="H225" s="220"/>
      <c r="I225" s="220"/>
      <c r="J225" s="220"/>
      <c r="K225" s="223"/>
      <c r="L225" s="220"/>
      <c r="M225" s="10" t="s">
        <v>2565</v>
      </c>
      <c r="N225" s="220"/>
      <c r="O225" s="220"/>
      <c r="P225" s="220"/>
      <c r="Q225" s="220"/>
      <c r="R225" s="220"/>
      <c r="S225" s="169"/>
      <c r="T225" s="220"/>
      <c r="U225" s="220"/>
      <c r="V225" s="220"/>
      <c r="W225" s="220"/>
      <c r="X225" s="220"/>
      <c r="Y225" s="220"/>
      <c r="Z225" s="220"/>
      <c r="AA225" s="220"/>
      <c r="AB225" s="220"/>
      <c r="AC225" s="220"/>
      <c r="AD225" s="220"/>
      <c r="AE225" s="220"/>
      <c r="AF225" s="220"/>
      <c r="AG225" s="220"/>
    </row>
    <row r="226" spans="1:33" x14ac:dyDescent="0.25">
      <c r="A226" s="219" t="s">
        <v>478</v>
      </c>
      <c r="B226" s="169"/>
      <c r="C226" s="169"/>
      <c r="D226" s="197"/>
      <c r="E226" s="207"/>
      <c r="F226" s="169"/>
      <c r="G226" s="219" t="s">
        <v>478</v>
      </c>
      <c r="H226" s="169"/>
      <c r="I226" s="169"/>
      <c r="J226" s="169"/>
      <c r="K226" s="197"/>
      <c r="L226" s="169"/>
      <c r="M226" s="17" t="s">
        <v>2566</v>
      </c>
      <c r="N226" s="169"/>
      <c r="O226" s="169"/>
      <c r="P226" s="169"/>
      <c r="Q226" s="169"/>
      <c r="R226" s="169"/>
      <c r="S226" s="169"/>
      <c r="T226" s="169"/>
      <c r="U226" s="169"/>
      <c r="V226" s="169"/>
      <c r="W226" s="169"/>
      <c r="X226" s="169"/>
      <c r="Y226" s="169"/>
      <c r="Z226" s="169"/>
      <c r="AA226" s="169"/>
      <c r="AB226" s="169"/>
      <c r="AC226" s="169"/>
      <c r="AD226" s="169"/>
      <c r="AE226" s="169"/>
      <c r="AF226" s="169"/>
      <c r="AG226" s="169"/>
    </row>
    <row r="227" spans="1:33" x14ac:dyDescent="0.25">
      <c r="A227" s="219" t="s">
        <v>479</v>
      </c>
      <c r="B227" s="169"/>
      <c r="C227" s="169"/>
      <c r="D227" s="197"/>
      <c r="E227" s="207"/>
      <c r="F227" s="169"/>
      <c r="G227" s="219" t="s">
        <v>479</v>
      </c>
      <c r="H227" s="169"/>
      <c r="I227" s="169"/>
      <c r="J227" s="169"/>
      <c r="K227" s="197"/>
      <c r="L227" s="169"/>
      <c r="M227" s="17" t="s">
        <v>2567</v>
      </c>
      <c r="N227" s="169"/>
      <c r="O227" s="169"/>
      <c r="P227" s="169"/>
      <c r="Q227" s="169"/>
      <c r="R227" s="169"/>
      <c r="S227" s="169"/>
      <c r="T227" s="169"/>
      <c r="U227" s="169"/>
      <c r="V227" s="169"/>
      <c r="W227" s="169"/>
      <c r="X227" s="169"/>
      <c r="Y227" s="169"/>
      <c r="Z227" s="169"/>
      <c r="AA227" s="169"/>
      <c r="AB227" s="169"/>
      <c r="AC227" s="169"/>
      <c r="AD227" s="169"/>
      <c r="AE227" s="169"/>
      <c r="AF227" s="169"/>
      <c r="AG227" s="169"/>
    </row>
    <row r="228" spans="1:33" x14ac:dyDescent="0.25">
      <c r="A228" s="219" t="s">
        <v>480</v>
      </c>
      <c r="B228" s="169"/>
      <c r="C228" s="169"/>
      <c r="D228" s="197"/>
      <c r="E228" s="207"/>
      <c r="F228" s="169"/>
      <c r="G228" s="219" t="s">
        <v>480</v>
      </c>
      <c r="H228" s="169"/>
      <c r="I228" s="169"/>
      <c r="J228" s="169"/>
      <c r="K228" s="197"/>
      <c r="L228" s="169"/>
      <c r="M228" s="17" t="s">
        <v>2568</v>
      </c>
      <c r="N228" s="169"/>
      <c r="O228" s="169"/>
      <c r="P228" s="169"/>
      <c r="Q228" s="169"/>
      <c r="R228" s="169"/>
      <c r="S228" s="169"/>
      <c r="T228" s="169"/>
      <c r="U228" s="169"/>
      <c r="V228" s="169"/>
      <c r="W228" s="169"/>
      <c r="X228" s="169"/>
      <c r="Y228" s="169"/>
      <c r="Z228" s="169"/>
      <c r="AA228" s="169"/>
      <c r="AB228" s="169"/>
      <c r="AC228" s="169"/>
      <c r="AD228" s="169"/>
      <c r="AE228" s="169"/>
      <c r="AF228" s="169"/>
      <c r="AG228" s="169"/>
    </row>
    <row r="229" spans="1:33" x14ac:dyDescent="0.25">
      <c r="A229" s="219" t="s">
        <v>278</v>
      </c>
      <c r="B229" s="169"/>
      <c r="C229" s="169"/>
      <c r="D229" s="197"/>
      <c r="E229" s="207"/>
      <c r="F229" s="169"/>
      <c r="G229" s="219" t="s">
        <v>278</v>
      </c>
      <c r="H229" s="169"/>
      <c r="I229" s="169"/>
      <c r="J229" s="169"/>
      <c r="K229" s="197"/>
      <c r="L229" s="169"/>
      <c r="M229" s="17" t="s">
        <v>2569</v>
      </c>
      <c r="N229" s="169"/>
      <c r="O229" s="169"/>
      <c r="P229" s="169"/>
      <c r="Q229" s="169"/>
      <c r="R229" s="169"/>
      <c r="S229" s="169"/>
      <c r="T229" s="169"/>
      <c r="U229" s="169"/>
      <c r="V229" s="169"/>
      <c r="W229" s="169"/>
      <c r="X229" s="169"/>
      <c r="Y229" s="169"/>
      <c r="Z229" s="169"/>
      <c r="AA229" s="169"/>
      <c r="AB229" s="169"/>
      <c r="AC229" s="169"/>
      <c r="AD229" s="169"/>
      <c r="AE229" s="169"/>
      <c r="AF229" s="169"/>
      <c r="AG229" s="169"/>
    </row>
    <row r="230" spans="1:33" x14ac:dyDescent="0.25">
      <c r="A230" s="219" t="s">
        <v>481</v>
      </c>
      <c r="B230" s="169"/>
      <c r="C230" s="169"/>
      <c r="D230" s="197"/>
      <c r="E230" s="207"/>
      <c r="F230" s="169"/>
      <c r="G230" s="219" t="s">
        <v>559</v>
      </c>
      <c r="H230" s="169"/>
      <c r="I230" s="169"/>
      <c r="J230" s="169"/>
      <c r="K230" s="197"/>
      <c r="L230" s="169"/>
      <c r="M230" s="17" t="s">
        <v>2570</v>
      </c>
      <c r="N230" s="169"/>
      <c r="O230" s="169"/>
      <c r="P230" s="169"/>
      <c r="Q230" s="169"/>
      <c r="R230" s="169"/>
      <c r="S230" s="169"/>
      <c r="T230" s="169"/>
      <c r="U230" s="169"/>
      <c r="V230" s="169"/>
      <c r="W230" s="169"/>
      <c r="X230" s="169"/>
      <c r="Y230" s="169"/>
      <c r="Z230" s="169"/>
      <c r="AA230" s="169"/>
      <c r="AB230" s="169"/>
      <c r="AC230" s="169"/>
      <c r="AD230" s="169"/>
      <c r="AE230" s="169"/>
      <c r="AF230" s="169"/>
      <c r="AG230" s="169"/>
    </row>
    <row r="231" spans="1:33" ht="13" x14ac:dyDescent="0.3">
      <c r="A231" s="219" t="s">
        <v>482</v>
      </c>
      <c r="B231" s="169"/>
      <c r="C231" s="169"/>
      <c r="D231" s="197"/>
      <c r="E231" s="207"/>
      <c r="F231" s="169"/>
      <c r="G231" s="219" t="s">
        <v>560</v>
      </c>
      <c r="H231" s="169"/>
      <c r="I231" s="169"/>
      <c r="J231" s="169"/>
      <c r="K231" s="197"/>
      <c r="L231" s="169"/>
      <c r="M231" s="17" t="s">
        <v>2571</v>
      </c>
      <c r="N231" s="169"/>
      <c r="O231" s="169"/>
      <c r="P231" s="169"/>
      <c r="Q231" s="169"/>
      <c r="R231" s="169"/>
      <c r="S231" s="220"/>
      <c r="T231" s="169"/>
      <c r="U231" s="169"/>
      <c r="V231" s="169"/>
      <c r="W231" s="169"/>
      <c r="X231" s="169"/>
      <c r="Y231" s="169"/>
      <c r="Z231" s="169"/>
      <c r="AA231" s="169"/>
      <c r="AB231" s="169"/>
      <c r="AC231" s="169"/>
      <c r="AD231" s="169"/>
      <c r="AE231" s="169"/>
      <c r="AF231" s="169"/>
      <c r="AG231" s="169"/>
    </row>
    <row r="232" spans="1:33" x14ac:dyDescent="0.25">
      <c r="A232" s="219"/>
      <c r="B232" s="169"/>
      <c r="C232" s="169"/>
      <c r="D232" s="197"/>
      <c r="E232" s="207"/>
      <c r="F232" s="169"/>
      <c r="G232" s="219"/>
      <c r="H232" s="169"/>
      <c r="I232" s="169"/>
      <c r="J232" s="169"/>
      <c r="K232" s="197"/>
      <c r="L232" s="169"/>
      <c r="M232" s="17" t="s">
        <v>2572</v>
      </c>
      <c r="N232" s="169"/>
      <c r="O232" s="169"/>
      <c r="P232" s="169"/>
      <c r="Q232" s="169"/>
      <c r="R232" s="169"/>
      <c r="S232" s="169"/>
      <c r="T232" s="169"/>
      <c r="U232" s="169"/>
      <c r="V232" s="169"/>
      <c r="W232" s="169"/>
      <c r="X232" s="169"/>
      <c r="Y232" s="169"/>
      <c r="Z232" s="169"/>
      <c r="AA232" s="169"/>
      <c r="AB232" s="169"/>
      <c r="AC232" s="169"/>
      <c r="AD232" s="169"/>
      <c r="AE232" s="169"/>
      <c r="AF232" s="169"/>
      <c r="AG232" s="169"/>
    </row>
    <row r="233" spans="1:33" s="10" customFormat="1" ht="13" x14ac:dyDescent="0.3">
      <c r="A233" s="221" t="s">
        <v>272</v>
      </c>
      <c r="B233" s="220"/>
      <c r="C233" s="220"/>
      <c r="D233" s="223"/>
      <c r="E233" s="222"/>
      <c r="F233" s="220"/>
      <c r="G233" s="221" t="s">
        <v>272</v>
      </c>
      <c r="H233" s="220"/>
      <c r="I233" s="220"/>
      <c r="J233" s="220"/>
      <c r="K233" s="223"/>
      <c r="L233" s="220"/>
      <c r="M233" s="10" t="s">
        <v>2573</v>
      </c>
      <c r="N233" s="220"/>
      <c r="O233" s="220"/>
      <c r="P233" s="220"/>
      <c r="Q233" s="220"/>
      <c r="R233" s="220"/>
      <c r="S233" s="169"/>
      <c r="T233" s="220"/>
      <c r="U233" s="220"/>
      <c r="V233" s="220"/>
      <c r="W233" s="220"/>
      <c r="X233" s="220"/>
      <c r="Y233" s="220"/>
      <c r="Z233" s="220"/>
      <c r="AA233" s="220"/>
      <c r="AB233" s="220"/>
      <c r="AC233" s="220"/>
      <c r="AD233" s="220"/>
      <c r="AE233" s="220"/>
      <c r="AF233" s="220"/>
      <c r="AG233" s="220"/>
    </row>
    <row r="234" spans="1:33" x14ac:dyDescent="0.25">
      <c r="A234" s="219" t="s">
        <v>483</v>
      </c>
      <c r="B234" s="169"/>
      <c r="C234" s="169"/>
      <c r="D234" s="197"/>
      <c r="E234" s="207"/>
      <c r="F234" s="169"/>
      <c r="G234" s="219" t="s">
        <v>483</v>
      </c>
      <c r="H234" s="169"/>
      <c r="I234" s="169"/>
      <c r="J234" s="169"/>
      <c r="K234" s="197"/>
      <c r="L234" s="169"/>
      <c r="M234" s="17" t="s">
        <v>2574</v>
      </c>
      <c r="N234" s="169"/>
      <c r="O234" s="169"/>
      <c r="P234" s="169"/>
      <c r="Q234" s="169"/>
      <c r="R234" s="169"/>
      <c r="S234" s="169"/>
      <c r="T234" s="169"/>
      <c r="U234" s="169"/>
      <c r="V234" s="169"/>
      <c r="W234" s="169"/>
      <c r="X234" s="169"/>
      <c r="Y234" s="169"/>
      <c r="Z234" s="169"/>
      <c r="AA234" s="169"/>
      <c r="AB234" s="169"/>
      <c r="AC234" s="169"/>
      <c r="AD234" s="169"/>
      <c r="AE234" s="169"/>
      <c r="AF234" s="169"/>
      <c r="AG234" s="169"/>
    </row>
    <row r="235" spans="1:33" x14ac:dyDescent="0.25">
      <c r="A235" s="219" t="s">
        <v>484</v>
      </c>
      <c r="B235" s="169"/>
      <c r="C235" s="169"/>
      <c r="D235" s="197"/>
      <c r="E235" s="207"/>
      <c r="F235" s="169"/>
      <c r="G235" s="219" t="s">
        <v>484</v>
      </c>
      <c r="H235" s="169"/>
      <c r="I235" s="169"/>
      <c r="J235" s="169"/>
      <c r="K235" s="197"/>
      <c r="L235" s="169"/>
      <c r="M235" s="17" t="s">
        <v>2575</v>
      </c>
      <c r="N235" s="169"/>
      <c r="O235" s="169"/>
      <c r="P235" s="169"/>
      <c r="Q235" s="169"/>
      <c r="R235" s="169"/>
      <c r="S235" s="169"/>
      <c r="T235" s="169"/>
      <c r="U235" s="169"/>
      <c r="V235" s="169"/>
      <c r="W235" s="169"/>
      <c r="X235" s="169"/>
      <c r="Y235" s="169"/>
      <c r="Z235" s="169"/>
      <c r="AA235" s="169"/>
      <c r="AB235" s="169"/>
      <c r="AC235" s="169"/>
      <c r="AD235" s="169"/>
      <c r="AE235" s="169"/>
      <c r="AF235" s="169"/>
      <c r="AG235" s="169"/>
    </row>
    <row r="236" spans="1:33" x14ac:dyDescent="0.25">
      <c r="A236" s="219" t="s">
        <v>485</v>
      </c>
      <c r="B236" s="169"/>
      <c r="C236" s="169"/>
      <c r="D236" s="197"/>
      <c r="E236" s="207"/>
      <c r="F236" s="169"/>
      <c r="G236" s="219" t="s">
        <v>485</v>
      </c>
      <c r="H236" s="169"/>
      <c r="I236" s="169"/>
      <c r="J236" s="169"/>
      <c r="K236" s="197"/>
      <c r="L236" s="169"/>
      <c r="M236" s="17" t="s">
        <v>2576</v>
      </c>
      <c r="N236" s="169"/>
      <c r="O236" s="169"/>
      <c r="P236" s="169"/>
      <c r="Q236" s="169"/>
      <c r="R236" s="169"/>
      <c r="S236" s="169"/>
      <c r="T236" s="169"/>
      <c r="U236" s="169"/>
      <c r="V236" s="169"/>
      <c r="W236" s="169"/>
      <c r="X236" s="169"/>
      <c r="Y236" s="169"/>
      <c r="Z236" s="169"/>
      <c r="AA236" s="169"/>
      <c r="AB236" s="169"/>
      <c r="AC236" s="169"/>
      <c r="AD236" s="169"/>
      <c r="AE236" s="169"/>
      <c r="AF236" s="169"/>
      <c r="AG236" s="169"/>
    </row>
    <row r="237" spans="1:33" x14ac:dyDescent="0.25">
      <c r="A237" s="219" t="s">
        <v>278</v>
      </c>
      <c r="B237" s="169"/>
      <c r="C237" s="169"/>
      <c r="D237" s="197"/>
      <c r="E237" s="207"/>
      <c r="F237" s="169"/>
      <c r="G237" s="219" t="s">
        <v>278</v>
      </c>
      <c r="H237" s="169"/>
      <c r="I237" s="169"/>
      <c r="J237" s="169"/>
      <c r="K237" s="197"/>
      <c r="L237" s="169"/>
      <c r="M237" s="17" t="s">
        <v>2577</v>
      </c>
      <c r="N237" s="169"/>
      <c r="O237" s="169"/>
      <c r="P237" s="169"/>
      <c r="Q237" s="169"/>
      <c r="R237" s="169"/>
      <c r="S237" s="169"/>
      <c r="T237" s="169"/>
      <c r="U237" s="169"/>
      <c r="V237" s="169"/>
      <c r="W237" s="169"/>
      <c r="X237" s="169"/>
      <c r="Y237" s="169"/>
      <c r="Z237" s="169"/>
      <c r="AA237" s="169"/>
      <c r="AB237" s="169"/>
      <c r="AC237" s="169"/>
      <c r="AD237" s="169"/>
      <c r="AE237" s="169"/>
      <c r="AF237" s="169"/>
      <c r="AG237" s="169"/>
    </row>
    <row r="238" spans="1:33" x14ac:dyDescent="0.25">
      <c r="A238" s="219" t="s">
        <v>486</v>
      </c>
      <c r="B238" s="169"/>
      <c r="C238" s="169"/>
      <c r="D238" s="197"/>
      <c r="E238" s="207"/>
      <c r="F238" s="169"/>
      <c r="G238" s="219" t="s">
        <v>561</v>
      </c>
      <c r="H238" s="169"/>
      <c r="I238" s="169"/>
      <c r="J238" s="169"/>
      <c r="K238" s="197"/>
      <c r="L238" s="169"/>
      <c r="M238" s="17" t="s">
        <v>2578</v>
      </c>
      <c r="N238" s="169"/>
      <c r="O238" s="169"/>
      <c r="P238" s="169"/>
      <c r="Q238" s="169"/>
      <c r="R238" s="169"/>
      <c r="S238" s="169"/>
      <c r="T238" s="169"/>
      <c r="U238" s="169"/>
      <c r="V238" s="169"/>
      <c r="W238" s="169"/>
      <c r="X238" s="169"/>
      <c r="Y238" s="169"/>
      <c r="Z238" s="169"/>
      <c r="AA238" s="169"/>
      <c r="AB238" s="169"/>
      <c r="AC238" s="169"/>
      <c r="AD238" s="169"/>
      <c r="AE238" s="169"/>
      <c r="AF238" s="169"/>
      <c r="AG238" s="169"/>
    </row>
    <row r="239" spans="1:33" ht="13" x14ac:dyDescent="0.3">
      <c r="A239" s="219" t="s">
        <v>487</v>
      </c>
      <c r="B239" s="169"/>
      <c r="C239" s="169"/>
      <c r="D239" s="197"/>
      <c r="E239" s="207"/>
      <c r="F239" s="169"/>
      <c r="G239" s="219" t="s">
        <v>562</v>
      </c>
      <c r="H239" s="169"/>
      <c r="I239" s="169"/>
      <c r="J239" s="169"/>
      <c r="K239" s="197"/>
      <c r="L239" s="169"/>
      <c r="M239" s="17" t="s">
        <v>2579</v>
      </c>
      <c r="N239" s="169"/>
      <c r="O239" s="169"/>
      <c r="P239" s="169"/>
      <c r="Q239" s="169"/>
      <c r="R239" s="169"/>
      <c r="S239" s="220"/>
      <c r="T239" s="169"/>
      <c r="U239" s="169"/>
      <c r="V239" s="169"/>
      <c r="W239" s="169"/>
      <c r="X239" s="169"/>
      <c r="Y239" s="169"/>
      <c r="Z239" s="169"/>
      <c r="AA239" s="169"/>
      <c r="AB239" s="169"/>
      <c r="AC239" s="169"/>
      <c r="AD239" s="169"/>
      <c r="AE239" s="169"/>
      <c r="AF239" s="169"/>
      <c r="AG239" s="169"/>
    </row>
    <row r="240" spans="1:33" x14ac:dyDescent="0.25">
      <c r="A240" s="219"/>
      <c r="B240" s="169"/>
      <c r="C240" s="169"/>
      <c r="D240" s="197"/>
      <c r="E240" s="207"/>
      <c r="F240" s="169"/>
      <c r="G240" s="219"/>
      <c r="H240" s="169"/>
      <c r="I240" s="169"/>
      <c r="J240" s="169"/>
      <c r="K240" s="197"/>
      <c r="L240" s="169"/>
      <c r="M240" s="17" t="s">
        <v>2580</v>
      </c>
      <c r="N240" s="169"/>
      <c r="O240" s="169"/>
      <c r="P240" s="169"/>
      <c r="Q240" s="169"/>
      <c r="R240" s="169"/>
      <c r="S240" s="169"/>
      <c r="T240" s="169"/>
      <c r="U240" s="169"/>
      <c r="V240" s="169"/>
      <c r="W240" s="169"/>
      <c r="X240" s="169"/>
      <c r="Y240" s="169"/>
      <c r="Z240" s="169"/>
      <c r="AA240" s="169"/>
      <c r="AB240" s="169"/>
      <c r="AC240" s="169"/>
      <c r="AD240" s="169"/>
      <c r="AE240" s="169"/>
      <c r="AF240" s="169"/>
      <c r="AG240" s="169"/>
    </row>
    <row r="241" spans="1:33" s="10" customFormat="1" ht="13" x14ac:dyDescent="0.3">
      <c r="A241" s="221" t="s">
        <v>273</v>
      </c>
      <c r="B241" s="220"/>
      <c r="C241" s="220"/>
      <c r="D241" s="223"/>
      <c r="E241" s="222"/>
      <c r="F241" s="220"/>
      <c r="G241" s="221" t="s">
        <v>273</v>
      </c>
      <c r="H241" s="220"/>
      <c r="I241" s="220"/>
      <c r="J241" s="220"/>
      <c r="K241" s="223"/>
      <c r="L241" s="220"/>
      <c r="M241" s="10" t="s">
        <v>2581</v>
      </c>
      <c r="N241" s="220"/>
      <c r="O241" s="220"/>
      <c r="P241" s="220"/>
      <c r="Q241" s="220"/>
      <c r="R241" s="220"/>
      <c r="S241" s="169"/>
      <c r="T241" s="220"/>
      <c r="U241" s="220"/>
      <c r="V241" s="220"/>
      <c r="W241" s="220"/>
      <c r="X241" s="220"/>
      <c r="Y241" s="220"/>
      <c r="Z241" s="220"/>
      <c r="AA241" s="220"/>
      <c r="AB241" s="220"/>
      <c r="AC241" s="220"/>
      <c r="AD241" s="220"/>
      <c r="AE241" s="220"/>
      <c r="AF241" s="220"/>
      <c r="AG241" s="220"/>
    </row>
    <row r="242" spans="1:33" x14ac:dyDescent="0.25">
      <c r="A242" s="219" t="s">
        <v>488</v>
      </c>
      <c r="B242" s="169"/>
      <c r="C242" s="169"/>
      <c r="D242" s="197"/>
      <c r="E242" s="207"/>
      <c r="F242" s="169"/>
      <c r="G242" s="219" t="s">
        <v>488</v>
      </c>
      <c r="H242" s="169"/>
      <c r="I242" s="169"/>
      <c r="J242" s="169"/>
      <c r="K242" s="197"/>
      <c r="L242" s="169"/>
      <c r="M242" s="17" t="s">
        <v>2582</v>
      </c>
      <c r="N242" s="169"/>
      <c r="O242" s="169"/>
      <c r="P242" s="169"/>
      <c r="Q242" s="169"/>
      <c r="R242" s="169"/>
      <c r="S242" s="169"/>
      <c r="T242" s="169"/>
      <c r="U242" s="169"/>
      <c r="V242" s="169"/>
      <c r="W242" s="169"/>
      <c r="X242" s="169"/>
      <c r="Y242" s="169"/>
      <c r="Z242" s="169"/>
      <c r="AA242" s="169"/>
      <c r="AB242" s="169"/>
      <c r="AC242" s="169"/>
      <c r="AD242" s="169"/>
      <c r="AE242" s="169"/>
      <c r="AF242" s="169"/>
      <c r="AG242" s="169"/>
    </row>
    <row r="243" spans="1:33" x14ac:dyDescent="0.25">
      <c r="A243" s="219" t="s">
        <v>489</v>
      </c>
      <c r="B243" s="169"/>
      <c r="C243" s="169"/>
      <c r="D243" s="197"/>
      <c r="E243" s="207"/>
      <c r="F243" s="169"/>
      <c r="G243" s="219" t="s">
        <v>489</v>
      </c>
      <c r="H243" s="169"/>
      <c r="I243" s="169"/>
      <c r="J243" s="169"/>
      <c r="K243" s="197"/>
      <c r="L243" s="169"/>
      <c r="M243" s="17" t="s">
        <v>2583</v>
      </c>
      <c r="N243" s="169"/>
      <c r="O243" s="169"/>
      <c r="P243" s="169"/>
      <c r="Q243" s="169"/>
      <c r="R243" s="169"/>
      <c r="S243" s="169"/>
      <c r="T243" s="169"/>
      <c r="U243" s="169"/>
      <c r="V243" s="169"/>
      <c r="W243" s="169"/>
      <c r="X243" s="169"/>
      <c r="Y243" s="169"/>
      <c r="Z243" s="169"/>
      <c r="AA243" s="169"/>
      <c r="AB243" s="169"/>
      <c r="AC243" s="169"/>
      <c r="AD243" s="169"/>
      <c r="AE243" s="169"/>
      <c r="AF243" s="169"/>
      <c r="AG243" s="169"/>
    </row>
    <row r="244" spans="1:33" x14ac:dyDescent="0.25">
      <c r="A244" s="219" t="s">
        <v>490</v>
      </c>
      <c r="B244" s="169"/>
      <c r="C244" s="169"/>
      <c r="D244" s="197"/>
      <c r="E244" s="207"/>
      <c r="F244" s="169"/>
      <c r="G244" s="219" t="s">
        <v>490</v>
      </c>
      <c r="H244" s="169"/>
      <c r="I244" s="169"/>
      <c r="J244" s="169"/>
      <c r="K244" s="197"/>
      <c r="L244" s="169"/>
      <c r="M244" s="17" t="s">
        <v>2581</v>
      </c>
      <c r="N244" s="169"/>
      <c r="O244" s="169"/>
      <c r="P244" s="169"/>
      <c r="Q244" s="169"/>
      <c r="R244" s="169"/>
      <c r="S244" s="169"/>
      <c r="T244" s="169"/>
      <c r="U244" s="169"/>
      <c r="V244" s="169"/>
      <c r="W244" s="169"/>
      <c r="X244" s="169"/>
      <c r="Y244" s="169"/>
      <c r="Z244" s="169"/>
      <c r="AA244" s="169"/>
      <c r="AB244" s="169"/>
      <c r="AC244" s="169"/>
      <c r="AD244" s="169"/>
      <c r="AE244" s="169"/>
      <c r="AF244" s="169"/>
      <c r="AG244" s="169"/>
    </row>
    <row r="245" spans="1:33" x14ac:dyDescent="0.25">
      <c r="A245" s="219" t="s">
        <v>278</v>
      </c>
      <c r="B245" s="169"/>
      <c r="C245" s="169"/>
      <c r="D245" s="197"/>
      <c r="E245" s="207"/>
      <c r="F245" s="169"/>
      <c r="G245" s="219" t="s">
        <v>278</v>
      </c>
      <c r="H245" s="169"/>
      <c r="I245" s="169"/>
      <c r="J245" s="169"/>
      <c r="K245" s="197"/>
      <c r="L245" s="169"/>
      <c r="M245" s="17" t="s">
        <v>2584</v>
      </c>
      <c r="N245" s="169"/>
      <c r="O245" s="169"/>
      <c r="P245" s="169"/>
      <c r="Q245" s="169"/>
      <c r="R245" s="169"/>
      <c r="S245" s="169"/>
      <c r="T245" s="169"/>
      <c r="U245" s="169"/>
      <c r="V245" s="169"/>
      <c r="W245" s="169"/>
      <c r="X245" s="169"/>
      <c r="Y245" s="169"/>
      <c r="Z245" s="169"/>
      <c r="AA245" s="169"/>
      <c r="AB245" s="169"/>
      <c r="AC245" s="169"/>
      <c r="AD245" s="169"/>
      <c r="AE245" s="169"/>
      <c r="AF245" s="169"/>
      <c r="AG245" s="169"/>
    </row>
    <row r="246" spans="1:33" x14ac:dyDescent="0.25">
      <c r="A246" s="219" t="s">
        <v>491</v>
      </c>
      <c r="B246" s="169"/>
      <c r="C246" s="169"/>
      <c r="D246" s="197"/>
      <c r="E246" s="207"/>
      <c r="F246" s="169"/>
      <c r="G246" s="219" t="s">
        <v>563</v>
      </c>
      <c r="H246" s="169"/>
      <c r="I246" s="169"/>
      <c r="J246" s="169"/>
      <c r="K246" s="197"/>
      <c r="L246" s="169"/>
      <c r="M246" s="17" t="s">
        <v>2585</v>
      </c>
      <c r="N246" s="169"/>
      <c r="O246" s="169"/>
      <c r="P246" s="169"/>
      <c r="Q246" s="169"/>
      <c r="R246" s="169"/>
      <c r="S246" s="169"/>
      <c r="T246" s="169"/>
      <c r="U246" s="169"/>
      <c r="V246" s="169"/>
      <c r="W246" s="169"/>
      <c r="X246" s="169"/>
      <c r="Y246" s="169"/>
      <c r="Z246" s="169"/>
      <c r="AA246" s="169"/>
      <c r="AB246" s="169"/>
      <c r="AC246" s="169"/>
      <c r="AD246" s="169"/>
      <c r="AE246" s="169"/>
      <c r="AF246" s="169"/>
      <c r="AG246" s="169"/>
    </row>
    <row r="247" spans="1:33" x14ac:dyDescent="0.25">
      <c r="A247" s="219" t="s">
        <v>492</v>
      </c>
      <c r="B247" s="169"/>
      <c r="C247" s="169"/>
      <c r="D247" s="197"/>
      <c r="E247" s="207"/>
      <c r="F247" s="169"/>
      <c r="G247" s="219" t="s">
        <v>564</v>
      </c>
      <c r="H247" s="169"/>
      <c r="I247" s="169"/>
      <c r="J247" s="169"/>
      <c r="K247" s="197"/>
      <c r="L247" s="169"/>
      <c r="M247" s="17" t="s">
        <v>1963</v>
      </c>
      <c r="N247" s="169"/>
      <c r="O247" s="169"/>
      <c r="P247" s="169"/>
      <c r="Q247" s="169"/>
      <c r="R247" s="169"/>
      <c r="S247" s="169"/>
      <c r="T247" s="169"/>
      <c r="U247" s="169"/>
      <c r="V247" s="169"/>
      <c r="W247" s="169"/>
      <c r="X247" s="169"/>
      <c r="Y247" s="169"/>
      <c r="Z247" s="169"/>
      <c r="AA247" s="169"/>
      <c r="AB247" s="169"/>
      <c r="AC247" s="169"/>
      <c r="AD247" s="169"/>
      <c r="AE247" s="169"/>
      <c r="AF247" s="169"/>
      <c r="AG247" s="169"/>
    </row>
    <row r="248" spans="1:33" x14ac:dyDescent="0.25">
      <c r="A248" s="219"/>
      <c r="B248" s="169"/>
      <c r="C248" s="169"/>
      <c r="D248" s="197"/>
      <c r="E248" s="207"/>
      <c r="F248" s="169"/>
      <c r="G248" s="219"/>
      <c r="H248" s="169"/>
      <c r="I248" s="169"/>
      <c r="J248" s="169"/>
      <c r="K248" s="197"/>
      <c r="L248" s="169"/>
      <c r="M248" s="17" t="s">
        <v>2586</v>
      </c>
      <c r="N248" s="169"/>
      <c r="O248" s="169"/>
      <c r="P248" s="169"/>
      <c r="Q248" s="169"/>
      <c r="R248" s="169"/>
      <c r="S248" s="169"/>
      <c r="T248" s="169"/>
      <c r="U248" s="169"/>
      <c r="V248" s="169"/>
      <c r="W248" s="169"/>
      <c r="X248" s="169"/>
      <c r="Y248" s="169"/>
      <c r="Z248" s="169"/>
      <c r="AA248" s="169"/>
      <c r="AB248" s="169"/>
      <c r="AC248" s="169"/>
      <c r="AD248" s="169"/>
      <c r="AE248" s="169"/>
      <c r="AF248" s="169"/>
      <c r="AG248" s="169"/>
    </row>
    <row r="249" spans="1:33" s="10" customFormat="1" ht="13" x14ac:dyDescent="0.3">
      <c r="A249" s="221" t="s">
        <v>274</v>
      </c>
      <c r="B249" s="220"/>
      <c r="C249" s="220"/>
      <c r="D249" s="223"/>
      <c r="E249" s="222"/>
      <c r="F249" s="220"/>
      <c r="G249" s="221" t="s">
        <v>274</v>
      </c>
      <c r="H249" s="220"/>
      <c r="I249" s="220"/>
      <c r="J249" s="220"/>
      <c r="K249" s="223"/>
      <c r="L249" s="220"/>
      <c r="M249" s="10" t="s">
        <v>1976</v>
      </c>
      <c r="N249" s="220"/>
      <c r="O249" s="220"/>
      <c r="P249" s="220"/>
      <c r="Q249" s="220"/>
      <c r="R249" s="220"/>
      <c r="S249" s="169"/>
      <c r="T249" s="220"/>
      <c r="U249" s="220"/>
      <c r="V249" s="220"/>
      <c r="W249" s="220"/>
      <c r="X249" s="220"/>
      <c r="Y249" s="220"/>
      <c r="Z249" s="220"/>
      <c r="AA249" s="220"/>
      <c r="AB249" s="220"/>
      <c r="AC249" s="220"/>
      <c r="AD249" s="220"/>
      <c r="AE249" s="220"/>
      <c r="AF249" s="220"/>
      <c r="AG249" s="220"/>
    </row>
    <row r="250" spans="1:33" x14ac:dyDescent="0.25">
      <c r="A250" s="219" t="s">
        <v>493</v>
      </c>
      <c r="B250" s="169"/>
      <c r="C250" s="169"/>
      <c r="D250" s="197"/>
      <c r="E250" s="207"/>
      <c r="F250" s="169"/>
      <c r="G250" s="219" t="s">
        <v>493</v>
      </c>
      <c r="H250" s="169"/>
      <c r="I250" s="169"/>
      <c r="J250" s="169"/>
      <c r="K250" s="197"/>
      <c r="L250" s="169"/>
      <c r="M250" s="17" t="s">
        <v>2587</v>
      </c>
      <c r="N250" s="169"/>
      <c r="O250" s="169"/>
      <c r="P250" s="169"/>
      <c r="Q250" s="169"/>
      <c r="R250" s="169"/>
      <c r="S250" s="169"/>
      <c r="T250" s="169"/>
      <c r="U250" s="169"/>
      <c r="V250" s="169"/>
      <c r="W250" s="169"/>
      <c r="X250" s="169"/>
      <c r="Y250" s="169"/>
      <c r="Z250" s="169"/>
      <c r="AA250" s="169"/>
      <c r="AB250" s="169"/>
      <c r="AC250" s="169"/>
      <c r="AD250" s="169"/>
      <c r="AE250" s="169"/>
      <c r="AF250" s="169"/>
      <c r="AG250" s="169"/>
    </row>
    <row r="251" spans="1:33" x14ac:dyDescent="0.25">
      <c r="A251" s="219" t="s">
        <v>494</v>
      </c>
      <c r="B251" s="169"/>
      <c r="C251" s="169"/>
      <c r="D251" s="197"/>
      <c r="E251" s="207"/>
      <c r="F251" s="169"/>
      <c r="G251" s="219" t="s">
        <v>494</v>
      </c>
      <c r="H251" s="169"/>
      <c r="I251" s="169"/>
      <c r="J251" s="169"/>
      <c r="K251" s="197"/>
      <c r="L251" s="169"/>
      <c r="M251" s="17" t="s">
        <v>1969</v>
      </c>
      <c r="N251" s="169"/>
      <c r="O251" s="169"/>
      <c r="P251" s="169"/>
      <c r="Q251" s="169"/>
      <c r="R251" s="169"/>
      <c r="S251" s="169"/>
      <c r="T251" s="169"/>
      <c r="U251" s="169"/>
      <c r="V251" s="169"/>
      <c r="W251" s="169"/>
      <c r="X251" s="169"/>
      <c r="Y251" s="169"/>
      <c r="Z251" s="169"/>
      <c r="AA251" s="169"/>
      <c r="AB251" s="169"/>
      <c r="AC251" s="169"/>
      <c r="AD251" s="169"/>
      <c r="AE251" s="169"/>
      <c r="AF251" s="169"/>
      <c r="AG251" s="169"/>
    </row>
    <row r="252" spans="1:33" x14ac:dyDescent="0.25">
      <c r="A252" s="219" t="s">
        <v>495</v>
      </c>
      <c r="B252" s="169"/>
      <c r="C252" s="169"/>
      <c r="D252" s="197"/>
      <c r="E252" s="207"/>
      <c r="F252" s="169"/>
      <c r="G252" s="219" t="s">
        <v>495</v>
      </c>
      <c r="H252" s="169"/>
      <c r="I252" s="169"/>
      <c r="J252" s="169"/>
      <c r="K252" s="197"/>
      <c r="L252" s="169"/>
      <c r="M252" s="17" t="s">
        <v>2576</v>
      </c>
      <c r="N252" s="169"/>
      <c r="O252" s="169"/>
      <c r="P252" s="169"/>
      <c r="Q252" s="169"/>
      <c r="R252" s="169"/>
      <c r="S252" s="169"/>
      <c r="T252" s="169"/>
      <c r="U252" s="169"/>
      <c r="V252" s="169"/>
      <c r="W252" s="169"/>
      <c r="X252" s="169"/>
      <c r="Y252" s="169"/>
      <c r="Z252" s="169"/>
      <c r="AA252" s="169"/>
      <c r="AB252" s="169"/>
      <c r="AC252" s="169"/>
      <c r="AD252" s="169"/>
      <c r="AE252" s="169"/>
      <c r="AF252" s="169"/>
      <c r="AG252" s="169"/>
    </row>
    <row r="253" spans="1:33" x14ac:dyDescent="0.25">
      <c r="A253" s="219" t="s">
        <v>278</v>
      </c>
      <c r="B253" s="169"/>
      <c r="C253" s="169"/>
      <c r="D253" s="197"/>
      <c r="E253" s="207"/>
      <c r="F253" s="169"/>
      <c r="G253" s="219" t="s">
        <v>278</v>
      </c>
      <c r="H253" s="169"/>
      <c r="I253" s="169"/>
      <c r="J253" s="169"/>
      <c r="K253" s="197"/>
      <c r="L253" s="169"/>
      <c r="M253" s="17" t="s">
        <v>2588</v>
      </c>
      <c r="N253" s="169"/>
      <c r="O253" s="169"/>
      <c r="P253" s="169"/>
      <c r="Q253" s="169"/>
      <c r="R253" s="169"/>
      <c r="S253" s="169"/>
      <c r="T253" s="169"/>
      <c r="U253" s="169"/>
      <c r="V253" s="169"/>
      <c r="W253" s="169"/>
      <c r="X253" s="169"/>
      <c r="Y253" s="169"/>
      <c r="Z253" s="169"/>
      <c r="AA253" s="169"/>
      <c r="AB253" s="169"/>
      <c r="AC253" s="169"/>
      <c r="AD253" s="169"/>
      <c r="AE253" s="169"/>
      <c r="AF253" s="169"/>
      <c r="AG253" s="169"/>
    </row>
    <row r="254" spans="1:33" x14ac:dyDescent="0.25">
      <c r="A254" s="219" t="s">
        <v>496</v>
      </c>
      <c r="B254" s="169"/>
      <c r="C254" s="169"/>
      <c r="D254" s="197"/>
      <c r="E254" s="207"/>
      <c r="F254" s="169"/>
      <c r="G254" s="219" t="s">
        <v>565</v>
      </c>
      <c r="H254" s="169"/>
      <c r="I254" s="169"/>
      <c r="J254" s="169"/>
      <c r="K254" s="197"/>
      <c r="L254" s="169"/>
      <c r="M254" s="17" t="s">
        <v>2589</v>
      </c>
      <c r="N254" s="169"/>
      <c r="O254" s="169"/>
      <c r="P254" s="169"/>
      <c r="Q254" s="169"/>
      <c r="R254" s="169"/>
      <c r="S254" s="169"/>
      <c r="T254" s="169"/>
      <c r="U254" s="169"/>
      <c r="V254" s="169"/>
      <c r="W254" s="169"/>
      <c r="X254" s="169"/>
      <c r="Y254" s="169"/>
      <c r="Z254" s="169"/>
      <c r="AA254" s="169"/>
      <c r="AB254" s="169"/>
      <c r="AC254" s="169"/>
      <c r="AD254" s="169"/>
      <c r="AE254" s="169"/>
      <c r="AF254" s="169"/>
      <c r="AG254" s="169"/>
    </row>
    <row r="255" spans="1:33" x14ac:dyDescent="0.25">
      <c r="A255" s="219" t="s">
        <v>497</v>
      </c>
      <c r="B255" s="169"/>
      <c r="C255" s="169"/>
      <c r="D255" s="197"/>
      <c r="E255" s="207"/>
      <c r="F255" s="169"/>
      <c r="G255" s="219" t="s">
        <v>566</v>
      </c>
      <c r="H255" s="169"/>
      <c r="I255" s="169"/>
      <c r="J255" s="169"/>
      <c r="K255" s="197"/>
      <c r="L255" s="169"/>
      <c r="M255" s="17" t="s">
        <v>2587</v>
      </c>
      <c r="N255" s="169"/>
      <c r="O255" s="169"/>
      <c r="P255" s="169"/>
      <c r="Q255" s="169"/>
      <c r="R255" s="169"/>
      <c r="S255" s="169"/>
      <c r="T255" s="169"/>
      <c r="U255" s="169"/>
      <c r="V255" s="169"/>
      <c r="W255" s="169"/>
      <c r="X255" s="169"/>
      <c r="Y255" s="169"/>
      <c r="Z255" s="169"/>
      <c r="AA255" s="169"/>
      <c r="AB255" s="169"/>
      <c r="AC255" s="169"/>
      <c r="AD255" s="169"/>
      <c r="AE255" s="169"/>
      <c r="AF255" s="169"/>
      <c r="AG255" s="169"/>
    </row>
    <row r="256" spans="1:33" x14ac:dyDescent="0.25">
      <c r="A256" s="219"/>
      <c r="B256" s="169"/>
      <c r="C256" s="169"/>
      <c r="D256" s="197"/>
      <c r="E256" s="207"/>
      <c r="F256" s="169"/>
      <c r="G256" s="219"/>
      <c r="H256" s="169"/>
      <c r="I256" s="169"/>
      <c r="J256" s="169"/>
      <c r="K256" s="197"/>
      <c r="L256" s="169"/>
      <c r="M256" s="17" t="s">
        <v>1318</v>
      </c>
      <c r="N256" s="169"/>
      <c r="O256" s="169"/>
      <c r="P256" s="169"/>
      <c r="Q256" s="169"/>
      <c r="R256" s="169"/>
      <c r="S256" s="169"/>
      <c r="T256" s="169"/>
      <c r="U256" s="169"/>
      <c r="V256" s="169"/>
      <c r="W256" s="169"/>
      <c r="X256" s="169"/>
      <c r="Y256" s="169"/>
      <c r="Z256" s="169"/>
      <c r="AA256" s="169"/>
      <c r="AB256" s="169"/>
      <c r="AC256" s="169"/>
      <c r="AD256" s="169"/>
      <c r="AE256" s="169"/>
      <c r="AF256" s="169"/>
      <c r="AG256" s="169"/>
    </row>
    <row r="257" spans="1:33" s="10" customFormat="1" ht="13" x14ac:dyDescent="0.3">
      <c r="A257" s="221" t="s">
        <v>275</v>
      </c>
      <c r="B257" s="220"/>
      <c r="C257" s="220"/>
      <c r="D257" s="223"/>
      <c r="E257" s="222"/>
      <c r="F257" s="220"/>
      <c r="G257" s="221" t="s">
        <v>275</v>
      </c>
      <c r="H257" s="220"/>
      <c r="I257" s="220"/>
      <c r="J257" s="220"/>
      <c r="K257" s="223"/>
      <c r="L257" s="220"/>
      <c r="M257" s="10" t="s">
        <v>2590</v>
      </c>
      <c r="N257" s="220"/>
      <c r="O257" s="220"/>
      <c r="P257" s="220"/>
      <c r="Q257" s="220"/>
      <c r="R257" s="220"/>
      <c r="S257" s="169"/>
      <c r="T257" s="220"/>
      <c r="U257" s="220"/>
      <c r="V257" s="220"/>
      <c r="W257" s="220"/>
      <c r="X257" s="220"/>
      <c r="Y257" s="220"/>
      <c r="Z257" s="220"/>
      <c r="AA257" s="220"/>
      <c r="AB257" s="220"/>
      <c r="AC257" s="220"/>
      <c r="AD257" s="220"/>
      <c r="AE257" s="220"/>
      <c r="AF257" s="220"/>
      <c r="AG257" s="220"/>
    </row>
    <row r="258" spans="1:33" x14ac:dyDescent="0.25">
      <c r="A258" s="219" t="s">
        <v>498</v>
      </c>
      <c r="B258" s="169"/>
      <c r="C258" s="169"/>
      <c r="D258" s="197"/>
      <c r="E258" s="207"/>
      <c r="F258" s="169"/>
      <c r="G258" s="219" t="s">
        <v>498</v>
      </c>
      <c r="H258" s="169"/>
      <c r="I258" s="169"/>
      <c r="J258" s="169"/>
      <c r="K258" s="197"/>
      <c r="L258" s="169"/>
      <c r="M258" s="17" t="s">
        <v>2572</v>
      </c>
      <c r="N258" s="169"/>
      <c r="O258" s="169"/>
      <c r="P258" s="169"/>
      <c r="Q258" s="169"/>
      <c r="R258" s="169"/>
      <c r="S258" s="169"/>
      <c r="T258" s="169"/>
      <c r="U258" s="169"/>
      <c r="V258" s="169"/>
      <c r="W258" s="169"/>
      <c r="X258" s="169"/>
      <c r="Y258" s="169"/>
      <c r="Z258" s="169"/>
      <c r="AA258" s="169"/>
      <c r="AB258" s="169"/>
      <c r="AC258" s="169"/>
      <c r="AD258" s="169"/>
      <c r="AE258" s="169"/>
      <c r="AF258" s="169"/>
      <c r="AG258" s="169"/>
    </row>
    <row r="259" spans="1:33" x14ac:dyDescent="0.25">
      <c r="A259" s="219" t="s">
        <v>499</v>
      </c>
      <c r="B259" s="169"/>
      <c r="C259" s="169"/>
      <c r="D259" s="197"/>
      <c r="E259" s="207"/>
      <c r="F259" s="169"/>
      <c r="G259" s="219" t="s">
        <v>499</v>
      </c>
      <c r="H259" s="169"/>
      <c r="I259" s="169"/>
      <c r="J259" s="169"/>
      <c r="K259" s="197"/>
      <c r="L259" s="169"/>
      <c r="M259" s="17" t="s">
        <v>2567</v>
      </c>
      <c r="N259" s="169"/>
      <c r="O259" s="169"/>
      <c r="P259" s="169"/>
      <c r="Q259" s="169"/>
      <c r="R259" s="169"/>
      <c r="S259" s="169"/>
      <c r="T259" s="169"/>
      <c r="U259" s="169"/>
      <c r="V259" s="169"/>
      <c r="W259" s="169"/>
      <c r="X259" s="169"/>
      <c r="Y259" s="169"/>
      <c r="Z259" s="169"/>
      <c r="AA259" s="169"/>
      <c r="AB259" s="169"/>
      <c r="AC259" s="169"/>
      <c r="AD259" s="169"/>
      <c r="AE259" s="169"/>
      <c r="AF259" s="169"/>
      <c r="AG259" s="169"/>
    </row>
    <row r="260" spans="1:33" x14ac:dyDescent="0.25">
      <c r="A260" s="219" t="s">
        <v>500</v>
      </c>
      <c r="B260" s="169"/>
      <c r="C260" s="169"/>
      <c r="D260" s="197"/>
      <c r="E260" s="207"/>
      <c r="F260" s="169"/>
      <c r="G260" s="219" t="s">
        <v>500</v>
      </c>
      <c r="H260" s="169"/>
      <c r="I260" s="169"/>
      <c r="J260" s="169"/>
      <c r="K260" s="197"/>
      <c r="L260" s="169"/>
      <c r="M260" s="17" t="s">
        <v>2591</v>
      </c>
      <c r="N260" s="169"/>
      <c r="O260" s="169"/>
      <c r="P260" s="169"/>
      <c r="Q260" s="169"/>
      <c r="R260" s="169"/>
      <c r="S260" s="169"/>
      <c r="T260" s="169"/>
      <c r="U260" s="169"/>
      <c r="V260" s="169"/>
      <c r="W260" s="169"/>
      <c r="X260" s="169"/>
      <c r="Y260" s="169"/>
      <c r="Z260" s="169"/>
      <c r="AA260" s="169"/>
      <c r="AB260" s="169"/>
      <c r="AC260" s="169"/>
      <c r="AD260" s="169"/>
      <c r="AE260" s="169"/>
      <c r="AF260" s="169"/>
      <c r="AG260" s="169"/>
    </row>
    <row r="261" spans="1:33" x14ac:dyDescent="0.25">
      <c r="A261" s="219" t="s">
        <v>278</v>
      </c>
      <c r="B261" s="169"/>
      <c r="C261" s="169"/>
      <c r="D261" s="197"/>
      <c r="E261" s="207"/>
      <c r="F261" s="169"/>
      <c r="G261" s="219" t="s">
        <v>278</v>
      </c>
      <c r="H261" s="169"/>
      <c r="I261" s="169"/>
      <c r="J261" s="169"/>
      <c r="K261" s="197"/>
      <c r="L261" s="169"/>
      <c r="M261" s="17" t="s">
        <v>2563</v>
      </c>
      <c r="N261" s="169"/>
      <c r="O261" s="169"/>
      <c r="P261" s="169"/>
      <c r="Q261" s="169"/>
      <c r="R261" s="169"/>
      <c r="S261" s="169"/>
      <c r="T261" s="169"/>
      <c r="U261" s="169"/>
      <c r="V261" s="169"/>
      <c r="W261" s="169"/>
      <c r="X261" s="169"/>
      <c r="Y261" s="169"/>
      <c r="Z261" s="169"/>
      <c r="AA261" s="169"/>
      <c r="AB261" s="169"/>
      <c r="AC261" s="169"/>
      <c r="AD261" s="169"/>
      <c r="AE261" s="169"/>
      <c r="AF261" s="169"/>
      <c r="AG261" s="169"/>
    </row>
    <row r="262" spans="1:33" x14ac:dyDescent="0.25">
      <c r="A262" s="219" t="s">
        <v>501</v>
      </c>
      <c r="B262" s="169"/>
      <c r="C262" s="169"/>
      <c r="D262" s="197"/>
      <c r="E262" s="207"/>
      <c r="F262" s="169"/>
      <c r="G262" s="219" t="s">
        <v>567</v>
      </c>
      <c r="H262" s="169"/>
      <c r="I262" s="169"/>
      <c r="J262" s="169"/>
      <c r="K262" s="197"/>
      <c r="L262" s="169"/>
      <c r="M262" s="17" t="s">
        <v>2592</v>
      </c>
      <c r="N262" s="169"/>
      <c r="O262" s="169"/>
      <c r="P262" s="169"/>
      <c r="Q262" s="169"/>
      <c r="R262" s="169"/>
      <c r="S262" s="169"/>
      <c r="T262" s="169"/>
      <c r="U262" s="169"/>
      <c r="V262" s="169"/>
      <c r="W262" s="169"/>
      <c r="X262" s="169"/>
      <c r="Y262" s="169"/>
      <c r="Z262" s="169"/>
      <c r="AA262" s="169"/>
      <c r="AB262" s="169"/>
      <c r="AC262" s="169"/>
      <c r="AD262" s="169"/>
      <c r="AE262" s="169"/>
      <c r="AF262" s="169"/>
      <c r="AG262" s="169"/>
    </row>
    <row r="263" spans="1:33" x14ac:dyDescent="0.25">
      <c r="A263" s="219" t="s">
        <v>502</v>
      </c>
      <c r="B263" s="169"/>
      <c r="C263" s="169"/>
      <c r="D263" s="197"/>
      <c r="E263" s="207"/>
      <c r="F263" s="169"/>
      <c r="G263" s="219" t="s">
        <v>568</v>
      </c>
      <c r="H263" s="169"/>
      <c r="I263" s="169"/>
      <c r="J263" s="169"/>
      <c r="K263" s="197"/>
      <c r="L263" s="169"/>
      <c r="M263" s="17" t="s">
        <v>2593</v>
      </c>
      <c r="N263" s="169"/>
      <c r="O263" s="169"/>
      <c r="P263" s="169"/>
      <c r="Q263" s="169"/>
      <c r="R263" s="169"/>
      <c r="S263" s="169"/>
      <c r="T263" s="169"/>
      <c r="U263" s="169"/>
      <c r="V263" s="169"/>
      <c r="W263" s="169"/>
      <c r="X263" s="169"/>
      <c r="Y263" s="169"/>
      <c r="Z263" s="169"/>
      <c r="AA263" s="169"/>
      <c r="AB263" s="169"/>
      <c r="AC263" s="169"/>
      <c r="AD263" s="169"/>
      <c r="AE263" s="169"/>
      <c r="AF263" s="169"/>
      <c r="AG263" s="169"/>
    </row>
    <row r="264" spans="1:33" x14ac:dyDescent="0.25">
      <c r="A264" s="219"/>
      <c r="B264" s="169"/>
      <c r="C264" s="169"/>
      <c r="D264" s="197"/>
      <c r="E264" s="207"/>
      <c r="F264" s="169"/>
      <c r="G264" s="219"/>
      <c r="H264" s="169"/>
      <c r="I264" s="169"/>
      <c r="J264" s="169"/>
      <c r="K264" s="197"/>
      <c r="L264" s="169"/>
      <c r="M264" s="17" t="s">
        <v>2572</v>
      </c>
      <c r="N264" s="169"/>
      <c r="O264" s="169"/>
      <c r="P264" s="169"/>
      <c r="Q264" s="169"/>
      <c r="R264" s="169"/>
      <c r="S264" s="169"/>
      <c r="T264" s="169"/>
      <c r="U264" s="169"/>
      <c r="V264" s="169"/>
      <c r="W264" s="169"/>
      <c r="X264" s="169"/>
      <c r="Y264" s="169"/>
      <c r="Z264" s="169"/>
      <c r="AA264" s="169"/>
      <c r="AB264" s="169"/>
      <c r="AC264" s="169"/>
      <c r="AD264" s="169"/>
      <c r="AE264" s="169"/>
      <c r="AF264" s="169"/>
      <c r="AG264" s="169"/>
    </row>
    <row r="265" spans="1:33" s="10" customFormat="1" ht="13" x14ac:dyDescent="0.3">
      <c r="A265" s="221" t="s">
        <v>276</v>
      </c>
      <c r="B265" s="220"/>
      <c r="C265" s="220"/>
      <c r="D265" s="223"/>
      <c r="E265" s="222"/>
      <c r="F265" s="220"/>
      <c r="G265" s="221" t="s">
        <v>276</v>
      </c>
      <c r="H265" s="220"/>
      <c r="I265" s="220"/>
      <c r="J265" s="220"/>
      <c r="K265" s="223"/>
      <c r="L265" s="220"/>
      <c r="M265" s="10" t="s">
        <v>2594</v>
      </c>
      <c r="N265" s="220"/>
      <c r="O265" s="220"/>
      <c r="P265" s="220"/>
      <c r="Q265" s="220"/>
      <c r="R265" s="220"/>
      <c r="S265" s="169"/>
      <c r="T265" s="220"/>
      <c r="U265" s="220"/>
      <c r="V265" s="220"/>
      <c r="W265" s="220"/>
      <c r="X265" s="220"/>
      <c r="Y265" s="220"/>
      <c r="Z265" s="220"/>
      <c r="AA265" s="220"/>
      <c r="AB265" s="220"/>
      <c r="AC265" s="220"/>
      <c r="AD265" s="220"/>
      <c r="AE265" s="220"/>
      <c r="AF265" s="220"/>
      <c r="AG265" s="220"/>
    </row>
    <row r="266" spans="1:33" x14ac:dyDescent="0.25">
      <c r="A266" s="219" t="s">
        <v>503</v>
      </c>
      <c r="B266" s="169"/>
      <c r="C266" s="169"/>
      <c r="D266" s="197"/>
      <c r="E266" s="207"/>
      <c r="F266" s="169"/>
      <c r="G266" s="219" t="s">
        <v>503</v>
      </c>
      <c r="H266" s="169"/>
      <c r="I266" s="169"/>
      <c r="J266" s="169"/>
      <c r="K266" s="197"/>
      <c r="L266" s="169"/>
      <c r="M266" s="17" t="s">
        <v>2595</v>
      </c>
      <c r="N266" s="169"/>
      <c r="O266" s="169"/>
      <c r="P266" s="169"/>
      <c r="Q266" s="169"/>
      <c r="R266" s="169"/>
      <c r="S266" s="169"/>
      <c r="T266" s="169"/>
      <c r="U266" s="169"/>
      <c r="V266" s="169"/>
      <c r="W266" s="169"/>
      <c r="X266" s="169"/>
      <c r="Y266" s="169"/>
      <c r="Z266" s="169"/>
      <c r="AA266" s="169"/>
      <c r="AB266" s="169"/>
      <c r="AC266" s="169"/>
      <c r="AD266" s="169"/>
      <c r="AE266" s="169"/>
      <c r="AF266" s="169"/>
      <c r="AG266" s="169"/>
    </row>
    <row r="267" spans="1:33" x14ac:dyDescent="0.25">
      <c r="A267" s="219" t="s">
        <v>504</v>
      </c>
      <c r="B267" s="169"/>
      <c r="C267" s="169"/>
      <c r="D267" s="197"/>
      <c r="E267" s="207"/>
      <c r="F267" s="169"/>
      <c r="G267" s="219" t="s">
        <v>504</v>
      </c>
      <c r="H267" s="169"/>
      <c r="I267" s="169"/>
      <c r="J267" s="169"/>
      <c r="K267" s="197"/>
      <c r="L267" s="169"/>
      <c r="M267" s="17" t="s">
        <v>2596</v>
      </c>
      <c r="N267" s="169"/>
      <c r="O267" s="169"/>
      <c r="P267" s="169"/>
      <c r="Q267" s="169"/>
      <c r="R267" s="169"/>
      <c r="S267" s="169"/>
      <c r="T267" s="169"/>
      <c r="U267" s="169"/>
      <c r="V267" s="169"/>
      <c r="W267" s="169"/>
      <c r="X267" s="169"/>
      <c r="Y267" s="169"/>
      <c r="Z267" s="169"/>
      <c r="AA267" s="169"/>
      <c r="AB267" s="169"/>
      <c r="AC267" s="169"/>
      <c r="AD267" s="169"/>
      <c r="AE267" s="169"/>
      <c r="AF267" s="169"/>
      <c r="AG267" s="169"/>
    </row>
    <row r="268" spans="1:33" x14ac:dyDescent="0.25">
      <c r="A268" s="219" t="s">
        <v>505</v>
      </c>
      <c r="B268" s="169"/>
      <c r="C268" s="169"/>
      <c r="D268" s="197"/>
      <c r="E268" s="207"/>
      <c r="F268" s="169"/>
      <c r="G268" s="219" t="s">
        <v>505</v>
      </c>
      <c r="H268" s="169"/>
      <c r="I268" s="169"/>
      <c r="J268" s="169"/>
      <c r="K268" s="197"/>
      <c r="L268" s="169"/>
      <c r="M268" s="17" t="s">
        <v>2597</v>
      </c>
      <c r="N268" s="169"/>
      <c r="O268" s="169"/>
      <c r="P268" s="169"/>
      <c r="Q268" s="169"/>
      <c r="R268" s="169"/>
      <c r="S268" s="169"/>
      <c r="T268" s="169"/>
      <c r="U268" s="169"/>
      <c r="V268" s="169"/>
      <c r="W268" s="169"/>
      <c r="X268" s="169"/>
      <c r="Y268" s="169"/>
      <c r="Z268" s="169"/>
      <c r="AA268" s="169"/>
      <c r="AB268" s="169"/>
      <c r="AC268" s="169"/>
      <c r="AD268" s="169"/>
      <c r="AE268" s="169"/>
      <c r="AF268" s="169"/>
      <c r="AG268" s="169"/>
    </row>
    <row r="269" spans="1:33" x14ac:dyDescent="0.25">
      <c r="A269" s="219" t="s">
        <v>278</v>
      </c>
      <c r="B269" s="169"/>
      <c r="C269" s="169"/>
      <c r="D269" s="197"/>
      <c r="E269" s="207"/>
      <c r="F269" s="169"/>
      <c r="G269" s="219" t="s">
        <v>278</v>
      </c>
      <c r="H269" s="169"/>
      <c r="I269" s="169"/>
      <c r="J269" s="169"/>
      <c r="K269" s="197"/>
      <c r="L269" s="169"/>
      <c r="M269" s="17" t="s">
        <v>2592</v>
      </c>
      <c r="N269" s="169"/>
      <c r="O269" s="169"/>
      <c r="P269" s="169"/>
      <c r="Q269" s="169"/>
      <c r="R269" s="169"/>
      <c r="S269" s="169"/>
      <c r="T269" s="169"/>
      <c r="U269" s="169"/>
      <c r="V269" s="169"/>
      <c r="W269" s="169"/>
      <c r="X269" s="169"/>
      <c r="Y269" s="169"/>
      <c r="Z269" s="169"/>
      <c r="AA269" s="169"/>
      <c r="AB269" s="169"/>
      <c r="AC269" s="169"/>
      <c r="AD269" s="169"/>
      <c r="AE269" s="169"/>
      <c r="AF269" s="169"/>
      <c r="AG269" s="169"/>
    </row>
    <row r="270" spans="1:33" x14ac:dyDescent="0.25">
      <c r="A270" s="219" t="s">
        <v>506</v>
      </c>
      <c r="B270" s="169"/>
      <c r="C270" s="169"/>
      <c r="D270" s="197"/>
      <c r="E270" s="207"/>
      <c r="F270" s="169"/>
      <c r="G270" s="219" t="s">
        <v>569</v>
      </c>
      <c r="H270" s="169"/>
      <c r="I270" s="169"/>
      <c r="J270" s="169"/>
      <c r="K270" s="197"/>
      <c r="L270" s="169"/>
      <c r="M270" s="17" t="s">
        <v>2598</v>
      </c>
      <c r="N270" s="169"/>
      <c r="O270" s="169"/>
      <c r="P270" s="169"/>
      <c r="Q270" s="169"/>
      <c r="R270" s="169"/>
      <c r="S270" s="169"/>
      <c r="T270" s="169"/>
      <c r="U270" s="169"/>
      <c r="V270" s="169"/>
      <c r="W270" s="169"/>
      <c r="X270" s="169"/>
      <c r="Y270" s="169"/>
      <c r="Z270" s="169"/>
      <c r="AA270" s="169"/>
      <c r="AB270" s="169"/>
      <c r="AC270" s="169"/>
      <c r="AD270" s="169"/>
      <c r="AE270" s="169"/>
      <c r="AF270" s="169"/>
      <c r="AG270" s="169"/>
    </row>
    <row r="271" spans="1:33" x14ac:dyDescent="0.25">
      <c r="A271" s="219" t="s">
        <v>507</v>
      </c>
      <c r="B271" s="169"/>
      <c r="C271" s="169"/>
      <c r="D271" s="197"/>
      <c r="E271" s="207"/>
      <c r="F271" s="169"/>
      <c r="G271" s="219" t="s">
        <v>570</v>
      </c>
      <c r="H271" s="169"/>
      <c r="I271" s="169"/>
      <c r="J271" s="169"/>
      <c r="K271" s="197"/>
      <c r="L271" s="169"/>
      <c r="M271" s="17" t="s">
        <v>2599</v>
      </c>
      <c r="N271" s="169"/>
      <c r="O271" s="169"/>
      <c r="P271" s="169"/>
      <c r="Q271" s="169"/>
      <c r="R271" s="169"/>
      <c r="S271" s="169"/>
      <c r="T271" s="169"/>
      <c r="U271" s="169"/>
      <c r="V271" s="169"/>
      <c r="W271" s="169"/>
      <c r="X271" s="169"/>
      <c r="Y271" s="169"/>
      <c r="Z271" s="169"/>
      <c r="AA271" s="169"/>
      <c r="AB271" s="169"/>
      <c r="AC271" s="169"/>
      <c r="AD271" s="169"/>
      <c r="AE271" s="169"/>
      <c r="AF271" s="169"/>
      <c r="AG271" s="169"/>
    </row>
    <row r="272" spans="1:33" x14ac:dyDescent="0.25">
      <c r="A272" s="219"/>
      <c r="B272" s="169"/>
      <c r="C272" s="169"/>
      <c r="D272" s="197"/>
      <c r="E272" s="207"/>
      <c r="F272" s="169"/>
      <c r="G272" s="219"/>
      <c r="H272" s="169"/>
      <c r="I272" s="169"/>
      <c r="J272" s="169"/>
      <c r="K272" s="197"/>
      <c r="L272" s="169"/>
      <c r="M272" s="17" t="s">
        <v>2597</v>
      </c>
      <c r="N272" s="169"/>
      <c r="O272" s="169"/>
      <c r="P272" s="169"/>
      <c r="Q272" s="169"/>
      <c r="R272" s="169"/>
      <c r="S272" s="169"/>
      <c r="T272" s="169"/>
      <c r="U272" s="169"/>
      <c r="V272" s="169"/>
      <c r="W272" s="169"/>
      <c r="X272" s="169"/>
      <c r="Y272" s="169"/>
      <c r="Z272" s="169"/>
      <c r="AA272" s="169"/>
      <c r="AB272" s="169"/>
      <c r="AC272" s="169"/>
      <c r="AD272" s="169"/>
      <c r="AE272" s="169"/>
      <c r="AF272" s="169"/>
      <c r="AG272" s="169"/>
    </row>
    <row r="273" spans="1:33" s="10" customFormat="1" ht="13" x14ac:dyDescent="0.3">
      <c r="A273" s="221" t="s">
        <v>508</v>
      </c>
      <c r="B273" s="220"/>
      <c r="C273" s="220"/>
      <c r="D273" s="223"/>
      <c r="E273" s="222"/>
      <c r="F273" s="220"/>
      <c r="G273" s="221" t="s">
        <v>508</v>
      </c>
      <c r="H273" s="220"/>
      <c r="I273" s="220"/>
      <c r="J273" s="220"/>
      <c r="K273" s="223"/>
      <c r="L273" s="220"/>
      <c r="M273" s="10" t="s">
        <v>2600</v>
      </c>
      <c r="N273" s="220"/>
      <c r="O273" s="220"/>
      <c r="P273" s="220"/>
      <c r="Q273" s="220"/>
      <c r="R273" s="220"/>
      <c r="S273" s="169"/>
      <c r="T273" s="220"/>
      <c r="U273" s="220"/>
      <c r="V273" s="220"/>
      <c r="W273" s="220"/>
      <c r="X273" s="220"/>
      <c r="Y273" s="220"/>
      <c r="Z273" s="220"/>
      <c r="AA273" s="220"/>
      <c r="AB273" s="220"/>
      <c r="AC273" s="220"/>
      <c r="AD273" s="220"/>
      <c r="AE273" s="220"/>
      <c r="AF273" s="220"/>
      <c r="AG273" s="220"/>
    </row>
    <row r="274" spans="1:33" x14ac:dyDescent="0.25">
      <c r="A274" s="219" t="s">
        <v>509</v>
      </c>
      <c r="B274" s="169"/>
      <c r="C274" s="169"/>
      <c r="D274" s="197"/>
      <c r="E274" s="207"/>
      <c r="F274" s="169"/>
      <c r="G274" s="219" t="s">
        <v>509</v>
      </c>
      <c r="H274" s="169"/>
      <c r="I274" s="169"/>
      <c r="J274" s="169"/>
      <c r="K274" s="197"/>
      <c r="L274" s="169"/>
      <c r="M274" s="17" t="s">
        <v>2601</v>
      </c>
      <c r="N274" s="169"/>
      <c r="O274" s="169"/>
      <c r="P274" s="169"/>
      <c r="Q274" s="169"/>
      <c r="R274" s="169"/>
      <c r="S274" s="169"/>
      <c r="T274" s="169"/>
      <c r="U274" s="169"/>
      <c r="V274" s="169"/>
      <c r="W274" s="169"/>
      <c r="X274" s="169"/>
      <c r="Y274" s="169"/>
      <c r="Z274" s="169"/>
      <c r="AA274" s="169"/>
      <c r="AB274" s="169"/>
      <c r="AC274" s="169"/>
      <c r="AD274" s="169"/>
      <c r="AE274" s="169"/>
      <c r="AF274" s="169"/>
      <c r="AG274" s="169"/>
    </row>
    <row r="275" spans="1:33" x14ac:dyDescent="0.25">
      <c r="A275" s="219" t="s">
        <v>510</v>
      </c>
      <c r="B275" s="169"/>
      <c r="C275" s="169"/>
      <c r="D275" s="197"/>
      <c r="E275" s="207"/>
      <c r="F275" s="169"/>
      <c r="G275" s="219" t="s">
        <v>510</v>
      </c>
      <c r="H275" s="169"/>
      <c r="I275" s="169"/>
      <c r="J275" s="169"/>
      <c r="K275" s="197"/>
      <c r="L275" s="169"/>
      <c r="M275" s="17" t="s">
        <v>2602</v>
      </c>
      <c r="N275" s="169"/>
      <c r="O275" s="169"/>
      <c r="P275" s="169"/>
      <c r="Q275" s="169"/>
      <c r="R275" s="169"/>
      <c r="S275" s="169"/>
      <c r="T275" s="169"/>
      <c r="U275" s="169"/>
      <c r="V275" s="169"/>
      <c r="W275" s="169"/>
      <c r="X275" s="169"/>
      <c r="Y275" s="169"/>
      <c r="Z275" s="169"/>
      <c r="AA275" s="169"/>
      <c r="AB275" s="169"/>
      <c r="AC275" s="169"/>
      <c r="AD275" s="169"/>
      <c r="AE275" s="169"/>
      <c r="AF275" s="169"/>
      <c r="AG275" s="169"/>
    </row>
    <row r="276" spans="1:33" x14ac:dyDescent="0.25">
      <c r="A276" s="219" t="s">
        <v>511</v>
      </c>
      <c r="B276" s="169"/>
      <c r="C276" s="169"/>
      <c r="D276" s="197"/>
      <c r="E276" s="207"/>
      <c r="F276" s="169"/>
      <c r="G276" s="219" t="s">
        <v>511</v>
      </c>
      <c r="H276" s="169"/>
      <c r="I276" s="169"/>
      <c r="J276" s="169"/>
      <c r="K276" s="197"/>
      <c r="L276" s="169"/>
      <c r="M276" s="17" t="s">
        <v>2603</v>
      </c>
      <c r="N276" s="169"/>
      <c r="O276" s="169"/>
      <c r="P276" s="169"/>
      <c r="Q276" s="169"/>
      <c r="R276" s="169"/>
      <c r="S276" s="169"/>
      <c r="T276" s="169"/>
      <c r="U276" s="169"/>
      <c r="V276" s="169"/>
      <c r="W276" s="169"/>
      <c r="X276" s="169"/>
      <c r="Y276" s="169"/>
      <c r="Z276" s="169"/>
      <c r="AA276" s="169"/>
      <c r="AB276" s="169"/>
      <c r="AC276" s="169"/>
      <c r="AD276" s="169"/>
      <c r="AE276" s="169"/>
      <c r="AF276" s="169"/>
      <c r="AG276" s="169"/>
    </row>
    <row r="277" spans="1:33" x14ac:dyDescent="0.25">
      <c r="A277" s="219" t="s">
        <v>278</v>
      </c>
      <c r="B277" s="169"/>
      <c r="C277" s="169"/>
      <c r="D277" s="197"/>
      <c r="E277" s="207"/>
      <c r="F277" s="169"/>
      <c r="G277" s="219" t="s">
        <v>278</v>
      </c>
      <c r="H277" s="169"/>
      <c r="I277" s="169"/>
      <c r="J277" s="169"/>
      <c r="K277" s="197"/>
      <c r="L277" s="169"/>
      <c r="M277" s="17" t="s">
        <v>2604</v>
      </c>
      <c r="N277" s="169"/>
      <c r="O277" s="169"/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69"/>
      <c r="AA277" s="169"/>
      <c r="AB277" s="169"/>
      <c r="AC277" s="169"/>
      <c r="AD277" s="169"/>
      <c r="AE277" s="169"/>
      <c r="AF277" s="169"/>
      <c r="AG277" s="169"/>
    </row>
    <row r="278" spans="1:33" x14ac:dyDescent="0.25">
      <c r="A278" s="219" t="s">
        <v>512</v>
      </c>
      <c r="B278" s="169"/>
      <c r="C278" s="169"/>
      <c r="D278" s="197"/>
      <c r="E278" s="207"/>
      <c r="F278" s="169"/>
      <c r="G278" s="219" t="s">
        <v>571</v>
      </c>
      <c r="H278" s="169"/>
      <c r="I278" s="169"/>
      <c r="J278" s="169"/>
      <c r="K278" s="197"/>
      <c r="L278" s="169"/>
      <c r="M278" s="17" t="s">
        <v>2605</v>
      </c>
      <c r="N278" s="169"/>
      <c r="O278" s="169"/>
      <c r="P278" s="169"/>
      <c r="Q278" s="169"/>
      <c r="R278" s="169"/>
      <c r="S278" s="169"/>
      <c r="T278" s="169"/>
      <c r="U278" s="169"/>
      <c r="V278" s="169"/>
      <c r="W278" s="169"/>
      <c r="X278" s="169"/>
      <c r="Y278" s="169"/>
      <c r="Z278" s="169"/>
      <c r="AA278" s="169"/>
      <c r="AB278" s="169"/>
      <c r="AC278" s="169"/>
      <c r="AD278" s="169"/>
      <c r="AE278" s="169"/>
      <c r="AF278" s="169"/>
      <c r="AG278" s="169"/>
    </row>
    <row r="279" spans="1:33" x14ac:dyDescent="0.25">
      <c r="A279" s="219" t="s">
        <v>513</v>
      </c>
      <c r="B279" s="169"/>
      <c r="C279" s="169"/>
      <c r="D279" s="197"/>
      <c r="E279" s="207"/>
      <c r="F279" s="169"/>
      <c r="G279" s="219" t="s">
        <v>572</v>
      </c>
      <c r="H279" s="169"/>
      <c r="I279" s="169"/>
      <c r="J279" s="169"/>
      <c r="K279" s="197"/>
      <c r="L279" s="169"/>
      <c r="M279" s="17" t="s">
        <v>2606</v>
      </c>
      <c r="N279" s="169"/>
      <c r="O279" s="169"/>
      <c r="P279" s="169"/>
      <c r="Q279" s="169"/>
      <c r="R279" s="169"/>
      <c r="S279" s="169"/>
      <c r="T279" s="169"/>
      <c r="U279" s="169"/>
      <c r="V279" s="169"/>
      <c r="W279" s="169"/>
      <c r="X279" s="169"/>
      <c r="Y279" s="169"/>
      <c r="Z279" s="169"/>
      <c r="AA279" s="169"/>
      <c r="AB279" s="169"/>
      <c r="AC279" s="169"/>
      <c r="AD279" s="169"/>
      <c r="AE279" s="169"/>
      <c r="AF279" s="169"/>
      <c r="AG279" s="169"/>
    </row>
    <row r="280" spans="1:33" x14ac:dyDescent="0.25">
      <c r="A280" s="219"/>
      <c r="B280" s="169"/>
      <c r="C280" s="169"/>
      <c r="D280" s="197"/>
      <c r="E280" s="207"/>
      <c r="F280" s="169"/>
      <c r="G280" s="219"/>
      <c r="H280" s="169"/>
      <c r="I280" s="169"/>
      <c r="J280" s="169"/>
      <c r="K280" s="197"/>
      <c r="L280" s="169"/>
      <c r="M280" s="17" t="s">
        <v>2607</v>
      </c>
      <c r="N280" s="169"/>
      <c r="O280" s="169"/>
      <c r="P280" s="169"/>
      <c r="Q280" s="169"/>
      <c r="R280" s="169"/>
      <c r="S280" s="169"/>
      <c r="T280" s="169"/>
      <c r="U280" s="169"/>
      <c r="V280" s="169"/>
      <c r="W280" s="169"/>
      <c r="X280" s="169"/>
      <c r="Y280" s="169"/>
      <c r="Z280" s="169"/>
      <c r="AA280" s="169"/>
      <c r="AB280" s="169"/>
      <c r="AC280" s="169"/>
      <c r="AD280" s="169"/>
      <c r="AE280" s="169"/>
      <c r="AF280" s="169"/>
      <c r="AG280" s="169"/>
    </row>
    <row r="281" spans="1:33" x14ac:dyDescent="0.25">
      <c r="A281" s="219" t="s">
        <v>514</v>
      </c>
      <c r="B281" s="169"/>
      <c r="C281" s="169"/>
      <c r="D281" s="197"/>
      <c r="E281" s="207"/>
      <c r="F281" s="169"/>
      <c r="G281" s="219" t="s">
        <v>514</v>
      </c>
      <c r="H281" s="169"/>
      <c r="I281" s="169"/>
      <c r="J281" s="169"/>
      <c r="K281" s="197"/>
      <c r="L281" s="169"/>
      <c r="M281" s="17" t="s">
        <v>2608</v>
      </c>
      <c r="N281" s="169"/>
      <c r="O281" s="169"/>
      <c r="P281" s="169"/>
      <c r="Q281" s="169"/>
      <c r="R281" s="169"/>
      <c r="S281" s="169"/>
      <c r="T281" s="169"/>
      <c r="U281" s="169"/>
      <c r="V281" s="169"/>
      <c r="W281" s="169"/>
      <c r="X281" s="169"/>
      <c r="Y281" s="169"/>
      <c r="Z281" s="169"/>
      <c r="AA281" s="169"/>
      <c r="AB281" s="169"/>
      <c r="AC281" s="169"/>
      <c r="AD281" s="169"/>
      <c r="AE281" s="169"/>
      <c r="AF281" s="169"/>
      <c r="AG281" s="169"/>
    </row>
    <row r="282" spans="1:33" x14ac:dyDescent="0.25">
      <c r="A282" s="169"/>
      <c r="B282" s="169"/>
      <c r="C282" s="169"/>
      <c r="D282" s="197"/>
      <c r="E282" s="207"/>
      <c r="F282" s="169"/>
      <c r="G282" s="169"/>
      <c r="H282" s="169"/>
      <c r="I282" s="169"/>
      <c r="J282" s="169"/>
      <c r="K282" s="197"/>
      <c r="L282" s="169"/>
      <c r="M282" s="17" t="s">
        <v>2609</v>
      </c>
      <c r="N282" s="169"/>
      <c r="O282" s="169"/>
      <c r="P282" s="169"/>
      <c r="Q282" s="169"/>
      <c r="R282" s="169"/>
      <c r="S282" s="169"/>
      <c r="T282" s="169"/>
      <c r="U282" s="169"/>
      <c r="V282" s="169"/>
      <c r="W282" s="169"/>
      <c r="X282" s="169"/>
      <c r="Y282" s="169"/>
      <c r="Z282" s="169"/>
      <c r="AA282" s="169"/>
      <c r="AB282" s="169"/>
      <c r="AC282" s="169"/>
      <c r="AD282" s="169"/>
      <c r="AE282" s="169"/>
      <c r="AF282" s="169"/>
      <c r="AG282" s="169"/>
    </row>
    <row r="283" spans="1:33" x14ac:dyDescent="0.25">
      <c r="A283" s="169"/>
      <c r="B283" s="169"/>
      <c r="C283" s="169"/>
      <c r="D283" s="197"/>
      <c r="E283" s="207"/>
      <c r="F283" s="169"/>
      <c r="G283" s="169"/>
      <c r="H283" s="169"/>
      <c r="I283" s="169"/>
      <c r="J283" s="169"/>
      <c r="K283" s="197"/>
      <c r="L283" s="169"/>
      <c r="M283" s="17" t="s">
        <v>2610</v>
      </c>
      <c r="N283" s="169"/>
      <c r="O283" s="169"/>
      <c r="P283" s="169"/>
      <c r="Q283" s="169"/>
      <c r="R283" s="169"/>
      <c r="S283" s="169"/>
      <c r="T283" s="169"/>
      <c r="U283" s="169"/>
      <c r="V283" s="169"/>
      <c r="W283" s="169"/>
      <c r="X283" s="169"/>
      <c r="Y283" s="169"/>
      <c r="Z283" s="169"/>
      <c r="AA283" s="169"/>
      <c r="AB283" s="169"/>
      <c r="AC283" s="169"/>
      <c r="AD283" s="169"/>
      <c r="AE283" s="169"/>
      <c r="AF283" s="169"/>
      <c r="AG283" s="169"/>
    </row>
    <row r="284" spans="1:33" x14ac:dyDescent="0.25">
      <c r="A284" s="17" t="s">
        <v>1298</v>
      </c>
      <c r="B284" s="169"/>
      <c r="C284" s="169"/>
      <c r="D284" s="197"/>
      <c r="E284" s="207"/>
      <c r="F284" s="169"/>
      <c r="G284" s="17" t="s">
        <v>1298</v>
      </c>
      <c r="H284" s="169"/>
      <c r="I284" s="169"/>
      <c r="J284" s="169"/>
      <c r="K284" s="197"/>
      <c r="L284" s="169"/>
      <c r="M284" s="17" t="s">
        <v>2611</v>
      </c>
      <c r="N284" s="169"/>
      <c r="O284" s="169"/>
      <c r="P284" s="169"/>
      <c r="Q284" s="169"/>
      <c r="R284" s="169"/>
      <c r="S284" s="169"/>
      <c r="T284" s="169"/>
      <c r="U284" s="169"/>
      <c r="V284" s="169"/>
      <c r="W284" s="169"/>
      <c r="X284" s="169"/>
      <c r="Y284" s="169"/>
      <c r="Z284" s="169"/>
      <c r="AA284" s="169"/>
      <c r="AB284" s="169"/>
      <c r="AC284" s="169"/>
      <c r="AD284" s="169"/>
      <c r="AE284" s="169"/>
      <c r="AF284" s="169"/>
      <c r="AG284" s="169"/>
    </row>
    <row r="285" spans="1:33" x14ac:dyDescent="0.25">
      <c r="A285" s="17" t="s">
        <v>1299</v>
      </c>
      <c r="B285" s="169"/>
      <c r="C285" s="169"/>
      <c r="D285" s="197"/>
      <c r="E285" s="207"/>
      <c r="F285" s="169"/>
      <c r="G285" s="17" t="s">
        <v>1299</v>
      </c>
      <c r="H285" s="169"/>
      <c r="I285" s="169"/>
      <c r="J285" s="169"/>
      <c r="K285" s="197"/>
      <c r="L285" s="169"/>
      <c r="M285" s="17" t="s">
        <v>1334</v>
      </c>
      <c r="N285" s="169"/>
      <c r="O285" s="169"/>
      <c r="P285" s="169"/>
      <c r="Q285" s="169"/>
      <c r="R285" s="169"/>
      <c r="S285" s="169"/>
      <c r="T285" s="169"/>
      <c r="U285" s="169"/>
      <c r="V285" s="169"/>
      <c r="W285" s="169"/>
      <c r="X285" s="169"/>
      <c r="Y285" s="169"/>
      <c r="Z285" s="169"/>
      <c r="AA285" s="169"/>
      <c r="AB285" s="169"/>
      <c r="AC285" s="169"/>
      <c r="AD285" s="169"/>
      <c r="AE285" s="169"/>
      <c r="AF285" s="169"/>
      <c r="AG285" s="169"/>
    </row>
    <row r="286" spans="1:33" x14ac:dyDescent="0.25">
      <c r="A286" s="17" t="s">
        <v>1300</v>
      </c>
      <c r="B286" s="169"/>
      <c r="C286" s="169"/>
      <c r="D286" s="197"/>
      <c r="E286" s="207"/>
      <c r="F286" s="169"/>
      <c r="G286" s="17" t="s">
        <v>1959</v>
      </c>
      <c r="H286" s="169"/>
      <c r="I286" s="169"/>
      <c r="J286" s="169"/>
      <c r="K286" s="197"/>
      <c r="L286" s="169"/>
      <c r="M286" s="17" t="s">
        <v>2612</v>
      </c>
      <c r="N286" s="169"/>
      <c r="O286" s="169"/>
      <c r="P286" s="169"/>
      <c r="Q286" s="169"/>
      <c r="R286" s="169"/>
      <c r="S286" s="169"/>
      <c r="T286" s="169"/>
      <c r="U286" s="169"/>
      <c r="V286" s="169"/>
      <c r="W286" s="169"/>
      <c r="X286" s="169"/>
      <c r="Y286" s="169"/>
      <c r="Z286" s="169"/>
      <c r="AA286" s="169"/>
      <c r="AB286" s="169"/>
      <c r="AC286" s="169"/>
      <c r="AD286" s="169"/>
      <c r="AE286" s="169"/>
      <c r="AF286" s="169"/>
      <c r="AG286" s="169"/>
    </row>
    <row r="287" spans="1:33" x14ac:dyDescent="0.25">
      <c r="A287" s="17" t="s">
        <v>1301</v>
      </c>
      <c r="B287" s="169"/>
      <c r="C287" s="169"/>
      <c r="D287" s="197"/>
      <c r="E287" s="207"/>
      <c r="F287" s="169"/>
      <c r="G287" s="17" t="s">
        <v>1960</v>
      </c>
      <c r="H287" s="169"/>
      <c r="I287" s="169"/>
      <c r="J287" s="169"/>
      <c r="K287" s="197"/>
      <c r="L287" s="169"/>
      <c r="M287" s="439" t="s">
        <v>2613</v>
      </c>
      <c r="N287" s="169"/>
      <c r="O287" s="169"/>
      <c r="P287" s="169"/>
      <c r="Q287" s="169"/>
      <c r="R287" s="169"/>
      <c r="S287" s="169"/>
      <c r="T287" s="169"/>
      <c r="U287" s="169"/>
      <c r="V287" s="169"/>
      <c r="W287" s="169"/>
      <c r="X287" s="169"/>
      <c r="Y287" s="169"/>
      <c r="Z287" s="169"/>
      <c r="AA287" s="169"/>
      <c r="AB287" s="169"/>
      <c r="AC287" s="169"/>
      <c r="AD287" s="169"/>
      <c r="AE287" s="169"/>
      <c r="AF287" s="169"/>
      <c r="AG287" s="169"/>
    </row>
    <row r="288" spans="1:33" x14ac:dyDescent="0.25">
      <c r="A288" s="17" t="s">
        <v>1302</v>
      </c>
      <c r="B288" s="169"/>
      <c r="C288" s="169"/>
      <c r="D288" s="197"/>
      <c r="E288" s="207"/>
      <c r="F288" s="169"/>
      <c r="G288" s="17" t="s">
        <v>1961</v>
      </c>
      <c r="H288" s="169"/>
      <c r="I288" s="169"/>
      <c r="J288" s="169"/>
      <c r="K288" s="197"/>
      <c r="L288" s="169"/>
      <c r="M288" s="17" t="s">
        <v>2614</v>
      </c>
      <c r="N288" s="169"/>
      <c r="O288" s="169"/>
      <c r="P288" s="169"/>
      <c r="Q288" s="169"/>
      <c r="R288" s="169"/>
      <c r="S288" s="169"/>
      <c r="T288" s="169"/>
      <c r="U288" s="169"/>
      <c r="V288" s="169"/>
      <c r="W288" s="169"/>
      <c r="X288" s="169"/>
      <c r="Y288" s="169"/>
      <c r="Z288" s="169"/>
      <c r="AA288" s="169"/>
      <c r="AB288" s="169"/>
      <c r="AC288" s="169"/>
      <c r="AD288" s="169"/>
      <c r="AE288" s="169"/>
      <c r="AF288" s="169"/>
      <c r="AG288" s="169"/>
    </row>
    <row r="289" spans="1:33" x14ac:dyDescent="0.25">
      <c r="A289" s="17" t="s">
        <v>1303</v>
      </c>
      <c r="B289" s="169"/>
      <c r="C289" s="169"/>
      <c r="D289" s="197"/>
      <c r="E289" s="207"/>
      <c r="F289" s="169"/>
      <c r="G289" s="17" t="s">
        <v>1962</v>
      </c>
      <c r="H289" s="169"/>
      <c r="I289" s="169"/>
      <c r="J289" s="169"/>
      <c r="K289" s="197"/>
      <c r="L289" s="169"/>
      <c r="M289" s="17" t="s">
        <v>2615</v>
      </c>
      <c r="N289" s="169"/>
      <c r="O289" s="169"/>
      <c r="P289" s="169"/>
      <c r="Q289" s="169"/>
      <c r="R289" s="169"/>
      <c r="S289" s="169"/>
      <c r="T289" s="169"/>
      <c r="U289" s="169"/>
      <c r="V289" s="169"/>
      <c r="W289" s="169"/>
      <c r="X289" s="169"/>
      <c r="Y289" s="169"/>
      <c r="Z289" s="169"/>
      <c r="AA289" s="169"/>
      <c r="AB289" s="169"/>
      <c r="AC289" s="169"/>
      <c r="AD289" s="169"/>
      <c r="AE289" s="169"/>
      <c r="AF289" s="169"/>
      <c r="AG289" s="169"/>
    </row>
    <row r="290" spans="1:33" x14ac:dyDescent="0.25">
      <c r="A290" s="17" t="s">
        <v>1304</v>
      </c>
      <c r="B290" s="169"/>
      <c r="C290" s="169"/>
      <c r="D290" s="197"/>
      <c r="E290" s="207"/>
      <c r="F290" s="169"/>
      <c r="G290" s="17" t="s">
        <v>1963</v>
      </c>
      <c r="H290" s="169"/>
      <c r="I290" s="169"/>
      <c r="J290" s="169"/>
      <c r="K290" s="197"/>
      <c r="L290" s="169"/>
      <c r="M290" s="17" t="s">
        <v>2616</v>
      </c>
      <c r="N290" s="169"/>
      <c r="O290" s="169"/>
      <c r="P290" s="169"/>
      <c r="Q290" s="169"/>
      <c r="R290" s="169"/>
      <c r="S290" s="169"/>
      <c r="T290" s="169"/>
      <c r="U290" s="169"/>
      <c r="V290" s="169"/>
      <c r="W290" s="169"/>
      <c r="X290" s="169"/>
      <c r="Y290" s="169"/>
      <c r="Z290" s="169"/>
      <c r="AA290" s="169"/>
      <c r="AB290" s="169"/>
      <c r="AC290" s="169"/>
      <c r="AD290" s="169"/>
      <c r="AE290" s="169"/>
      <c r="AF290" s="169"/>
      <c r="AG290" s="169"/>
    </row>
    <row r="291" spans="1:33" x14ac:dyDescent="0.25">
      <c r="A291" s="17" t="s">
        <v>1305</v>
      </c>
      <c r="B291" s="169"/>
      <c r="C291" s="169"/>
      <c r="D291" s="197"/>
      <c r="E291" s="207"/>
      <c r="F291" s="169"/>
      <c r="G291" s="17" t="s">
        <v>1964</v>
      </c>
      <c r="H291" s="169"/>
      <c r="I291" s="169"/>
      <c r="J291" s="169"/>
      <c r="K291" s="197"/>
      <c r="L291" s="169"/>
      <c r="M291" s="17" t="s">
        <v>2617</v>
      </c>
      <c r="N291" s="169"/>
      <c r="O291" s="169"/>
      <c r="P291" s="169"/>
      <c r="Q291" s="169"/>
      <c r="R291" s="169"/>
      <c r="S291" s="169"/>
      <c r="T291" s="169"/>
      <c r="U291" s="169"/>
      <c r="V291" s="169"/>
      <c r="W291" s="169"/>
      <c r="X291" s="169"/>
      <c r="Y291" s="169"/>
      <c r="Z291" s="169"/>
      <c r="AA291" s="169"/>
      <c r="AB291" s="169"/>
      <c r="AC291" s="169"/>
      <c r="AD291" s="169"/>
      <c r="AE291" s="169"/>
      <c r="AF291" s="169"/>
      <c r="AG291" s="169"/>
    </row>
    <row r="292" spans="1:33" x14ac:dyDescent="0.25">
      <c r="A292" s="17" t="s">
        <v>1306</v>
      </c>
      <c r="B292" s="169"/>
      <c r="C292" s="169"/>
      <c r="D292" s="197"/>
      <c r="E292" s="207"/>
      <c r="F292" s="169"/>
      <c r="G292" s="17" t="s">
        <v>1965</v>
      </c>
      <c r="H292" s="169"/>
      <c r="I292" s="169"/>
      <c r="J292" s="169"/>
      <c r="K292" s="197"/>
      <c r="L292" s="169"/>
      <c r="M292" s="17" t="s">
        <v>2618</v>
      </c>
      <c r="N292" s="169"/>
      <c r="O292" s="169"/>
      <c r="P292" s="169"/>
      <c r="Q292" s="169"/>
      <c r="R292" s="169"/>
      <c r="S292" s="169"/>
      <c r="T292" s="169"/>
      <c r="U292" s="169"/>
      <c r="V292" s="169"/>
      <c r="W292" s="169"/>
      <c r="X292" s="169"/>
      <c r="Y292" s="169"/>
      <c r="Z292" s="169"/>
      <c r="AA292" s="169"/>
      <c r="AB292" s="169"/>
      <c r="AC292" s="169"/>
      <c r="AD292" s="169"/>
      <c r="AE292" s="169"/>
      <c r="AF292" s="169"/>
      <c r="AG292" s="169"/>
    </row>
    <row r="293" spans="1:33" x14ac:dyDescent="0.25">
      <c r="A293" s="17" t="s">
        <v>1307</v>
      </c>
      <c r="B293" s="169"/>
      <c r="C293" s="169"/>
      <c r="D293" s="197"/>
      <c r="E293" s="207"/>
      <c r="F293" s="169"/>
      <c r="G293" s="17" t="s">
        <v>1966</v>
      </c>
      <c r="H293" s="169"/>
      <c r="I293" s="169"/>
      <c r="J293" s="169"/>
      <c r="K293" s="197"/>
      <c r="L293" s="169"/>
      <c r="M293" s="17" t="s">
        <v>2619</v>
      </c>
      <c r="N293" s="169"/>
      <c r="O293" s="169"/>
      <c r="P293" s="169"/>
      <c r="Q293" s="169"/>
      <c r="R293" s="169"/>
      <c r="S293" s="169"/>
      <c r="T293" s="169"/>
      <c r="U293" s="169"/>
      <c r="V293" s="169"/>
      <c r="W293" s="169"/>
      <c r="X293" s="169"/>
      <c r="Y293" s="169"/>
      <c r="Z293" s="169"/>
      <c r="AA293" s="169"/>
      <c r="AB293" s="169"/>
      <c r="AC293" s="169"/>
      <c r="AD293" s="169"/>
      <c r="AE293" s="169"/>
      <c r="AF293" s="169"/>
      <c r="AG293" s="169"/>
    </row>
    <row r="294" spans="1:33" x14ac:dyDescent="0.25">
      <c r="A294" s="17" t="s">
        <v>1308</v>
      </c>
      <c r="B294" s="169"/>
      <c r="C294" s="169"/>
      <c r="D294" s="197"/>
      <c r="E294" s="207"/>
      <c r="F294" s="169"/>
      <c r="G294" s="17" t="s">
        <v>1967</v>
      </c>
      <c r="H294" s="169"/>
      <c r="I294" s="169"/>
      <c r="J294" s="169"/>
      <c r="K294" s="197"/>
      <c r="L294" s="169"/>
      <c r="M294" s="17" t="s">
        <v>2620</v>
      </c>
      <c r="N294" s="169"/>
      <c r="O294" s="169"/>
      <c r="P294" s="169"/>
      <c r="Q294" s="169"/>
      <c r="R294" s="169"/>
      <c r="S294" s="169"/>
      <c r="T294" s="169"/>
      <c r="U294" s="169"/>
      <c r="V294" s="169"/>
      <c r="W294" s="169"/>
      <c r="X294" s="169"/>
      <c r="Y294" s="169"/>
      <c r="Z294" s="169"/>
      <c r="AA294" s="169"/>
      <c r="AB294" s="169"/>
      <c r="AC294" s="169"/>
      <c r="AD294" s="169"/>
      <c r="AE294" s="169"/>
      <c r="AF294" s="169"/>
      <c r="AG294" s="169"/>
    </row>
    <row r="295" spans="1:33" x14ac:dyDescent="0.25">
      <c r="A295" s="17" t="s">
        <v>1309</v>
      </c>
      <c r="B295" s="169"/>
      <c r="C295" s="169"/>
      <c r="D295" s="197"/>
      <c r="E295" s="207"/>
      <c r="F295" s="169"/>
      <c r="G295" s="17" t="s">
        <v>1968</v>
      </c>
      <c r="H295" s="169"/>
      <c r="I295" s="169"/>
      <c r="J295" s="169"/>
      <c r="K295" s="197"/>
      <c r="L295" s="169"/>
      <c r="M295" s="17" t="s">
        <v>2621</v>
      </c>
      <c r="N295" s="169"/>
      <c r="O295" s="169"/>
      <c r="P295" s="169"/>
      <c r="Q295" s="169"/>
      <c r="R295" s="169"/>
      <c r="S295" s="169"/>
      <c r="T295" s="169"/>
      <c r="U295" s="169"/>
      <c r="V295" s="169"/>
      <c r="W295" s="169"/>
      <c r="X295" s="169"/>
      <c r="Y295" s="169"/>
      <c r="Z295" s="169"/>
      <c r="AA295" s="169"/>
      <c r="AB295" s="169"/>
      <c r="AC295" s="169"/>
      <c r="AD295" s="169"/>
      <c r="AE295" s="169"/>
      <c r="AF295" s="169"/>
      <c r="AG295" s="169"/>
    </row>
    <row r="296" spans="1:33" x14ac:dyDescent="0.25">
      <c r="A296" s="17" t="s">
        <v>1310</v>
      </c>
      <c r="B296" s="169"/>
      <c r="C296" s="169"/>
      <c r="D296" s="197"/>
      <c r="E296" s="207"/>
      <c r="F296" s="169"/>
      <c r="G296" s="17" t="s">
        <v>1969</v>
      </c>
      <c r="H296" s="169"/>
      <c r="I296" s="169"/>
      <c r="J296" s="169"/>
      <c r="K296" s="197"/>
      <c r="L296" s="169"/>
      <c r="M296" s="17" t="s">
        <v>2622</v>
      </c>
      <c r="N296" s="169"/>
      <c r="O296" s="169"/>
      <c r="P296" s="169"/>
      <c r="Q296" s="169"/>
      <c r="R296" s="169"/>
      <c r="S296" s="169"/>
      <c r="T296" s="169"/>
      <c r="U296" s="169"/>
      <c r="V296" s="169"/>
      <c r="W296" s="169"/>
      <c r="X296" s="169"/>
      <c r="Y296" s="169"/>
      <c r="Z296" s="169"/>
      <c r="AA296" s="169"/>
      <c r="AB296" s="169"/>
      <c r="AC296" s="169"/>
      <c r="AD296" s="169"/>
      <c r="AE296" s="169"/>
      <c r="AF296" s="169"/>
      <c r="AG296" s="169"/>
    </row>
    <row r="297" spans="1:33" x14ac:dyDescent="0.25">
      <c r="A297" s="17" t="s">
        <v>1311</v>
      </c>
      <c r="B297" s="169"/>
      <c r="C297" s="169"/>
      <c r="D297" s="197"/>
      <c r="E297" s="207"/>
      <c r="F297" s="169"/>
      <c r="G297" s="17" t="s">
        <v>1963</v>
      </c>
      <c r="H297" s="169"/>
      <c r="I297" s="169"/>
      <c r="J297" s="169"/>
      <c r="K297" s="197"/>
      <c r="L297" s="169"/>
      <c r="M297" s="17" t="s">
        <v>2619</v>
      </c>
      <c r="N297" s="169"/>
      <c r="O297" s="169"/>
      <c r="P297" s="169"/>
      <c r="Q297" s="169"/>
      <c r="R297" s="169"/>
      <c r="S297" s="169"/>
      <c r="T297" s="169"/>
      <c r="U297" s="169"/>
      <c r="V297" s="169"/>
      <c r="W297" s="169"/>
      <c r="X297" s="169"/>
      <c r="Y297" s="169"/>
      <c r="Z297" s="169"/>
      <c r="AA297" s="169"/>
      <c r="AB297" s="169"/>
      <c r="AC297" s="169"/>
      <c r="AD297" s="169"/>
      <c r="AE297" s="169"/>
      <c r="AF297" s="169"/>
      <c r="AG297" s="169"/>
    </row>
    <row r="298" spans="1:33" x14ac:dyDescent="0.25">
      <c r="A298" s="17" t="s">
        <v>1312</v>
      </c>
      <c r="B298" s="169"/>
      <c r="C298" s="169"/>
      <c r="D298" s="197"/>
      <c r="E298" s="207"/>
      <c r="F298" s="169"/>
      <c r="G298" s="17" t="s">
        <v>1970</v>
      </c>
      <c r="H298" s="169"/>
      <c r="I298" s="169"/>
      <c r="J298" s="169"/>
      <c r="K298" s="197"/>
      <c r="L298" s="169"/>
      <c r="M298" s="17" t="s">
        <v>2623</v>
      </c>
      <c r="N298" s="169"/>
      <c r="O298" s="169"/>
      <c r="P298" s="169"/>
      <c r="Q298" s="169"/>
      <c r="R298" s="169"/>
      <c r="S298" s="169"/>
      <c r="T298" s="169"/>
      <c r="U298" s="169"/>
      <c r="V298" s="169"/>
      <c r="W298" s="169"/>
      <c r="X298" s="169"/>
      <c r="Y298" s="169"/>
      <c r="Z298" s="169"/>
      <c r="AA298" s="169"/>
      <c r="AB298" s="169"/>
      <c r="AC298" s="169"/>
      <c r="AD298" s="169"/>
      <c r="AE298" s="169"/>
      <c r="AF298" s="169"/>
      <c r="AG298" s="169"/>
    </row>
    <row r="299" spans="1:33" x14ac:dyDescent="0.25">
      <c r="A299" s="17" t="s">
        <v>1313</v>
      </c>
      <c r="B299" s="169"/>
      <c r="C299" s="169"/>
      <c r="D299" s="197"/>
      <c r="E299" s="207"/>
      <c r="F299" s="169"/>
      <c r="G299" s="17" t="s">
        <v>1971</v>
      </c>
      <c r="H299" s="169"/>
      <c r="I299" s="169"/>
      <c r="J299" s="169"/>
      <c r="K299" s="197"/>
      <c r="L299" s="169"/>
      <c r="M299" s="17" t="s">
        <v>1338</v>
      </c>
      <c r="N299" s="169"/>
      <c r="O299" s="169"/>
      <c r="P299" s="169"/>
      <c r="Q299" s="169"/>
      <c r="R299" s="169"/>
      <c r="S299" s="169"/>
      <c r="T299" s="169"/>
      <c r="U299" s="169"/>
      <c r="V299" s="169"/>
      <c r="W299" s="169"/>
      <c r="X299" s="169"/>
      <c r="Y299" s="169"/>
      <c r="Z299" s="169"/>
      <c r="AA299" s="169"/>
      <c r="AB299" s="169"/>
      <c r="AC299" s="169"/>
      <c r="AD299" s="169"/>
      <c r="AE299" s="169"/>
      <c r="AF299" s="169"/>
      <c r="AG299" s="169"/>
    </row>
    <row r="300" spans="1:33" x14ac:dyDescent="0.25">
      <c r="A300" s="17" t="s">
        <v>1314</v>
      </c>
      <c r="B300" s="169"/>
      <c r="C300" s="169"/>
      <c r="D300" s="197"/>
      <c r="E300" s="207"/>
      <c r="F300" s="169"/>
      <c r="G300" s="17" t="s">
        <v>1972</v>
      </c>
      <c r="H300" s="169"/>
      <c r="I300" s="169"/>
      <c r="J300" s="169"/>
      <c r="K300" s="197"/>
      <c r="L300" s="169"/>
      <c r="M300" s="17" t="s">
        <v>2624</v>
      </c>
      <c r="N300" s="169"/>
      <c r="O300" s="169"/>
      <c r="P300" s="169"/>
      <c r="Q300" s="169"/>
      <c r="R300" s="169"/>
      <c r="S300" s="169"/>
      <c r="T300" s="169"/>
      <c r="U300" s="169"/>
      <c r="V300" s="169"/>
      <c r="W300" s="169"/>
      <c r="X300" s="169"/>
      <c r="Y300" s="169"/>
      <c r="Z300" s="169"/>
      <c r="AA300" s="169"/>
      <c r="AB300" s="169"/>
      <c r="AC300" s="169"/>
      <c r="AD300" s="169"/>
      <c r="AE300" s="169"/>
      <c r="AF300" s="169"/>
      <c r="AG300" s="169"/>
    </row>
    <row r="301" spans="1:33" x14ac:dyDescent="0.25">
      <c r="A301" s="17" t="s">
        <v>1315</v>
      </c>
      <c r="B301" s="169"/>
      <c r="C301" s="169"/>
      <c r="D301" s="197"/>
      <c r="E301" s="207"/>
      <c r="F301" s="169"/>
      <c r="G301" s="17" t="s">
        <v>1973</v>
      </c>
      <c r="H301" s="169"/>
      <c r="I301" s="169"/>
      <c r="J301" s="169"/>
      <c r="K301" s="197"/>
      <c r="L301" s="169"/>
      <c r="M301" s="17" t="s">
        <v>2625</v>
      </c>
      <c r="N301" s="169"/>
      <c r="O301" s="169"/>
      <c r="P301" s="169"/>
      <c r="Q301" s="169"/>
      <c r="R301" s="169"/>
      <c r="S301" s="169"/>
      <c r="T301" s="169"/>
      <c r="U301" s="169"/>
      <c r="V301" s="169"/>
      <c r="W301" s="169"/>
      <c r="X301" s="169"/>
      <c r="Y301" s="169"/>
      <c r="Z301" s="169"/>
      <c r="AA301" s="169"/>
      <c r="AB301" s="169"/>
      <c r="AC301" s="169"/>
      <c r="AD301" s="169"/>
      <c r="AE301" s="169"/>
      <c r="AF301" s="169"/>
      <c r="AG301" s="169"/>
    </row>
    <row r="302" spans="1:33" x14ac:dyDescent="0.25">
      <c r="A302" s="17" t="s">
        <v>1316</v>
      </c>
      <c r="B302" s="169"/>
      <c r="C302" s="169"/>
      <c r="D302" s="197"/>
      <c r="E302" s="207"/>
      <c r="F302" s="169"/>
      <c r="G302" s="17" t="s">
        <v>1974</v>
      </c>
      <c r="H302" s="169"/>
      <c r="I302" s="169"/>
      <c r="J302" s="169"/>
      <c r="K302" s="197"/>
      <c r="L302" s="169"/>
      <c r="M302" s="17" t="s">
        <v>2626</v>
      </c>
      <c r="N302" s="169"/>
      <c r="O302" s="169"/>
      <c r="P302" s="169"/>
      <c r="Q302" s="169"/>
      <c r="R302" s="169"/>
      <c r="S302" s="169"/>
      <c r="T302" s="169"/>
      <c r="U302" s="169"/>
      <c r="V302" s="169"/>
      <c r="W302" s="169"/>
      <c r="X302" s="169"/>
      <c r="Y302" s="169"/>
      <c r="Z302" s="169"/>
      <c r="AA302" s="169"/>
      <c r="AB302" s="169"/>
      <c r="AC302" s="169"/>
      <c r="AD302" s="169"/>
      <c r="AE302" s="169"/>
      <c r="AF302" s="169"/>
      <c r="AG302" s="169"/>
    </row>
    <row r="303" spans="1:33" x14ac:dyDescent="0.25">
      <c r="A303" s="17" t="s">
        <v>1317</v>
      </c>
      <c r="B303" s="169"/>
      <c r="C303" s="169"/>
      <c r="D303" s="197"/>
      <c r="E303" s="207"/>
      <c r="F303" s="169"/>
      <c r="G303" s="17" t="s">
        <v>1975</v>
      </c>
      <c r="H303" s="169"/>
      <c r="I303" s="169"/>
      <c r="J303" s="169"/>
      <c r="K303" s="197"/>
      <c r="L303" s="169"/>
      <c r="M303" s="17" t="s">
        <v>2627</v>
      </c>
      <c r="N303" s="169"/>
      <c r="O303" s="169"/>
      <c r="P303" s="169"/>
      <c r="Q303" s="169"/>
      <c r="R303" s="169"/>
      <c r="S303" s="169"/>
      <c r="T303" s="169"/>
      <c r="U303" s="169"/>
      <c r="V303" s="169"/>
      <c r="W303" s="169"/>
      <c r="X303" s="169"/>
      <c r="Y303" s="169"/>
      <c r="Z303" s="169"/>
      <c r="AA303" s="169"/>
      <c r="AB303" s="169"/>
      <c r="AC303" s="169"/>
      <c r="AD303" s="169"/>
      <c r="AE303" s="169"/>
      <c r="AF303" s="169"/>
      <c r="AG303" s="169"/>
    </row>
    <row r="304" spans="1:33" x14ac:dyDescent="0.25">
      <c r="A304" s="17" t="s">
        <v>1318</v>
      </c>
      <c r="B304" s="169"/>
      <c r="C304" s="169"/>
      <c r="D304" s="197"/>
      <c r="E304" s="207"/>
      <c r="F304" s="169"/>
      <c r="G304" s="17" t="s">
        <v>1976</v>
      </c>
      <c r="H304" s="169"/>
      <c r="I304" s="169"/>
      <c r="J304" s="169"/>
      <c r="K304" s="197"/>
      <c r="L304" s="169"/>
      <c r="M304" s="17" t="s">
        <v>2628</v>
      </c>
      <c r="N304" s="169"/>
      <c r="O304" s="169"/>
      <c r="P304" s="169"/>
      <c r="Q304" s="169"/>
      <c r="R304" s="169"/>
      <c r="S304" s="169"/>
      <c r="T304" s="169"/>
      <c r="U304" s="169"/>
      <c r="V304" s="169"/>
      <c r="W304" s="169"/>
      <c r="X304" s="169"/>
      <c r="Y304" s="169"/>
      <c r="Z304" s="169"/>
      <c r="AA304" s="169"/>
      <c r="AB304" s="169"/>
      <c r="AC304" s="169"/>
      <c r="AD304" s="169"/>
      <c r="AE304" s="169"/>
      <c r="AF304" s="169"/>
      <c r="AG304" s="169"/>
    </row>
    <row r="305" spans="1:33" x14ac:dyDescent="0.25">
      <c r="A305" s="17" t="s">
        <v>1319</v>
      </c>
      <c r="B305" s="169"/>
      <c r="C305" s="169"/>
      <c r="D305" s="197"/>
      <c r="E305" s="207"/>
      <c r="F305" s="169"/>
      <c r="G305" s="17" t="s">
        <v>1977</v>
      </c>
      <c r="H305" s="169"/>
      <c r="I305" s="169"/>
      <c r="J305" s="169"/>
      <c r="K305" s="197"/>
      <c r="L305" s="169"/>
      <c r="M305" s="17" t="s">
        <v>2629</v>
      </c>
      <c r="N305" s="169"/>
      <c r="O305" s="169"/>
      <c r="P305" s="169"/>
      <c r="Q305" s="169"/>
      <c r="R305" s="169"/>
      <c r="S305" s="169"/>
      <c r="T305" s="169"/>
      <c r="U305" s="169"/>
      <c r="V305" s="169"/>
      <c r="W305" s="169"/>
      <c r="X305" s="169"/>
      <c r="Y305" s="169"/>
      <c r="Z305" s="169"/>
      <c r="AA305" s="169"/>
      <c r="AB305" s="169"/>
      <c r="AC305" s="169"/>
      <c r="AD305" s="169"/>
      <c r="AE305" s="169"/>
      <c r="AF305" s="169"/>
      <c r="AG305" s="169"/>
    </row>
    <row r="306" spans="1:33" x14ac:dyDescent="0.25">
      <c r="A306" s="17" t="s">
        <v>1320</v>
      </c>
      <c r="B306" s="169"/>
      <c r="C306" s="169"/>
      <c r="D306" s="197"/>
      <c r="E306" s="207"/>
      <c r="F306" s="169"/>
      <c r="G306" s="17" t="s">
        <v>1978</v>
      </c>
      <c r="H306" s="169"/>
      <c r="I306" s="169"/>
      <c r="J306" s="169"/>
      <c r="K306" s="197"/>
      <c r="L306" s="169"/>
      <c r="M306" s="17" t="s">
        <v>2612</v>
      </c>
      <c r="N306" s="169"/>
      <c r="O306" s="169"/>
      <c r="P306" s="169"/>
      <c r="Q306" s="169"/>
      <c r="R306" s="169"/>
      <c r="S306" s="169"/>
      <c r="T306" s="169"/>
      <c r="U306" s="169"/>
      <c r="V306" s="169"/>
      <c r="W306" s="169"/>
      <c r="X306" s="169"/>
      <c r="Y306" s="169"/>
      <c r="Z306" s="169"/>
      <c r="AA306" s="169"/>
      <c r="AB306" s="169"/>
      <c r="AC306" s="169"/>
      <c r="AD306" s="169"/>
      <c r="AE306" s="169"/>
      <c r="AF306" s="169"/>
      <c r="AG306" s="169"/>
    </row>
    <row r="307" spans="1:33" x14ac:dyDescent="0.25">
      <c r="A307" s="17" t="s">
        <v>1321</v>
      </c>
      <c r="B307" s="169"/>
      <c r="C307" s="169"/>
      <c r="D307" s="197"/>
      <c r="E307" s="207"/>
      <c r="F307" s="169"/>
      <c r="G307" s="439" t="s">
        <v>1979</v>
      </c>
      <c r="H307" s="440"/>
      <c r="I307" s="169"/>
      <c r="J307" s="169"/>
      <c r="K307" s="197"/>
      <c r="L307" s="169"/>
      <c r="M307" s="17" t="s">
        <v>2630</v>
      </c>
      <c r="N307" s="169"/>
      <c r="O307" s="169"/>
      <c r="P307" s="169"/>
      <c r="Q307" s="169"/>
      <c r="R307" s="169"/>
      <c r="S307" s="169"/>
      <c r="T307" s="169"/>
      <c r="U307" s="169"/>
      <c r="V307" s="169"/>
      <c r="W307" s="169"/>
      <c r="X307" s="169"/>
      <c r="Y307" s="169"/>
      <c r="Z307" s="169"/>
      <c r="AA307" s="169"/>
      <c r="AB307" s="169"/>
      <c r="AC307" s="169"/>
      <c r="AD307" s="169"/>
      <c r="AE307" s="169"/>
      <c r="AF307" s="169"/>
      <c r="AG307" s="169"/>
    </row>
    <row r="308" spans="1:33" x14ac:dyDescent="0.25">
      <c r="A308" s="17" t="s">
        <v>1322</v>
      </c>
      <c r="B308" s="169"/>
      <c r="C308" s="169"/>
      <c r="D308" s="197"/>
      <c r="E308" s="207"/>
      <c r="F308" s="169"/>
      <c r="G308" s="17" t="s">
        <v>1980</v>
      </c>
      <c r="H308" s="169"/>
      <c r="I308" s="169"/>
      <c r="J308" s="169"/>
      <c r="K308" s="197"/>
      <c r="L308" s="169"/>
      <c r="M308" s="17" t="s">
        <v>2631</v>
      </c>
      <c r="N308" s="169"/>
      <c r="O308" s="169"/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  <c r="AA308" s="169"/>
      <c r="AB308" s="169"/>
      <c r="AC308" s="169"/>
      <c r="AD308" s="169"/>
      <c r="AE308" s="169"/>
      <c r="AF308" s="169"/>
      <c r="AG308" s="169"/>
    </row>
    <row r="309" spans="1:33" x14ac:dyDescent="0.25">
      <c r="A309" s="17" t="s">
        <v>1307</v>
      </c>
      <c r="B309" s="169"/>
      <c r="C309" s="169"/>
      <c r="D309" s="197"/>
      <c r="E309" s="207"/>
      <c r="F309" s="169"/>
      <c r="G309" s="17" t="s">
        <v>1975</v>
      </c>
      <c r="H309" s="169"/>
      <c r="I309" s="169"/>
      <c r="J309" s="169"/>
      <c r="K309" s="197"/>
      <c r="L309" s="169"/>
      <c r="M309" s="17" t="s">
        <v>2632</v>
      </c>
      <c r="N309" s="169"/>
      <c r="O309" s="169"/>
      <c r="P309" s="169"/>
      <c r="Q309" s="169"/>
      <c r="R309" s="169"/>
      <c r="S309" s="169"/>
      <c r="T309" s="169"/>
      <c r="U309" s="169"/>
      <c r="V309" s="169"/>
      <c r="W309" s="169"/>
      <c r="X309" s="169"/>
      <c r="Y309" s="169"/>
      <c r="Z309" s="169"/>
      <c r="AA309" s="169"/>
      <c r="AB309" s="169"/>
      <c r="AC309" s="169"/>
      <c r="AD309" s="169"/>
      <c r="AE309" s="169"/>
      <c r="AF309" s="169"/>
      <c r="AG309" s="169"/>
    </row>
    <row r="310" spans="1:33" x14ac:dyDescent="0.25">
      <c r="A310" s="17" t="s">
        <v>1323</v>
      </c>
      <c r="B310" s="169"/>
      <c r="C310" s="169"/>
      <c r="D310" s="197"/>
      <c r="E310" s="207"/>
      <c r="F310" s="169"/>
      <c r="G310" s="439" t="s">
        <v>1981</v>
      </c>
      <c r="H310" s="440"/>
      <c r="I310" s="169"/>
      <c r="J310" s="169"/>
      <c r="K310" s="197"/>
      <c r="L310" s="169"/>
      <c r="M310" s="17" t="s">
        <v>2633</v>
      </c>
      <c r="N310" s="169"/>
      <c r="O310" s="169"/>
      <c r="P310" s="169"/>
      <c r="Q310" s="169"/>
      <c r="R310" s="169"/>
      <c r="S310" s="169"/>
      <c r="T310" s="169"/>
      <c r="U310" s="169"/>
      <c r="V310" s="169"/>
      <c r="W310" s="169"/>
      <c r="X310" s="169"/>
      <c r="Y310" s="169"/>
      <c r="Z310" s="169"/>
      <c r="AA310" s="169"/>
      <c r="AB310" s="169"/>
      <c r="AC310" s="169"/>
      <c r="AD310" s="169"/>
      <c r="AE310" s="169"/>
      <c r="AF310" s="169"/>
      <c r="AG310" s="169"/>
    </row>
    <row r="311" spans="1:33" x14ac:dyDescent="0.25">
      <c r="A311" s="17" t="s">
        <v>1324</v>
      </c>
      <c r="B311" s="169"/>
      <c r="C311" s="169"/>
      <c r="D311" s="197"/>
      <c r="E311" s="207"/>
      <c r="F311" s="169"/>
      <c r="G311" s="17" t="s">
        <v>1982</v>
      </c>
      <c r="H311" s="169"/>
      <c r="I311" s="169"/>
      <c r="J311" s="169"/>
      <c r="K311" s="197"/>
      <c r="L311" s="169"/>
      <c r="M311" s="17" t="s">
        <v>2634</v>
      </c>
      <c r="N311" s="169"/>
      <c r="O311" s="169"/>
      <c r="P311" s="169"/>
      <c r="Q311" s="169"/>
      <c r="R311" s="169"/>
      <c r="S311" s="169"/>
      <c r="T311" s="169"/>
      <c r="U311" s="169"/>
      <c r="V311" s="169"/>
      <c r="W311" s="169"/>
      <c r="X311" s="169"/>
      <c r="Y311" s="169"/>
      <c r="Z311" s="169"/>
      <c r="AA311" s="169"/>
      <c r="AB311" s="169"/>
      <c r="AC311" s="169"/>
      <c r="AD311" s="169"/>
      <c r="AE311" s="169"/>
      <c r="AF311" s="169"/>
      <c r="AG311" s="169"/>
    </row>
    <row r="312" spans="1:33" x14ac:dyDescent="0.25">
      <c r="A312" s="17" t="s">
        <v>1301</v>
      </c>
      <c r="B312" s="169"/>
      <c r="C312" s="169"/>
      <c r="D312" s="197"/>
      <c r="E312" s="207"/>
      <c r="F312" s="169"/>
      <c r="G312" s="17" t="s">
        <v>1983</v>
      </c>
      <c r="H312" s="169"/>
      <c r="I312" s="169"/>
      <c r="J312" s="169"/>
      <c r="K312" s="197"/>
      <c r="L312" s="169"/>
      <c r="M312" s="17" t="s">
        <v>2607</v>
      </c>
      <c r="N312" s="169"/>
      <c r="O312" s="169"/>
      <c r="P312" s="169"/>
      <c r="Q312" s="169"/>
      <c r="R312" s="169"/>
      <c r="S312" s="169"/>
      <c r="T312" s="169"/>
      <c r="U312" s="169"/>
      <c r="V312" s="169"/>
      <c r="W312" s="169"/>
      <c r="X312" s="169"/>
      <c r="Y312" s="169"/>
      <c r="Z312" s="169"/>
      <c r="AA312" s="169"/>
      <c r="AB312" s="169"/>
      <c r="AC312" s="169"/>
      <c r="AD312" s="169"/>
      <c r="AE312" s="169"/>
      <c r="AF312" s="169"/>
      <c r="AG312" s="169"/>
    </row>
    <row r="313" spans="1:33" x14ac:dyDescent="0.25">
      <c r="A313" s="17" t="s">
        <v>1325</v>
      </c>
      <c r="B313" s="169"/>
      <c r="C313" s="169"/>
      <c r="D313" s="197"/>
      <c r="E313" s="207"/>
      <c r="F313" s="169"/>
      <c r="G313" s="17" t="s">
        <v>1963</v>
      </c>
      <c r="H313" s="169"/>
      <c r="I313" s="169"/>
      <c r="J313" s="169"/>
      <c r="K313" s="197"/>
      <c r="L313" s="169"/>
      <c r="M313" s="17" t="s">
        <v>2635</v>
      </c>
      <c r="N313" s="169"/>
      <c r="O313" s="169"/>
      <c r="P313" s="169"/>
      <c r="Q313" s="169"/>
      <c r="R313" s="169"/>
      <c r="S313" s="169"/>
      <c r="T313" s="169"/>
      <c r="U313" s="169"/>
      <c r="V313" s="169"/>
      <c r="W313" s="169"/>
      <c r="X313" s="169"/>
      <c r="Y313" s="169"/>
      <c r="Z313" s="169"/>
      <c r="AA313" s="169"/>
      <c r="AB313" s="169"/>
      <c r="AC313" s="169"/>
      <c r="AD313" s="169"/>
      <c r="AE313" s="169"/>
      <c r="AF313" s="169"/>
      <c r="AG313" s="169"/>
    </row>
    <row r="314" spans="1:33" x14ac:dyDescent="0.25">
      <c r="A314" s="17" t="s">
        <v>1326</v>
      </c>
      <c r="B314" s="169"/>
      <c r="C314" s="169"/>
      <c r="D314" s="197"/>
      <c r="E314" s="207"/>
      <c r="F314" s="169"/>
      <c r="G314" s="17" t="s">
        <v>1966</v>
      </c>
      <c r="H314" s="169"/>
      <c r="I314" s="169"/>
      <c r="J314" s="169"/>
      <c r="K314" s="197"/>
      <c r="L314" s="169"/>
      <c r="M314" s="17" t="s">
        <v>2634</v>
      </c>
      <c r="N314" s="169"/>
      <c r="O314" s="169"/>
      <c r="P314" s="169"/>
      <c r="Q314" s="169"/>
      <c r="R314" s="169"/>
      <c r="S314" s="169"/>
      <c r="T314" s="169"/>
      <c r="U314" s="169"/>
      <c r="V314" s="169"/>
      <c r="W314" s="169"/>
      <c r="X314" s="169"/>
      <c r="Y314" s="169"/>
      <c r="Z314" s="169"/>
      <c r="AA314" s="169"/>
      <c r="AB314" s="169"/>
      <c r="AC314" s="169"/>
      <c r="AD314" s="169"/>
      <c r="AE314" s="169"/>
      <c r="AF314" s="169"/>
      <c r="AG314" s="169"/>
    </row>
    <row r="315" spans="1:33" x14ac:dyDescent="0.25">
      <c r="A315" s="17" t="s">
        <v>1327</v>
      </c>
      <c r="B315" s="169"/>
      <c r="C315" s="169"/>
      <c r="D315" s="197"/>
      <c r="E315" s="207"/>
      <c r="F315" s="169"/>
      <c r="G315" s="17" t="s">
        <v>1972</v>
      </c>
      <c r="H315" s="169"/>
      <c r="I315" s="169"/>
      <c r="J315" s="169"/>
      <c r="K315" s="197"/>
      <c r="L315" s="169"/>
      <c r="M315" s="17" t="s">
        <v>2612</v>
      </c>
      <c r="N315" s="169"/>
      <c r="O315" s="169"/>
      <c r="P315" s="169"/>
      <c r="Q315" s="169"/>
      <c r="R315" s="169"/>
      <c r="S315" s="169"/>
      <c r="T315" s="169"/>
      <c r="U315" s="169"/>
      <c r="V315" s="169"/>
      <c r="W315" s="169"/>
      <c r="X315" s="169"/>
      <c r="Y315" s="169"/>
      <c r="Z315" s="169"/>
      <c r="AA315" s="169"/>
      <c r="AB315" s="169"/>
      <c r="AC315" s="169"/>
      <c r="AD315" s="169"/>
      <c r="AE315" s="169"/>
      <c r="AF315" s="169"/>
      <c r="AG315" s="169"/>
    </row>
    <row r="316" spans="1:33" x14ac:dyDescent="0.25">
      <c r="A316" s="439" t="s">
        <v>1328</v>
      </c>
      <c r="B316" s="440"/>
      <c r="C316" s="169"/>
      <c r="D316" s="197"/>
      <c r="E316" s="207"/>
      <c r="F316" s="169"/>
      <c r="G316" s="17" t="s">
        <v>1984</v>
      </c>
      <c r="H316" s="169"/>
      <c r="I316" s="169"/>
      <c r="J316" s="169"/>
      <c r="K316" s="197"/>
      <c r="L316" s="169"/>
      <c r="M316" s="17" t="s">
        <v>2636</v>
      </c>
      <c r="N316" s="169"/>
      <c r="O316" s="169"/>
      <c r="P316" s="169"/>
      <c r="Q316" s="169"/>
      <c r="R316" s="169"/>
      <c r="S316" s="169"/>
      <c r="T316" s="169"/>
      <c r="U316" s="169"/>
      <c r="V316" s="169"/>
      <c r="W316" s="169"/>
      <c r="X316" s="169"/>
      <c r="Y316" s="169"/>
      <c r="Z316" s="169"/>
      <c r="AA316" s="169"/>
      <c r="AB316" s="169"/>
      <c r="AC316" s="169"/>
      <c r="AD316" s="169"/>
      <c r="AE316" s="169"/>
      <c r="AF316" s="169"/>
      <c r="AG316" s="169"/>
    </row>
    <row r="317" spans="1:33" x14ac:dyDescent="0.25">
      <c r="A317" s="439" t="s">
        <v>1329</v>
      </c>
      <c r="B317" s="440"/>
      <c r="C317" s="169"/>
      <c r="D317" s="197"/>
      <c r="E317" s="207"/>
      <c r="F317" s="169"/>
      <c r="G317" s="17" t="s">
        <v>1962</v>
      </c>
      <c r="H317" s="169"/>
      <c r="I317" s="169"/>
      <c r="J317" s="169"/>
      <c r="K317" s="197"/>
      <c r="L317" s="169"/>
      <c r="M317" s="17" t="s">
        <v>2617</v>
      </c>
      <c r="N317" s="169"/>
      <c r="O317" s="169"/>
      <c r="P317" s="169"/>
      <c r="Q317" s="169"/>
      <c r="R317" s="169"/>
      <c r="S317" s="169"/>
      <c r="T317" s="169"/>
      <c r="U317" s="169"/>
      <c r="V317" s="169"/>
      <c r="W317" s="169"/>
      <c r="X317" s="169"/>
      <c r="Y317" s="169"/>
      <c r="Z317" s="169"/>
      <c r="AA317" s="169"/>
      <c r="AB317" s="169"/>
      <c r="AC317" s="169"/>
      <c r="AD317" s="169"/>
      <c r="AE317" s="169"/>
      <c r="AF317" s="169"/>
      <c r="AG317" s="169"/>
    </row>
    <row r="318" spans="1:33" x14ac:dyDescent="0.25">
      <c r="A318" s="17" t="s">
        <v>1330</v>
      </c>
      <c r="B318" s="169"/>
      <c r="C318" s="169"/>
      <c r="D318" s="197"/>
      <c r="E318" s="207"/>
      <c r="F318" s="169"/>
      <c r="G318" s="17" t="s">
        <v>1985</v>
      </c>
      <c r="H318" s="169"/>
      <c r="I318" s="169"/>
      <c r="J318" s="169"/>
      <c r="K318" s="197"/>
      <c r="L318" s="169"/>
      <c r="M318" s="17" t="s">
        <v>2628</v>
      </c>
      <c r="N318" s="169"/>
      <c r="O318" s="169"/>
      <c r="P318" s="169"/>
      <c r="Q318" s="169"/>
      <c r="R318" s="169"/>
      <c r="S318" s="169"/>
      <c r="T318" s="169"/>
      <c r="U318" s="169"/>
      <c r="V318" s="169"/>
      <c r="W318" s="169"/>
      <c r="X318" s="169"/>
      <c r="Y318" s="169"/>
      <c r="Z318" s="169"/>
      <c r="AA318" s="169"/>
      <c r="AB318" s="169"/>
      <c r="AC318" s="169"/>
      <c r="AD318" s="169"/>
      <c r="AE318" s="169"/>
      <c r="AF318" s="169"/>
      <c r="AG318" s="169"/>
    </row>
    <row r="319" spans="1:33" x14ac:dyDescent="0.25">
      <c r="A319" s="17" t="s">
        <v>1331</v>
      </c>
      <c r="B319" s="169"/>
      <c r="C319" s="169"/>
      <c r="D319" s="197"/>
      <c r="E319" s="207"/>
      <c r="F319" s="169"/>
      <c r="G319" s="17" t="s">
        <v>1986</v>
      </c>
      <c r="H319" s="169"/>
      <c r="I319" s="169"/>
      <c r="J319" s="169"/>
      <c r="K319" s="197"/>
      <c r="L319" s="169"/>
      <c r="M319" s="17" t="s">
        <v>2635</v>
      </c>
      <c r="N319" s="169"/>
      <c r="O319" s="169"/>
      <c r="P319" s="169"/>
      <c r="Q319" s="169"/>
      <c r="R319" s="169"/>
      <c r="S319" s="169"/>
      <c r="T319" s="169"/>
      <c r="U319" s="169"/>
      <c r="V319" s="169"/>
      <c r="W319" s="169"/>
      <c r="X319" s="169"/>
      <c r="Y319" s="169"/>
      <c r="Z319" s="169"/>
      <c r="AA319" s="169"/>
      <c r="AB319" s="169"/>
      <c r="AC319" s="169"/>
      <c r="AD319" s="169"/>
      <c r="AE319" s="169"/>
      <c r="AF319" s="169"/>
      <c r="AG319" s="169"/>
    </row>
    <row r="320" spans="1:33" x14ac:dyDescent="0.25">
      <c r="A320" s="17" t="s">
        <v>1332</v>
      </c>
      <c r="B320" s="169"/>
      <c r="C320" s="169"/>
      <c r="D320" s="197"/>
      <c r="E320" s="207"/>
      <c r="F320" s="169"/>
      <c r="G320" s="17" t="s">
        <v>1987</v>
      </c>
      <c r="H320" s="169"/>
      <c r="I320" s="169"/>
      <c r="J320" s="169"/>
      <c r="K320" s="197"/>
      <c r="L320" s="169"/>
      <c r="M320" s="17" t="s">
        <v>2637</v>
      </c>
      <c r="N320" s="169"/>
      <c r="O320" s="169"/>
      <c r="P320" s="169"/>
      <c r="Q320" s="169"/>
      <c r="R320" s="169"/>
      <c r="S320" s="169"/>
      <c r="T320" s="169"/>
      <c r="U320" s="169"/>
      <c r="V320" s="169"/>
      <c r="W320" s="169"/>
      <c r="X320" s="169"/>
      <c r="Y320" s="169"/>
      <c r="Z320" s="169"/>
      <c r="AA320" s="169"/>
      <c r="AB320" s="169"/>
      <c r="AC320" s="169"/>
      <c r="AD320" s="169"/>
      <c r="AE320" s="169"/>
      <c r="AF320" s="169"/>
      <c r="AG320" s="169"/>
    </row>
    <row r="321" spans="1:33" x14ac:dyDescent="0.25">
      <c r="A321" s="17" t="s">
        <v>1333</v>
      </c>
      <c r="B321" s="169"/>
      <c r="C321" s="169"/>
      <c r="D321" s="197"/>
      <c r="E321" s="207"/>
      <c r="F321" s="169"/>
      <c r="G321" s="17" t="s">
        <v>1988</v>
      </c>
      <c r="H321" s="169"/>
      <c r="I321" s="169"/>
      <c r="J321" s="169"/>
      <c r="K321" s="197"/>
      <c r="L321" s="169"/>
      <c r="M321" s="17" t="s">
        <v>2638</v>
      </c>
      <c r="N321" s="169"/>
      <c r="O321" s="169"/>
      <c r="P321" s="169"/>
      <c r="Q321" s="169"/>
      <c r="R321" s="169"/>
      <c r="S321" s="169"/>
      <c r="T321" s="169"/>
      <c r="U321" s="169"/>
      <c r="V321" s="169"/>
      <c r="W321" s="169"/>
      <c r="X321" s="169"/>
      <c r="Y321" s="169"/>
      <c r="Z321" s="169"/>
      <c r="AA321" s="169"/>
      <c r="AB321" s="169"/>
      <c r="AC321" s="169"/>
      <c r="AD321" s="169"/>
      <c r="AE321" s="169"/>
      <c r="AF321" s="169"/>
      <c r="AG321" s="169"/>
    </row>
    <row r="322" spans="1:33" x14ac:dyDescent="0.25">
      <c r="A322" s="17" t="s">
        <v>1334</v>
      </c>
      <c r="B322" s="169"/>
      <c r="C322" s="169"/>
      <c r="D322" s="197"/>
      <c r="E322" s="207"/>
      <c r="F322" s="169"/>
      <c r="G322" s="17" t="s">
        <v>1989</v>
      </c>
      <c r="H322" s="169"/>
      <c r="I322" s="169"/>
      <c r="J322" s="169"/>
      <c r="K322" s="197"/>
      <c r="L322" s="169"/>
      <c r="M322" s="17" t="s">
        <v>2615</v>
      </c>
      <c r="N322" s="169"/>
      <c r="O322" s="169"/>
      <c r="P322" s="169"/>
      <c r="Q322" s="169"/>
      <c r="R322" s="169"/>
      <c r="S322" s="169"/>
      <c r="T322" s="169"/>
      <c r="U322" s="169"/>
      <c r="V322" s="169"/>
      <c r="W322" s="169"/>
      <c r="X322" s="169"/>
      <c r="Y322" s="169"/>
      <c r="Z322" s="169"/>
      <c r="AA322" s="169"/>
      <c r="AB322" s="169"/>
      <c r="AC322" s="169"/>
      <c r="AD322" s="169"/>
      <c r="AE322" s="169"/>
      <c r="AF322" s="169"/>
      <c r="AG322" s="169"/>
    </row>
    <row r="323" spans="1:33" x14ac:dyDescent="0.25">
      <c r="A323" s="17" t="s">
        <v>1335</v>
      </c>
      <c r="B323" s="169"/>
      <c r="C323" s="169"/>
      <c r="D323" s="197"/>
      <c r="E323" s="207"/>
      <c r="F323" s="169"/>
      <c r="G323" s="17" t="s">
        <v>1990</v>
      </c>
      <c r="H323" s="169"/>
      <c r="I323" s="169"/>
      <c r="J323" s="169"/>
      <c r="K323" s="197"/>
      <c r="L323" s="169"/>
      <c r="M323" s="17" t="s">
        <v>2639</v>
      </c>
      <c r="N323" s="169"/>
      <c r="O323" s="169"/>
      <c r="P323" s="169"/>
      <c r="Q323" s="169"/>
      <c r="R323" s="169"/>
      <c r="S323" s="169"/>
      <c r="T323" s="169"/>
      <c r="U323" s="169"/>
      <c r="V323" s="169"/>
      <c r="W323" s="169"/>
      <c r="X323" s="169"/>
      <c r="Y323" s="169"/>
      <c r="Z323" s="169"/>
      <c r="AA323" s="169"/>
      <c r="AB323" s="169"/>
      <c r="AC323" s="169"/>
      <c r="AD323" s="169"/>
      <c r="AE323" s="169"/>
      <c r="AF323" s="169"/>
      <c r="AG323" s="169"/>
    </row>
    <row r="324" spans="1:33" x14ac:dyDescent="0.25">
      <c r="A324" s="17" t="s">
        <v>1336</v>
      </c>
      <c r="B324" s="169"/>
      <c r="C324" s="169"/>
      <c r="D324" s="197"/>
      <c r="E324" s="207"/>
      <c r="F324" s="169"/>
      <c r="G324" s="17" t="s">
        <v>1991</v>
      </c>
      <c r="H324" s="169"/>
      <c r="I324" s="169"/>
      <c r="J324" s="169"/>
      <c r="K324" s="197"/>
      <c r="L324" s="169"/>
      <c r="M324" s="17" t="s">
        <v>2640</v>
      </c>
      <c r="N324" s="169"/>
      <c r="O324" s="169"/>
      <c r="P324" s="169"/>
      <c r="Q324" s="169"/>
      <c r="R324" s="169"/>
      <c r="S324" s="169"/>
      <c r="T324" s="169"/>
      <c r="U324" s="169"/>
      <c r="V324" s="169"/>
      <c r="W324" s="169"/>
      <c r="X324" s="169"/>
      <c r="Y324" s="169"/>
      <c r="Z324" s="169"/>
      <c r="AA324" s="169"/>
      <c r="AB324" s="169"/>
      <c r="AC324" s="169"/>
      <c r="AD324" s="169"/>
      <c r="AE324" s="169"/>
      <c r="AF324" s="169"/>
      <c r="AG324" s="169"/>
    </row>
    <row r="325" spans="1:33" x14ac:dyDescent="0.25">
      <c r="A325" s="439" t="s">
        <v>1337</v>
      </c>
      <c r="B325" s="440"/>
      <c r="C325" s="169"/>
      <c r="D325" s="197"/>
      <c r="E325" s="207"/>
      <c r="F325" s="169"/>
      <c r="G325" s="17" t="s">
        <v>1992</v>
      </c>
      <c r="H325" s="169"/>
      <c r="I325" s="169"/>
      <c r="J325" s="169"/>
      <c r="K325" s="197"/>
      <c r="L325" s="169"/>
      <c r="M325" s="17" t="s">
        <v>1351</v>
      </c>
      <c r="N325" s="169"/>
      <c r="O325" s="169"/>
      <c r="P325" s="169"/>
      <c r="Q325" s="169"/>
      <c r="R325" s="169"/>
      <c r="S325" s="169"/>
      <c r="T325" s="169"/>
      <c r="U325" s="169"/>
      <c r="V325" s="169"/>
      <c r="W325" s="169"/>
      <c r="X325" s="169"/>
      <c r="Y325" s="169"/>
      <c r="Z325" s="169"/>
      <c r="AA325" s="169"/>
      <c r="AB325" s="169"/>
      <c r="AC325" s="169"/>
      <c r="AD325" s="169"/>
      <c r="AE325" s="169"/>
      <c r="AF325" s="169"/>
      <c r="AG325" s="169"/>
    </row>
    <row r="326" spans="1:33" x14ac:dyDescent="0.25">
      <c r="A326" s="17" t="s">
        <v>1338</v>
      </c>
      <c r="B326" s="169"/>
      <c r="C326" s="169"/>
      <c r="D326" s="197"/>
      <c r="E326" s="207"/>
      <c r="F326" s="169"/>
      <c r="G326" s="17" t="s">
        <v>1993</v>
      </c>
      <c r="H326" s="169"/>
      <c r="I326" s="169"/>
      <c r="J326" s="169"/>
      <c r="K326" s="197"/>
      <c r="L326" s="169"/>
      <c r="M326" s="17" t="s">
        <v>2625</v>
      </c>
      <c r="N326" s="169"/>
      <c r="O326" s="169"/>
      <c r="P326" s="169"/>
      <c r="Q326" s="169"/>
      <c r="R326" s="169"/>
      <c r="S326" s="169"/>
      <c r="T326" s="169"/>
      <c r="U326" s="169"/>
      <c r="V326" s="169"/>
      <c r="W326" s="169"/>
      <c r="X326" s="169"/>
      <c r="Y326" s="169"/>
      <c r="Z326" s="169"/>
      <c r="AA326" s="169"/>
      <c r="AB326" s="169"/>
      <c r="AC326" s="169"/>
      <c r="AD326" s="169"/>
      <c r="AE326" s="169"/>
      <c r="AF326" s="169"/>
      <c r="AG326" s="169"/>
    </row>
    <row r="327" spans="1:33" x14ac:dyDescent="0.25">
      <c r="A327" s="17" t="s">
        <v>1339</v>
      </c>
      <c r="B327" s="169"/>
      <c r="C327" s="169"/>
      <c r="D327" s="197"/>
      <c r="E327" s="207"/>
      <c r="F327" s="169"/>
      <c r="G327" s="17" t="s">
        <v>1994</v>
      </c>
      <c r="H327" s="169"/>
      <c r="I327" s="169"/>
      <c r="J327" s="169"/>
      <c r="K327" s="197"/>
      <c r="L327" s="169"/>
      <c r="M327" s="17" t="s">
        <v>1352</v>
      </c>
      <c r="N327" s="169"/>
      <c r="O327" s="169"/>
      <c r="P327" s="169"/>
      <c r="Q327" s="169"/>
      <c r="R327" s="169"/>
      <c r="S327" s="169"/>
      <c r="T327" s="169"/>
      <c r="U327" s="169"/>
      <c r="V327" s="169"/>
      <c r="W327" s="169"/>
      <c r="X327" s="169"/>
      <c r="Y327" s="169"/>
      <c r="Z327" s="169"/>
      <c r="AA327" s="169"/>
      <c r="AB327" s="169"/>
      <c r="AC327" s="169"/>
      <c r="AD327" s="169"/>
      <c r="AE327" s="169"/>
      <c r="AF327" s="169"/>
      <c r="AG327" s="169"/>
    </row>
    <row r="328" spans="1:33" x14ac:dyDescent="0.25">
      <c r="A328" s="439" t="s">
        <v>1340</v>
      </c>
      <c r="B328" s="440"/>
      <c r="C328" s="169"/>
      <c r="D328" s="197"/>
      <c r="E328" s="207"/>
      <c r="F328" s="169"/>
      <c r="G328" s="17" t="s">
        <v>1995</v>
      </c>
      <c r="H328" s="169"/>
      <c r="I328" s="169"/>
      <c r="J328" s="169"/>
      <c r="K328" s="197"/>
      <c r="L328" s="169"/>
      <c r="M328" s="17" t="s">
        <v>2641</v>
      </c>
      <c r="N328" s="169"/>
      <c r="O328" s="169"/>
      <c r="P328" s="169"/>
      <c r="Q328" s="169"/>
      <c r="R328" s="169"/>
      <c r="S328" s="169"/>
      <c r="T328" s="169"/>
      <c r="U328" s="169"/>
      <c r="V328" s="169"/>
      <c r="W328" s="169"/>
      <c r="X328" s="169"/>
      <c r="Y328" s="169"/>
      <c r="Z328" s="169"/>
      <c r="AA328" s="169"/>
      <c r="AB328" s="169"/>
      <c r="AC328" s="169"/>
      <c r="AD328" s="169"/>
      <c r="AE328" s="169"/>
      <c r="AF328" s="169"/>
      <c r="AG328" s="169"/>
    </row>
    <row r="329" spans="1:33" x14ac:dyDescent="0.25">
      <c r="A329" s="17" t="s">
        <v>1341</v>
      </c>
      <c r="B329" s="169"/>
      <c r="C329" s="169"/>
      <c r="D329" s="197"/>
      <c r="E329" s="207"/>
      <c r="F329" s="169"/>
      <c r="G329" s="17" t="s">
        <v>1996</v>
      </c>
      <c r="H329" s="169"/>
      <c r="I329" s="169"/>
      <c r="J329" s="169"/>
      <c r="K329" s="197"/>
      <c r="L329" s="169"/>
      <c r="M329" s="17" t="s">
        <v>2642</v>
      </c>
      <c r="N329" s="169"/>
      <c r="O329" s="169"/>
      <c r="P329" s="169"/>
      <c r="Q329" s="169"/>
      <c r="R329" s="169"/>
      <c r="S329" s="169"/>
      <c r="T329" s="169"/>
      <c r="U329" s="169"/>
      <c r="V329" s="169"/>
      <c r="W329" s="169"/>
      <c r="X329" s="169"/>
      <c r="Y329" s="169"/>
      <c r="Z329" s="169"/>
      <c r="AA329" s="169"/>
      <c r="AB329" s="169"/>
      <c r="AC329" s="169"/>
      <c r="AD329" s="169"/>
      <c r="AE329" s="169"/>
      <c r="AF329" s="169"/>
      <c r="AG329" s="169"/>
    </row>
    <row r="330" spans="1:33" x14ac:dyDescent="0.25">
      <c r="A330" s="17" t="s">
        <v>1334</v>
      </c>
      <c r="B330" s="169"/>
      <c r="C330" s="169"/>
      <c r="D330" s="197"/>
      <c r="E330" s="207"/>
      <c r="F330" s="169"/>
      <c r="G330" s="17" t="s">
        <v>1997</v>
      </c>
      <c r="H330" s="169"/>
      <c r="I330" s="169"/>
      <c r="J330" s="169"/>
      <c r="K330" s="197"/>
      <c r="L330" s="169"/>
      <c r="M330" s="17" t="s">
        <v>2643</v>
      </c>
      <c r="N330" s="169"/>
      <c r="O330" s="169"/>
      <c r="P330" s="169"/>
      <c r="Q330" s="169"/>
      <c r="R330" s="169"/>
      <c r="S330" s="169"/>
      <c r="T330" s="169"/>
      <c r="U330" s="169"/>
      <c r="V330" s="169"/>
      <c r="W330" s="169"/>
      <c r="X330" s="169"/>
      <c r="Y330" s="169"/>
      <c r="Z330" s="169"/>
      <c r="AA330" s="169"/>
      <c r="AB330" s="169"/>
      <c r="AC330" s="169"/>
      <c r="AD330" s="169"/>
      <c r="AE330" s="169"/>
      <c r="AF330" s="169"/>
      <c r="AG330" s="169"/>
    </row>
    <row r="331" spans="1:33" x14ac:dyDescent="0.25">
      <c r="A331" s="439" t="s">
        <v>1342</v>
      </c>
      <c r="B331" s="440"/>
      <c r="C331" s="169"/>
      <c r="D331" s="197"/>
      <c r="E331" s="207"/>
      <c r="F331" s="169"/>
      <c r="G331" s="17" t="s">
        <v>1998</v>
      </c>
      <c r="H331" s="169"/>
      <c r="I331" s="169"/>
      <c r="J331" s="169"/>
      <c r="K331" s="197"/>
      <c r="L331" s="169"/>
      <c r="M331" s="17" t="s">
        <v>2644</v>
      </c>
      <c r="N331" s="169"/>
      <c r="O331" s="169"/>
      <c r="P331" s="169"/>
      <c r="Q331" s="169"/>
      <c r="R331" s="169"/>
      <c r="S331" s="169"/>
      <c r="T331" s="169"/>
      <c r="U331" s="169"/>
      <c r="V331" s="169"/>
      <c r="W331" s="169"/>
      <c r="X331" s="169"/>
      <c r="Y331" s="169"/>
      <c r="Z331" s="169"/>
      <c r="AA331" s="169"/>
      <c r="AB331" s="169"/>
      <c r="AC331" s="169"/>
      <c r="AD331" s="169"/>
      <c r="AE331" s="169"/>
      <c r="AF331" s="169"/>
      <c r="AG331" s="169"/>
    </row>
    <row r="332" spans="1:33" x14ac:dyDescent="0.25">
      <c r="A332" s="17" t="s">
        <v>1343</v>
      </c>
      <c r="B332" s="169"/>
      <c r="C332" s="169"/>
      <c r="D332" s="197"/>
      <c r="E332" s="207"/>
      <c r="F332" s="169"/>
      <c r="G332" s="17" t="s">
        <v>1999</v>
      </c>
      <c r="H332" s="169"/>
      <c r="I332" s="169"/>
      <c r="J332" s="169"/>
      <c r="K332" s="197"/>
      <c r="L332" s="169"/>
      <c r="M332" s="17" t="s">
        <v>2642</v>
      </c>
      <c r="N332" s="169"/>
      <c r="O332" s="169"/>
      <c r="P332" s="169"/>
      <c r="Q332" s="169"/>
      <c r="R332" s="169"/>
      <c r="S332" s="169"/>
      <c r="T332" s="169"/>
      <c r="U332" s="169"/>
      <c r="V332" s="169"/>
      <c r="W332" s="169"/>
      <c r="X332" s="169"/>
      <c r="Y332" s="169"/>
      <c r="Z332" s="169"/>
      <c r="AA332" s="169"/>
      <c r="AB332" s="169"/>
      <c r="AC332" s="169"/>
      <c r="AD332" s="169"/>
      <c r="AE332" s="169"/>
      <c r="AF332" s="169"/>
      <c r="AG332" s="169"/>
    </row>
    <row r="333" spans="1:33" x14ac:dyDescent="0.25">
      <c r="A333" s="17" t="s">
        <v>1332</v>
      </c>
      <c r="B333" s="169"/>
      <c r="C333" s="169"/>
      <c r="D333" s="197"/>
      <c r="E333" s="207"/>
      <c r="F333" s="169"/>
      <c r="G333" s="17" t="s">
        <v>2000</v>
      </c>
      <c r="H333" s="169"/>
      <c r="I333" s="169"/>
      <c r="J333" s="169"/>
      <c r="K333" s="197"/>
      <c r="L333" s="169"/>
      <c r="M333" s="17" t="s">
        <v>2645</v>
      </c>
      <c r="N333" s="169"/>
      <c r="O333" s="169"/>
      <c r="P333" s="169"/>
      <c r="Q333" s="169"/>
      <c r="R333" s="169"/>
      <c r="S333" s="169"/>
      <c r="T333" s="169"/>
      <c r="U333" s="169"/>
      <c r="V333" s="169"/>
      <c r="W333" s="169"/>
      <c r="X333" s="169"/>
      <c r="Y333" s="169"/>
      <c r="Z333" s="169"/>
      <c r="AA333" s="169"/>
      <c r="AB333" s="169"/>
      <c r="AC333" s="169"/>
      <c r="AD333" s="169"/>
      <c r="AE333" s="169"/>
      <c r="AF333" s="169"/>
      <c r="AG333" s="169"/>
    </row>
    <row r="334" spans="1:33" x14ac:dyDescent="0.25">
      <c r="A334" s="17" t="s">
        <v>1344</v>
      </c>
      <c r="B334" s="169"/>
      <c r="C334" s="169"/>
      <c r="D334" s="197"/>
      <c r="E334" s="207"/>
      <c r="F334" s="169"/>
      <c r="G334" s="17" t="s">
        <v>2001</v>
      </c>
      <c r="H334" s="169"/>
      <c r="I334" s="169"/>
      <c r="J334" s="169"/>
      <c r="K334" s="197"/>
      <c r="L334" s="169"/>
      <c r="M334" s="17" t="s">
        <v>2646</v>
      </c>
      <c r="N334" s="169"/>
      <c r="O334" s="169"/>
      <c r="P334" s="169"/>
      <c r="Q334" s="169"/>
      <c r="R334" s="169"/>
      <c r="S334" s="169"/>
      <c r="T334" s="169"/>
      <c r="U334" s="169"/>
      <c r="V334" s="169"/>
      <c r="W334" s="169"/>
      <c r="X334" s="169"/>
      <c r="Y334" s="169"/>
      <c r="Z334" s="169"/>
      <c r="AA334" s="169"/>
      <c r="AB334" s="169"/>
      <c r="AC334" s="169"/>
      <c r="AD334" s="169"/>
      <c r="AE334" s="169"/>
      <c r="AF334" s="169"/>
      <c r="AG334" s="169"/>
    </row>
    <row r="335" spans="1:33" x14ac:dyDescent="0.25">
      <c r="A335" s="439" t="s">
        <v>1345</v>
      </c>
      <c r="B335" s="440"/>
      <c r="C335" s="169"/>
      <c r="D335" s="197"/>
      <c r="E335" s="207"/>
      <c r="F335" s="169"/>
      <c r="G335" s="17" t="s">
        <v>2002</v>
      </c>
      <c r="H335" s="169"/>
      <c r="I335" s="169"/>
      <c r="J335" s="169"/>
      <c r="K335" s="197"/>
      <c r="L335" s="169"/>
      <c r="M335" s="17" t="s">
        <v>2647</v>
      </c>
      <c r="N335" s="169"/>
      <c r="O335" s="169"/>
      <c r="P335" s="169"/>
      <c r="Q335" s="169"/>
      <c r="R335" s="169"/>
      <c r="S335" s="169"/>
      <c r="T335" s="169"/>
      <c r="U335" s="169"/>
      <c r="V335" s="169"/>
      <c r="W335" s="169"/>
      <c r="X335" s="169"/>
      <c r="Y335" s="169"/>
      <c r="Z335" s="169"/>
      <c r="AA335" s="169"/>
      <c r="AB335" s="169"/>
      <c r="AC335" s="169"/>
      <c r="AD335" s="169"/>
      <c r="AE335" s="169"/>
      <c r="AF335" s="169"/>
      <c r="AG335" s="169"/>
    </row>
    <row r="336" spans="1:33" x14ac:dyDescent="0.25">
      <c r="A336" s="439" t="s">
        <v>1346</v>
      </c>
      <c r="B336" s="440"/>
      <c r="C336" s="169"/>
      <c r="D336" s="197"/>
      <c r="E336" s="207"/>
      <c r="F336" s="169"/>
      <c r="G336" s="17" t="s">
        <v>2003</v>
      </c>
      <c r="H336" s="169"/>
      <c r="I336" s="169"/>
      <c r="J336" s="169"/>
      <c r="K336" s="197"/>
      <c r="L336" s="169"/>
      <c r="M336" s="17" t="s">
        <v>2643</v>
      </c>
      <c r="N336" s="169"/>
      <c r="O336" s="169"/>
      <c r="P336" s="169"/>
      <c r="Q336" s="169"/>
      <c r="R336" s="169"/>
      <c r="S336" s="169"/>
      <c r="T336" s="169"/>
      <c r="U336" s="169"/>
      <c r="V336" s="169"/>
      <c r="W336" s="169"/>
      <c r="X336" s="169"/>
      <c r="Y336" s="169"/>
      <c r="Z336" s="169"/>
      <c r="AA336" s="169"/>
      <c r="AB336" s="169"/>
      <c r="AC336" s="169"/>
      <c r="AD336" s="169"/>
      <c r="AE336" s="169"/>
      <c r="AF336" s="169"/>
      <c r="AG336" s="169"/>
    </row>
    <row r="337" spans="1:33" x14ac:dyDescent="0.25">
      <c r="A337" s="17" t="s">
        <v>1347</v>
      </c>
      <c r="B337" s="169"/>
      <c r="C337" s="169"/>
      <c r="D337" s="197"/>
      <c r="E337" s="207"/>
      <c r="F337" s="169"/>
      <c r="G337" s="17" t="s">
        <v>2004</v>
      </c>
      <c r="H337" s="169"/>
      <c r="I337" s="169"/>
      <c r="J337" s="169"/>
      <c r="K337" s="197"/>
      <c r="L337" s="169"/>
      <c r="M337" s="17" t="s">
        <v>2648</v>
      </c>
      <c r="N337" s="169"/>
      <c r="O337" s="169"/>
      <c r="P337" s="169"/>
      <c r="Q337" s="169"/>
      <c r="R337" s="169"/>
      <c r="S337" s="169"/>
      <c r="T337" s="169"/>
      <c r="U337" s="169"/>
      <c r="V337" s="169"/>
      <c r="W337" s="169"/>
      <c r="X337" s="169"/>
      <c r="Y337" s="169"/>
      <c r="Z337" s="169"/>
      <c r="AA337" s="169"/>
      <c r="AB337" s="169"/>
      <c r="AC337" s="169"/>
      <c r="AD337" s="169"/>
      <c r="AE337" s="169"/>
      <c r="AF337" s="169"/>
      <c r="AG337" s="169"/>
    </row>
    <row r="338" spans="1:33" x14ac:dyDescent="0.25">
      <c r="A338" s="439" t="s">
        <v>1348</v>
      </c>
      <c r="B338" s="440"/>
      <c r="C338" s="169"/>
      <c r="D338" s="197"/>
      <c r="E338" s="207"/>
      <c r="F338" s="169"/>
      <c r="G338" s="17" t="s">
        <v>2005</v>
      </c>
      <c r="H338" s="169"/>
      <c r="I338" s="169"/>
      <c r="J338" s="169"/>
      <c r="K338" s="197"/>
      <c r="L338" s="169"/>
      <c r="M338" s="17" t="s">
        <v>2024</v>
      </c>
      <c r="N338" s="169"/>
      <c r="O338" s="169"/>
      <c r="P338" s="169"/>
      <c r="Q338" s="169"/>
      <c r="R338" s="169"/>
      <c r="S338" s="169"/>
      <c r="T338" s="169"/>
      <c r="U338" s="169"/>
      <c r="V338" s="169"/>
      <c r="W338" s="169"/>
      <c r="X338" s="169"/>
      <c r="Y338" s="169"/>
      <c r="Z338" s="169"/>
      <c r="AA338" s="169"/>
      <c r="AB338" s="169"/>
      <c r="AC338" s="169"/>
      <c r="AD338" s="169"/>
      <c r="AE338" s="169"/>
      <c r="AF338" s="169"/>
      <c r="AG338" s="169"/>
    </row>
    <row r="339" spans="1:33" x14ac:dyDescent="0.25">
      <c r="A339" s="439" t="s">
        <v>1349</v>
      </c>
      <c r="B339" s="440"/>
      <c r="C339" s="169"/>
      <c r="D339" s="197"/>
      <c r="E339" s="207"/>
      <c r="F339" s="169"/>
      <c r="G339" s="17" t="s">
        <v>2006</v>
      </c>
      <c r="H339" s="169"/>
      <c r="I339" s="169"/>
      <c r="J339" s="169"/>
      <c r="K339" s="197"/>
      <c r="L339" s="169"/>
      <c r="M339" s="17" t="s">
        <v>2025</v>
      </c>
      <c r="N339" s="169"/>
      <c r="O339" s="169"/>
      <c r="P339" s="169"/>
      <c r="Q339" s="169"/>
      <c r="R339" s="169"/>
      <c r="S339" s="169"/>
      <c r="T339" s="169"/>
      <c r="U339" s="169"/>
      <c r="V339" s="169"/>
      <c r="W339" s="169"/>
      <c r="X339" s="169"/>
      <c r="Y339" s="169"/>
      <c r="Z339" s="169"/>
      <c r="AA339" s="169"/>
      <c r="AB339" s="169"/>
      <c r="AC339" s="169"/>
      <c r="AD339" s="169"/>
      <c r="AE339" s="169"/>
      <c r="AF339" s="169"/>
      <c r="AG339" s="169"/>
    </row>
    <row r="340" spans="1:33" x14ac:dyDescent="0.25">
      <c r="A340" s="17" t="s">
        <v>1350</v>
      </c>
      <c r="B340" s="169"/>
      <c r="C340" s="169"/>
      <c r="D340" s="197"/>
      <c r="E340" s="207"/>
      <c r="F340" s="169"/>
      <c r="G340" s="17" t="s">
        <v>2007</v>
      </c>
      <c r="H340" s="169"/>
      <c r="I340" s="169"/>
      <c r="J340" s="169"/>
      <c r="K340" s="197"/>
      <c r="L340" s="169"/>
      <c r="M340" s="17" t="s">
        <v>2649</v>
      </c>
      <c r="N340" s="169"/>
      <c r="O340" s="169"/>
      <c r="P340" s="169"/>
      <c r="Q340" s="169"/>
      <c r="R340" s="169"/>
      <c r="S340" s="169"/>
      <c r="T340" s="169"/>
      <c r="U340" s="169"/>
      <c r="V340" s="169"/>
      <c r="W340" s="169"/>
      <c r="X340" s="169"/>
      <c r="Y340" s="169"/>
      <c r="Z340" s="169"/>
      <c r="AA340" s="169"/>
      <c r="AB340" s="169"/>
      <c r="AC340" s="169"/>
      <c r="AD340" s="169"/>
      <c r="AE340" s="169"/>
      <c r="AF340" s="169"/>
      <c r="AG340" s="169"/>
    </row>
    <row r="341" spans="1:33" x14ac:dyDescent="0.25">
      <c r="A341" s="17" t="s">
        <v>1339</v>
      </c>
      <c r="B341" s="169"/>
      <c r="C341" s="169"/>
      <c r="D341" s="197"/>
      <c r="E341" s="207"/>
      <c r="F341" s="169"/>
      <c r="G341" s="17" t="s">
        <v>2008</v>
      </c>
      <c r="H341" s="169"/>
      <c r="I341" s="169"/>
      <c r="J341" s="169"/>
      <c r="K341" s="197"/>
      <c r="L341" s="169"/>
      <c r="M341" s="17" t="s">
        <v>2650</v>
      </c>
      <c r="N341" s="169"/>
      <c r="O341" s="169"/>
      <c r="P341" s="169"/>
      <c r="Q341" s="169"/>
      <c r="R341" s="169"/>
      <c r="S341" s="169"/>
      <c r="T341" s="169"/>
      <c r="U341" s="169"/>
      <c r="V341" s="169"/>
      <c r="W341" s="169"/>
      <c r="X341" s="169"/>
      <c r="Y341" s="169"/>
      <c r="Z341" s="169"/>
      <c r="AA341" s="169"/>
      <c r="AB341" s="169"/>
      <c r="AC341" s="169"/>
      <c r="AD341" s="169"/>
      <c r="AE341" s="169"/>
      <c r="AF341" s="169"/>
      <c r="AG341" s="169"/>
    </row>
    <row r="342" spans="1:33" x14ac:dyDescent="0.25">
      <c r="A342" s="439" t="s">
        <v>1342</v>
      </c>
      <c r="B342" s="440"/>
      <c r="C342" s="169"/>
      <c r="D342" s="197"/>
      <c r="E342" s="207"/>
      <c r="F342" s="169"/>
      <c r="G342" s="17" t="s">
        <v>2009</v>
      </c>
      <c r="H342" s="169"/>
      <c r="I342" s="169"/>
      <c r="J342" s="169"/>
      <c r="K342" s="197"/>
      <c r="L342" s="169"/>
      <c r="M342" s="17" t="s">
        <v>2651</v>
      </c>
      <c r="N342" s="169"/>
      <c r="O342" s="169"/>
      <c r="P342" s="169"/>
      <c r="Q342" s="169"/>
      <c r="R342" s="169"/>
      <c r="S342" s="169"/>
      <c r="T342" s="169"/>
      <c r="U342" s="169"/>
      <c r="V342" s="169"/>
      <c r="W342" s="169"/>
      <c r="X342" s="169"/>
      <c r="Y342" s="169"/>
      <c r="Z342" s="169"/>
      <c r="AA342" s="169"/>
      <c r="AB342" s="169"/>
      <c r="AC342" s="169"/>
      <c r="AD342" s="169"/>
      <c r="AE342" s="169"/>
      <c r="AF342" s="169"/>
      <c r="AG342" s="169"/>
    </row>
    <row r="343" spans="1:33" x14ac:dyDescent="0.25">
      <c r="A343" s="17" t="s">
        <v>1351</v>
      </c>
      <c r="B343" s="169"/>
      <c r="C343" s="169"/>
      <c r="D343" s="197"/>
      <c r="E343" s="207"/>
      <c r="F343" s="169"/>
      <c r="G343" s="17" t="s">
        <v>2009</v>
      </c>
      <c r="H343" s="169"/>
      <c r="I343" s="169"/>
      <c r="J343" s="169"/>
      <c r="K343" s="197"/>
      <c r="L343" s="169"/>
      <c r="M343" s="17" t="s">
        <v>2652</v>
      </c>
      <c r="N343" s="169"/>
      <c r="O343" s="169"/>
      <c r="P343" s="169"/>
      <c r="Q343" s="169"/>
      <c r="R343" s="169"/>
      <c r="S343" s="169"/>
      <c r="T343" s="169"/>
      <c r="U343" s="169"/>
      <c r="V343" s="169"/>
      <c r="W343" s="169"/>
      <c r="X343" s="169"/>
      <c r="Y343" s="169"/>
      <c r="Z343" s="169"/>
      <c r="AA343" s="169"/>
      <c r="AB343" s="169"/>
      <c r="AC343" s="169"/>
      <c r="AD343" s="169"/>
      <c r="AE343" s="169"/>
      <c r="AF343" s="169"/>
      <c r="AG343" s="169"/>
    </row>
    <row r="344" spans="1:33" x14ac:dyDescent="0.25">
      <c r="A344" s="17" t="s">
        <v>1352</v>
      </c>
      <c r="B344" s="169"/>
      <c r="C344" s="169"/>
      <c r="D344" s="197"/>
      <c r="E344" s="207"/>
      <c r="F344" s="169"/>
      <c r="G344" s="17" t="s">
        <v>2010</v>
      </c>
      <c r="H344" s="169"/>
      <c r="I344" s="169"/>
      <c r="J344" s="169"/>
      <c r="K344" s="197"/>
      <c r="L344" s="169"/>
      <c r="M344" s="17" t="s">
        <v>2035</v>
      </c>
      <c r="N344" s="169"/>
      <c r="O344" s="169"/>
      <c r="P344" s="169"/>
      <c r="Q344" s="169"/>
      <c r="R344" s="169"/>
      <c r="S344" s="169"/>
      <c r="T344" s="169"/>
      <c r="U344" s="169"/>
      <c r="V344" s="169"/>
      <c r="W344" s="169"/>
      <c r="X344" s="169"/>
      <c r="Y344" s="169"/>
      <c r="Z344" s="169"/>
      <c r="AA344" s="169"/>
      <c r="AB344" s="169"/>
      <c r="AC344" s="169"/>
      <c r="AD344" s="169"/>
      <c r="AE344" s="169"/>
      <c r="AF344" s="169"/>
      <c r="AG344" s="169"/>
    </row>
    <row r="345" spans="1:33" x14ac:dyDescent="0.25">
      <c r="A345" s="439" t="s">
        <v>1353</v>
      </c>
      <c r="B345" s="440"/>
      <c r="C345" s="169"/>
      <c r="D345" s="197"/>
      <c r="E345" s="207"/>
      <c r="F345" s="169"/>
      <c r="G345" s="17" t="s">
        <v>2011</v>
      </c>
      <c r="H345" s="169"/>
      <c r="I345" s="169"/>
      <c r="J345" s="169"/>
      <c r="K345" s="197"/>
      <c r="L345" s="169"/>
      <c r="M345" s="17" t="s">
        <v>2653</v>
      </c>
      <c r="N345" s="169"/>
      <c r="O345" s="169"/>
      <c r="P345" s="169"/>
      <c r="Q345" s="169"/>
      <c r="R345" s="169"/>
      <c r="S345" s="169"/>
      <c r="T345" s="169"/>
      <c r="U345" s="169"/>
      <c r="V345" s="169"/>
      <c r="W345" s="169"/>
      <c r="X345" s="169"/>
      <c r="Y345" s="169"/>
      <c r="Z345" s="169"/>
      <c r="AA345" s="169"/>
      <c r="AB345" s="169"/>
      <c r="AC345" s="169"/>
      <c r="AD345" s="169"/>
      <c r="AE345" s="169"/>
      <c r="AF345" s="169"/>
      <c r="AG345" s="169"/>
    </row>
    <row r="346" spans="1:33" x14ac:dyDescent="0.25">
      <c r="A346" s="439" t="s">
        <v>1354</v>
      </c>
      <c r="B346" s="440"/>
      <c r="C346" s="169"/>
      <c r="D346" s="197"/>
      <c r="E346" s="207"/>
      <c r="F346" s="169"/>
      <c r="G346" s="17" t="s">
        <v>2012</v>
      </c>
      <c r="H346" s="169"/>
      <c r="I346" s="169"/>
      <c r="J346" s="169"/>
      <c r="K346" s="197"/>
      <c r="L346" s="169"/>
      <c r="M346" s="17" t="s">
        <v>2019</v>
      </c>
      <c r="N346" s="169"/>
      <c r="O346" s="169"/>
      <c r="P346" s="169"/>
      <c r="Q346" s="169"/>
      <c r="R346" s="169"/>
      <c r="S346" s="169"/>
      <c r="T346" s="169"/>
      <c r="U346" s="169"/>
      <c r="V346" s="169"/>
      <c r="W346" s="169"/>
      <c r="X346" s="169"/>
      <c r="Y346" s="169"/>
      <c r="Z346" s="169"/>
      <c r="AA346" s="169"/>
      <c r="AB346" s="169"/>
      <c r="AC346" s="169"/>
      <c r="AD346" s="169"/>
      <c r="AE346" s="169"/>
      <c r="AF346" s="169"/>
      <c r="AG346" s="169"/>
    </row>
    <row r="347" spans="1:33" x14ac:dyDescent="0.25">
      <c r="A347" s="439" t="s">
        <v>1355</v>
      </c>
      <c r="B347" s="440"/>
      <c r="C347" s="169"/>
      <c r="D347" s="197"/>
      <c r="E347" s="207"/>
      <c r="F347" s="169"/>
      <c r="G347" s="17" t="s">
        <v>2013</v>
      </c>
      <c r="H347" s="169"/>
      <c r="I347" s="169"/>
      <c r="J347" s="169"/>
      <c r="K347" s="197"/>
      <c r="L347" s="169"/>
      <c r="M347" s="17" t="s">
        <v>2040</v>
      </c>
      <c r="N347" s="169"/>
      <c r="O347" s="169"/>
      <c r="P347" s="169"/>
      <c r="Q347" s="169"/>
      <c r="R347" s="169"/>
      <c r="S347" s="169"/>
      <c r="T347" s="169"/>
      <c r="U347" s="169"/>
      <c r="V347" s="169"/>
      <c r="W347" s="169"/>
      <c r="X347" s="169"/>
      <c r="Y347" s="169"/>
      <c r="Z347" s="169"/>
      <c r="AA347" s="169"/>
      <c r="AB347" s="169"/>
      <c r="AC347" s="169"/>
      <c r="AD347" s="169"/>
      <c r="AE347" s="169"/>
      <c r="AF347" s="169"/>
      <c r="AG347" s="169"/>
    </row>
    <row r="348" spans="1:33" x14ac:dyDescent="0.25">
      <c r="A348" s="439" t="s">
        <v>1356</v>
      </c>
      <c r="B348" s="440"/>
      <c r="C348" s="169"/>
      <c r="D348" s="197"/>
      <c r="E348" s="207"/>
      <c r="F348" s="169"/>
      <c r="G348" s="17" t="s">
        <v>2014</v>
      </c>
      <c r="H348" s="169"/>
      <c r="I348" s="169"/>
      <c r="J348" s="169"/>
      <c r="K348" s="197"/>
      <c r="L348" s="169"/>
      <c r="M348" s="17" t="s">
        <v>2654</v>
      </c>
      <c r="N348" s="169"/>
      <c r="O348" s="169"/>
      <c r="P348" s="169"/>
      <c r="Q348" s="169"/>
      <c r="R348" s="169"/>
      <c r="S348" s="169"/>
      <c r="T348" s="169"/>
      <c r="U348" s="169"/>
      <c r="V348" s="169"/>
      <c r="W348" s="169"/>
      <c r="X348" s="169"/>
      <c r="Y348" s="169"/>
      <c r="Z348" s="169"/>
      <c r="AA348" s="169"/>
      <c r="AB348" s="169"/>
      <c r="AC348" s="169"/>
      <c r="AD348" s="169"/>
      <c r="AE348" s="169"/>
      <c r="AF348" s="169"/>
      <c r="AG348" s="169"/>
    </row>
    <row r="349" spans="1:33" x14ac:dyDescent="0.25">
      <c r="A349" s="439" t="s">
        <v>1349</v>
      </c>
      <c r="B349" s="440"/>
      <c r="C349" s="169"/>
      <c r="D349" s="197"/>
      <c r="E349" s="207"/>
      <c r="F349" s="169"/>
      <c r="G349" s="17" t="s">
        <v>2015</v>
      </c>
      <c r="H349" s="169"/>
      <c r="I349" s="169"/>
      <c r="J349" s="169"/>
      <c r="K349" s="197"/>
      <c r="L349" s="169"/>
      <c r="M349" s="17" t="s">
        <v>2655</v>
      </c>
      <c r="N349" s="169"/>
      <c r="O349" s="169"/>
      <c r="P349" s="169"/>
      <c r="Q349" s="169"/>
      <c r="R349" s="169"/>
      <c r="S349" s="169"/>
      <c r="T349" s="169"/>
      <c r="U349" s="169"/>
      <c r="V349" s="169"/>
      <c r="W349" s="169"/>
      <c r="X349" s="169"/>
      <c r="Y349" s="169"/>
      <c r="Z349" s="169"/>
      <c r="AA349" s="169"/>
      <c r="AB349" s="169"/>
      <c r="AC349" s="169"/>
      <c r="AD349" s="169"/>
      <c r="AE349" s="169"/>
      <c r="AF349" s="169"/>
      <c r="AG349" s="169"/>
    </row>
    <row r="350" spans="1:33" x14ac:dyDescent="0.25">
      <c r="A350" s="439" t="s">
        <v>1357</v>
      </c>
      <c r="B350" s="440"/>
      <c r="C350" s="169"/>
      <c r="D350" s="197"/>
      <c r="E350" s="207"/>
      <c r="F350" s="169"/>
      <c r="G350" s="17" t="s">
        <v>2016</v>
      </c>
      <c r="H350" s="169"/>
      <c r="I350" s="169"/>
      <c r="J350" s="169"/>
      <c r="K350" s="197"/>
      <c r="L350" s="169"/>
      <c r="M350" s="17" t="s">
        <v>2019</v>
      </c>
      <c r="N350" s="169"/>
      <c r="O350" s="169"/>
      <c r="P350" s="169"/>
      <c r="Q350" s="169"/>
      <c r="R350" s="169"/>
      <c r="S350" s="169"/>
      <c r="T350" s="169"/>
      <c r="U350" s="169"/>
      <c r="V350" s="169"/>
      <c r="W350" s="169"/>
      <c r="X350" s="169"/>
      <c r="Y350" s="169"/>
      <c r="Z350" s="169"/>
      <c r="AA350" s="169"/>
      <c r="AB350" s="169"/>
      <c r="AC350" s="169"/>
      <c r="AD350" s="169"/>
      <c r="AE350" s="169"/>
      <c r="AF350" s="169"/>
      <c r="AG350" s="169"/>
    </row>
    <row r="351" spans="1:33" x14ac:dyDescent="0.25">
      <c r="A351" s="439" t="s">
        <v>1358</v>
      </c>
      <c r="B351" s="440"/>
      <c r="C351" s="169"/>
      <c r="D351" s="197"/>
      <c r="E351" s="207"/>
      <c r="F351" s="169"/>
      <c r="G351" s="17" t="s">
        <v>2017</v>
      </c>
      <c r="H351" s="169"/>
      <c r="I351" s="169"/>
      <c r="J351" s="169"/>
      <c r="K351" s="197"/>
      <c r="L351" s="169"/>
      <c r="M351" s="17" t="s">
        <v>2650</v>
      </c>
      <c r="N351" s="169"/>
      <c r="O351" s="169"/>
      <c r="P351" s="169"/>
      <c r="Q351" s="169"/>
      <c r="R351" s="169"/>
      <c r="S351" s="169"/>
      <c r="T351" s="169"/>
      <c r="U351" s="169"/>
      <c r="V351" s="169"/>
      <c r="W351" s="169"/>
      <c r="X351" s="169"/>
      <c r="Y351" s="169"/>
      <c r="Z351" s="169"/>
      <c r="AA351" s="169"/>
      <c r="AB351" s="169"/>
      <c r="AC351" s="169"/>
      <c r="AD351" s="169"/>
      <c r="AE351" s="169"/>
      <c r="AF351" s="169"/>
      <c r="AG351" s="169"/>
    </row>
    <row r="352" spans="1:33" x14ac:dyDescent="0.25">
      <c r="A352" s="17" t="s">
        <v>1359</v>
      </c>
      <c r="B352" s="169"/>
      <c r="C352" s="169"/>
      <c r="D352" s="197"/>
      <c r="E352" s="207"/>
      <c r="F352" s="169"/>
      <c r="G352" s="17" t="s">
        <v>2018</v>
      </c>
      <c r="H352" s="169"/>
      <c r="I352" s="169"/>
      <c r="J352" s="169"/>
      <c r="K352" s="197"/>
      <c r="L352" s="169"/>
      <c r="M352" s="17" t="s">
        <v>2026</v>
      </c>
      <c r="N352" s="169"/>
      <c r="O352" s="169"/>
      <c r="P352" s="169"/>
      <c r="Q352" s="169"/>
      <c r="R352" s="169"/>
      <c r="S352" s="169"/>
      <c r="T352" s="169"/>
      <c r="U352" s="169"/>
      <c r="V352" s="169"/>
      <c r="W352" s="169"/>
      <c r="X352" s="169"/>
      <c r="Y352" s="169"/>
      <c r="Z352" s="169"/>
      <c r="AA352" s="169"/>
      <c r="AB352" s="169"/>
      <c r="AC352" s="169"/>
      <c r="AD352" s="169"/>
      <c r="AE352" s="169"/>
      <c r="AF352" s="169"/>
      <c r="AG352" s="169"/>
    </row>
    <row r="353" spans="1:33" x14ac:dyDescent="0.25">
      <c r="A353" s="439" t="s">
        <v>1360</v>
      </c>
      <c r="B353" s="440"/>
      <c r="C353" s="169"/>
      <c r="D353" s="197"/>
      <c r="E353" s="207"/>
      <c r="F353" s="169"/>
      <c r="G353" s="17" t="s">
        <v>2019</v>
      </c>
      <c r="H353" s="169"/>
      <c r="I353" s="169"/>
      <c r="J353" s="169"/>
      <c r="K353" s="197"/>
      <c r="L353" s="169"/>
      <c r="M353" s="17" t="s">
        <v>2656</v>
      </c>
      <c r="N353" s="169"/>
      <c r="O353" s="169"/>
      <c r="P353" s="169"/>
      <c r="Q353" s="169"/>
      <c r="R353" s="169"/>
      <c r="S353" s="169"/>
      <c r="T353" s="169"/>
      <c r="U353" s="169"/>
      <c r="V353" s="169"/>
      <c r="W353" s="169"/>
      <c r="X353" s="169"/>
      <c r="Y353" s="169"/>
      <c r="Z353" s="169"/>
      <c r="AA353" s="169"/>
      <c r="AB353" s="169"/>
      <c r="AC353" s="169"/>
      <c r="AD353" s="169"/>
      <c r="AE353" s="169"/>
      <c r="AF353" s="169"/>
      <c r="AG353" s="169"/>
    </row>
    <row r="354" spans="1:33" x14ac:dyDescent="0.25">
      <c r="A354" s="439" t="s">
        <v>1361</v>
      </c>
      <c r="B354" s="440"/>
      <c r="C354" s="169"/>
      <c r="D354" s="197"/>
      <c r="E354" s="207"/>
      <c r="F354" s="169"/>
      <c r="G354" s="17" t="s">
        <v>2020</v>
      </c>
      <c r="H354" s="169"/>
      <c r="I354" s="169"/>
      <c r="J354" s="169"/>
      <c r="K354" s="197"/>
      <c r="L354" s="169"/>
      <c r="M354" s="17" t="s">
        <v>2026</v>
      </c>
      <c r="N354" s="169"/>
      <c r="O354" s="169"/>
      <c r="P354" s="169"/>
      <c r="Q354" s="169"/>
      <c r="R354" s="169"/>
      <c r="S354" s="169"/>
      <c r="T354" s="169"/>
      <c r="U354" s="169"/>
      <c r="V354" s="169"/>
      <c r="W354" s="169"/>
      <c r="X354" s="169"/>
      <c r="Y354" s="169"/>
      <c r="Z354" s="169"/>
      <c r="AA354" s="169"/>
      <c r="AB354" s="169"/>
      <c r="AC354" s="169"/>
      <c r="AD354" s="169"/>
      <c r="AE354" s="169"/>
      <c r="AF354" s="169"/>
      <c r="AG354" s="169"/>
    </row>
    <row r="355" spans="1:33" x14ac:dyDescent="0.25">
      <c r="A355" s="439" t="s">
        <v>1362</v>
      </c>
      <c r="B355" s="440"/>
      <c r="C355" s="169"/>
      <c r="D355" s="197"/>
      <c r="E355" s="207"/>
      <c r="F355" s="169"/>
      <c r="G355" s="17" t="s">
        <v>2021</v>
      </c>
      <c r="H355" s="169"/>
      <c r="I355" s="169"/>
      <c r="J355" s="169"/>
      <c r="K355" s="197"/>
      <c r="L355" s="169"/>
      <c r="M355" s="17" t="s">
        <v>2655</v>
      </c>
      <c r="N355" s="169"/>
      <c r="O355" s="169"/>
      <c r="P355" s="169"/>
      <c r="Q355" s="169"/>
      <c r="R355" s="169"/>
      <c r="S355" s="169"/>
      <c r="T355" s="169"/>
      <c r="U355" s="169"/>
      <c r="V355" s="169"/>
      <c r="W355" s="169"/>
      <c r="X355" s="169"/>
      <c r="Y355" s="169"/>
      <c r="Z355" s="169"/>
      <c r="AA355" s="169"/>
      <c r="AB355" s="169"/>
      <c r="AC355" s="169"/>
      <c r="AD355" s="169"/>
      <c r="AE355" s="169"/>
      <c r="AF355" s="169"/>
      <c r="AG355" s="169"/>
    </row>
    <row r="356" spans="1:33" x14ac:dyDescent="0.25">
      <c r="A356" s="439" t="s">
        <v>1363</v>
      </c>
      <c r="B356" s="440"/>
      <c r="C356" s="169"/>
      <c r="D356" s="197"/>
      <c r="E356" s="207"/>
      <c r="F356" s="169"/>
      <c r="G356" s="17" t="s">
        <v>2022</v>
      </c>
      <c r="H356" s="169"/>
      <c r="I356" s="169"/>
      <c r="J356" s="169"/>
      <c r="K356" s="197"/>
      <c r="L356" s="169"/>
      <c r="M356" s="17" t="s">
        <v>2657</v>
      </c>
      <c r="N356" s="169"/>
      <c r="O356" s="169"/>
      <c r="P356" s="169"/>
      <c r="Q356" s="169"/>
      <c r="R356" s="169"/>
      <c r="S356" s="169"/>
      <c r="T356" s="169"/>
      <c r="U356" s="169"/>
      <c r="V356" s="169"/>
      <c r="W356" s="169"/>
      <c r="X356" s="169"/>
      <c r="Y356" s="169"/>
      <c r="Z356" s="169"/>
      <c r="AA356" s="169"/>
      <c r="AB356" s="169"/>
      <c r="AC356" s="169"/>
      <c r="AD356" s="169"/>
      <c r="AE356" s="169"/>
      <c r="AF356" s="169"/>
      <c r="AG356" s="169"/>
    </row>
    <row r="357" spans="1:33" x14ac:dyDescent="0.25">
      <c r="A357" s="439" t="s">
        <v>1364</v>
      </c>
      <c r="B357" s="440"/>
      <c r="C357" s="169"/>
      <c r="D357" s="197"/>
      <c r="E357" s="207"/>
      <c r="F357" s="169"/>
      <c r="G357" s="17" t="s">
        <v>2023</v>
      </c>
      <c r="H357" s="169"/>
      <c r="I357" s="169"/>
      <c r="J357" s="169"/>
      <c r="K357" s="197"/>
      <c r="L357" s="169"/>
      <c r="M357" s="17" t="s">
        <v>2037</v>
      </c>
      <c r="N357" s="169"/>
      <c r="O357" s="169"/>
      <c r="P357" s="169"/>
      <c r="Q357" s="169"/>
      <c r="R357" s="169"/>
      <c r="S357" s="169"/>
      <c r="T357" s="169"/>
      <c r="U357" s="169"/>
      <c r="V357" s="169"/>
      <c r="W357" s="169"/>
      <c r="X357" s="169"/>
      <c r="Y357" s="169"/>
      <c r="Z357" s="169"/>
      <c r="AA357" s="169"/>
      <c r="AB357" s="169"/>
      <c r="AC357" s="169"/>
      <c r="AD357" s="169"/>
      <c r="AE357" s="169"/>
      <c r="AF357" s="169"/>
      <c r="AG357" s="169"/>
    </row>
    <row r="358" spans="1:33" x14ac:dyDescent="0.25">
      <c r="A358" s="439" t="s">
        <v>1365</v>
      </c>
      <c r="B358" s="440"/>
      <c r="C358" s="169"/>
      <c r="D358" s="197"/>
      <c r="E358" s="207"/>
      <c r="F358" s="169"/>
      <c r="G358" s="17" t="s">
        <v>2024</v>
      </c>
      <c r="H358" s="169"/>
      <c r="I358" s="169"/>
      <c r="J358" s="169"/>
      <c r="K358" s="197"/>
      <c r="L358" s="169"/>
      <c r="M358" s="17" t="s">
        <v>2658</v>
      </c>
      <c r="N358" s="169"/>
      <c r="O358" s="169"/>
      <c r="P358" s="169"/>
      <c r="Q358" s="169"/>
      <c r="R358" s="169"/>
      <c r="S358" s="169"/>
      <c r="T358" s="169"/>
      <c r="U358" s="169"/>
      <c r="V358" s="169"/>
      <c r="W358" s="169"/>
      <c r="X358" s="169"/>
      <c r="Y358" s="169"/>
      <c r="Z358" s="169"/>
      <c r="AA358" s="169"/>
      <c r="AB358" s="169"/>
      <c r="AC358" s="169"/>
      <c r="AD358" s="169"/>
      <c r="AE358" s="169"/>
      <c r="AF358" s="169"/>
      <c r="AG358" s="169"/>
    </row>
    <row r="359" spans="1:33" x14ac:dyDescent="0.25">
      <c r="A359" s="439" t="s">
        <v>1366</v>
      </c>
      <c r="B359" s="440"/>
      <c r="C359" s="169"/>
      <c r="D359" s="197"/>
      <c r="E359" s="207"/>
      <c r="F359" s="169"/>
      <c r="G359" s="17" t="s">
        <v>2025</v>
      </c>
      <c r="H359" s="169"/>
      <c r="I359" s="169"/>
      <c r="J359" s="169"/>
      <c r="K359" s="197"/>
      <c r="L359" s="169"/>
      <c r="M359" s="17" t="s">
        <v>2659</v>
      </c>
      <c r="N359" s="169"/>
      <c r="O359" s="169"/>
      <c r="P359" s="169"/>
      <c r="Q359" s="169"/>
      <c r="R359" s="169"/>
      <c r="S359" s="169"/>
      <c r="T359" s="169"/>
      <c r="U359" s="169"/>
      <c r="V359" s="169"/>
      <c r="W359" s="169"/>
      <c r="X359" s="169"/>
      <c r="Y359" s="169"/>
      <c r="Z359" s="169"/>
      <c r="AA359" s="169"/>
      <c r="AB359" s="169"/>
      <c r="AC359" s="169"/>
      <c r="AD359" s="169"/>
      <c r="AE359" s="169"/>
      <c r="AF359" s="169"/>
      <c r="AG359" s="169"/>
    </row>
    <row r="360" spans="1:33" x14ac:dyDescent="0.25">
      <c r="A360" s="439" t="s">
        <v>1367</v>
      </c>
      <c r="B360" s="440"/>
      <c r="C360" s="169"/>
      <c r="D360" s="197"/>
      <c r="E360" s="207"/>
      <c r="F360" s="169"/>
      <c r="G360" s="17" t="s">
        <v>2026</v>
      </c>
      <c r="H360" s="169"/>
      <c r="I360" s="169"/>
      <c r="J360" s="169"/>
      <c r="K360" s="197"/>
      <c r="L360" s="169"/>
      <c r="M360" s="17" t="s">
        <v>2660</v>
      </c>
      <c r="N360" s="169"/>
      <c r="O360" s="169"/>
      <c r="P360" s="169"/>
      <c r="Q360" s="169"/>
      <c r="R360" s="169"/>
      <c r="S360" s="169"/>
      <c r="T360" s="169"/>
      <c r="U360" s="169"/>
      <c r="V360" s="169"/>
      <c r="W360" s="169"/>
      <c r="X360" s="169"/>
      <c r="Y360" s="169"/>
      <c r="Z360" s="169"/>
      <c r="AA360" s="169"/>
      <c r="AB360" s="169"/>
      <c r="AC360" s="169"/>
      <c r="AD360" s="169"/>
      <c r="AE360" s="169"/>
      <c r="AF360" s="169"/>
      <c r="AG360" s="169"/>
    </row>
    <row r="361" spans="1:33" x14ac:dyDescent="0.25">
      <c r="A361" s="439" t="s">
        <v>1368</v>
      </c>
      <c r="B361" s="440"/>
      <c r="C361" s="169"/>
      <c r="D361" s="197"/>
      <c r="E361" s="207"/>
      <c r="F361" s="169"/>
      <c r="G361" s="17" t="s">
        <v>2027</v>
      </c>
      <c r="H361" s="169"/>
      <c r="I361" s="169"/>
      <c r="J361" s="169"/>
      <c r="K361" s="197"/>
      <c r="L361" s="169"/>
      <c r="M361" s="17" t="s">
        <v>2661</v>
      </c>
      <c r="N361" s="169"/>
      <c r="O361" s="169"/>
      <c r="P361" s="169"/>
      <c r="Q361" s="169"/>
      <c r="R361" s="169"/>
      <c r="S361" s="169"/>
      <c r="T361" s="169"/>
      <c r="U361" s="169"/>
      <c r="V361" s="169"/>
      <c r="W361" s="169"/>
      <c r="X361" s="169"/>
      <c r="Y361" s="169"/>
      <c r="Z361" s="169"/>
      <c r="AA361" s="169"/>
      <c r="AB361" s="169"/>
      <c r="AC361" s="169"/>
      <c r="AD361" s="169"/>
      <c r="AE361" s="169"/>
      <c r="AF361" s="169"/>
      <c r="AG361" s="169"/>
    </row>
    <row r="362" spans="1:33" x14ac:dyDescent="0.25">
      <c r="A362" s="439" t="s">
        <v>1369</v>
      </c>
      <c r="B362" s="440"/>
      <c r="C362" s="169"/>
      <c r="D362" s="197"/>
      <c r="E362" s="207"/>
      <c r="F362" s="169"/>
      <c r="G362" s="17" t="s">
        <v>2028</v>
      </c>
      <c r="H362" s="169"/>
      <c r="I362" s="169"/>
      <c r="J362" s="169"/>
      <c r="K362" s="197"/>
      <c r="L362" s="169"/>
      <c r="M362" s="17" t="s">
        <v>2019</v>
      </c>
      <c r="N362" s="169"/>
      <c r="O362" s="169"/>
      <c r="P362" s="169"/>
      <c r="Q362" s="169"/>
      <c r="R362" s="169"/>
      <c r="S362" s="169"/>
      <c r="T362" s="169"/>
      <c r="U362" s="169"/>
      <c r="V362" s="169"/>
      <c r="W362" s="169"/>
      <c r="X362" s="169"/>
      <c r="Y362" s="169"/>
      <c r="Z362" s="169"/>
      <c r="AA362" s="169"/>
      <c r="AB362" s="169"/>
      <c r="AC362" s="169"/>
      <c r="AD362" s="169"/>
      <c r="AE362" s="169"/>
      <c r="AF362" s="169"/>
      <c r="AG362" s="169"/>
    </row>
    <row r="363" spans="1:33" x14ac:dyDescent="0.25">
      <c r="A363" s="439" t="s">
        <v>1370</v>
      </c>
      <c r="B363" s="440"/>
      <c r="C363" s="169"/>
      <c r="D363" s="197"/>
      <c r="E363" s="207"/>
      <c r="F363" s="169"/>
      <c r="G363" s="17" t="s">
        <v>2029</v>
      </c>
      <c r="H363" s="169"/>
      <c r="I363" s="169"/>
      <c r="J363" s="169"/>
      <c r="K363" s="197"/>
      <c r="L363" s="169"/>
      <c r="M363" s="17" t="s">
        <v>2026</v>
      </c>
      <c r="N363" s="169"/>
      <c r="O363" s="169"/>
      <c r="P363" s="169"/>
      <c r="Q363" s="169"/>
      <c r="R363" s="169"/>
      <c r="S363" s="169"/>
      <c r="T363" s="169"/>
      <c r="U363" s="169"/>
      <c r="V363" s="169"/>
      <c r="W363" s="169"/>
      <c r="X363" s="169"/>
      <c r="Y363" s="169"/>
      <c r="Z363" s="169"/>
      <c r="AA363" s="169"/>
      <c r="AB363" s="169"/>
      <c r="AC363" s="169"/>
      <c r="AD363" s="169"/>
      <c r="AE363" s="169"/>
      <c r="AF363" s="169"/>
      <c r="AG363" s="169"/>
    </row>
    <row r="364" spans="1:33" x14ac:dyDescent="0.25">
      <c r="A364" s="439" t="s">
        <v>1371</v>
      </c>
      <c r="B364" s="440"/>
      <c r="C364" s="169"/>
      <c r="D364" s="197"/>
      <c r="E364" s="207"/>
      <c r="F364" s="169"/>
      <c r="G364" s="17" t="s">
        <v>2019</v>
      </c>
      <c r="H364" s="169"/>
      <c r="I364" s="169"/>
      <c r="J364" s="169"/>
      <c r="K364" s="197"/>
      <c r="L364" s="169"/>
      <c r="M364" s="17" t="s">
        <v>2662</v>
      </c>
      <c r="N364" s="169"/>
      <c r="O364" s="169"/>
      <c r="P364" s="169"/>
      <c r="Q364" s="169"/>
      <c r="R364" s="169"/>
      <c r="S364" s="169"/>
      <c r="T364" s="169"/>
      <c r="U364" s="169"/>
      <c r="V364" s="169"/>
      <c r="W364" s="169"/>
      <c r="X364" s="169"/>
      <c r="Y364" s="169"/>
      <c r="Z364" s="169"/>
      <c r="AA364" s="169"/>
      <c r="AB364" s="169"/>
      <c r="AC364" s="169"/>
      <c r="AD364" s="169"/>
      <c r="AE364" s="169"/>
      <c r="AF364" s="169"/>
      <c r="AG364" s="169"/>
    </row>
    <row r="365" spans="1:33" x14ac:dyDescent="0.25">
      <c r="A365" s="439" t="s">
        <v>1372</v>
      </c>
      <c r="B365" s="440"/>
      <c r="C365" s="169"/>
      <c r="D365" s="197"/>
      <c r="E365" s="207"/>
      <c r="F365" s="169"/>
      <c r="G365" s="17" t="s">
        <v>2030</v>
      </c>
      <c r="H365" s="169"/>
      <c r="I365" s="169"/>
      <c r="J365" s="169"/>
      <c r="K365" s="197"/>
      <c r="L365" s="169"/>
      <c r="M365" s="17" t="s">
        <v>2030</v>
      </c>
      <c r="N365" s="169"/>
      <c r="O365" s="169"/>
      <c r="P365" s="169"/>
      <c r="Q365" s="169"/>
      <c r="R365" s="169"/>
      <c r="S365" s="169"/>
      <c r="T365" s="169"/>
      <c r="U365" s="169"/>
      <c r="V365" s="169"/>
      <c r="W365" s="169"/>
      <c r="X365" s="169"/>
      <c r="Y365" s="169"/>
      <c r="Z365" s="169"/>
      <c r="AA365" s="169"/>
      <c r="AB365" s="169"/>
      <c r="AC365" s="169"/>
      <c r="AD365" s="169"/>
      <c r="AE365" s="169"/>
      <c r="AF365" s="169"/>
      <c r="AG365" s="169"/>
    </row>
    <row r="366" spans="1:33" x14ac:dyDescent="0.25">
      <c r="A366" s="439" t="s">
        <v>1373</v>
      </c>
      <c r="B366" s="440"/>
      <c r="C366" s="169"/>
      <c r="D366" s="197"/>
      <c r="E366" s="207"/>
      <c r="F366" s="169"/>
      <c r="G366" s="17" t="s">
        <v>2031</v>
      </c>
      <c r="H366" s="169"/>
      <c r="I366" s="169"/>
      <c r="J366" s="169"/>
      <c r="K366" s="197"/>
      <c r="L366" s="169"/>
      <c r="M366" s="17" t="s">
        <v>2663</v>
      </c>
      <c r="N366" s="169"/>
      <c r="O366" s="169"/>
      <c r="P366" s="169"/>
      <c r="Q366" s="169"/>
      <c r="R366" s="169"/>
      <c r="S366" s="169"/>
      <c r="T366" s="169"/>
      <c r="U366" s="169"/>
      <c r="V366" s="169"/>
      <c r="W366" s="169"/>
      <c r="X366" s="169"/>
      <c r="Y366" s="169"/>
      <c r="Z366" s="169"/>
      <c r="AA366" s="169"/>
      <c r="AB366" s="169"/>
      <c r="AC366" s="169"/>
      <c r="AD366" s="169"/>
      <c r="AE366" s="169"/>
      <c r="AF366" s="169"/>
      <c r="AG366" s="169"/>
    </row>
    <row r="367" spans="1:33" x14ac:dyDescent="0.25">
      <c r="A367" s="439" t="s">
        <v>1374</v>
      </c>
      <c r="B367" s="440"/>
      <c r="C367" s="169"/>
      <c r="D367" s="197"/>
      <c r="E367" s="207"/>
      <c r="F367" s="169"/>
      <c r="G367" s="17" t="s">
        <v>2032</v>
      </c>
      <c r="H367" s="169"/>
      <c r="I367" s="169"/>
      <c r="J367" s="169"/>
      <c r="K367" s="197"/>
      <c r="L367" s="169"/>
      <c r="M367" s="17" t="s">
        <v>2664</v>
      </c>
      <c r="N367" s="169"/>
      <c r="O367" s="169"/>
      <c r="P367" s="169"/>
      <c r="Q367" s="169"/>
      <c r="R367" s="169"/>
      <c r="S367" s="169"/>
      <c r="T367" s="169"/>
      <c r="U367" s="169"/>
      <c r="V367" s="169"/>
      <c r="W367" s="169"/>
      <c r="X367" s="169"/>
      <c r="Y367" s="169"/>
      <c r="Z367" s="169"/>
      <c r="AA367" s="169"/>
      <c r="AB367" s="169"/>
      <c r="AC367" s="169"/>
      <c r="AD367" s="169"/>
      <c r="AE367" s="169"/>
      <c r="AF367" s="169"/>
      <c r="AG367" s="169"/>
    </row>
    <row r="368" spans="1:33" x14ac:dyDescent="0.25">
      <c r="A368" s="439" t="s">
        <v>1375</v>
      </c>
      <c r="B368" s="440"/>
      <c r="C368" s="169"/>
      <c r="D368" s="197"/>
      <c r="E368" s="207"/>
      <c r="F368" s="169"/>
      <c r="G368" s="17" t="s">
        <v>2021</v>
      </c>
      <c r="H368" s="169"/>
      <c r="I368" s="169"/>
      <c r="J368" s="169"/>
      <c r="K368" s="197"/>
      <c r="L368" s="169"/>
      <c r="M368" s="17" t="s">
        <v>2662</v>
      </c>
      <c r="N368" s="169"/>
      <c r="O368" s="169"/>
      <c r="P368" s="169"/>
      <c r="Q368" s="169"/>
      <c r="R368" s="169"/>
      <c r="S368" s="169"/>
      <c r="T368" s="169"/>
      <c r="U368" s="169"/>
      <c r="V368" s="169"/>
      <c r="W368" s="169"/>
      <c r="X368" s="169"/>
      <c r="Y368" s="169"/>
      <c r="Z368" s="169"/>
      <c r="AA368" s="169"/>
      <c r="AB368" s="169"/>
      <c r="AC368" s="169"/>
      <c r="AD368" s="169"/>
      <c r="AE368" s="169"/>
      <c r="AF368" s="169"/>
      <c r="AG368" s="169"/>
    </row>
    <row r="369" spans="1:33" x14ac:dyDescent="0.25">
      <c r="A369" s="439" t="s">
        <v>1376</v>
      </c>
      <c r="B369" s="440"/>
      <c r="C369" s="169"/>
      <c r="D369" s="197"/>
      <c r="E369" s="207"/>
      <c r="F369" s="169"/>
      <c r="G369" s="17" t="s">
        <v>2033</v>
      </c>
      <c r="H369" s="169"/>
      <c r="I369" s="169"/>
      <c r="J369" s="169"/>
      <c r="K369" s="197"/>
      <c r="L369" s="169"/>
      <c r="M369" s="17" t="s">
        <v>2665</v>
      </c>
      <c r="N369" s="169"/>
      <c r="O369" s="169"/>
      <c r="P369" s="169"/>
      <c r="Q369" s="169"/>
      <c r="R369" s="169"/>
      <c r="S369" s="169"/>
      <c r="T369" s="169"/>
      <c r="U369" s="169"/>
      <c r="V369" s="169"/>
      <c r="W369" s="169"/>
      <c r="X369" s="169"/>
      <c r="Y369" s="169"/>
      <c r="Z369" s="169"/>
      <c r="AA369" s="169"/>
      <c r="AB369" s="169"/>
      <c r="AC369" s="169"/>
      <c r="AD369" s="169"/>
      <c r="AE369" s="169"/>
      <c r="AF369" s="169"/>
      <c r="AG369" s="169"/>
    </row>
    <row r="370" spans="1:33" x14ac:dyDescent="0.25">
      <c r="A370" s="439" t="s">
        <v>1373</v>
      </c>
      <c r="B370" s="440"/>
      <c r="C370" s="169"/>
      <c r="D370" s="197"/>
      <c r="E370" s="207"/>
      <c r="F370" s="169"/>
      <c r="G370" s="17" t="s">
        <v>2034</v>
      </c>
      <c r="H370" s="169"/>
      <c r="I370" s="169"/>
      <c r="J370" s="169"/>
      <c r="K370" s="197"/>
      <c r="L370" s="169"/>
      <c r="M370" s="17" t="s">
        <v>2655</v>
      </c>
      <c r="N370" s="169"/>
      <c r="O370" s="169"/>
      <c r="P370" s="169"/>
      <c r="Q370" s="169"/>
      <c r="R370" s="169"/>
      <c r="S370" s="169"/>
      <c r="T370" s="169"/>
      <c r="U370" s="169"/>
      <c r="V370" s="169"/>
      <c r="W370" s="169"/>
      <c r="X370" s="169"/>
      <c r="Y370" s="169"/>
      <c r="Z370" s="169"/>
      <c r="AA370" s="169"/>
      <c r="AB370" s="169"/>
      <c r="AC370" s="169"/>
      <c r="AD370" s="169"/>
      <c r="AE370" s="169"/>
      <c r="AF370" s="169"/>
      <c r="AG370" s="169"/>
    </row>
    <row r="371" spans="1:33" x14ac:dyDescent="0.25">
      <c r="A371" s="439" t="s">
        <v>1377</v>
      </c>
      <c r="B371" s="440"/>
      <c r="C371" s="169"/>
      <c r="D371" s="197"/>
      <c r="E371" s="207"/>
      <c r="F371" s="169"/>
      <c r="G371" s="17" t="s">
        <v>2033</v>
      </c>
      <c r="H371" s="169"/>
      <c r="I371" s="169"/>
      <c r="J371" s="169"/>
      <c r="K371" s="197"/>
      <c r="L371" s="169"/>
      <c r="M371" s="17" t="s">
        <v>2665</v>
      </c>
      <c r="N371" s="169"/>
      <c r="O371" s="169"/>
      <c r="P371" s="169"/>
      <c r="Q371" s="169"/>
      <c r="R371" s="169"/>
      <c r="S371" s="169"/>
      <c r="T371" s="169"/>
      <c r="U371" s="169"/>
      <c r="V371" s="169"/>
      <c r="W371" s="169"/>
      <c r="X371" s="169"/>
      <c r="Y371" s="169"/>
      <c r="Z371" s="169"/>
      <c r="AA371" s="169"/>
      <c r="AB371" s="169"/>
      <c r="AC371" s="169"/>
      <c r="AD371" s="169"/>
      <c r="AE371" s="169"/>
      <c r="AF371" s="169"/>
      <c r="AG371" s="169"/>
    </row>
    <row r="372" spans="1:33" x14ac:dyDescent="0.25">
      <c r="A372" s="439" t="s">
        <v>1378</v>
      </c>
      <c r="B372" s="440"/>
      <c r="C372" s="169"/>
      <c r="D372" s="197"/>
      <c r="E372" s="207"/>
      <c r="F372" s="169"/>
      <c r="G372" s="17" t="s">
        <v>2035</v>
      </c>
      <c r="H372" s="169"/>
      <c r="I372" s="169"/>
      <c r="J372" s="169"/>
      <c r="K372" s="197"/>
      <c r="L372" s="169"/>
      <c r="M372" s="17" t="s">
        <v>2666</v>
      </c>
      <c r="N372" s="169"/>
      <c r="O372" s="169"/>
      <c r="P372" s="169"/>
      <c r="Q372" s="169"/>
      <c r="R372" s="169"/>
      <c r="S372" s="169"/>
      <c r="T372" s="169"/>
      <c r="U372" s="169"/>
      <c r="V372" s="169"/>
      <c r="W372" s="169"/>
      <c r="X372" s="169"/>
      <c r="Y372" s="169"/>
      <c r="Z372" s="169"/>
      <c r="AA372" s="169"/>
      <c r="AB372" s="169"/>
      <c r="AC372" s="169"/>
      <c r="AD372" s="169"/>
      <c r="AE372" s="169"/>
      <c r="AF372" s="169"/>
      <c r="AG372" s="169"/>
    </row>
    <row r="373" spans="1:33" x14ac:dyDescent="0.25">
      <c r="A373" s="439" t="s">
        <v>1379</v>
      </c>
      <c r="B373" s="440"/>
      <c r="C373" s="169"/>
      <c r="D373" s="197"/>
      <c r="E373" s="207"/>
      <c r="F373" s="169"/>
      <c r="G373" s="17" t="s">
        <v>2036</v>
      </c>
      <c r="H373" s="169"/>
      <c r="I373" s="169"/>
      <c r="J373" s="169"/>
      <c r="K373" s="197"/>
      <c r="L373" s="169"/>
      <c r="M373" s="17" t="s">
        <v>2667</v>
      </c>
      <c r="N373" s="169"/>
      <c r="O373" s="169"/>
      <c r="P373" s="169"/>
      <c r="Q373" s="169"/>
      <c r="R373" s="169"/>
      <c r="S373" s="169"/>
      <c r="T373" s="169"/>
      <c r="U373" s="169"/>
      <c r="V373" s="169"/>
      <c r="W373" s="169"/>
      <c r="X373" s="169"/>
      <c r="Y373" s="169"/>
      <c r="Z373" s="169"/>
      <c r="AA373" s="169"/>
      <c r="AB373" s="169"/>
      <c r="AC373" s="169"/>
      <c r="AD373" s="169"/>
      <c r="AE373" s="169"/>
      <c r="AF373" s="169"/>
      <c r="AG373" s="169"/>
    </row>
    <row r="374" spans="1:33" x14ac:dyDescent="0.25">
      <c r="A374" s="439" t="s">
        <v>1380</v>
      </c>
      <c r="B374" s="440"/>
      <c r="C374" s="169"/>
      <c r="D374" s="197"/>
      <c r="E374" s="207"/>
      <c r="F374" s="169"/>
      <c r="G374" s="17" t="s">
        <v>2037</v>
      </c>
      <c r="H374" s="169"/>
      <c r="I374" s="169"/>
      <c r="J374" s="169"/>
      <c r="K374" s="197"/>
      <c r="L374" s="169"/>
      <c r="M374" s="17" t="s">
        <v>2668</v>
      </c>
      <c r="N374" s="169"/>
      <c r="O374" s="169"/>
      <c r="P374" s="169"/>
      <c r="Q374" s="169"/>
      <c r="R374" s="169"/>
      <c r="S374" s="169"/>
      <c r="T374" s="169"/>
      <c r="U374" s="169"/>
      <c r="V374" s="169"/>
      <c r="W374" s="169"/>
      <c r="X374" s="169"/>
      <c r="Y374" s="169"/>
      <c r="Z374" s="169"/>
      <c r="AA374" s="169"/>
      <c r="AB374" s="169"/>
      <c r="AC374" s="169"/>
      <c r="AD374" s="169"/>
      <c r="AE374" s="169"/>
      <c r="AF374" s="169"/>
      <c r="AG374" s="169"/>
    </row>
    <row r="375" spans="1:33" x14ac:dyDescent="0.25">
      <c r="A375" s="17" t="s">
        <v>1381</v>
      </c>
      <c r="B375" s="169"/>
      <c r="C375" s="169"/>
      <c r="D375" s="197"/>
      <c r="E375" s="207"/>
      <c r="F375" s="169"/>
      <c r="G375" s="17" t="s">
        <v>2038</v>
      </c>
      <c r="H375" s="169"/>
      <c r="I375" s="169"/>
      <c r="J375" s="169"/>
      <c r="K375" s="197"/>
      <c r="L375" s="169"/>
      <c r="M375" s="17" t="s">
        <v>2045</v>
      </c>
      <c r="N375" s="169"/>
      <c r="O375" s="169"/>
      <c r="P375" s="169"/>
      <c r="Q375" s="169"/>
      <c r="R375" s="169"/>
      <c r="S375" s="169"/>
      <c r="T375" s="169"/>
      <c r="U375" s="169"/>
      <c r="V375" s="169"/>
      <c r="W375" s="169"/>
      <c r="X375" s="169"/>
      <c r="Y375" s="169"/>
      <c r="Z375" s="169"/>
      <c r="AA375" s="169"/>
      <c r="AB375" s="169"/>
      <c r="AC375" s="169"/>
      <c r="AD375" s="169"/>
      <c r="AE375" s="169"/>
      <c r="AF375" s="169"/>
      <c r="AG375" s="169"/>
    </row>
    <row r="376" spans="1:33" x14ac:dyDescent="0.25">
      <c r="A376" s="439" t="s">
        <v>1382</v>
      </c>
      <c r="B376" s="440"/>
      <c r="C376" s="169"/>
      <c r="D376" s="197"/>
      <c r="E376" s="207"/>
      <c r="F376" s="169"/>
      <c r="G376" s="17" t="s">
        <v>2039</v>
      </c>
      <c r="H376" s="169"/>
      <c r="I376" s="169"/>
      <c r="J376" s="169"/>
      <c r="K376" s="197"/>
      <c r="L376" s="169"/>
      <c r="M376" s="17" t="s">
        <v>2669</v>
      </c>
      <c r="N376" s="169"/>
      <c r="O376" s="169"/>
      <c r="P376" s="169"/>
      <c r="Q376" s="169"/>
      <c r="R376" s="169"/>
      <c r="S376" s="169"/>
      <c r="T376" s="169"/>
      <c r="U376" s="169"/>
      <c r="V376" s="169"/>
      <c r="W376" s="169"/>
      <c r="X376" s="169"/>
      <c r="Y376" s="169"/>
      <c r="Z376" s="169"/>
      <c r="AA376" s="169"/>
      <c r="AB376" s="169"/>
      <c r="AC376" s="169"/>
      <c r="AD376" s="169"/>
      <c r="AE376" s="169"/>
      <c r="AF376" s="169"/>
      <c r="AG376" s="169"/>
    </row>
    <row r="377" spans="1:33" x14ac:dyDescent="0.25">
      <c r="A377" s="439" t="s">
        <v>1383</v>
      </c>
      <c r="B377" s="440"/>
      <c r="C377" s="169"/>
      <c r="D377" s="197"/>
      <c r="E377" s="207"/>
      <c r="F377" s="169"/>
      <c r="G377" s="17" t="s">
        <v>2040</v>
      </c>
      <c r="H377" s="169"/>
      <c r="I377" s="169"/>
      <c r="J377" s="169"/>
      <c r="K377" s="197"/>
      <c r="L377" s="169"/>
      <c r="M377" s="17" t="s">
        <v>2670</v>
      </c>
      <c r="N377" s="169"/>
      <c r="O377" s="169"/>
      <c r="P377" s="169"/>
      <c r="Q377" s="169"/>
      <c r="R377" s="169"/>
      <c r="S377" s="169"/>
      <c r="T377" s="169"/>
      <c r="U377" s="169"/>
      <c r="V377" s="169"/>
      <c r="W377" s="169"/>
      <c r="X377" s="169"/>
      <c r="Y377" s="169"/>
      <c r="Z377" s="169"/>
      <c r="AA377" s="169"/>
      <c r="AB377" s="169"/>
      <c r="AC377" s="169"/>
      <c r="AD377" s="169"/>
      <c r="AE377" s="169"/>
      <c r="AF377" s="169"/>
      <c r="AG377" s="169"/>
    </row>
    <row r="378" spans="1:33" x14ac:dyDescent="0.25">
      <c r="A378" s="17" t="s">
        <v>1384</v>
      </c>
      <c r="B378" s="169"/>
      <c r="C378" s="169"/>
      <c r="D378" s="197"/>
      <c r="E378" s="207"/>
      <c r="F378" s="169"/>
      <c r="G378" s="17" t="s">
        <v>2041</v>
      </c>
      <c r="H378" s="169"/>
      <c r="I378" s="169"/>
      <c r="J378" s="169"/>
      <c r="K378" s="197"/>
      <c r="L378" s="169"/>
      <c r="M378" s="17" t="s">
        <v>2671</v>
      </c>
      <c r="N378" s="169"/>
      <c r="O378" s="169"/>
      <c r="P378" s="169"/>
      <c r="Q378" s="169"/>
      <c r="R378" s="169"/>
      <c r="S378" s="169"/>
      <c r="T378" s="169"/>
      <c r="U378" s="169"/>
      <c r="V378" s="169"/>
      <c r="W378" s="169"/>
      <c r="X378" s="169"/>
      <c r="Y378" s="169"/>
      <c r="Z378" s="169"/>
      <c r="AA378" s="169"/>
      <c r="AB378" s="169"/>
      <c r="AC378" s="169"/>
      <c r="AD378" s="169"/>
      <c r="AE378" s="169"/>
      <c r="AF378" s="169"/>
      <c r="AG378" s="169"/>
    </row>
    <row r="379" spans="1:33" x14ac:dyDescent="0.25">
      <c r="A379" s="439" t="s">
        <v>1367</v>
      </c>
      <c r="B379" s="440"/>
      <c r="C379" s="169"/>
      <c r="D379" s="197"/>
      <c r="E379" s="207"/>
      <c r="F379" s="169"/>
      <c r="G379" s="17" t="s">
        <v>2042</v>
      </c>
      <c r="H379" s="169"/>
      <c r="I379" s="169"/>
      <c r="J379" s="169"/>
      <c r="K379" s="197"/>
      <c r="L379" s="169"/>
      <c r="M379" s="17" t="s">
        <v>2672</v>
      </c>
      <c r="N379" s="169"/>
      <c r="O379" s="169"/>
      <c r="P379" s="169"/>
      <c r="Q379" s="169"/>
      <c r="R379" s="169"/>
      <c r="S379" s="169"/>
      <c r="T379" s="169"/>
      <c r="U379" s="169"/>
      <c r="V379" s="169"/>
      <c r="W379" s="169"/>
      <c r="X379" s="169"/>
      <c r="Y379" s="169"/>
      <c r="Z379" s="169"/>
      <c r="AA379" s="169"/>
      <c r="AB379" s="169"/>
      <c r="AC379" s="169"/>
      <c r="AD379" s="169"/>
      <c r="AE379" s="169"/>
      <c r="AF379" s="169"/>
      <c r="AG379" s="169"/>
    </row>
    <row r="380" spans="1:33" x14ac:dyDescent="0.25">
      <c r="A380" s="439" t="s">
        <v>1375</v>
      </c>
      <c r="B380" s="440"/>
      <c r="C380" s="169"/>
      <c r="D380" s="197"/>
      <c r="E380" s="207"/>
      <c r="F380" s="169"/>
      <c r="G380" s="17" t="s">
        <v>2043</v>
      </c>
      <c r="H380" s="169"/>
      <c r="I380" s="169"/>
      <c r="J380" s="169"/>
      <c r="K380" s="197"/>
      <c r="L380" s="169"/>
      <c r="M380" s="17" t="s">
        <v>2673</v>
      </c>
      <c r="N380" s="169"/>
      <c r="O380" s="169"/>
      <c r="P380" s="169"/>
      <c r="Q380" s="169"/>
      <c r="R380" s="169"/>
      <c r="S380" s="169"/>
      <c r="T380" s="169"/>
      <c r="U380" s="169"/>
      <c r="V380" s="169"/>
      <c r="W380" s="169"/>
      <c r="X380" s="169"/>
      <c r="Y380" s="169"/>
      <c r="Z380" s="169"/>
      <c r="AA380" s="169"/>
      <c r="AB380" s="169"/>
      <c r="AC380" s="169"/>
      <c r="AD380" s="169"/>
      <c r="AE380" s="169"/>
      <c r="AF380" s="169"/>
      <c r="AG380" s="169"/>
    </row>
    <row r="381" spans="1:33" x14ac:dyDescent="0.25">
      <c r="A381" s="17" t="s">
        <v>1385</v>
      </c>
      <c r="B381" s="169"/>
      <c r="C381" s="169"/>
      <c r="D381" s="197"/>
      <c r="E381" s="207"/>
      <c r="F381" s="169"/>
      <c r="G381" s="17" t="s">
        <v>2044</v>
      </c>
      <c r="H381" s="169"/>
      <c r="I381" s="169"/>
      <c r="J381" s="169"/>
      <c r="K381" s="197"/>
      <c r="L381" s="169"/>
      <c r="M381" s="17" t="s">
        <v>2674</v>
      </c>
      <c r="N381" s="169"/>
      <c r="O381" s="169"/>
      <c r="P381" s="169"/>
      <c r="Q381" s="169"/>
      <c r="R381" s="169"/>
      <c r="S381" s="169"/>
      <c r="T381" s="169"/>
      <c r="U381" s="169"/>
      <c r="V381" s="169"/>
      <c r="W381" s="169"/>
      <c r="X381" s="169"/>
      <c r="Y381" s="169"/>
      <c r="Z381" s="169"/>
      <c r="AA381" s="169"/>
      <c r="AB381" s="169"/>
      <c r="AC381" s="169"/>
      <c r="AD381" s="169"/>
      <c r="AE381" s="169"/>
      <c r="AF381" s="169"/>
      <c r="AG381" s="169"/>
    </row>
    <row r="382" spans="1:33" x14ac:dyDescent="0.25">
      <c r="A382" s="439" t="s">
        <v>1386</v>
      </c>
      <c r="B382" s="440"/>
      <c r="C382" s="169"/>
      <c r="D382" s="197"/>
      <c r="E382" s="207"/>
      <c r="F382" s="169"/>
      <c r="G382" s="17" t="s">
        <v>2040</v>
      </c>
      <c r="H382" s="169"/>
      <c r="I382" s="169"/>
      <c r="J382" s="169"/>
      <c r="K382" s="197"/>
      <c r="L382" s="169"/>
      <c r="M382" s="17" t="s">
        <v>2675</v>
      </c>
      <c r="N382" s="169"/>
      <c r="O382" s="169"/>
      <c r="P382" s="169"/>
      <c r="Q382" s="169"/>
      <c r="R382" s="169"/>
      <c r="S382" s="169"/>
      <c r="T382" s="169"/>
      <c r="U382" s="169"/>
      <c r="V382" s="169"/>
      <c r="W382" s="169"/>
      <c r="X382" s="169"/>
      <c r="Y382" s="169"/>
      <c r="Z382" s="169"/>
      <c r="AA382" s="169"/>
      <c r="AB382" s="169"/>
      <c r="AC382" s="169"/>
      <c r="AD382" s="169"/>
      <c r="AE382" s="169"/>
      <c r="AF382" s="169"/>
      <c r="AG382" s="169"/>
    </row>
    <row r="383" spans="1:33" x14ac:dyDescent="0.25">
      <c r="A383" s="439" t="s">
        <v>1387</v>
      </c>
      <c r="B383" s="440"/>
      <c r="C383" s="169"/>
      <c r="D383" s="197"/>
      <c r="E383" s="207"/>
      <c r="F383" s="169"/>
      <c r="G383" s="17" t="s">
        <v>2045</v>
      </c>
      <c r="H383" s="169"/>
      <c r="I383" s="169"/>
      <c r="J383" s="169"/>
      <c r="K383" s="197"/>
      <c r="L383" s="169"/>
      <c r="M383" s="17" t="s">
        <v>2676</v>
      </c>
      <c r="N383" s="169"/>
      <c r="O383" s="169"/>
      <c r="P383" s="169"/>
      <c r="Q383" s="169"/>
      <c r="R383" s="169"/>
      <c r="S383" s="169"/>
      <c r="T383" s="169"/>
      <c r="U383" s="169"/>
      <c r="V383" s="169"/>
      <c r="W383" s="169"/>
      <c r="X383" s="169"/>
      <c r="Y383" s="169"/>
      <c r="Z383" s="169"/>
      <c r="AA383" s="169"/>
      <c r="AB383" s="169"/>
      <c r="AC383" s="169"/>
      <c r="AD383" s="169"/>
      <c r="AE383" s="169"/>
      <c r="AF383" s="169"/>
      <c r="AG383" s="169"/>
    </row>
    <row r="384" spans="1:33" x14ac:dyDescent="0.25">
      <c r="A384" s="439" t="s">
        <v>1388</v>
      </c>
      <c r="B384" s="440"/>
      <c r="C384" s="169"/>
      <c r="D384" s="197"/>
      <c r="E384" s="207"/>
      <c r="F384" s="169"/>
      <c r="G384" s="17" t="s">
        <v>2046</v>
      </c>
      <c r="H384" s="169"/>
      <c r="I384" s="169"/>
      <c r="J384" s="169"/>
      <c r="K384" s="197"/>
      <c r="L384" s="169"/>
      <c r="M384" s="17" t="s">
        <v>2677</v>
      </c>
      <c r="N384" s="169"/>
      <c r="O384" s="169"/>
      <c r="P384" s="169"/>
      <c r="Q384" s="169"/>
      <c r="R384" s="169"/>
      <c r="S384" s="169"/>
      <c r="T384" s="169"/>
      <c r="U384" s="169"/>
      <c r="V384" s="169"/>
      <c r="W384" s="169"/>
      <c r="X384" s="169"/>
      <c r="Y384" s="169"/>
      <c r="Z384" s="169"/>
      <c r="AA384" s="169"/>
      <c r="AB384" s="169"/>
      <c r="AC384" s="169"/>
      <c r="AD384" s="169"/>
      <c r="AE384" s="169"/>
      <c r="AF384" s="169"/>
      <c r="AG384" s="169"/>
    </row>
    <row r="385" spans="1:33" x14ac:dyDescent="0.25">
      <c r="A385" s="439" t="s">
        <v>1389</v>
      </c>
      <c r="B385" s="440"/>
      <c r="C385" s="169"/>
      <c r="D385" s="197"/>
      <c r="E385" s="207"/>
      <c r="F385" s="169"/>
      <c r="G385" s="17" t="s">
        <v>2047</v>
      </c>
      <c r="H385" s="169"/>
      <c r="I385" s="169"/>
      <c r="J385" s="169"/>
      <c r="K385" s="197"/>
      <c r="L385" s="169"/>
      <c r="M385" s="17" t="s">
        <v>2678</v>
      </c>
      <c r="N385" s="169"/>
      <c r="O385" s="169"/>
      <c r="P385" s="169"/>
      <c r="Q385" s="169"/>
      <c r="R385" s="169"/>
      <c r="S385" s="169"/>
      <c r="T385" s="169"/>
      <c r="U385" s="169"/>
      <c r="V385" s="169"/>
      <c r="W385" s="169"/>
      <c r="X385" s="169"/>
      <c r="Y385" s="169"/>
      <c r="Z385" s="169"/>
      <c r="AA385" s="169"/>
      <c r="AB385" s="169"/>
      <c r="AC385" s="169"/>
      <c r="AD385" s="169"/>
      <c r="AE385" s="169"/>
      <c r="AF385" s="169"/>
      <c r="AG385" s="169"/>
    </row>
    <row r="386" spans="1:33" x14ac:dyDescent="0.25">
      <c r="A386" s="439" t="s">
        <v>1390</v>
      </c>
      <c r="B386" s="440"/>
      <c r="C386" s="169"/>
      <c r="D386" s="197"/>
      <c r="E386" s="207"/>
      <c r="F386" s="169"/>
      <c r="G386" s="17" t="s">
        <v>2048</v>
      </c>
      <c r="H386" s="169"/>
      <c r="I386" s="169"/>
      <c r="J386" s="169"/>
      <c r="K386" s="197"/>
      <c r="L386" s="169"/>
      <c r="M386" s="17" t="s">
        <v>2675</v>
      </c>
      <c r="N386" s="169"/>
      <c r="O386" s="169"/>
      <c r="P386" s="169"/>
      <c r="Q386" s="169"/>
      <c r="R386" s="169"/>
      <c r="S386" s="169"/>
      <c r="T386" s="169"/>
      <c r="U386" s="169"/>
      <c r="V386" s="169"/>
      <c r="W386" s="169"/>
      <c r="X386" s="169"/>
      <c r="Y386" s="169"/>
      <c r="Z386" s="169"/>
      <c r="AA386" s="169"/>
      <c r="AB386" s="169"/>
      <c r="AC386" s="169"/>
      <c r="AD386" s="169"/>
      <c r="AE386" s="169"/>
      <c r="AF386" s="169"/>
      <c r="AG386" s="169"/>
    </row>
    <row r="387" spans="1:33" x14ac:dyDescent="0.25">
      <c r="A387" s="439" t="s">
        <v>1391</v>
      </c>
      <c r="B387" s="440"/>
      <c r="C387" s="169"/>
      <c r="D387" s="197"/>
      <c r="E387" s="207"/>
      <c r="F387" s="169"/>
      <c r="G387" s="17" t="s">
        <v>2049</v>
      </c>
      <c r="H387" s="169"/>
      <c r="I387" s="169"/>
      <c r="J387" s="169"/>
      <c r="K387" s="197"/>
      <c r="L387" s="169"/>
      <c r="M387" s="17" t="s">
        <v>2679</v>
      </c>
      <c r="N387" s="169"/>
      <c r="O387" s="169"/>
      <c r="P387" s="169"/>
      <c r="Q387" s="169"/>
      <c r="R387" s="169"/>
      <c r="S387" s="169"/>
      <c r="T387" s="169"/>
      <c r="U387" s="169"/>
      <c r="V387" s="169"/>
      <c r="W387" s="169"/>
      <c r="X387" s="169"/>
      <c r="Y387" s="169"/>
      <c r="Z387" s="169"/>
      <c r="AA387" s="169"/>
      <c r="AB387" s="169"/>
      <c r="AC387" s="169"/>
      <c r="AD387" s="169"/>
      <c r="AE387" s="169"/>
      <c r="AF387" s="169"/>
      <c r="AG387" s="169"/>
    </row>
    <row r="388" spans="1:33" x14ac:dyDescent="0.25">
      <c r="A388" s="17" t="s">
        <v>1392</v>
      </c>
      <c r="B388" s="169"/>
      <c r="C388" s="169"/>
      <c r="D388" s="197"/>
      <c r="E388" s="207"/>
      <c r="F388" s="169"/>
      <c r="G388" s="17" t="s">
        <v>2050</v>
      </c>
      <c r="H388" s="169"/>
      <c r="I388" s="169"/>
      <c r="J388" s="169"/>
      <c r="K388" s="197"/>
      <c r="L388" s="169"/>
      <c r="M388" s="17" t="s">
        <v>2680</v>
      </c>
      <c r="N388" s="169"/>
      <c r="O388" s="169"/>
      <c r="P388" s="169"/>
      <c r="Q388" s="169"/>
      <c r="R388" s="169"/>
      <c r="S388" s="169"/>
      <c r="T388" s="169"/>
      <c r="U388" s="169"/>
      <c r="V388" s="169"/>
      <c r="W388" s="169"/>
      <c r="X388" s="169"/>
      <c r="Y388" s="169"/>
      <c r="Z388" s="169"/>
      <c r="AA388" s="169"/>
      <c r="AB388" s="169"/>
      <c r="AC388" s="169"/>
      <c r="AD388" s="169"/>
      <c r="AE388" s="169"/>
      <c r="AF388" s="169"/>
      <c r="AG388" s="169"/>
    </row>
    <row r="389" spans="1:33" x14ac:dyDescent="0.25">
      <c r="A389" s="439" t="s">
        <v>1393</v>
      </c>
      <c r="B389" s="440"/>
      <c r="C389" s="169"/>
      <c r="D389" s="197"/>
      <c r="E389" s="207"/>
      <c r="F389" s="169"/>
      <c r="G389" s="17" t="s">
        <v>2051</v>
      </c>
      <c r="H389" s="169"/>
      <c r="I389" s="169"/>
      <c r="J389" s="169"/>
      <c r="K389" s="197"/>
      <c r="L389" s="169"/>
      <c r="M389" s="17" t="s">
        <v>2681</v>
      </c>
      <c r="N389" s="169"/>
      <c r="O389" s="169"/>
      <c r="P389" s="169"/>
      <c r="Q389" s="169"/>
      <c r="R389" s="169"/>
      <c r="S389" s="169"/>
      <c r="T389" s="169"/>
      <c r="U389" s="169"/>
      <c r="V389" s="169"/>
      <c r="W389" s="169"/>
      <c r="X389" s="169"/>
      <c r="Y389" s="169"/>
      <c r="Z389" s="169"/>
      <c r="AA389" s="169"/>
      <c r="AB389" s="169"/>
      <c r="AC389" s="169"/>
      <c r="AD389" s="169"/>
      <c r="AE389" s="169"/>
      <c r="AF389" s="169"/>
      <c r="AG389" s="169"/>
    </row>
    <row r="390" spans="1:33" x14ac:dyDescent="0.25">
      <c r="A390" s="439" t="s">
        <v>1394</v>
      </c>
      <c r="B390" s="440"/>
      <c r="C390" s="169"/>
      <c r="D390" s="197"/>
      <c r="E390" s="207"/>
      <c r="F390" s="169"/>
      <c r="G390" s="17" t="s">
        <v>2052</v>
      </c>
      <c r="H390" s="169"/>
      <c r="I390" s="169"/>
      <c r="J390" s="169"/>
      <c r="K390" s="197"/>
      <c r="L390" s="169"/>
      <c r="M390" s="17" t="s">
        <v>2682</v>
      </c>
      <c r="N390" s="169"/>
      <c r="O390" s="169"/>
      <c r="P390" s="169"/>
      <c r="Q390" s="169"/>
      <c r="R390" s="169"/>
      <c r="S390" s="169"/>
      <c r="T390" s="169"/>
      <c r="U390" s="169"/>
      <c r="V390" s="169"/>
      <c r="W390" s="169"/>
      <c r="X390" s="169"/>
      <c r="Y390" s="169"/>
      <c r="Z390" s="169"/>
      <c r="AA390" s="169"/>
      <c r="AB390" s="169"/>
      <c r="AC390" s="169"/>
      <c r="AD390" s="169"/>
      <c r="AE390" s="169"/>
      <c r="AF390" s="169"/>
      <c r="AG390" s="169"/>
    </row>
    <row r="391" spans="1:33" x14ac:dyDescent="0.25">
      <c r="A391" s="439" t="s">
        <v>1395</v>
      </c>
      <c r="B391" s="440"/>
      <c r="C391" s="169"/>
      <c r="D391" s="197"/>
      <c r="E391" s="207"/>
      <c r="F391" s="169"/>
      <c r="G391" s="17" t="s">
        <v>2053</v>
      </c>
      <c r="H391" s="169"/>
      <c r="I391" s="169"/>
      <c r="J391" s="169"/>
      <c r="K391" s="197"/>
      <c r="L391" s="169"/>
      <c r="M391" s="17" t="s">
        <v>2683</v>
      </c>
      <c r="N391" s="169"/>
      <c r="O391" s="169"/>
      <c r="P391" s="169"/>
      <c r="Q391" s="169"/>
      <c r="R391" s="169"/>
      <c r="S391" s="169"/>
      <c r="T391" s="169"/>
      <c r="U391" s="169"/>
      <c r="V391" s="169"/>
      <c r="W391" s="169"/>
      <c r="X391" s="169"/>
      <c r="Y391" s="169"/>
      <c r="Z391" s="169"/>
      <c r="AA391" s="169"/>
      <c r="AB391" s="169"/>
      <c r="AC391" s="169"/>
      <c r="AD391" s="169"/>
      <c r="AE391" s="169"/>
      <c r="AF391" s="169"/>
      <c r="AG391" s="169"/>
    </row>
    <row r="392" spans="1:33" x14ac:dyDescent="0.25">
      <c r="A392" s="17" t="s">
        <v>1396</v>
      </c>
      <c r="B392" s="169"/>
      <c r="C392" s="169"/>
      <c r="D392" s="197"/>
      <c r="E392" s="207"/>
      <c r="F392" s="169"/>
      <c r="G392" s="17" t="s">
        <v>2054</v>
      </c>
      <c r="H392" s="169"/>
      <c r="I392" s="169"/>
      <c r="J392" s="169"/>
      <c r="K392" s="197"/>
      <c r="L392" s="169"/>
      <c r="M392" s="17" t="s">
        <v>2684</v>
      </c>
      <c r="N392" s="169"/>
      <c r="O392" s="169"/>
      <c r="P392" s="169"/>
      <c r="Q392" s="169"/>
      <c r="R392" s="169"/>
      <c r="S392" s="169"/>
      <c r="T392" s="169"/>
      <c r="U392" s="169"/>
      <c r="V392" s="169"/>
      <c r="W392" s="169"/>
      <c r="X392" s="169"/>
      <c r="Y392" s="169"/>
      <c r="Z392" s="169"/>
      <c r="AA392" s="169"/>
      <c r="AB392" s="169"/>
      <c r="AC392" s="169"/>
      <c r="AD392" s="169"/>
      <c r="AE392" s="169"/>
      <c r="AF392" s="169"/>
      <c r="AG392" s="169"/>
    </row>
    <row r="393" spans="1:33" x14ac:dyDescent="0.25">
      <c r="A393" s="439" t="s">
        <v>1397</v>
      </c>
      <c r="B393" s="440"/>
      <c r="C393" s="169"/>
      <c r="D393" s="197"/>
      <c r="E393" s="207"/>
      <c r="F393" s="169"/>
      <c r="G393" s="17" t="s">
        <v>2055</v>
      </c>
      <c r="H393" s="169"/>
      <c r="I393" s="169"/>
      <c r="J393" s="169"/>
      <c r="K393" s="197"/>
      <c r="L393" s="169"/>
      <c r="M393" s="17" t="s">
        <v>2683</v>
      </c>
      <c r="N393" s="169"/>
      <c r="O393" s="169"/>
      <c r="P393" s="169"/>
      <c r="Q393" s="169"/>
      <c r="R393" s="169"/>
      <c r="S393" s="169"/>
      <c r="T393" s="169"/>
      <c r="U393" s="169"/>
      <c r="V393" s="169"/>
      <c r="W393" s="169"/>
      <c r="X393" s="169"/>
      <c r="Y393" s="169"/>
      <c r="Z393" s="169"/>
      <c r="AA393" s="169"/>
      <c r="AB393" s="169"/>
      <c r="AC393" s="169"/>
      <c r="AD393" s="169"/>
      <c r="AE393" s="169"/>
      <c r="AF393" s="169"/>
      <c r="AG393" s="169"/>
    </row>
    <row r="394" spans="1:33" x14ac:dyDescent="0.25">
      <c r="A394" s="439" t="s">
        <v>1398</v>
      </c>
      <c r="B394" s="440"/>
      <c r="C394" s="169"/>
      <c r="D394" s="197"/>
      <c r="E394" s="207"/>
      <c r="F394" s="169"/>
      <c r="G394" s="17" t="s">
        <v>2056</v>
      </c>
      <c r="H394" s="169"/>
      <c r="I394" s="169"/>
      <c r="J394" s="169"/>
      <c r="K394" s="197"/>
      <c r="L394" s="169"/>
      <c r="M394" s="17" t="s">
        <v>2685</v>
      </c>
      <c r="N394" s="169"/>
      <c r="O394" s="169"/>
      <c r="P394" s="169"/>
      <c r="Q394" s="169"/>
      <c r="R394" s="169"/>
      <c r="S394" s="169"/>
      <c r="T394" s="169"/>
      <c r="U394" s="169"/>
      <c r="V394" s="169"/>
      <c r="W394" s="169"/>
      <c r="X394" s="169"/>
      <c r="Y394" s="169"/>
      <c r="Z394" s="169"/>
      <c r="AA394" s="169"/>
      <c r="AB394" s="169"/>
      <c r="AC394" s="169"/>
      <c r="AD394" s="169"/>
      <c r="AE394" s="169"/>
      <c r="AF394" s="169"/>
      <c r="AG394" s="169"/>
    </row>
    <row r="395" spans="1:33" x14ac:dyDescent="0.25">
      <c r="A395" s="439" t="s">
        <v>1399</v>
      </c>
      <c r="B395" s="440"/>
      <c r="C395" s="169"/>
      <c r="D395" s="197"/>
      <c r="E395" s="207"/>
      <c r="F395" s="169"/>
      <c r="G395" s="17" t="s">
        <v>2057</v>
      </c>
      <c r="H395" s="169"/>
      <c r="I395" s="169"/>
      <c r="J395" s="169"/>
      <c r="K395" s="197"/>
      <c r="L395" s="169"/>
      <c r="M395" s="17" t="s">
        <v>2686</v>
      </c>
      <c r="N395" s="169"/>
      <c r="O395" s="169"/>
      <c r="P395" s="169"/>
      <c r="Q395" s="169"/>
      <c r="R395" s="169"/>
      <c r="S395" s="169"/>
      <c r="T395" s="169"/>
      <c r="U395" s="169"/>
      <c r="V395" s="169"/>
      <c r="W395" s="169"/>
      <c r="X395" s="169"/>
      <c r="Y395" s="169"/>
      <c r="Z395" s="169"/>
      <c r="AA395" s="169"/>
      <c r="AB395" s="169"/>
      <c r="AC395" s="169"/>
      <c r="AD395" s="169"/>
      <c r="AE395" s="169"/>
      <c r="AF395" s="169"/>
      <c r="AG395" s="169"/>
    </row>
    <row r="396" spans="1:33" x14ac:dyDescent="0.25">
      <c r="A396" s="439" t="s">
        <v>1400</v>
      </c>
      <c r="B396" s="440"/>
      <c r="C396" s="169"/>
      <c r="D396" s="197"/>
      <c r="E396" s="207"/>
      <c r="F396" s="169"/>
      <c r="G396" s="17" t="s">
        <v>2058</v>
      </c>
      <c r="H396" s="169"/>
      <c r="I396" s="169"/>
      <c r="J396" s="169"/>
      <c r="K396" s="197"/>
      <c r="L396" s="169"/>
      <c r="M396" s="17" t="s">
        <v>2687</v>
      </c>
      <c r="N396" s="169"/>
      <c r="O396" s="169"/>
      <c r="P396" s="169"/>
      <c r="Q396" s="169"/>
      <c r="R396" s="169"/>
      <c r="S396" s="169"/>
      <c r="T396" s="169"/>
      <c r="U396" s="169"/>
      <c r="V396" s="169"/>
      <c r="W396" s="169"/>
      <c r="X396" s="169"/>
      <c r="Y396" s="169"/>
      <c r="Z396" s="169"/>
      <c r="AA396" s="169"/>
      <c r="AB396" s="169"/>
      <c r="AC396" s="169"/>
      <c r="AD396" s="169"/>
      <c r="AE396" s="169"/>
      <c r="AF396" s="169"/>
      <c r="AG396" s="169"/>
    </row>
    <row r="397" spans="1:33" x14ac:dyDescent="0.25">
      <c r="A397" s="439" t="s">
        <v>1401</v>
      </c>
      <c r="B397" s="440"/>
      <c r="C397" s="169"/>
      <c r="D397" s="197"/>
      <c r="E397" s="207"/>
      <c r="F397" s="169"/>
      <c r="G397" s="17" t="s">
        <v>2059</v>
      </c>
      <c r="H397" s="169"/>
      <c r="I397" s="169"/>
      <c r="J397" s="169"/>
      <c r="K397" s="197"/>
      <c r="L397" s="169"/>
      <c r="M397" s="17" t="s">
        <v>2688</v>
      </c>
      <c r="N397" s="169"/>
      <c r="O397" s="169"/>
      <c r="P397" s="169"/>
      <c r="Q397" s="169"/>
      <c r="R397" s="169"/>
      <c r="S397" s="169"/>
      <c r="T397" s="169"/>
      <c r="U397" s="169"/>
      <c r="V397" s="169"/>
      <c r="W397" s="169"/>
      <c r="X397" s="169"/>
      <c r="Y397" s="169"/>
      <c r="Z397" s="169"/>
      <c r="AA397" s="169"/>
      <c r="AB397" s="169"/>
      <c r="AC397" s="169"/>
      <c r="AD397" s="169"/>
      <c r="AE397" s="169"/>
      <c r="AF397" s="169"/>
      <c r="AG397" s="169"/>
    </row>
    <row r="398" spans="1:33" x14ac:dyDescent="0.25">
      <c r="A398" s="439" t="s">
        <v>1402</v>
      </c>
      <c r="B398" s="440"/>
      <c r="C398" s="169"/>
      <c r="D398" s="197"/>
      <c r="E398" s="207"/>
      <c r="F398" s="169"/>
      <c r="G398" s="17" t="s">
        <v>2060</v>
      </c>
      <c r="H398" s="169"/>
      <c r="I398" s="169"/>
      <c r="J398" s="169"/>
      <c r="K398" s="197"/>
      <c r="L398" s="169"/>
      <c r="M398" s="17" t="s">
        <v>2689</v>
      </c>
      <c r="N398" s="169"/>
      <c r="O398" s="169"/>
      <c r="P398" s="169"/>
      <c r="Q398" s="169"/>
      <c r="R398" s="169"/>
      <c r="S398" s="169"/>
      <c r="T398" s="169"/>
      <c r="U398" s="169"/>
      <c r="V398" s="169"/>
      <c r="W398" s="169"/>
      <c r="X398" s="169"/>
      <c r="Y398" s="169"/>
      <c r="Z398" s="169"/>
      <c r="AA398" s="169"/>
      <c r="AB398" s="169"/>
      <c r="AC398" s="169"/>
      <c r="AD398" s="169"/>
      <c r="AE398" s="169"/>
      <c r="AF398" s="169"/>
      <c r="AG398" s="169"/>
    </row>
    <row r="399" spans="1:33" x14ac:dyDescent="0.25">
      <c r="A399" s="17" t="s">
        <v>1403</v>
      </c>
      <c r="B399" s="169"/>
      <c r="C399" s="169"/>
      <c r="D399" s="197"/>
      <c r="E399" s="207"/>
      <c r="F399" s="169"/>
      <c r="G399" s="17" t="s">
        <v>2061</v>
      </c>
      <c r="H399" s="169"/>
      <c r="I399" s="169"/>
      <c r="J399" s="169"/>
      <c r="K399" s="197"/>
      <c r="L399" s="169"/>
      <c r="M399" s="17" t="s">
        <v>2690</v>
      </c>
      <c r="N399" s="169"/>
      <c r="O399" s="169"/>
      <c r="P399" s="169"/>
      <c r="Q399" s="169"/>
      <c r="R399" s="169"/>
      <c r="S399" s="169"/>
      <c r="T399" s="169"/>
      <c r="U399" s="169"/>
      <c r="V399" s="169"/>
      <c r="W399" s="169"/>
      <c r="X399" s="169"/>
      <c r="Y399" s="169"/>
      <c r="Z399" s="169"/>
      <c r="AA399" s="169"/>
      <c r="AB399" s="169"/>
      <c r="AC399" s="169"/>
      <c r="AD399" s="169"/>
      <c r="AE399" s="169"/>
      <c r="AF399" s="169"/>
      <c r="AG399" s="169"/>
    </row>
    <row r="400" spans="1:33" x14ac:dyDescent="0.25">
      <c r="A400" s="17" t="s">
        <v>1404</v>
      </c>
      <c r="B400" s="169"/>
      <c r="C400" s="169"/>
      <c r="D400" s="197"/>
      <c r="E400" s="207"/>
      <c r="F400" s="169"/>
      <c r="G400" s="17" t="s">
        <v>2062</v>
      </c>
      <c r="H400" s="169"/>
      <c r="I400" s="169"/>
      <c r="J400" s="169"/>
      <c r="K400" s="197"/>
      <c r="L400" s="169"/>
      <c r="M400" s="17" t="s">
        <v>2691</v>
      </c>
      <c r="N400" s="169"/>
      <c r="O400" s="169"/>
      <c r="P400" s="169"/>
      <c r="Q400" s="169"/>
      <c r="R400" s="169"/>
      <c r="S400" s="169"/>
      <c r="T400" s="169"/>
      <c r="U400" s="169"/>
      <c r="V400" s="169"/>
      <c r="W400" s="169"/>
      <c r="X400" s="169"/>
      <c r="Y400" s="169"/>
      <c r="Z400" s="169"/>
      <c r="AA400" s="169"/>
      <c r="AB400" s="169"/>
      <c r="AC400" s="169"/>
      <c r="AD400" s="169"/>
      <c r="AE400" s="169"/>
      <c r="AF400" s="169"/>
      <c r="AG400" s="169"/>
    </row>
    <row r="401" spans="1:33" x14ac:dyDescent="0.25">
      <c r="A401" s="439" t="s">
        <v>1405</v>
      </c>
      <c r="B401" s="440"/>
      <c r="C401" s="169"/>
      <c r="D401" s="197"/>
      <c r="E401" s="207"/>
      <c r="F401" s="169"/>
      <c r="G401" s="17" t="s">
        <v>2050</v>
      </c>
      <c r="H401" s="169"/>
      <c r="I401" s="169"/>
      <c r="J401" s="169"/>
      <c r="K401" s="197"/>
      <c r="L401" s="169"/>
      <c r="M401" s="17" t="s">
        <v>2692</v>
      </c>
      <c r="N401" s="169"/>
      <c r="O401" s="169"/>
      <c r="P401" s="169"/>
      <c r="Q401" s="169"/>
      <c r="R401" s="169"/>
      <c r="S401" s="169"/>
      <c r="T401" s="169"/>
      <c r="U401" s="169"/>
      <c r="V401" s="169"/>
      <c r="W401" s="169"/>
      <c r="X401" s="169"/>
      <c r="Y401" s="169"/>
      <c r="Z401" s="169"/>
      <c r="AA401" s="169"/>
      <c r="AB401" s="169"/>
      <c r="AC401" s="169"/>
      <c r="AD401" s="169"/>
      <c r="AE401" s="169"/>
      <c r="AF401" s="169"/>
      <c r="AG401" s="169"/>
    </row>
    <row r="402" spans="1:33" x14ac:dyDescent="0.25">
      <c r="A402" s="17" t="s">
        <v>1406</v>
      </c>
      <c r="B402" s="169"/>
      <c r="C402" s="169"/>
      <c r="D402" s="197"/>
      <c r="E402" s="207"/>
      <c r="F402" s="169"/>
      <c r="G402" s="17" t="s">
        <v>2063</v>
      </c>
      <c r="H402" s="169"/>
      <c r="I402" s="169"/>
      <c r="J402" s="169"/>
      <c r="K402" s="197"/>
      <c r="L402" s="169"/>
      <c r="M402" s="17" t="s">
        <v>2693</v>
      </c>
      <c r="N402" s="169"/>
      <c r="O402" s="169"/>
      <c r="P402" s="169"/>
      <c r="Q402" s="169"/>
      <c r="R402" s="169"/>
      <c r="S402" s="169"/>
      <c r="T402" s="169"/>
      <c r="U402" s="169"/>
      <c r="V402" s="169"/>
      <c r="W402" s="169"/>
      <c r="X402" s="169"/>
      <c r="Y402" s="169"/>
      <c r="Z402" s="169"/>
      <c r="AA402" s="169"/>
      <c r="AB402" s="169"/>
      <c r="AC402" s="169"/>
      <c r="AD402" s="169"/>
      <c r="AE402" s="169"/>
      <c r="AF402" s="169"/>
      <c r="AG402" s="169"/>
    </row>
    <row r="403" spans="1:33" x14ac:dyDescent="0.25">
      <c r="A403" s="17" t="s">
        <v>1407</v>
      </c>
      <c r="B403" s="169"/>
      <c r="C403" s="169"/>
      <c r="D403" s="197"/>
      <c r="E403" s="207"/>
      <c r="F403" s="169"/>
      <c r="G403" s="17" t="s">
        <v>2064</v>
      </c>
      <c r="H403" s="169"/>
      <c r="I403" s="169"/>
      <c r="J403" s="169"/>
      <c r="K403" s="197"/>
      <c r="L403" s="169"/>
      <c r="M403" s="17" t="s">
        <v>2685</v>
      </c>
      <c r="N403" s="169"/>
      <c r="O403" s="169"/>
      <c r="P403" s="169"/>
      <c r="Q403" s="169"/>
      <c r="R403" s="169"/>
      <c r="S403" s="169"/>
      <c r="T403" s="169"/>
      <c r="U403" s="169"/>
      <c r="V403" s="169"/>
      <c r="W403" s="169"/>
      <c r="X403" s="169"/>
      <c r="Y403" s="169"/>
      <c r="Z403" s="169"/>
      <c r="AA403" s="169"/>
      <c r="AB403" s="169"/>
      <c r="AC403" s="169"/>
      <c r="AD403" s="169"/>
      <c r="AE403" s="169"/>
      <c r="AF403" s="169"/>
      <c r="AG403" s="169"/>
    </row>
    <row r="404" spans="1:33" x14ac:dyDescent="0.25">
      <c r="A404" s="17" t="s">
        <v>1408</v>
      </c>
      <c r="B404" s="169"/>
      <c r="C404" s="169"/>
      <c r="D404" s="197"/>
      <c r="E404" s="207"/>
      <c r="F404" s="169"/>
      <c r="G404" s="17" t="s">
        <v>2065</v>
      </c>
      <c r="H404" s="169"/>
      <c r="I404" s="169"/>
      <c r="J404" s="169"/>
      <c r="K404" s="197"/>
      <c r="L404" s="169"/>
      <c r="M404" s="17" t="s">
        <v>2694</v>
      </c>
      <c r="N404" s="169"/>
      <c r="O404" s="169"/>
      <c r="P404" s="169"/>
      <c r="Q404" s="169"/>
      <c r="R404" s="169"/>
      <c r="S404" s="169"/>
      <c r="T404" s="169"/>
      <c r="U404" s="169"/>
      <c r="V404" s="169"/>
      <c r="W404" s="169"/>
      <c r="X404" s="169"/>
      <c r="Y404" s="169"/>
      <c r="Z404" s="169"/>
      <c r="AA404" s="169"/>
      <c r="AB404" s="169"/>
      <c r="AC404" s="169"/>
      <c r="AD404" s="169"/>
      <c r="AE404" s="169"/>
      <c r="AF404" s="169"/>
      <c r="AG404" s="169"/>
    </row>
    <row r="405" spans="1:33" x14ac:dyDescent="0.25">
      <c r="A405" s="439" t="s">
        <v>1409</v>
      </c>
      <c r="B405" s="440"/>
      <c r="C405" s="169"/>
      <c r="D405" s="197"/>
      <c r="E405" s="207"/>
      <c r="F405" s="169"/>
      <c r="G405" s="17" t="s">
        <v>2066</v>
      </c>
      <c r="H405" s="169"/>
      <c r="I405" s="169"/>
      <c r="J405" s="169"/>
      <c r="K405" s="197"/>
      <c r="L405" s="169"/>
      <c r="M405" s="17" t="s">
        <v>2695</v>
      </c>
      <c r="N405" s="169"/>
      <c r="O405" s="169"/>
      <c r="P405" s="169"/>
      <c r="Q405" s="169"/>
      <c r="R405" s="169"/>
      <c r="S405" s="169"/>
      <c r="T405" s="169"/>
      <c r="U405" s="169"/>
      <c r="V405" s="169"/>
      <c r="W405" s="169"/>
      <c r="X405" s="169"/>
      <c r="Y405" s="169"/>
      <c r="Z405" s="169"/>
      <c r="AA405" s="169"/>
      <c r="AB405" s="169"/>
      <c r="AC405" s="169"/>
      <c r="AD405" s="169"/>
      <c r="AE405" s="169"/>
      <c r="AF405" s="169"/>
      <c r="AG405" s="169"/>
    </row>
    <row r="406" spans="1:33" x14ac:dyDescent="0.25">
      <c r="A406" s="17" t="s">
        <v>1410</v>
      </c>
      <c r="B406" s="169"/>
      <c r="C406" s="169"/>
      <c r="D406" s="197"/>
      <c r="E406" s="207"/>
      <c r="F406" s="169"/>
      <c r="G406" s="17" t="s">
        <v>2067</v>
      </c>
      <c r="H406" s="169"/>
      <c r="I406" s="169"/>
      <c r="J406" s="169"/>
      <c r="K406" s="197"/>
      <c r="L406" s="169"/>
      <c r="M406" s="17" t="s">
        <v>2696</v>
      </c>
      <c r="N406" s="169"/>
      <c r="O406" s="169"/>
      <c r="P406" s="169"/>
      <c r="Q406" s="169"/>
      <c r="R406" s="169"/>
      <c r="S406" s="169"/>
      <c r="T406" s="169"/>
      <c r="U406" s="169"/>
      <c r="V406" s="169"/>
      <c r="W406" s="169"/>
      <c r="X406" s="169"/>
      <c r="Y406" s="169"/>
      <c r="Z406" s="169"/>
      <c r="AA406" s="169"/>
      <c r="AB406" s="169"/>
      <c r="AC406" s="169"/>
      <c r="AD406" s="169"/>
      <c r="AE406" s="169"/>
      <c r="AF406" s="169"/>
      <c r="AG406" s="169"/>
    </row>
    <row r="407" spans="1:33" x14ac:dyDescent="0.25">
      <c r="A407" s="439" t="s">
        <v>1397</v>
      </c>
      <c r="B407" s="440"/>
      <c r="C407" s="169"/>
      <c r="D407" s="197"/>
      <c r="E407" s="207"/>
      <c r="F407" s="169"/>
      <c r="G407" s="17" t="s">
        <v>2066</v>
      </c>
      <c r="H407" s="169"/>
      <c r="I407" s="169"/>
      <c r="J407" s="169"/>
      <c r="K407" s="197"/>
      <c r="L407" s="169"/>
      <c r="M407" s="17" t="s">
        <v>2697</v>
      </c>
      <c r="N407" s="169"/>
      <c r="O407" s="169"/>
      <c r="P407" s="169"/>
      <c r="Q407" s="169"/>
      <c r="R407" s="169"/>
      <c r="S407" s="169"/>
      <c r="T407" s="169"/>
      <c r="U407" s="169"/>
      <c r="V407" s="169"/>
      <c r="W407" s="169"/>
      <c r="X407" s="169"/>
      <c r="Y407" s="169"/>
      <c r="Z407" s="169"/>
      <c r="AA407" s="169"/>
      <c r="AB407" s="169"/>
      <c r="AC407" s="169"/>
      <c r="AD407" s="169"/>
      <c r="AE407" s="169"/>
      <c r="AF407" s="169"/>
      <c r="AG407" s="169"/>
    </row>
    <row r="408" spans="1:33" x14ac:dyDescent="0.25">
      <c r="A408" s="439" t="s">
        <v>1411</v>
      </c>
      <c r="B408" s="440"/>
      <c r="C408" s="169"/>
      <c r="D408" s="197"/>
      <c r="E408" s="207"/>
      <c r="F408" s="169"/>
      <c r="G408" s="17" t="s">
        <v>2068</v>
      </c>
      <c r="H408" s="169"/>
      <c r="I408" s="169"/>
      <c r="J408" s="169"/>
      <c r="K408" s="197"/>
      <c r="L408" s="169"/>
      <c r="M408" s="17" t="s">
        <v>2698</v>
      </c>
      <c r="N408" s="169"/>
      <c r="O408" s="169"/>
      <c r="P408" s="169"/>
      <c r="Q408" s="169"/>
      <c r="R408" s="169"/>
      <c r="S408" s="169"/>
      <c r="T408" s="169"/>
      <c r="U408" s="169"/>
      <c r="V408" s="169"/>
      <c r="W408" s="169"/>
      <c r="X408" s="169"/>
      <c r="Y408" s="169"/>
      <c r="Z408" s="169"/>
      <c r="AA408" s="169"/>
      <c r="AB408" s="169"/>
      <c r="AC408" s="169"/>
      <c r="AD408" s="169"/>
      <c r="AE408" s="169"/>
      <c r="AF408" s="169"/>
      <c r="AG408" s="169"/>
    </row>
    <row r="409" spans="1:33" x14ac:dyDescent="0.25">
      <c r="A409" s="17" t="s">
        <v>1412</v>
      </c>
      <c r="B409" s="169"/>
      <c r="C409" s="169"/>
      <c r="D409" s="197"/>
      <c r="E409" s="207"/>
      <c r="F409" s="169"/>
      <c r="G409" s="17" t="s">
        <v>2069</v>
      </c>
      <c r="H409" s="169"/>
      <c r="I409" s="169"/>
      <c r="J409" s="169"/>
      <c r="K409" s="197"/>
      <c r="L409" s="169"/>
      <c r="M409" s="17" t="s">
        <v>2699</v>
      </c>
      <c r="N409" s="169"/>
      <c r="O409" s="169"/>
      <c r="P409" s="169"/>
      <c r="Q409" s="169"/>
      <c r="R409" s="169"/>
      <c r="S409" s="169"/>
      <c r="T409" s="169"/>
      <c r="U409" s="169"/>
      <c r="V409" s="169"/>
      <c r="W409" s="169"/>
      <c r="X409" s="169"/>
      <c r="Y409" s="169"/>
      <c r="Z409" s="169"/>
      <c r="AA409" s="169"/>
      <c r="AB409" s="169"/>
      <c r="AC409" s="169"/>
      <c r="AD409" s="169"/>
      <c r="AE409" s="169"/>
      <c r="AF409" s="169"/>
      <c r="AG409" s="169"/>
    </row>
    <row r="410" spans="1:33" x14ac:dyDescent="0.25">
      <c r="A410" s="439" t="s">
        <v>1413</v>
      </c>
      <c r="B410" s="440"/>
      <c r="C410" s="169"/>
      <c r="D410" s="197"/>
      <c r="E410" s="207"/>
      <c r="F410" s="169"/>
      <c r="G410" s="17" t="s">
        <v>2061</v>
      </c>
      <c r="H410" s="169"/>
      <c r="I410" s="169"/>
      <c r="J410" s="169"/>
      <c r="K410" s="197"/>
      <c r="L410" s="169"/>
      <c r="M410" s="17" t="s">
        <v>2680</v>
      </c>
      <c r="N410" s="169"/>
      <c r="O410" s="169"/>
      <c r="P410" s="169"/>
      <c r="Q410" s="169"/>
      <c r="R410" s="169"/>
      <c r="S410" s="169"/>
      <c r="T410" s="169"/>
      <c r="U410" s="169"/>
      <c r="V410" s="169"/>
      <c r="W410" s="169"/>
      <c r="X410" s="169"/>
      <c r="Y410" s="169"/>
      <c r="Z410" s="169"/>
      <c r="AA410" s="169"/>
      <c r="AB410" s="169"/>
      <c r="AC410" s="169"/>
      <c r="AD410" s="169"/>
      <c r="AE410" s="169"/>
      <c r="AF410" s="169"/>
      <c r="AG410" s="169"/>
    </row>
    <row r="411" spans="1:33" x14ac:dyDescent="0.25">
      <c r="A411" s="17" t="s">
        <v>1403</v>
      </c>
      <c r="B411" s="169"/>
      <c r="C411" s="169"/>
      <c r="D411" s="197"/>
      <c r="E411" s="207"/>
      <c r="F411" s="169"/>
      <c r="G411" s="17" t="s">
        <v>2070</v>
      </c>
      <c r="H411" s="169"/>
      <c r="I411" s="169"/>
      <c r="J411" s="169"/>
      <c r="K411" s="197"/>
      <c r="L411" s="169"/>
      <c r="M411" s="17" t="s">
        <v>2675</v>
      </c>
      <c r="N411" s="169"/>
      <c r="O411" s="169"/>
      <c r="P411" s="169"/>
      <c r="Q411" s="169"/>
      <c r="R411" s="169"/>
      <c r="S411" s="169"/>
      <c r="T411" s="169"/>
      <c r="U411" s="169"/>
      <c r="V411" s="169"/>
      <c r="W411" s="169"/>
      <c r="X411" s="169"/>
      <c r="Y411" s="169"/>
      <c r="Z411" s="169"/>
      <c r="AA411" s="169"/>
      <c r="AB411" s="169"/>
      <c r="AC411" s="169"/>
      <c r="AD411" s="169"/>
      <c r="AE411" s="169"/>
      <c r="AF411" s="169"/>
      <c r="AG411" s="169"/>
    </row>
    <row r="412" spans="1:33" x14ac:dyDescent="0.25">
      <c r="A412" s="17" t="s">
        <v>1414</v>
      </c>
      <c r="B412" s="169"/>
      <c r="C412" s="169"/>
      <c r="D412" s="197"/>
      <c r="E412" s="207"/>
      <c r="F412" s="169"/>
      <c r="G412" s="17" t="s">
        <v>2071</v>
      </c>
      <c r="H412" s="169"/>
      <c r="I412" s="169"/>
      <c r="J412" s="169"/>
      <c r="K412" s="197"/>
      <c r="L412" s="169"/>
      <c r="M412" s="17" t="s">
        <v>2700</v>
      </c>
      <c r="N412" s="169"/>
      <c r="O412" s="169"/>
      <c r="P412" s="169"/>
      <c r="Q412" s="169"/>
      <c r="R412" s="169"/>
      <c r="S412" s="169"/>
      <c r="T412" s="169"/>
      <c r="U412" s="169"/>
      <c r="V412" s="169"/>
      <c r="W412" s="169"/>
      <c r="X412" s="169"/>
      <c r="Y412" s="169"/>
      <c r="Z412" s="169"/>
      <c r="AA412" s="169"/>
      <c r="AB412" s="169"/>
      <c r="AC412" s="169"/>
      <c r="AD412" s="169"/>
      <c r="AE412" s="169"/>
      <c r="AF412" s="169"/>
      <c r="AG412" s="169"/>
    </row>
    <row r="413" spans="1:33" x14ac:dyDescent="0.25">
      <c r="A413" s="17" t="s">
        <v>1415</v>
      </c>
      <c r="B413" s="169"/>
      <c r="C413" s="169"/>
      <c r="D413" s="197"/>
      <c r="E413" s="207"/>
      <c r="F413" s="169"/>
      <c r="G413" s="17" t="s">
        <v>2072</v>
      </c>
      <c r="H413" s="169"/>
      <c r="I413" s="169"/>
      <c r="J413" s="169"/>
      <c r="K413" s="197"/>
      <c r="L413" s="169"/>
      <c r="M413" s="17" t="s">
        <v>2701</v>
      </c>
      <c r="N413" s="169"/>
      <c r="O413" s="169"/>
      <c r="P413" s="169"/>
      <c r="Q413" s="169"/>
      <c r="R413" s="169"/>
      <c r="S413" s="169"/>
      <c r="T413" s="169"/>
      <c r="U413" s="169"/>
      <c r="V413" s="169"/>
      <c r="W413" s="169"/>
      <c r="X413" s="169"/>
      <c r="Y413" s="169"/>
      <c r="Z413" s="169"/>
      <c r="AA413" s="169"/>
      <c r="AB413" s="169"/>
      <c r="AC413" s="169"/>
      <c r="AD413" s="169"/>
      <c r="AE413" s="169"/>
      <c r="AF413" s="169"/>
      <c r="AG413" s="169"/>
    </row>
    <row r="414" spans="1:33" x14ac:dyDescent="0.25">
      <c r="A414" s="17" t="s">
        <v>1416</v>
      </c>
      <c r="B414" s="169"/>
      <c r="C414" s="169"/>
      <c r="D414" s="197"/>
      <c r="E414" s="207"/>
      <c r="F414" s="169"/>
      <c r="G414" s="17" t="s">
        <v>2061</v>
      </c>
      <c r="H414" s="169"/>
      <c r="I414" s="169"/>
      <c r="J414" s="169"/>
      <c r="K414" s="197"/>
      <c r="L414" s="169"/>
      <c r="M414" s="17" t="s">
        <v>2072</v>
      </c>
      <c r="N414" s="169"/>
      <c r="O414" s="169"/>
      <c r="P414" s="169"/>
      <c r="Q414" s="169"/>
      <c r="R414" s="169"/>
      <c r="S414" s="169"/>
      <c r="T414" s="169"/>
      <c r="U414" s="169"/>
      <c r="V414" s="169"/>
      <c r="W414" s="169"/>
      <c r="X414" s="169"/>
      <c r="Y414" s="169"/>
      <c r="Z414" s="169"/>
      <c r="AA414" s="169"/>
      <c r="AB414" s="169"/>
      <c r="AC414" s="169"/>
      <c r="AD414" s="169"/>
      <c r="AE414" s="169"/>
      <c r="AF414" s="169"/>
      <c r="AG414" s="169"/>
    </row>
    <row r="415" spans="1:33" x14ac:dyDescent="0.25">
      <c r="A415" s="439" t="s">
        <v>1395</v>
      </c>
      <c r="B415" s="440"/>
      <c r="C415" s="169"/>
      <c r="D415" s="197"/>
      <c r="E415" s="207"/>
      <c r="F415" s="169"/>
      <c r="G415" s="17" t="s">
        <v>2073</v>
      </c>
      <c r="H415" s="169"/>
      <c r="I415" s="169"/>
      <c r="J415" s="169"/>
      <c r="K415" s="197"/>
      <c r="L415" s="169"/>
      <c r="M415" s="17" t="s">
        <v>2702</v>
      </c>
      <c r="N415" s="169"/>
      <c r="O415" s="169"/>
      <c r="P415" s="169"/>
      <c r="Q415" s="169"/>
      <c r="R415" s="169"/>
      <c r="S415" s="169"/>
      <c r="T415" s="169"/>
      <c r="U415" s="169"/>
      <c r="V415" s="169"/>
      <c r="W415" s="169"/>
      <c r="X415" s="169"/>
      <c r="Y415" s="169"/>
      <c r="Z415" s="169"/>
      <c r="AA415" s="169"/>
      <c r="AB415" s="169"/>
      <c r="AC415" s="169"/>
      <c r="AD415" s="169"/>
      <c r="AE415" s="169"/>
      <c r="AF415" s="169"/>
      <c r="AG415" s="169"/>
    </row>
    <row r="416" spans="1:33" x14ac:dyDescent="0.25">
      <c r="A416" s="439" t="s">
        <v>1413</v>
      </c>
      <c r="B416" s="440"/>
      <c r="C416" s="169"/>
      <c r="D416" s="197"/>
      <c r="E416" s="207"/>
      <c r="F416" s="169"/>
      <c r="G416" s="17" t="s">
        <v>2067</v>
      </c>
      <c r="H416" s="169"/>
      <c r="I416" s="169"/>
      <c r="J416" s="169"/>
      <c r="K416" s="197"/>
      <c r="L416" s="169"/>
      <c r="M416" s="17" t="s">
        <v>2703</v>
      </c>
      <c r="N416" s="169"/>
      <c r="O416" s="169"/>
      <c r="P416" s="169"/>
      <c r="Q416" s="169"/>
      <c r="R416" s="169"/>
      <c r="S416" s="169"/>
      <c r="T416" s="169"/>
      <c r="U416" s="169"/>
      <c r="V416" s="169"/>
      <c r="W416" s="169"/>
      <c r="X416" s="169"/>
      <c r="Y416" s="169"/>
      <c r="Z416" s="169"/>
      <c r="AA416" s="169"/>
      <c r="AB416" s="169"/>
      <c r="AC416" s="169"/>
      <c r="AD416" s="169"/>
      <c r="AE416" s="169"/>
      <c r="AF416" s="169"/>
      <c r="AG416" s="169"/>
    </row>
    <row r="417" spans="1:33" x14ac:dyDescent="0.25">
      <c r="A417" s="17" t="s">
        <v>1417</v>
      </c>
      <c r="B417" s="169"/>
      <c r="C417" s="169"/>
      <c r="D417" s="197"/>
      <c r="E417" s="207"/>
      <c r="F417" s="169"/>
      <c r="G417" s="17" t="s">
        <v>2072</v>
      </c>
      <c r="H417" s="169"/>
      <c r="I417" s="169"/>
      <c r="J417" s="169"/>
      <c r="K417" s="197"/>
      <c r="L417" s="169"/>
      <c r="M417" s="17" t="s">
        <v>2704</v>
      </c>
      <c r="N417" s="169"/>
      <c r="O417" s="169"/>
      <c r="P417" s="169"/>
      <c r="Q417" s="169"/>
      <c r="R417" s="169"/>
      <c r="S417" s="169"/>
      <c r="T417" s="169"/>
      <c r="U417" s="169"/>
      <c r="V417" s="169"/>
      <c r="W417" s="169"/>
      <c r="X417" s="169"/>
      <c r="Y417" s="169"/>
      <c r="Z417" s="169"/>
      <c r="AA417" s="169"/>
      <c r="AB417" s="169"/>
      <c r="AC417" s="169"/>
      <c r="AD417" s="169"/>
      <c r="AE417" s="169"/>
      <c r="AF417" s="169"/>
      <c r="AG417" s="169"/>
    </row>
    <row r="418" spans="1:33" x14ac:dyDescent="0.25">
      <c r="A418" s="17" t="s">
        <v>1418</v>
      </c>
      <c r="B418" s="169"/>
      <c r="C418" s="169"/>
      <c r="D418" s="197"/>
      <c r="E418" s="207"/>
      <c r="F418" s="169"/>
      <c r="G418" s="17" t="s">
        <v>2074</v>
      </c>
      <c r="H418" s="169"/>
      <c r="I418" s="169"/>
      <c r="J418" s="169"/>
      <c r="K418" s="197"/>
      <c r="L418" s="169"/>
      <c r="M418" s="17" t="s">
        <v>2705</v>
      </c>
      <c r="N418" s="169"/>
      <c r="O418" s="169"/>
      <c r="P418" s="169"/>
      <c r="Q418" s="169"/>
      <c r="R418" s="169"/>
      <c r="S418" s="169"/>
      <c r="T418" s="169"/>
      <c r="U418" s="169"/>
      <c r="V418" s="169"/>
      <c r="W418" s="169"/>
      <c r="X418" s="169"/>
      <c r="Y418" s="169"/>
      <c r="Z418" s="169"/>
      <c r="AA418" s="169"/>
      <c r="AB418" s="169"/>
      <c r="AC418" s="169"/>
      <c r="AD418" s="169"/>
      <c r="AE418" s="169"/>
      <c r="AF418" s="169"/>
      <c r="AG418" s="169"/>
    </row>
    <row r="419" spans="1:33" x14ac:dyDescent="0.25">
      <c r="A419" s="17" t="s">
        <v>1419</v>
      </c>
      <c r="B419" s="169"/>
      <c r="C419" s="169"/>
      <c r="D419" s="197"/>
      <c r="E419" s="207"/>
      <c r="F419" s="169"/>
      <c r="G419" s="17" t="s">
        <v>2074</v>
      </c>
      <c r="H419" s="169"/>
      <c r="I419" s="169"/>
      <c r="J419" s="169"/>
      <c r="K419" s="197"/>
      <c r="L419" s="169"/>
      <c r="M419" s="17" t="s">
        <v>2706</v>
      </c>
      <c r="N419" s="169"/>
      <c r="O419" s="169"/>
      <c r="P419" s="169"/>
      <c r="Q419" s="169"/>
      <c r="R419" s="169"/>
      <c r="S419" s="169"/>
      <c r="T419" s="169"/>
      <c r="U419" s="169"/>
      <c r="V419" s="169"/>
      <c r="W419" s="169"/>
      <c r="X419" s="169"/>
      <c r="Y419" s="169"/>
      <c r="Z419" s="169"/>
      <c r="AA419" s="169"/>
      <c r="AB419" s="169"/>
      <c r="AC419" s="169"/>
      <c r="AD419" s="169"/>
      <c r="AE419" s="169"/>
      <c r="AF419" s="169"/>
      <c r="AG419" s="169"/>
    </row>
    <row r="420" spans="1:33" x14ac:dyDescent="0.25">
      <c r="A420" s="439" t="s">
        <v>1420</v>
      </c>
      <c r="B420" s="440"/>
      <c r="C420" s="169"/>
      <c r="D420" s="197"/>
      <c r="E420" s="207"/>
      <c r="F420" s="169"/>
      <c r="G420" s="17" t="s">
        <v>2075</v>
      </c>
      <c r="H420" s="169"/>
      <c r="I420" s="169"/>
      <c r="J420" s="169"/>
      <c r="K420" s="197"/>
      <c r="L420" s="169"/>
      <c r="M420" s="17" t="s">
        <v>2707</v>
      </c>
      <c r="N420" s="169"/>
      <c r="O420" s="169"/>
      <c r="P420" s="169"/>
      <c r="Q420" s="169"/>
      <c r="R420" s="169"/>
      <c r="S420" s="169"/>
      <c r="T420" s="169"/>
      <c r="U420" s="169"/>
      <c r="V420" s="169"/>
      <c r="W420" s="169"/>
      <c r="X420" s="169"/>
      <c r="Y420" s="169"/>
      <c r="Z420" s="169"/>
      <c r="AA420" s="169"/>
      <c r="AB420" s="169"/>
      <c r="AC420" s="169"/>
      <c r="AD420" s="169"/>
      <c r="AE420" s="169"/>
      <c r="AF420" s="169"/>
      <c r="AG420" s="169"/>
    </row>
    <row r="421" spans="1:33" x14ac:dyDescent="0.25">
      <c r="A421" s="17" t="s">
        <v>1421</v>
      </c>
      <c r="B421" s="169"/>
      <c r="C421" s="169"/>
      <c r="D421" s="197"/>
      <c r="E421" s="207"/>
      <c r="F421" s="169"/>
      <c r="G421" s="17" t="s">
        <v>2076</v>
      </c>
      <c r="H421" s="169"/>
      <c r="I421" s="169"/>
      <c r="J421" s="169"/>
      <c r="K421" s="197"/>
      <c r="L421" s="169"/>
      <c r="M421" s="17" t="s">
        <v>2676</v>
      </c>
      <c r="N421" s="169"/>
      <c r="O421" s="169"/>
      <c r="P421" s="169"/>
      <c r="Q421" s="169"/>
      <c r="R421" s="169"/>
      <c r="S421" s="169"/>
      <c r="T421" s="169"/>
      <c r="U421" s="169"/>
      <c r="V421" s="169"/>
      <c r="W421" s="169"/>
      <c r="X421" s="169"/>
      <c r="Y421" s="169"/>
      <c r="Z421" s="169"/>
      <c r="AA421" s="169"/>
      <c r="AB421" s="169"/>
      <c r="AC421" s="169"/>
      <c r="AD421" s="169"/>
      <c r="AE421" s="169"/>
      <c r="AF421" s="169"/>
      <c r="AG421" s="169"/>
    </row>
    <row r="422" spans="1:33" x14ac:dyDescent="0.25">
      <c r="A422" s="17" t="s">
        <v>1422</v>
      </c>
      <c r="B422" s="169"/>
      <c r="C422" s="169"/>
      <c r="D422" s="197"/>
      <c r="E422" s="207"/>
      <c r="F422" s="169"/>
      <c r="G422" s="17" t="s">
        <v>2077</v>
      </c>
      <c r="H422" s="169"/>
      <c r="I422" s="169"/>
      <c r="J422" s="169"/>
      <c r="K422" s="197"/>
      <c r="L422" s="169"/>
      <c r="M422" s="17" t="s">
        <v>2708</v>
      </c>
      <c r="N422" s="169"/>
      <c r="O422" s="169"/>
      <c r="P422" s="169"/>
      <c r="Q422" s="169"/>
      <c r="R422" s="169"/>
      <c r="S422" s="169"/>
      <c r="T422" s="169"/>
      <c r="U422" s="169"/>
      <c r="V422" s="169"/>
      <c r="W422" s="169"/>
      <c r="X422" s="169"/>
      <c r="Y422" s="169"/>
      <c r="Z422" s="169"/>
      <c r="AA422" s="169"/>
      <c r="AB422" s="169"/>
      <c r="AC422" s="169"/>
      <c r="AD422" s="169"/>
      <c r="AE422" s="169"/>
      <c r="AF422" s="169"/>
      <c r="AG422" s="169"/>
    </row>
    <row r="423" spans="1:33" x14ac:dyDescent="0.25">
      <c r="A423" s="17" t="s">
        <v>1423</v>
      </c>
      <c r="B423" s="169"/>
      <c r="C423" s="169"/>
      <c r="D423" s="197"/>
      <c r="E423" s="207"/>
      <c r="F423" s="169"/>
      <c r="G423" s="17" t="s">
        <v>2078</v>
      </c>
      <c r="H423" s="169"/>
      <c r="I423" s="169"/>
      <c r="J423" s="169"/>
      <c r="K423" s="197"/>
      <c r="L423" s="169"/>
      <c r="M423" s="17" t="s">
        <v>2676</v>
      </c>
      <c r="N423" s="169"/>
      <c r="O423" s="169"/>
      <c r="P423" s="169"/>
      <c r="Q423" s="169"/>
      <c r="R423" s="169"/>
      <c r="S423" s="169"/>
      <c r="T423" s="169"/>
      <c r="U423" s="169"/>
      <c r="V423" s="169"/>
      <c r="W423" s="169"/>
      <c r="X423" s="169"/>
      <c r="Y423" s="169"/>
      <c r="Z423" s="169"/>
      <c r="AA423" s="169"/>
      <c r="AB423" s="169"/>
      <c r="AC423" s="169"/>
      <c r="AD423" s="169"/>
      <c r="AE423" s="169"/>
      <c r="AF423" s="169"/>
      <c r="AG423" s="169"/>
    </row>
    <row r="424" spans="1:33" x14ac:dyDescent="0.25">
      <c r="A424" s="17" t="s">
        <v>1424</v>
      </c>
      <c r="B424" s="169"/>
      <c r="C424" s="169"/>
      <c r="D424" s="197"/>
      <c r="E424" s="207"/>
      <c r="F424" s="169"/>
      <c r="G424" s="17" t="s">
        <v>2079</v>
      </c>
      <c r="H424" s="169"/>
      <c r="I424" s="169"/>
      <c r="J424" s="169"/>
      <c r="K424" s="197"/>
      <c r="L424" s="169"/>
      <c r="M424" s="17" t="s">
        <v>2690</v>
      </c>
      <c r="N424" s="169"/>
      <c r="O424" s="169"/>
      <c r="P424" s="169"/>
      <c r="Q424" s="169"/>
      <c r="R424" s="169"/>
      <c r="S424" s="169"/>
      <c r="T424" s="169"/>
      <c r="U424" s="169"/>
      <c r="V424" s="169"/>
      <c r="W424" s="169"/>
      <c r="X424" s="169"/>
      <c r="Y424" s="169"/>
      <c r="Z424" s="169"/>
      <c r="AA424" s="169"/>
      <c r="AB424" s="169"/>
      <c r="AC424" s="169"/>
      <c r="AD424" s="169"/>
      <c r="AE424" s="169"/>
      <c r="AF424" s="169"/>
      <c r="AG424" s="169"/>
    </row>
    <row r="425" spans="1:33" x14ac:dyDescent="0.25">
      <c r="A425" s="17" t="s">
        <v>1424</v>
      </c>
      <c r="B425" s="169"/>
      <c r="C425" s="169"/>
      <c r="D425" s="197"/>
      <c r="E425" s="207"/>
      <c r="F425" s="169"/>
      <c r="G425" s="17" t="s">
        <v>2080</v>
      </c>
      <c r="H425" s="169"/>
      <c r="I425" s="169"/>
      <c r="J425" s="169"/>
      <c r="K425" s="197"/>
      <c r="L425" s="169"/>
      <c r="M425" s="17" t="s">
        <v>2709</v>
      </c>
      <c r="N425" s="169"/>
      <c r="O425" s="169"/>
      <c r="P425" s="169"/>
      <c r="Q425" s="169"/>
      <c r="R425" s="169"/>
      <c r="S425" s="169"/>
      <c r="T425" s="169"/>
      <c r="U425" s="169"/>
      <c r="V425" s="169"/>
      <c r="W425" s="169"/>
      <c r="X425" s="169"/>
      <c r="Y425" s="169"/>
      <c r="Z425" s="169"/>
      <c r="AA425" s="169"/>
      <c r="AB425" s="169"/>
      <c r="AC425" s="169"/>
      <c r="AD425" s="169"/>
      <c r="AE425" s="169"/>
      <c r="AF425" s="169"/>
      <c r="AG425" s="169"/>
    </row>
    <row r="426" spans="1:33" x14ac:dyDescent="0.25">
      <c r="A426" s="17" t="s">
        <v>1425</v>
      </c>
      <c r="B426" s="169"/>
      <c r="C426" s="169"/>
      <c r="D426" s="197"/>
      <c r="E426" s="207"/>
      <c r="F426" s="169"/>
      <c r="G426" s="17" t="s">
        <v>2081</v>
      </c>
      <c r="H426" s="169"/>
      <c r="I426" s="169"/>
      <c r="J426" s="169"/>
      <c r="K426" s="197"/>
      <c r="L426" s="169"/>
      <c r="M426" s="17" t="s">
        <v>2710</v>
      </c>
      <c r="N426" s="169"/>
      <c r="O426" s="169"/>
      <c r="P426" s="169"/>
      <c r="Q426" s="169"/>
      <c r="R426" s="169"/>
      <c r="S426" s="169"/>
      <c r="T426" s="169"/>
      <c r="U426" s="169"/>
      <c r="V426" s="169"/>
      <c r="W426" s="169"/>
      <c r="X426" s="169"/>
      <c r="Y426" s="169"/>
      <c r="Z426" s="169"/>
      <c r="AA426" s="169"/>
      <c r="AB426" s="169"/>
      <c r="AC426" s="169"/>
      <c r="AD426" s="169"/>
      <c r="AE426" s="169"/>
      <c r="AF426" s="169"/>
      <c r="AG426" s="169"/>
    </row>
    <row r="427" spans="1:33" x14ac:dyDescent="0.25">
      <c r="A427" s="17" t="s">
        <v>1426</v>
      </c>
      <c r="B427" s="169"/>
      <c r="C427" s="169"/>
      <c r="D427" s="197"/>
      <c r="E427" s="207"/>
      <c r="F427" s="169"/>
      <c r="G427" s="17" t="s">
        <v>2078</v>
      </c>
      <c r="H427" s="169"/>
      <c r="I427" s="169"/>
      <c r="J427" s="169"/>
      <c r="K427" s="197"/>
      <c r="L427" s="169"/>
      <c r="M427" s="17" t="s">
        <v>2711</v>
      </c>
      <c r="N427" s="169"/>
      <c r="O427" s="169"/>
      <c r="P427" s="169"/>
      <c r="Q427" s="169"/>
      <c r="R427" s="169"/>
      <c r="S427" s="169"/>
      <c r="T427" s="169"/>
      <c r="U427" s="169"/>
      <c r="V427" s="169"/>
      <c r="W427" s="169"/>
      <c r="X427" s="169"/>
      <c r="Y427" s="169"/>
      <c r="Z427" s="169"/>
      <c r="AA427" s="169"/>
      <c r="AB427" s="169"/>
      <c r="AC427" s="169"/>
      <c r="AD427" s="169"/>
      <c r="AE427" s="169"/>
      <c r="AF427" s="169"/>
      <c r="AG427" s="169"/>
    </row>
    <row r="428" spans="1:33" x14ac:dyDescent="0.25">
      <c r="A428" s="17" t="s">
        <v>1427</v>
      </c>
      <c r="B428" s="169"/>
      <c r="C428" s="169"/>
      <c r="D428" s="197"/>
      <c r="E428" s="207"/>
      <c r="F428" s="169"/>
      <c r="G428" s="17" t="s">
        <v>2082</v>
      </c>
      <c r="H428" s="169"/>
      <c r="I428" s="169"/>
      <c r="J428" s="169"/>
      <c r="K428" s="197"/>
      <c r="L428" s="169"/>
      <c r="M428" s="17" t="s">
        <v>2712</v>
      </c>
      <c r="N428" s="169"/>
      <c r="O428" s="169"/>
      <c r="P428" s="169"/>
      <c r="Q428" s="169"/>
      <c r="R428" s="169"/>
      <c r="S428" s="169"/>
      <c r="T428" s="169"/>
      <c r="U428" s="169"/>
      <c r="V428" s="169"/>
      <c r="W428" s="169"/>
      <c r="X428" s="169"/>
      <c r="Y428" s="169"/>
      <c r="Z428" s="169"/>
      <c r="AA428" s="169"/>
      <c r="AB428" s="169"/>
      <c r="AC428" s="169"/>
      <c r="AD428" s="169"/>
      <c r="AE428" s="169"/>
      <c r="AF428" s="169"/>
      <c r="AG428" s="169"/>
    </row>
    <row r="429" spans="1:33" x14ac:dyDescent="0.25">
      <c r="A429" s="17" t="s">
        <v>1428</v>
      </c>
      <c r="B429" s="169"/>
      <c r="C429" s="169"/>
      <c r="D429" s="197"/>
      <c r="E429" s="207"/>
      <c r="F429" s="169"/>
      <c r="G429" s="17" t="s">
        <v>2083</v>
      </c>
      <c r="H429" s="169"/>
      <c r="I429" s="169"/>
      <c r="J429" s="169"/>
      <c r="K429" s="197"/>
      <c r="L429" s="169"/>
      <c r="M429" s="17" t="s">
        <v>2713</v>
      </c>
      <c r="N429" s="169"/>
      <c r="O429" s="169"/>
      <c r="P429" s="169"/>
      <c r="Q429" s="169"/>
      <c r="R429" s="169"/>
      <c r="S429" s="169"/>
      <c r="T429" s="169"/>
      <c r="U429" s="169"/>
      <c r="V429" s="169"/>
      <c r="W429" s="169"/>
      <c r="X429" s="169"/>
      <c r="Y429" s="169"/>
      <c r="Z429" s="169"/>
      <c r="AA429" s="169"/>
      <c r="AB429" s="169"/>
      <c r="AC429" s="169"/>
      <c r="AD429" s="169"/>
      <c r="AE429" s="169"/>
      <c r="AF429" s="169"/>
      <c r="AG429" s="169"/>
    </row>
    <row r="430" spans="1:33" x14ac:dyDescent="0.25">
      <c r="A430" s="17" t="s">
        <v>1429</v>
      </c>
      <c r="B430" s="169"/>
      <c r="C430" s="169"/>
      <c r="D430" s="197"/>
      <c r="E430" s="207"/>
      <c r="F430" s="169"/>
      <c r="G430" s="17" t="s">
        <v>2082</v>
      </c>
      <c r="H430" s="169"/>
      <c r="I430" s="169"/>
      <c r="J430" s="169"/>
      <c r="K430" s="197"/>
      <c r="L430" s="169"/>
      <c r="M430" s="17" t="s">
        <v>2714</v>
      </c>
      <c r="N430" s="169"/>
      <c r="O430" s="169"/>
      <c r="P430" s="169"/>
      <c r="Q430" s="169"/>
      <c r="R430" s="169"/>
      <c r="S430" s="169"/>
      <c r="T430" s="169"/>
      <c r="U430" s="169"/>
      <c r="V430" s="169"/>
      <c r="W430" s="169"/>
      <c r="X430" s="169"/>
      <c r="Y430" s="169"/>
      <c r="Z430" s="169"/>
      <c r="AA430" s="169"/>
      <c r="AB430" s="169"/>
      <c r="AC430" s="169"/>
      <c r="AD430" s="169"/>
      <c r="AE430" s="169"/>
      <c r="AF430" s="169"/>
      <c r="AG430" s="169"/>
    </row>
    <row r="431" spans="1:33" x14ac:dyDescent="0.25">
      <c r="A431" s="17" t="s">
        <v>1430</v>
      </c>
      <c r="B431" s="169"/>
      <c r="C431" s="169"/>
      <c r="D431" s="197"/>
      <c r="E431" s="207"/>
      <c r="F431" s="169"/>
      <c r="G431" s="17" t="s">
        <v>2084</v>
      </c>
      <c r="H431" s="169"/>
      <c r="I431" s="169"/>
      <c r="J431" s="169"/>
      <c r="K431" s="197"/>
      <c r="L431" s="169"/>
      <c r="M431" s="17" t="s">
        <v>2069</v>
      </c>
      <c r="N431" s="169"/>
      <c r="O431" s="169"/>
      <c r="P431" s="169"/>
      <c r="Q431" s="169"/>
      <c r="R431" s="169"/>
      <c r="S431" s="169"/>
      <c r="T431" s="169"/>
      <c r="U431" s="169"/>
      <c r="V431" s="169"/>
      <c r="W431" s="169"/>
      <c r="X431" s="169"/>
      <c r="Y431" s="169"/>
      <c r="Z431" s="169"/>
      <c r="AA431" s="169"/>
      <c r="AB431" s="169"/>
      <c r="AC431" s="169"/>
      <c r="AD431" s="169"/>
      <c r="AE431" s="169"/>
      <c r="AF431" s="169"/>
      <c r="AG431" s="169"/>
    </row>
    <row r="432" spans="1:33" x14ac:dyDescent="0.25">
      <c r="A432" s="17" t="s">
        <v>1431</v>
      </c>
      <c r="B432" s="169"/>
      <c r="C432" s="169"/>
      <c r="D432" s="197"/>
      <c r="E432" s="207"/>
      <c r="F432" s="169"/>
      <c r="G432" s="17" t="s">
        <v>2085</v>
      </c>
      <c r="H432" s="169"/>
      <c r="I432" s="169"/>
      <c r="J432" s="169"/>
      <c r="K432" s="197"/>
      <c r="L432" s="169"/>
      <c r="M432" s="17" t="s">
        <v>2715</v>
      </c>
      <c r="N432" s="169"/>
      <c r="O432" s="169"/>
      <c r="P432" s="169"/>
      <c r="Q432" s="169"/>
      <c r="R432" s="169"/>
      <c r="S432" s="169"/>
      <c r="T432" s="169"/>
      <c r="U432" s="169"/>
      <c r="V432" s="169"/>
      <c r="W432" s="169"/>
      <c r="X432" s="169"/>
      <c r="Y432" s="169"/>
      <c r="Z432" s="169"/>
      <c r="AA432" s="169"/>
      <c r="AB432" s="169"/>
      <c r="AC432" s="169"/>
      <c r="AD432" s="169"/>
      <c r="AE432" s="169"/>
      <c r="AF432" s="169"/>
      <c r="AG432" s="169"/>
    </row>
    <row r="433" spans="1:33" x14ac:dyDescent="0.25">
      <c r="A433" s="17" t="s">
        <v>1432</v>
      </c>
      <c r="B433" s="169"/>
      <c r="C433" s="169"/>
      <c r="D433" s="197"/>
      <c r="E433" s="207"/>
      <c r="F433" s="169"/>
      <c r="G433" s="17" t="s">
        <v>2086</v>
      </c>
      <c r="H433" s="169"/>
      <c r="I433" s="169"/>
      <c r="J433" s="169"/>
      <c r="K433" s="197"/>
      <c r="L433" s="169"/>
      <c r="M433" s="17" t="s">
        <v>2716</v>
      </c>
      <c r="N433" s="169"/>
      <c r="O433" s="169"/>
      <c r="P433" s="169"/>
      <c r="Q433" s="169"/>
      <c r="R433" s="169"/>
      <c r="S433" s="169"/>
      <c r="T433" s="169"/>
      <c r="U433" s="169"/>
      <c r="V433" s="169"/>
      <c r="W433" s="169"/>
      <c r="X433" s="169"/>
      <c r="Y433" s="169"/>
      <c r="Z433" s="169"/>
      <c r="AA433" s="169"/>
      <c r="AB433" s="169"/>
      <c r="AC433" s="169"/>
      <c r="AD433" s="169"/>
      <c r="AE433" s="169"/>
      <c r="AF433" s="169"/>
      <c r="AG433" s="169"/>
    </row>
    <row r="434" spans="1:33" x14ac:dyDescent="0.25">
      <c r="A434" s="17" t="s">
        <v>1433</v>
      </c>
      <c r="B434" s="169"/>
      <c r="C434" s="169"/>
      <c r="D434" s="197"/>
      <c r="E434" s="207"/>
      <c r="F434" s="169"/>
      <c r="G434" s="17" t="s">
        <v>2087</v>
      </c>
      <c r="H434" s="169"/>
      <c r="I434" s="169"/>
      <c r="J434" s="169"/>
      <c r="K434" s="197"/>
      <c r="L434" s="169"/>
      <c r="M434" s="17" t="s">
        <v>2717</v>
      </c>
      <c r="N434" s="169"/>
      <c r="O434" s="169"/>
      <c r="P434" s="169"/>
      <c r="Q434" s="169"/>
      <c r="R434" s="169"/>
      <c r="S434" s="169"/>
      <c r="T434" s="169"/>
      <c r="U434" s="169"/>
      <c r="V434" s="169"/>
      <c r="W434" s="169"/>
      <c r="X434" s="169"/>
      <c r="Y434" s="169"/>
      <c r="Z434" s="169"/>
      <c r="AA434" s="169"/>
      <c r="AB434" s="169"/>
      <c r="AC434" s="169"/>
      <c r="AD434" s="169"/>
      <c r="AE434" s="169"/>
      <c r="AF434" s="169"/>
      <c r="AG434" s="169"/>
    </row>
    <row r="435" spans="1:33" x14ac:dyDescent="0.25">
      <c r="A435" s="17" t="s">
        <v>1431</v>
      </c>
      <c r="B435" s="169"/>
      <c r="C435" s="169"/>
      <c r="D435" s="197"/>
      <c r="E435" s="207"/>
      <c r="F435" s="169"/>
      <c r="G435" s="17" t="s">
        <v>2088</v>
      </c>
      <c r="H435" s="169"/>
      <c r="I435" s="169"/>
      <c r="J435" s="169"/>
      <c r="K435" s="197"/>
      <c r="L435" s="169"/>
      <c r="M435" s="17" t="s">
        <v>2718</v>
      </c>
      <c r="N435" s="169"/>
      <c r="O435" s="169"/>
      <c r="P435" s="169"/>
      <c r="Q435" s="169"/>
      <c r="R435" s="169"/>
      <c r="S435" s="169"/>
      <c r="T435" s="169"/>
      <c r="U435" s="169"/>
      <c r="V435" s="169"/>
      <c r="W435" s="169"/>
      <c r="X435" s="169"/>
      <c r="Y435" s="169"/>
      <c r="Z435" s="169"/>
      <c r="AA435" s="169"/>
      <c r="AB435" s="169"/>
      <c r="AC435" s="169"/>
      <c r="AD435" s="169"/>
      <c r="AE435" s="169"/>
      <c r="AF435" s="169"/>
      <c r="AG435" s="169"/>
    </row>
    <row r="436" spans="1:33" x14ac:dyDescent="0.25">
      <c r="A436" s="17" t="s">
        <v>1434</v>
      </c>
      <c r="B436" s="169"/>
      <c r="C436" s="169"/>
      <c r="D436" s="197"/>
      <c r="E436" s="207"/>
      <c r="F436" s="169"/>
      <c r="G436" s="17" t="s">
        <v>2089</v>
      </c>
      <c r="H436" s="169"/>
      <c r="I436" s="169"/>
      <c r="J436" s="169"/>
      <c r="K436" s="197"/>
      <c r="L436" s="169"/>
      <c r="M436" s="17" t="s">
        <v>2719</v>
      </c>
      <c r="N436" s="169"/>
      <c r="O436" s="169"/>
      <c r="P436" s="169"/>
      <c r="Q436" s="169"/>
      <c r="R436" s="169"/>
      <c r="S436" s="169"/>
      <c r="T436" s="169"/>
      <c r="U436" s="169"/>
      <c r="V436" s="169"/>
      <c r="W436" s="169"/>
      <c r="X436" s="169"/>
      <c r="Y436" s="169"/>
      <c r="Z436" s="169"/>
      <c r="AA436" s="169"/>
      <c r="AB436" s="169"/>
      <c r="AC436" s="169"/>
      <c r="AD436" s="169"/>
      <c r="AE436" s="169"/>
      <c r="AF436" s="169"/>
      <c r="AG436" s="169"/>
    </row>
    <row r="437" spans="1:33" x14ac:dyDescent="0.25">
      <c r="A437" s="17" t="s">
        <v>1435</v>
      </c>
      <c r="B437" s="169"/>
      <c r="C437" s="169"/>
      <c r="D437" s="197"/>
      <c r="E437" s="207"/>
      <c r="F437" s="169"/>
      <c r="G437" s="17" t="s">
        <v>2090</v>
      </c>
      <c r="H437" s="169"/>
      <c r="I437" s="169"/>
      <c r="J437" s="169"/>
      <c r="K437" s="197"/>
      <c r="L437" s="169"/>
      <c r="M437" s="17" t="s">
        <v>2720</v>
      </c>
      <c r="N437" s="169"/>
      <c r="O437" s="169"/>
      <c r="P437" s="169"/>
      <c r="Q437" s="169"/>
      <c r="R437" s="169"/>
      <c r="S437" s="169"/>
      <c r="T437" s="169"/>
      <c r="U437" s="169"/>
      <c r="V437" s="169"/>
      <c r="W437" s="169"/>
      <c r="X437" s="169"/>
      <c r="Y437" s="169"/>
      <c r="Z437" s="169"/>
      <c r="AA437" s="169"/>
      <c r="AB437" s="169"/>
      <c r="AC437" s="169"/>
      <c r="AD437" s="169"/>
      <c r="AE437" s="169"/>
      <c r="AF437" s="169"/>
      <c r="AG437" s="169"/>
    </row>
    <row r="438" spans="1:33" x14ac:dyDescent="0.25">
      <c r="A438" s="17" t="s">
        <v>1436</v>
      </c>
      <c r="B438" s="169"/>
      <c r="C438" s="169"/>
      <c r="D438" s="197"/>
      <c r="E438" s="207"/>
      <c r="F438" s="169"/>
      <c r="G438" s="17" t="s">
        <v>2091</v>
      </c>
      <c r="H438" s="169"/>
      <c r="I438" s="169"/>
      <c r="J438" s="169"/>
      <c r="K438" s="197"/>
      <c r="L438" s="169"/>
      <c r="M438" s="17" t="s">
        <v>2721</v>
      </c>
      <c r="N438" s="169"/>
      <c r="O438" s="169"/>
      <c r="P438" s="169"/>
      <c r="Q438" s="169"/>
      <c r="R438" s="169"/>
      <c r="S438" s="169"/>
      <c r="T438" s="169"/>
      <c r="U438" s="169"/>
      <c r="V438" s="169"/>
      <c r="W438" s="169"/>
      <c r="X438" s="169"/>
      <c r="Y438" s="169"/>
      <c r="Z438" s="169"/>
      <c r="AA438" s="169"/>
      <c r="AB438" s="169"/>
      <c r="AC438" s="169"/>
      <c r="AD438" s="169"/>
      <c r="AE438" s="169"/>
      <c r="AF438" s="169"/>
      <c r="AG438" s="169"/>
    </row>
    <row r="439" spans="1:33" x14ac:dyDescent="0.25">
      <c r="A439" s="17" t="s">
        <v>1437</v>
      </c>
      <c r="B439" s="169"/>
      <c r="C439" s="169"/>
      <c r="D439" s="197"/>
      <c r="E439" s="207"/>
      <c r="F439" s="169"/>
      <c r="G439" s="17" t="s">
        <v>2092</v>
      </c>
      <c r="H439" s="169"/>
      <c r="I439" s="169"/>
      <c r="J439" s="169"/>
      <c r="K439" s="197"/>
      <c r="L439" s="169"/>
      <c r="M439" s="17" t="s">
        <v>2722</v>
      </c>
      <c r="N439" s="169"/>
      <c r="O439" s="169"/>
      <c r="P439" s="169"/>
      <c r="Q439" s="169"/>
      <c r="R439" s="169"/>
      <c r="S439" s="169"/>
      <c r="T439" s="169"/>
      <c r="U439" s="169"/>
      <c r="V439" s="169"/>
      <c r="W439" s="169"/>
      <c r="X439" s="169"/>
      <c r="Y439" s="169"/>
      <c r="Z439" s="169"/>
      <c r="AA439" s="169"/>
      <c r="AB439" s="169"/>
      <c r="AC439" s="169"/>
      <c r="AD439" s="169"/>
      <c r="AE439" s="169"/>
      <c r="AF439" s="169"/>
      <c r="AG439" s="169"/>
    </row>
    <row r="440" spans="1:33" x14ac:dyDescent="0.25">
      <c r="A440" s="17" t="s">
        <v>1435</v>
      </c>
      <c r="B440" s="169"/>
      <c r="C440" s="169"/>
      <c r="D440" s="197"/>
      <c r="E440" s="207"/>
      <c r="F440" s="169"/>
      <c r="G440" s="17" t="s">
        <v>2093</v>
      </c>
      <c r="H440" s="169"/>
      <c r="I440" s="169"/>
      <c r="J440" s="169"/>
      <c r="K440" s="197"/>
      <c r="L440" s="169"/>
      <c r="M440" s="17" t="s">
        <v>2723</v>
      </c>
      <c r="N440" s="169"/>
      <c r="O440" s="169"/>
      <c r="P440" s="169"/>
      <c r="Q440" s="169"/>
      <c r="R440" s="169"/>
      <c r="S440" s="169"/>
      <c r="T440" s="169"/>
      <c r="U440" s="169"/>
      <c r="V440" s="169"/>
      <c r="W440" s="169"/>
      <c r="X440" s="169"/>
      <c r="Y440" s="169"/>
      <c r="Z440" s="169"/>
      <c r="AA440" s="169"/>
      <c r="AB440" s="169"/>
      <c r="AC440" s="169"/>
      <c r="AD440" s="169"/>
      <c r="AE440" s="169"/>
      <c r="AF440" s="169"/>
      <c r="AG440" s="169"/>
    </row>
    <row r="441" spans="1:33" x14ac:dyDescent="0.25">
      <c r="A441" s="17" t="s">
        <v>1438</v>
      </c>
      <c r="B441" s="169"/>
      <c r="C441" s="169"/>
      <c r="D441" s="197"/>
      <c r="E441" s="207"/>
      <c r="F441" s="169"/>
      <c r="G441" s="17" t="s">
        <v>2094</v>
      </c>
      <c r="H441" s="169"/>
      <c r="I441" s="169"/>
      <c r="J441" s="169"/>
      <c r="K441" s="197"/>
      <c r="L441" s="169"/>
      <c r="M441" s="17" t="s">
        <v>2724</v>
      </c>
      <c r="N441" s="169"/>
      <c r="O441" s="169"/>
      <c r="P441" s="169"/>
      <c r="Q441" s="169"/>
      <c r="R441" s="169"/>
      <c r="S441" s="169"/>
      <c r="T441" s="169"/>
      <c r="U441" s="169"/>
      <c r="V441" s="169"/>
      <c r="W441" s="169"/>
      <c r="X441" s="169"/>
      <c r="Y441" s="169"/>
      <c r="Z441" s="169"/>
      <c r="AA441" s="169"/>
      <c r="AB441" s="169"/>
      <c r="AC441" s="169"/>
      <c r="AD441" s="169"/>
      <c r="AE441" s="169"/>
      <c r="AF441" s="169"/>
      <c r="AG441" s="169"/>
    </row>
    <row r="442" spans="1:33" x14ac:dyDescent="0.25">
      <c r="A442" s="17" t="s">
        <v>1439</v>
      </c>
      <c r="B442" s="169"/>
      <c r="C442" s="169"/>
      <c r="D442" s="197"/>
      <c r="E442" s="207"/>
      <c r="F442" s="169"/>
      <c r="G442" s="17" t="s">
        <v>2095</v>
      </c>
      <c r="H442" s="169"/>
      <c r="I442" s="169"/>
      <c r="J442" s="169"/>
      <c r="K442" s="197"/>
      <c r="L442" s="169"/>
      <c r="M442" s="17" t="s">
        <v>2725</v>
      </c>
      <c r="N442" s="169"/>
      <c r="O442" s="169"/>
      <c r="P442" s="169"/>
      <c r="Q442" s="169"/>
      <c r="R442" s="169"/>
      <c r="S442" s="169"/>
      <c r="T442" s="169"/>
      <c r="U442" s="169"/>
      <c r="V442" s="169"/>
      <c r="W442" s="169"/>
      <c r="X442" s="169"/>
      <c r="Y442" s="169"/>
      <c r="Z442" s="169"/>
      <c r="AA442" s="169"/>
      <c r="AB442" s="169"/>
      <c r="AC442" s="169"/>
      <c r="AD442" s="169"/>
      <c r="AE442" s="169"/>
      <c r="AF442" s="169"/>
      <c r="AG442" s="169"/>
    </row>
    <row r="443" spans="1:33" x14ac:dyDescent="0.25">
      <c r="A443" s="17" t="s">
        <v>1440</v>
      </c>
      <c r="B443" s="169"/>
      <c r="C443" s="169"/>
      <c r="D443" s="197"/>
      <c r="E443" s="207"/>
      <c r="F443" s="169"/>
      <c r="G443" s="17" t="s">
        <v>2096</v>
      </c>
      <c r="H443" s="169"/>
      <c r="I443" s="169"/>
      <c r="J443" s="169"/>
      <c r="K443" s="197"/>
      <c r="L443" s="169"/>
      <c r="M443" s="17" t="s">
        <v>2726</v>
      </c>
      <c r="N443" s="169"/>
      <c r="O443" s="169"/>
      <c r="P443" s="169"/>
      <c r="Q443" s="169"/>
      <c r="R443" s="169"/>
      <c r="S443" s="169"/>
      <c r="T443" s="169"/>
      <c r="U443" s="169"/>
      <c r="V443" s="169"/>
      <c r="W443" s="169"/>
      <c r="X443" s="169"/>
      <c r="Y443" s="169"/>
      <c r="Z443" s="169"/>
      <c r="AA443" s="169"/>
      <c r="AB443" s="169"/>
      <c r="AC443" s="169"/>
      <c r="AD443" s="169"/>
      <c r="AE443" s="169"/>
      <c r="AF443" s="169"/>
      <c r="AG443" s="169"/>
    </row>
    <row r="444" spans="1:33" x14ac:dyDescent="0.25">
      <c r="A444" s="17" t="s">
        <v>1430</v>
      </c>
      <c r="B444" s="169"/>
      <c r="C444" s="169"/>
      <c r="D444" s="197"/>
      <c r="E444" s="207"/>
      <c r="F444" s="169"/>
      <c r="G444" s="17" t="s">
        <v>2097</v>
      </c>
      <c r="H444" s="169"/>
      <c r="I444" s="169"/>
      <c r="J444" s="169"/>
      <c r="K444" s="197"/>
      <c r="L444" s="169"/>
      <c r="M444" s="17" t="s">
        <v>2727</v>
      </c>
      <c r="N444" s="169"/>
      <c r="O444" s="169"/>
      <c r="P444" s="169"/>
      <c r="Q444" s="169"/>
      <c r="R444" s="169"/>
      <c r="S444" s="169"/>
      <c r="T444" s="169"/>
      <c r="U444" s="169"/>
      <c r="V444" s="169"/>
      <c r="W444" s="169"/>
      <c r="X444" s="169"/>
      <c r="Y444" s="169"/>
      <c r="Z444" s="169"/>
      <c r="AA444" s="169"/>
      <c r="AB444" s="169"/>
      <c r="AC444" s="169"/>
      <c r="AD444" s="169"/>
      <c r="AE444" s="169"/>
      <c r="AF444" s="169"/>
      <c r="AG444" s="169"/>
    </row>
    <row r="445" spans="1:33" x14ac:dyDescent="0.25">
      <c r="A445" s="17" t="s">
        <v>1441</v>
      </c>
      <c r="B445" s="169"/>
      <c r="C445" s="169"/>
      <c r="D445" s="197"/>
      <c r="E445" s="207"/>
      <c r="F445" s="169"/>
      <c r="G445" s="17" t="s">
        <v>2098</v>
      </c>
      <c r="H445" s="169"/>
      <c r="I445" s="169"/>
      <c r="J445" s="169"/>
      <c r="K445" s="197"/>
      <c r="L445" s="169"/>
      <c r="M445" s="17" t="s">
        <v>2728</v>
      </c>
      <c r="N445" s="169"/>
      <c r="O445" s="169"/>
      <c r="P445" s="169"/>
      <c r="Q445" s="169"/>
      <c r="R445" s="169"/>
      <c r="S445" s="169"/>
      <c r="T445" s="169"/>
      <c r="U445" s="169"/>
      <c r="V445" s="169"/>
      <c r="W445" s="169"/>
      <c r="X445" s="169"/>
      <c r="Y445" s="169"/>
      <c r="Z445" s="169"/>
      <c r="AA445" s="169"/>
      <c r="AB445" s="169"/>
      <c r="AC445" s="169"/>
      <c r="AD445" s="169"/>
      <c r="AE445" s="169"/>
      <c r="AF445" s="169"/>
      <c r="AG445" s="169"/>
    </row>
    <row r="446" spans="1:33" x14ac:dyDescent="0.25">
      <c r="A446" s="17" t="s">
        <v>1442</v>
      </c>
      <c r="B446" s="169"/>
      <c r="C446" s="169"/>
      <c r="D446" s="197"/>
      <c r="E446" s="207"/>
      <c r="F446" s="169"/>
      <c r="G446" s="17" t="s">
        <v>2099</v>
      </c>
      <c r="H446" s="169"/>
      <c r="I446" s="169"/>
      <c r="J446" s="169"/>
      <c r="K446" s="197"/>
      <c r="L446" s="169"/>
      <c r="M446" s="17" t="s">
        <v>2729</v>
      </c>
      <c r="N446" s="169"/>
      <c r="O446" s="169"/>
      <c r="P446" s="169"/>
      <c r="Q446" s="169"/>
      <c r="R446" s="169"/>
      <c r="S446" s="169"/>
      <c r="T446" s="169"/>
      <c r="U446" s="169"/>
      <c r="V446" s="169"/>
      <c r="W446" s="169"/>
      <c r="X446" s="169"/>
      <c r="Y446" s="169"/>
      <c r="Z446" s="169"/>
      <c r="AA446" s="169"/>
      <c r="AB446" s="169"/>
      <c r="AC446" s="169"/>
      <c r="AD446" s="169"/>
      <c r="AE446" s="169"/>
      <c r="AF446" s="169"/>
      <c r="AG446" s="169"/>
    </row>
    <row r="447" spans="1:33" x14ac:dyDescent="0.25">
      <c r="A447" s="17" t="s">
        <v>1443</v>
      </c>
      <c r="B447" s="169"/>
      <c r="C447" s="169"/>
      <c r="D447" s="197"/>
      <c r="E447" s="207"/>
      <c r="F447" s="169"/>
      <c r="G447" s="17" t="s">
        <v>2100</v>
      </c>
      <c r="H447" s="169"/>
      <c r="I447" s="169"/>
      <c r="J447" s="169"/>
      <c r="K447" s="197"/>
      <c r="L447" s="169"/>
      <c r="M447" s="17" t="s">
        <v>1435</v>
      </c>
      <c r="N447" s="169"/>
      <c r="O447" s="169"/>
      <c r="P447" s="169"/>
      <c r="Q447" s="169"/>
      <c r="R447" s="169"/>
      <c r="S447" s="169"/>
      <c r="T447" s="169"/>
      <c r="U447" s="169"/>
      <c r="V447" s="169"/>
      <c r="W447" s="169"/>
      <c r="X447" s="169"/>
      <c r="Y447" s="169"/>
      <c r="Z447" s="169"/>
      <c r="AA447" s="169"/>
      <c r="AB447" s="169"/>
      <c r="AC447" s="169"/>
      <c r="AD447" s="169"/>
      <c r="AE447" s="169"/>
      <c r="AF447" s="169"/>
      <c r="AG447" s="169"/>
    </row>
    <row r="448" spans="1:33" x14ac:dyDescent="0.25">
      <c r="A448" s="17" t="s">
        <v>1444</v>
      </c>
      <c r="B448" s="169"/>
      <c r="C448" s="169"/>
      <c r="D448" s="197"/>
      <c r="E448" s="207"/>
      <c r="F448" s="169"/>
      <c r="G448" s="17" t="s">
        <v>2100</v>
      </c>
      <c r="H448" s="169"/>
      <c r="I448" s="169"/>
      <c r="J448" s="169"/>
      <c r="K448" s="197"/>
      <c r="L448" s="169"/>
      <c r="M448" s="17" t="s">
        <v>2728</v>
      </c>
      <c r="N448" s="169"/>
      <c r="O448" s="169"/>
      <c r="P448" s="169"/>
      <c r="Q448" s="169"/>
      <c r="R448" s="169"/>
      <c r="S448" s="169"/>
      <c r="T448" s="169"/>
      <c r="U448" s="169"/>
      <c r="V448" s="169"/>
      <c r="W448" s="169"/>
      <c r="X448" s="169"/>
      <c r="Y448" s="169"/>
      <c r="Z448" s="169"/>
      <c r="AA448" s="169"/>
      <c r="AB448" s="169"/>
      <c r="AC448" s="169"/>
      <c r="AD448" s="169"/>
      <c r="AE448" s="169"/>
      <c r="AF448" s="169"/>
      <c r="AG448" s="169"/>
    </row>
    <row r="449" spans="1:33" x14ac:dyDescent="0.25">
      <c r="A449" s="17" t="s">
        <v>1445</v>
      </c>
      <c r="B449" s="169"/>
      <c r="C449" s="169"/>
      <c r="D449" s="197"/>
      <c r="E449" s="207"/>
      <c r="F449" s="169"/>
      <c r="G449" s="17" t="s">
        <v>2101</v>
      </c>
      <c r="H449" s="169"/>
      <c r="I449" s="169"/>
      <c r="J449" s="169"/>
      <c r="K449" s="197"/>
      <c r="L449" s="169"/>
      <c r="M449" s="17" t="s">
        <v>2730</v>
      </c>
      <c r="N449" s="169"/>
      <c r="O449" s="169"/>
      <c r="P449" s="169"/>
      <c r="Q449" s="169"/>
      <c r="R449" s="169"/>
      <c r="S449" s="169"/>
      <c r="T449" s="169"/>
      <c r="U449" s="169"/>
      <c r="V449" s="169"/>
      <c r="W449" s="169"/>
      <c r="X449" s="169"/>
      <c r="Y449" s="169"/>
      <c r="Z449" s="169"/>
      <c r="AA449" s="169"/>
      <c r="AB449" s="169"/>
      <c r="AC449" s="169"/>
      <c r="AD449" s="169"/>
      <c r="AE449" s="169"/>
      <c r="AF449" s="169"/>
      <c r="AG449" s="169"/>
    </row>
    <row r="450" spans="1:33" x14ac:dyDescent="0.25">
      <c r="A450" s="17" t="s">
        <v>1446</v>
      </c>
      <c r="B450" s="169"/>
      <c r="C450" s="169"/>
      <c r="D450" s="197"/>
      <c r="E450" s="207"/>
      <c r="F450" s="169"/>
      <c r="G450" s="17" t="s">
        <v>2102</v>
      </c>
      <c r="H450" s="169"/>
      <c r="I450" s="169"/>
      <c r="J450" s="169"/>
      <c r="K450" s="197"/>
      <c r="L450" s="169"/>
      <c r="M450" s="17" t="s">
        <v>2730</v>
      </c>
      <c r="N450" s="169"/>
      <c r="O450" s="169"/>
      <c r="P450" s="169"/>
      <c r="Q450" s="169"/>
      <c r="R450" s="169"/>
      <c r="S450" s="169"/>
      <c r="T450" s="169"/>
      <c r="U450" s="169"/>
      <c r="V450" s="169"/>
      <c r="W450" s="169"/>
      <c r="X450" s="169"/>
      <c r="Y450" s="169"/>
      <c r="Z450" s="169"/>
      <c r="AA450" s="169"/>
      <c r="AB450" s="169"/>
      <c r="AC450" s="169"/>
      <c r="AD450" s="169"/>
      <c r="AE450" s="169"/>
      <c r="AF450" s="169"/>
      <c r="AG450" s="169"/>
    </row>
    <row r="451" spans="1:33" x14ac:dyDescent="0.25">
      <c r="A451" s="17" t="s">
        <v>1447</v>
      </c>
      <c r="B451" s="169"/>
      <c r="C451" s="169"/>
      <c r="D451" s="197"/>
      <c r="E451" s="207"/>
      <c r="F451" s="169"/>
      <c r="G451" s="17" t="s">
        <v>1473</v>
      </c>
      <c r="H451" s="169"/>
      <c r="I451" s="169"/>
      <c r="J451" s="169"/>
      <c r="K451" s="197"/>
      <c r="L451" s="169"/>
      <c r="M451" s="17" t="s">
        <v>2731</v>
      </c>
      <c r="N451" s="169"/>
      <c r="O451" s="169"/>
      <c r="P451" s="169"/>
      <c r="Q451" s="169"/>
      <c r="R451" s="169"/>
      <c r="S451" s="169"/>
      <c r="T451" s="169"/>
      <c r="U451" s="169"/>
      <c r="V451" s="169"/>
      <c r="W451" s="169"/>
      <c r="X451" s="169"/>
      <c r="Y451" s="169"/>
      <c r="Z451" s="169"/>
      <c r="AA451" s="169"/>
      <c r="AB451" s="169"/>
      <c r="AC451" s="169"/>
      <c r="AD451" s="169"/>
      <c r="AE451" s="169"/>
      <c r="AF451" s="169"/>
      <c r="AG451" s="169"/>
    </row>
    <row r="452" spans="1:33" x14ac:dyDescent="0.25">
      <c r="A452" s="17" t="s">
        <v>1448</v>
      </c>
      <c r="B452" s="169"/>
      <c r="C452" s="169"/>
      <c r="D452" s="197"/>
      <c r="E452" s="207"/>
      <c r="F452" s="169"/>
      <c r="G452" s="17" t="s">
        <v>2103</v>
      </c>
      <c r="H452" s="169"/>
      <c r="I452" s="169"/>
      <c r="J452" s="169"/>
      <c r="K452" s="197"/>
      <c r="L452" s="169"/>
      <c r="M452" s="17" t="s">
        <v>2732</v>
      </c>
      <c r="N452" s="169"/>
      <c r="O452" s="169"/>
      <c r="P452" s="169"/>
      <c r="Q452" s="169"/>
      <c r="R452" s="169"/>
      <c r="S452" s="169"/>
      <c r="T452" s="169"/>
      <c r="U452" s="169"/>
      <c r="V452" s="169"/>
      <c r="W452" s="169"/>
      <c r="X452" s="169"/>
      <c r="Y452" s="169"/>
      <c r="Z452" s="169"/>
      <c r="AA452" s="169"/>
      <c r="AB452" s="169"/>
      <c r="AC452" s="169"/>
      <c r="AD452" s="169"/>
      <c r="AE452" s="169"/>
      <c r="AF452" s="169"/>
      <c r="AG452" s="169"/>
    </row>
    <row r="453" spans="1:33" x14ac:dyDescent="0.25">
      <c r="A453" s="17" t="s">
        <v>1449</v>
      </c>
      <c r="B453" s="169"/>
      <c r="C453" s="169"/>
      <c r="D453" s="197"/>
      <c r="E453" s="207"/>
      <c r="F453" s="169"/>
      <c r="G453" s="17" t="s">
        <v>2104</v>
      </c>
      <c r="H453" s="169"/>
      <c r="I453" s="169"/>
      <c r="J453" s="169"/>
      <c r="K453" s="197"/>
      <c r="L453" s="169"/>
      <c r="M453" s="17" t="s">
        <v>2733</v>
      </c>
      <c r="N453" s="169"/>
      <c r="O453" s="169"/>
      <c r="P453" s="169"/>
      <c r="Q453" s="169"/>
      <c r="R453" s="169"/>
      <c r="S453" s="169"/>
      <c r="T453" s="169"/>
      <c r="U453" s="169"/>
      <c r="V453" s="169"/>
      <c r="W453" s="169"/>
      <c r="X453" s="169"/>
      <c r="Y453" s="169"/>
      <c r="Z453" s="169"/>
      <c r="AA453" s="169"/>
      <c r="AB453" s="169"/>
      <c r="AC453" s="169"/>
      <c r="AD453" s="169"/>
      <c r="AE453" s="169"/>
      <c r="AF453" s="169"/>
      <c r="AG453" s="169"/>
    </row>
    <row r="454" spans="1:33" x14ac:dyDescent="0.25">
      <c r="A454" s="17" t="s">
        <v>1450</v>
      </c>
      <c r="B454" s="169"/>
      <c r="C454" s="169"/>
      <c r="D454" s="197"/>
      <c r="E454" s="207"/>
      <c r="F454" s="169"/>
      <c r="G454" s="17" t="s">
        <v>2105</v>
      </c>
      <c r="H454" s="169"/>
      <c r="I454" s="169"/>
      <c r="J454" s="169"/>
      <c r="K454" s="197"/>
      <c r="L454" s="169"/>
      <c r="M454" s="17" t="s">
        <v>2734</v>
      </c>
      <c r="N454" s="169"/>
      <c r="O454" s="169"/>
      <c r="P454" s="169"/>
      <c r="Q454" s="169"/>
      <c r="R454" s="169"/>
      <c r="S454" s="169"/>
      <c r="T454" s="169"/>
      <c r="U454" s="169"/>
      <c r="V454" s="169"/>
      <c r="W454" s="169"/>
      <c r="X454" s="169"/>
      <c r="Y454" s="169"/>
      <c r="Z454" s="169"/>
      <c r="AA454" s="169"/>
      <c r="AB454" s="169"/>
      <c r="AC454" s="169"/>
      <c r="AD454" s="169"/>
      <c r="AE454" s="169"/>
      <c r="AF454" s="169"/>
      <c r="AG454" s="169"/>
    </row>
    <row r="455" spans="1:33" x14ac:dyDescent="0.25">
      <c r="A455" s="17" t="s">
        <v>1451</v>
      </c>
      <c r="B455" s="169"/>
      <c r="C455" s="169"/>
      <c r="D455" s="197"/>
      <c r="E455" s="207"/>
      <c r="F455" s="169"/>
      <c r="G455" s="17" t="s">
        <v>2106</v>
      </c>
      <c r="H455" s="169"/>
      <c r="I455" s="169"/>
      <c r="J455" s="169"/>
      <c r="K455" s="197"/>
      <c r="L455" s="169"/>
      <c r="M455" s="17" t="s">
        <v>2735</v>
      </c>
      <c r="N455" s="169"/>
      <c r="O455" s="169"/>
      <c r="P455" s="169"/>
      <c r="Q455" s="169"/>
      <c r="R455" s="169"/>
      <c r="S455" s="169"/>
      <c r="T455" s="169"/>
      <c r="U455" s="169"/>
      <c r="V455" s="169"/>
      <c r="W455" s="169"/>
      <c r="X455" s="169"/>
      <c r="Y455" s="169"/>
      <c r="Z455" s="169"/>
      <c r="AA455" s="169"/>
      <c r="AB455" s="169"/>
      <c r="AC455" s="169"/>
      <c r="AD455" s="169"/>
      <c r="AE455" s="169"/>
      <c r="AF455" s="169"/>
      <c r="AG455" s="169"/>
    </row>
    <row r="456" spans="1:33" x14ac:dyDescent="0.25">
      <c r="A456" s="17" t="s">
        <v>1452</v>
      </c>
      <c r="B456" s="169"/>
      <c r="C456" s="169"/>
      <c r="D456" s="197"/>
      <c r="E456" s="207"/>
      <c r="F456" s="169"/>
      <c r="G456" s="17" t="s">
        <v>2107</v>
      </c>
      <c r="H456" s="169"/>
      <c r="I456" s="169"/>
      <c r="J456" s="169"/>
      <c r="K456" s="197"/>
      <c r="L456" s="169"/>
      <c r="M456" s="17" t="s">
        <v>2733</v>
      </c>
      <c r="N456" s="169"/>
      <c r="O456" s="169"/>
      <c r="P456" s="169"/>
      <c r="Q456" s="169"/>
      <c r="R456" s="169"/>
      <c r="S456" s="169"/>
      <c r="T456" s="169"/>
      <c r="U456" s="169"/>
      <c r="V456" s="169"/>
      <c r="W456" s="169"/>
      <c r="X456" s="169"/>
      <c r="Y456" s="169"/>
      <c r="Z456" s="169"/>
      <c r="AA456" s="169"/>
      <c r="AB456" s="169"/>
      <c r="AC456" s="169"/>
      <c r="AD456" s="169"/>
      <c r="AE456" s="169"/>
      <c r="AF456" s="169"/>
      <c r="AG456" s="169"/>
    </row>
    <row r="457" spans="1:33" x14ac:dyDescent="0.25">
      <c r="A457" s="17" t="s">
        <v>1453</v>
      </c>
      <c r="B457" s="169"/>
      <c r="C457" s="169"/>
      <c r="D457" s="197"/>
      <c r="E457" s="207"/>
      <c r="F457" s="169"/>
      <c r="G457" s="17" t="s">
        <v>2108</v>
      </c>
      <c r="H457" s="169"/>
      <c r="I457" s="169"/>
      <c r="J457" s="169"/>
      <c r="K457" s="197"/>
      <c r="L457" s="169"/>
      <c r="M457" s="17" t="s">
        <v>2736</v>
      </c>
      <c r="N457" s="169"/>
      <c r="O457" s="169"/>
      <c r="P457" s="169"/>
      <c r="Q457" s="169"/>
      <c r="R457" s="169"/>
      <c r="S457" s="169"/>
      <c r="T457" s="169"/>
      <c r="U457" s="169"/>
      <c r="V457" s="169"/>
      <c r="W457" s="169"/>
      <c r="X457" s="169"/>
      <c r="Y457" s="169"/>
      <c r="Z457" s="169"/>
      <c r="AA457" s="169"/>
      <c r="AB457" s="169"/>
      <c r="AC457" s="169"/>
      <c r="AD457" s="169"/>
      <c r="AE457" s="169"/>
      <c r="AF457" s="169"/>
      <c r="AG457" s="169"/>
    </row>
    <row r="458" spans="1:33" x14ac:dyDescent="0.25">
      <c r="A458" s="17" t="s">
        <v>1454</v>
      </c>
      <c r="B458" s="169"/>
      <c r="C458" s="169"/>
      <c r="D458" s="197"/>
      <c r="E458" s="207"/>
      <c r="F458" s="169"/>
      <c r="G458" s="17" t="s">
        <v>2109</v>
      </c>
      <c r="H458" s="169"/>
      <c r="I458" s="169"/>
      <c r="J458" s="169"/>
      <c r="K458" s="197"/>
      <c r="L458" s="169"/>
      <c r="M458" s="17" t="s">
        <v>2737</v>
      </c>
      <c r="N458" s="169"/>
      <c r="O458" s="169"/>
      <c r="P458" s="169"/>
      <c r="Q458" s="169"/>
      <c r="R458" s="169"/>
      <c r="S458" s="169"/>
      <c r="T458" s="169"/>
      <c r="U458" s="169"/>
      <c r="V458" s="169"/>
      <c r="W458" s="169"/>
      <c r="X458" s="169"/>
      <c r="Y458" s="169"/>
      <c r="Z458" s="169"/>
      <c r="AA458" s="169"/>
      <c r="AB458" s="169"/>
      <c r="AC458" s="169"/>
      <c r="AD458" s="169"/>
      <c r="AE458" s="169"/>
      <c r="AF458" s="169"/>
      <c r="AG458" s="169"/>
    </row>
    <row r="459" spans="1:33" x14ac:dyDescent="0.25">
      <c r="A459" s="17" t="s">
        <v>1455</v>
      </c>
      <c r="B459" s="169"/>
      <c r="C459" s="169"/>
      <c r="D459" s="197"/>
      <c r="E459" s="207"/>
      <c r="F459" s="169"/>
      <c r="G459" s="17" t="s">
        <v>2110</v>
      </c>
      <c r="H459" s="169"/>
      <c r="I459" s="169"/>
      <c r="J459" s="169"/>
      <c r="K459" s="197"/>
      <c r="L459" s="169"/>
      <c r="M459" s="17" t="s">
        <v>2738</v>
      </c>
      <c r="N459" s="169"/>
      <c r="O459" s="169"/>
      <c r="P459" s="169"/>
      <c r="Q459" s="169"/>
      <c r="R459" s="169"/>
      <c r="S459" s="169"/>
      <c r="T459" s="169"/>
      <c r="U459" s="169"/>
      <c r="V459" s="169"/>
      <c r="W459" s="169"/>
      <c r="X459" s="169"/>
      <c r="Y459" s="169"/>
      <c r="Z459" s="169"/>
      <c r="AA459" s="169"/>
      <c r="AB459" s="169"/>
      <c r="AC459" s="169"/>
      <c r="AD459" s="169"/>
      <c r="AE459" s="169"/>
      <c r="AF459" s="169"/>
      <c r="AG459" s="169"/>
    </row>
    <row r="460" spans="1:33" x14ac:dyDescent="0.25">
      <c r="A460" s="17" t="s">
        <v>1456</v>
      </c>
      <c r="B460" s="169"/>
      <c r="C460" s="169"/>
      <c r="D460" s="197"/>
      <c r="E460" s="207"/>
      <c r="F460" s="169"/>
      <c r="G460" s="17" t="s">
        <v>2105</v>
      </c>
      <c r="H460" s="169"/>
      <c r="I460" s="169"/>
      <c r="J460" s="169"/>
      <c r="K460" s="197"/>
      <c r="L460" s="169"/>
      <c r="M460" s="17" t="s">
        <v>2739</v>
      </c>
      <c r="N460" s="169"/>
      <c r="O460" s="169"/>
      <c r="P460" s="169"/>
      <c r="Q460" s="169"/>
      <c r="R460" s="169"/>
      <c r="S460" s="169"/>
      <c r="T460" s="169"/>
      <c r="U460" s="169"/>
      <c r="V460" s="169"/>
      <c r="W460" s="169"/>
      <c r="X460" s="169"/>
      <c r="Y460" s="169"/>
      <c r="Z460" s="169"/>
      <c r="AA460" s="169"/>
      <c r="AB460" s="169"/>
      <c r="AC460" s="169"/>
      <c r="AD460" s="169"/>
      <c r="AE460" s="169"/>
      <c r="AF460" s="169"/>
      <c r="AG460" s="169"/>
    </row>
    <row r="461" spans="1:33" x14ac:dyDescent="0.25">
      <c r="A461" s="17" t="s">
        <v>1457</v>
      </c>
      <c r="B461" s="169"/>
      <c r="C461" s="169"/>
      <c r="D461" s="197"/>
      <c r="E461" s="207"/>
      <c r="F461" s="169"/>
      <c r="G461" s="17" t="s">
        <v>2111</v>
      </c>
      <c r="H461" s="169"/>
      <c r="I461" s="169"/>
      <c r="J461" s="169"/>
      <c r="K461" s="197"/>
      <c r="L461" s="169"/>
      <c r="M461" s="17" t="s">
        <v>1419</v>
      </c>
      <c r="N461" s="169"/>
      <c r="O461" s="169"/>
      <c r="P461" s="169"/>
      <c r="Q461" s="169"/>
      <c r="R461" s="169"/>
      <c r="S461" s="169"/>
      <c r="T461" s="169"/>
      <c r="U461" s="169"/>
      <c r="V461" s="169"/>
      <c r="W461" s="169"/>
      <c r="X461" s="169"/>
      <c r="Y461" s="169"/>
      <c r="Z461" s="169"/>
      <c r="AA461" s="169"/>
      <c r="AB461" s="169"/>
      <c r="AC461" s="169"/>
      <c r="AD461" s="169"/>
      <c r="AE461" s="169"/>
      <c r="AF461" s="169"/>
      <c r="AG461" s="169"/>
    </row>
    <row r="462" spans="1:33" x14ac:dyDescent="0.25">
      <c r="A462" s="17" t="s">
        <v>1458</v>
      </c>
      <c r="B462" s="169"/>
      <c r="C462" s="169"/>
      <c r="D462" s="197"/>
      <c r="E462" s="207"/>
      <c r="F462" s="169"/>
      <c r="G462" s="17" t="s">
        <v>2112</v>
      </c>
      <c r="H462" s="169"/>
      <c r="I462" s="169"/>
      <c r="J462" s="169"/>
      <c r="K462" s="197"/>
      <c r="L462" s="169"/>
      <c r="M462" s="17" t="s">
        <v>2740</v>
      </c>
      <c r="N462" s="169"/>
      <c r="O462" s="169"/>
      <c r="P462" s="169"/>
      <c r="Q462" s="169"/>
      <c r="R462" s="169"/>
      <c r="S462" s="169"/>
      <c r="T462" s="169"/>
      <c r="U462" s="169"/>
      <c r="V462" s="169"/>
      <c r="W462" s="169"/>
      <c r="X462" s="169"/>
      <c r="Y462" s="169"/>
      <c r="Z462" s="169"/>
      <c r="AA462" s="169"/>
      <c r="AB462" s="169"/>
      <c r="AC462" s="169"/>
      <c r="AD462" s="169"/>
      <c r="AE462" s="169"/>
      <c r="AF462" s="169"/>
      <c r="AG462" s="169"/>
    </row>
    <row r="463" spans="1:33" x14ac:dyDescent="0.25">
      <c r="A463" s="17" t="s">
        <v>1459</v>
      </c>
      <c r="B463" s="169"/>
      <c r="C463" s="169"/>
      <c r="D463" s="197"/>
      <c r="E463" s="207"/>
      <c r="F463" s="169"/>
      <c r="G463" s="17" t="s">
        <v>2113</v>
      </c>
      <c r="H463" s="169"/>
      <c r="I463" s="169"/>
      <c r="J463" s="169"/>
      <c r="K463" s="197"/>
      <c r="L463" s="169"/>
      <c r="M463" s="17" t="s">
        <v>2741</v>
      </c>
      <c r="N463" s="169"/>
      <c r="O463" s="169"/>
      <c r="P463" s="169"/>
      <c r="Q463" s="169"/>
      <c r="R463" s="169"/>
      <c r="S463" s="169"/>
      <c r="T463" s="169"/>
      <c r="U463" s="169"/>
      <c r="V463" s="169"/>
      <c r="W463" s="169"/>
      <c r="X463" s="169"/>
      <c r="Y463" s="169"/>
      <c r="Z463" s="169"/>
      <c r="AA463" s="169"/>
      <c r="AB463" s="169"/>
      <c r="AC463" s="169"/>
      <c r="AD463" s="169"/>
      <c r="AE463" s="169"/>
      <c r="AF463" s="169"/>
      <c r="AG463" s="169"/>
    </row>
    <row r="464" spans="1:33" x14ac:dyDescent="0.25">
      <c r="A464" s="17" t="s">
        <v>1460</v>
      </c>
      <c r="B464" s="169"/>
      <c r="C464" s="169"/>
      <c r="D464" s="197"/>
      <c r="E464" s="207"/>
      <c r="F464" s="169"/>
      <c r="G464" s="17" t="s">
        <v>2114</v>
      </c>
      <c r="H464" s="169"/>
      <c r="I464" s="169"/>
      <c r="J464" s="169"/>
      <c r="K464" s="197"/>
      <c r="L464" s="169"/>
      <c r="M464" s="17" t="s">
        <v>2742</v>
      </c>
      <c r="N464" s="169"/>
      <c r="O464" s="169"/>
      <c r="P464" s="169"/>
      <c r="Q464" s="169"/>
      <c r="R464" s="169"/>
      <c r="S464" s="169"/>
      <c r="T464" s="169"/>
      <c r="U464" s="169"/>
      <c r="V464" s="169"/>
      <c r="W464" s="169"/>
      <c r="X464" s="169"/>
      <c r="Y464" s="169"/>
      <c r="Z464" s="169"/>
      <c r="AA464" s="169"/>
      <c r="AB464" s="169"/>
      <c r="AC464" s="169"/>
      <c r="AD464" s="169"/>
      <c r="AE464" s="169"/>
      <c r="AF464" s="169"/>
      <c r="AG464" s="169"/>
    </row>
    <row r="465" spans="1:33" x14ac:dyDescent="0.25">
      <c r="A465" s="17" t="s">
        <v>1461</v>
      </c>
      <c r="B465" s="169"/>
      <c r="C465" s="169"/>
      <c r="D465" s="197"/>
      <c r="E465" s="207"/>
      <c r="F465" s="169"/>
      <c r="G465" s="17" t="s">
        <v>2115</v>
      </c>
      <c r="H465" s="169"/>
      <c r="I465" s="169"/>
      <c r="J465" s="169"/>
      <c r="K465" s="197"/>
      <c r="L465" s="169"/>
      <c r="M465" s="17" t="s">
        <v>2743</v>
      </c>
      <c r="N465" s="169"/>
      <c r="O465" s="169"/>
      <c r="P465" s="169"/>
      <c r="Q465" s="169"/>
      <c r="R465" s="169"/>
      <c r="S465" s="169"/>
      <c r="T465" s="169"/>
      <c r="U465" s="169"/>
      <c r="V465" s="169"/>
      <c r="W465" s="169"/>
      <c r="X465" s="169"/>
      <c r="Y465" s="169"/>
      <c r="Z465" s="169"/>
      <c r="AA465" s="169"/>
      <c r="AB465" s="169"/>
      <c r="AC465" s="169"/>
      <c r="AD465" s="169"/>
      <c r="AE465" s="169"/>
      <c r="AF465" s="169"/>
      <c r="AG465" s="169"/>
    </row>
    <row r="466" spans="1:33" x14ac:dyDescent="0.25">
      <c r="A466" s="17" t="s">
        <v>1458</v>
      </c>
      <c r="B466" s="169"/>
      <c r="C466" s="169"/>
      <c r="D466" s="197"/>
      <c r="E466" s="207"/>
      <c r="F466" s="169"/>
      <c r="G466" s="17" t="s">
        <v>2116</v>
      </c>
      <c r="H466" s="169"/>
      <c r="I466" s="169"/>
      <c r="J466" s="169"/>
      <c r="K466" s="197"/>
      <c r="L466" s="169"/>
      <c r="M466" s="17" t="s">
        <v>2744</v>
      </c>
      <c r="N466" s="169"/>
      <c r="O466" s="169"/>
      <c r="P466" s="169"/>
      <c r="Q466" s="169"/>
      <c r="R466" s="169"/>
      <c r="S466" s="169"/>
      <c r="T466" s="169"/>
      <c r="U466" s="169"/>
      <c r="V466" s="169"/>
      <c r="W466" s="169"/>
      <c r="X466" s="169"/>
      <c r="Y466" s="169"/>
      <c r="Z466" s="169"/>
      <c r="AA466" s="169"/>
      <c r="AB466" s="169"/>
      <c r="AC466" s="169"/>
      <c r="AD466" s="169"/>
      <c r="AE466" s="169"/>
      <c r="AF466" s="169"/>
      <c r="AG466" s="169"/>
    </row>
    <row r="467" spans="1:33" x14ac:dyDescent="0.25">
      <c r="A467" s="17" t="s">
        <v>1462</v>
      </c>
      <c r="B467" s="169"/>
      <c r="C467" s="169"/>
      <c r="D467" s="197"/>
      <c r="E467" s="207"/>
      <c r="F467" s="169"/>
      <c r="G467" s="17" t="s">
        <v>2117</v>
      </c>
      <c r="H467" s="169"/>
      <c r="I467" s="169"/>
      <c r="J467" s="169"/>
      <c r="K467" s="197"/>
      <c r="L467" s="169"/>
      <c r="M467" s="17" t="s">
        <v>2741</v>
      </c>
      <c r="N467" s="169"/>
      <c r="O467" s="169"/>
      <c r="P467" s="169"/>
      <c r="Q467" s="169"/>
      <c r="R467" s="169"/>
      <c r="S467" s="169"/>
      <c r="T467" s="169"/>
      <c r="U467" s="169"/>
      <c r="V467" s="169"/>
      <c r="W467" s="169"/>
      <c r="X467" s="169"/>
      <c r="Y467" s="169"/>
      <c r="Z467" s="169"/>
      <c r="AA467" s="169"/>
      <c r="AB467" s="169"/>
      <c r="AC467" s="169"/>
      <c r="AD467" s="169"/>
      <c r="AE467" s="169"/>
      <c r="AF467" s="169"/>
      <c r="AG467" s="169"/>
    </row>
    <row r="468" spans="1:33" x14ac:dyDescent="0.25">
      <c r="A468" s="17" t="s">
        <v>1463</v>
      </c>
      <c r="B468" s="169"/>
      <c r="C468" s="169"/>
      <c r="D468" s="197"/>
      <c r="E468" s="207"/>
      <c r="F468" s="169"/>
      <c r="G468" s="17" t="s">
        <v>2118</v>
      </c>
      <c r="H468" s="169"/>
      <c r="I468" s="169"/>
      <c r="J468" s="169"/>
      <c r="K468" s="197"/>
      <c r="L468" s="169"/>
      <c r="M468" s="17" t="s">
        <v>2745</v>
      </c>
      <c r="N468" s="169"/>
      <c r="O468" s="169"/>
      <c r="P468" s="169"/>
      <c r="Q468" s="169"/>
      <c r="R468" s="169"/>
      <c r="S468" s="169"/>
      <c r="T468" s="169"/>
      <c r="U468" s="169"/>
      <c r="V468" s="169"/>
      <c r="W468" s="169"/>
      <c r="X468" s="169"/>
      <c r="Y468" s="169"/>
      <c r="Z468" s="169"/>
      <c r="AA468" s="169"/>
      <c r="AB468" s="169"/>
      <c r="AC468" s="169"/>
      <c r="AD468" s="169"/>
      <c r="AE468" s="169"/>
      <c r="AF468" s="169"/>
      <c r="AG468" s="169"/>
    </row>
    <row r="469" spans="1:33" x14ac:dyDescent="0.25">
      <c r="A469" s="17" t="s">
        <v>1464</v>
      </c>
      <c r="B469" s="169"/>
      <c r="C469" s="169"/>
      <c r="D469" s="197"/>
      <c r="E469" s="207"/>
      <c r="F469" s="169"/>
      <c r="G469" s="17" t="s">
        <v>2118</v>
      </c>
      <c r="H469" s="169"/>
      <c r="I469" s="169"/>
      <c r="J469" s="169"/>
      <c r="K469" s="197"/>
      <c r="L469" s="169"/>
      <c r="M469" s="17" t="s">
        <v>2088</v>
      </c>
      <c r="N469" s="169"/>
      <c r="O469" s="169"/>
      <c r="P469" s="169"/>
      <c r="Q469" s="169"/>
      <c r="R469" s="169"/>
      <c r="S469" s="169"/>
      <c r="T469" s="169"/>
      <c r="U469" s="169"/>
      <c r="V469" s="169"/>
      <c r="W469" s="169"/>
      <c r="X469" s="169"/>
      <c r="Y469" s="169"/>
      <c r="Z469" s="169"/>
      <c r="AA469" s="169"/>
      <c r="AB469" s="169"/>
      <c r="AC469" s="169"/>
      <c r="AD469" s="169"/>
      <c r="AE469" s="169"/>
      <c r="AF469" s="169"/>
      <c r="AG469" s="169"/>
    </row>
    <row r="470" spans="1:33" x14ac:dyDescent="0.25">
      <c r="A470" s="17" t="s">
        <v>1465</v>
      </c>
      <c r="B470" s="169"/>
      <c r="C470" s="169"/>
      <c r="D470" s="197"/>
      <c r="E470" s="207"/>
      <c r="F470" s="169"/>
      <c r="G470" s="17" t="s">
        <v>2119</v>
      </c>
      <c r="H470" s="169"/>
      <c r="I470" s="169"/>
      <c r="J470" s="169"/>
      <c r="K470" s="197"/>
      <c r="L470" s="169"/>
      <c r="M470" s="17" t="s">
        <v>2739</v>
      </c>
      <c r="N470" s="169"/>
      <c r="O470" s="169"/>
      <c r="P470" s="169"/>
      <c r="Q470" s="169"/>
      <c r="R470" s="169"/>
      <c r="S470" s="169"/>
      <c r="T470" s="169"/>
      <c r="U470" s="169"/>
      <c r="V470" s="169"/>
      <c r="W470" s="169"/>
      <c r="X470" s="169"/>
      <c r="Y470" s="169"/>
      <c r="Z470" s="169"/>
      <c r="AA470" s="169"/>
      <c r="AB470" s="169"/>
      <c r="AC470" s="169"/>
      <c r="AD470" s="169"/>
      <c r="AE470" s="169"/>
      <c r="AF470" s="169"/>
      <c r="AG470" s="169"/>
    </row>
    <row r="471" spans="1:33" x14ac:dyDescent="0.25">
      <c r="A471" s="17" t="s">
        <v>1466</v>
      </c>
      <c r="B471" s="169"/>
      <c r="C471" s="169"/>
      <c r="D471" s="197"/>
      <c r="E471" s="207"/>
      <c r="F471" s="169"/>
      <c r="G471" s="17" t="s">
        <v>2120</v>
      </c>
      <c r="H471" s="169"/>
      <c r="I471" s="169"/>
      <c r="J471" s="169"/>
      <c r="K471" s="197"/>
      <c r="L471" s="169"/>
      <c r="M471" s="17" t="s">
        <v>2746</v>
      </c>
      <c r="N471" s="169"/>
      <c r="O471" s="169"/>
      <c r="P471" s="169"/>
      <c r="Q471" s="169"/>
      <c r="R471" s="169"/>
      <c r="S471" s="169"/>
      <c r="T471" s="169"/>
      <c r="U471" s="169"/>
      <c r="V471" s="169"/>
      <c r="W471" s="169"/>
      <c r="X471" s="169"/>
      <c r="Y471" s="169"/>
      <c r="Z471" s="169"/>
      <c r="AA471" s="169"/>
      <c r="AB471" s="169"/>
      <c r="AC471" s="169"/>
      <c r="AD471" s="169"/>
      <c r="AE471" s="169"/>
      <c r="AF471" s="169"/>
      <c r="AG471" s="169"/>
    </row>
    <row r="472" spans="1:33" x14ac:dyDescent="0.25">
      <c r="A472" s="17" t="s">
        <v>1467</v>
      </c>
      <c r="B472" s="169"/>
      <c r="C472" s="169"/>
      <c r="D472" s="197"/>
      <c r="E472" s="207"/>
      <c r="F472" s="169"/>
      <c r="G472" s="17" t="s">
        <v>2120</v>
      </c>
      <c r="H472" s="169"/>
      <c r="I472" s="169"/>
      <c r="J472" s="169"/>
      <c r="K472" s="197"/>
      <c r="L472" s="169"/>
      <c r="M472" s="17" t="s">
        <v>2747</v>
      </c>
      <c r="N472" s="169"/>
      <c r="O472" s="169"/>
      <c r="P472" s="169"/>
      <c r="Q472" s="169"/>
      <c r="R472" s="169"/>
      <c r="S472" s="169"/>
      <c r="T472" s="169"/>
      <c r="U472" s="169"/>
      <c r="V472" s="169"/>
      <c r="W472" s="169"/>
      <c r="X472" s="169"/>
      <c r="Y472" s="169"/>
      <c r="Z472" s="169"/>
      <c r="AA472" s="169"/>
      <c r="AB472" s="169"/>
      <c r="AC472" s="169"/>
      <c r="AD472" s="169"/>
      <c r="AE472" s="169"/>
      <c r="AF472" s="169"/>
      <c r="AG472" s="169"/>
    </row>
    <row r="473" spans="1:33" x14ac:dyDescent="0.25">
      <c r="A473" s="17" t="s">
        <v>1468</v>
      </c>
      <c r="B473" s="169"/>
      <c r="C473" s="169"/>
      <c r="D473" s="197"/>
      <c r="E473" s="207"/>
      <c r="F473" s="169"/>
      <c r="G473" s="17" t="s">
        <v>2121</v>
      </c>
      <c r="H473" s="169"/>
      <c r="I473" s="169"/>
      <c r="J473" s="169"/>
      <c r="K473" s="197"/>
      <c r="L473" s="169"/>
      <c r="M473" s="17" t="s">
        <v>2748</v>
      </c>
      <c r="N473" s="169"/>
      <c r="O473" s="169"/>
      <c r="P473" s="169"/>
      <c r="Q473" s="169"/>
      <c r="R473" s="169"/>
      <c r="S473" s="169"/>
      <c r="T473" s="169"/>
      <c r="U473" s="169"/>
      <c r="V473" s="169"/>
      <c r="W473" s="169"/>
      <c r="X473" s="169"/>
      <c r="Y473" s="169"/>
      <c r="Z473" s="169"/>
      <c r="AA473" s="169"/>
      <c r="AB473" s="169"/>
      <c r="AC473" s="169"/>
      <c r="AD473" s="169"/>
      <c r="AE473" s="169"/>
      <c r="AF473" s="169"/>
      <c r="AG473" s="169"/>
    </row>
    <row r="474" spans="1:33" x14ac:dyDescent="0.25">
      <c r="A474" s="17" t="s">
        <v>1469</v>
      </c>
      <c r="B474" s="169"/>
      <c r="C474" s="169"/>
      <c r="D474" s="197"/>
      <c r="E474" s="207"/>
      <c r="F474" s="169"/>
      <c r="G474" s="17" t="s">
        <v>2122</v>
      </c>
      <c r="H474" s="169"/>
      <c r="I474" s="169"/>
      <c r="J474" s="169"/>
      <c r="K474" s="197"/>
      <c r="L474" s="169"/>
      <c r="M474" s="17" t="s">
        <v>2749</v>
      </c>
      <c r="N474" s="169"/>
      <c r="O474" s="169"/>
      <c r="P474" s="169"/>
      <c r="Q474" s="169"/>
      <c r="R474" s="169"/>
      <c r="S474" s="169"/>
      <c r="T474" s="169"/>
      <c r="U474" s="169"/>
      <c r="V474" s="169"/>
      <c r="W474" s="169"/>
      <c r="X474" s="169"/>
      <c r="Y474" s="169"/>
      <c r="Z474" s="169"/>
      <c r="AA474" s="169"/>
      <c r="AB474" s="169"/>
      <c r="AC474" s="169"/>
      <c r="AD474" s="169"/>
      <c r="AE474" s="169"/>
      <c r="AF474" s="169"/>
      <c r="AG474" s="169"/>
    </row>
    <row r="475" spans="1:33" x14ac:dyDescent="0.25">
      <c r="A475" s="17" t="s">
        <v>1470</v>
      </c>
      <c r="B475" s="169"/>
      <c r="C475" s="169"/>
      <c r="D475" s="197"/>
      <c r="E475" s="207"/>
      <c r="F475" s="169"/>
      <c r="G475" s="17" t="s">
        <v>2123</v>
      </c>
      <c r="H475" s="169"/>
      <c r="I475" s="169"/>
      <c r="J475" s="169"/>
      <c r="K475" s="197"/>
      <c r="L475" s="169"/>
      <c r="M475" s="17" t="s">
        <v>2747</v>
      </c>
      <c r="N475" s="169"/>
      <c r="O475" s="169"/>
      <c r="P475" s="169"/>
      <c r="Q475" s="169"/>
      <c r="R475" s="169"/>
      <c r="S475" s="169"/>
      <c r="T475" s="169"/>
      <c r="U475" s="169"/>
      <c r="V475" s="169"/>
      <c r="W475" s="169"/>
      <c r="X475" s="169"/>
      <c r="Y475" s="169"/>
      <c r="Z475" s="169"/>
      <c r="AA475" s="169"/>
      <c r="AB475" s="169"/>
      <c r="AC475" s="169"/>
      <c r="AD475" s="169"/>
      <c r="AE475" s="169"/>
      <c r="AF475" s="169"/>
      <c r="AG475" s="169"/>
    </row>
    <row r="476" spans="1:33" x14ac:dyDescent="0.25">
      <c r="A476" s="17" t="s">
        <v>1471</v>
      </c>
      <c r="B476" s="169"/>
      <c r="C476" s="169"/>
      <c r="D476" s="197"/>
      <c r="E476" s="207"/>
      <c r="F476" s="169"/>
      <c r="G476" s="17" t="s">
        <v>2124</v>
      </c>
      <c r="H476" s="169"/>
      <c r="I476" s="169"/>
      <c r="J476" s="169"/>
      <c r="K476" s="197"/>
      <c r="L476" s="169"/>
      <c r="M476" s="17" t="s">
        <v>2750</v>
      </c>
      <c r="N476" s="169"/>
      <c r="O476" s="169"/>
      <c r="P476" s="169"/>
      <c r="Q476" s="169"/>
      <c r="R476" s="169"/>
      <c r="S476" s="169"/>
      <c r="T476" s="169"/>
      <c r="U476" s="169"/>
      <c r="V476" s="169"/>
      <c r="W476" s="169"/>
      <c r="X476" s="169"/>
      <c r="Y476" s="169"/>
      <c r="Z476" s="169"/>
      <c r="AA476" s="169"/>
      <c r="AB476" s="169"/>
      <c r="AC476" s="169"/>
      <c r="AD476" s="169"/>
      <c r="AE476" s="169"/>
      <c r="AF476" s="169"/>
      <c r="AG476" s="169"/>
    </row>
    <row r="477" spans="1:33" x14ac:dyDescent="0.25">
      <c r="A477" s="17" t="s">
        <v>1472</v>
      </c>
      <c r="B477" s="169"/>
      <c r="C477" s="169"/>
      <c r="D477" s="197"/>
      <c r="E477" s="207"/>
      <c r="F477" s="169"/>
      <c r="G477" s="17" t="s">
        <v>2125</v>
      </c>
      <c r="H477" s="169"/>
      <c r="I477" s="169"/>
      <c r="J477" s="169"/>
      <c r="K477" s="197"/>
      <c r="L477" s="169"/>
      <c r="M477" s="17" t="s">
        <v>2751</v>
      </c>
      <c r="N477" s="169"/>
      <c r="O477" s="169"/>
      <c r="P477" s="169"/>
      <c r="Q477" s="169"/>
      <c r="R477" s="169"/>
      <c r="S477" s="169"/>
      <c r="T477" s="169"/>
      <c r="U477" s="169"/>
      <c r="V477" s="169"/>
      <c r="W477" s="169"/>
      <c r="X477" s="169"/>
      <c r="Y477" s="169"/>
      <c r="Z477" s="169"/>
      <c r="AA477" s="169"/>
      <c r="AB477" s="169"/>
      <c r="AC477" s="169"/>
      <c r="AD477" s="169"/>
      <c r="AE477" s="169"/>
      <c r="AF477" s="169"/>
      <c r="AG477" s="169"/>
    </row>
    <row r="478" spans="1:33" x14ac:dyDescent="0.25">
      <c r="A478" s="17" t="s">
        <v>1473</v>
      </c>
      <c r="B478" s="169"/>
      <c r="C478" s="169"/>
      <c r="D478" s="197"/>
      <c r="E478" s="207"/>
      <c r="F478" s="169"/>
      <c r="G478" s="17" t="s">
        <v>2126</v>
      </c>
      <c r="H478" s="169"/>
      <c r="I478" s="169"/>
      <c r="J478" s="169"/>
      <c r="K478" s="197"/>
      <c r="L478" s="169"/>
      <c r="M478" s="17" t="s">
        <v>2723</v>
      </c>
      <c r="N478" s="169"/>
      <c r="O478" s="169"/>
      <c r="P478" s="169"/>
      <c r="Q478" s="169"/>
      <c r="R478" s="169"/>
      <c r="S478" s="169"/>
      <c r="T478" s="169"/>
      <c r="U478" s="169"/>
      <c r="V478" s="169"/>
      <c r="W478" s="169"/>
      <c r="X478" s="169"/>
      <c r="Y478" s="169"/>
      <c r="Z478" s="169"/>
      <c r="AA478" s="169"/>
      <c r="AB478" s="169"/>
      <c r="AC478" s="169"/>
      <c r="AD478" s="169"/>
      <c r="AE478" s="169"/>
      <c r="AF478" s="169"/>
      <c r="AG478" s="169"/>
    </row>
    <row r="479" spans="1:33" x14ac:dyDescent="0.25">
      <c r="A479" s="17" t="s">
        <v>1474</v>
      </c>
      <c r="B479" s="169"/>
      <c r="C479" s="169"/>
      <c r="D479" s="197"/>
      <c r="E479" s="207"/>
      <c r="F479" s="169"/>
      <c r="G479" s="17" t="s">
        <v>2127</v>
      </c>
      <c r="H479" s="169"/>
      <c r="I479" s="169"/>
      <c r="J479" s="169"/>
      <c r="K479" s="197"/>
      <c r="L479" s="169"/>
      <c r="M479" s="17" t="s">
        <v>2752</v>
      </c>
      <c r="N479" s="169"/>
      <c r="O479" s="169"/>
      <c r="P479" s="169"/>
      <c r="Q479" s="169"/>
      <c r="R479" s="169"/>
      <c r="S479" s="169"/>
      <c r="T479" s="169"/>
      <c r="U479" s="169"/>
      <c r="V479" s="169"/>
      <c r="W479" s="169"/>
      <c r="X479" s="169"/>
      <c r="Y479" s="169"/>
      <c r="Z479" s="169"/>
      <c r="AA479" s="169"/>
      <c r="AB479" s="169"/>
      <c r="AC479" s="169"/>
      <c r="AD479" s="169"/>
      <c r="AE479" s="169"/>
      <c r="AF479" s="169"/>
      <c r="AG479" s="169"/>
    </row>
    <row r="480" spans="1:33" x14ac:dyDescent="0.25">
      <c r="A480" s="17" t="s">
        <v>1475</v>
      </c>
      <c r="B480" s="169"/>
      <c r="C480" s="169"/>
      <c r="D480" s="197"/>
      <c r="E480" s="207"/>
      <c r="F480" s="169"/>
      <c r="G480" s="17" t="s">
        <v>2128</v>
      </c>
      <c r="H480" s="169"/>
      <c r="I480" s="169"/>
      <c r="J480" s="169"/>
      <c r="K480" s="197"/>
      <c r="L480" s="169"/>
      <c r="M480" s="17" t="s">
        <v>2753</v>
      </c>
      <c r="N480" s="169"/>
      <c r="O480" s="169"/>
      <c r="P480" s="169"/>
      <c r="Q480" s="169"/>
      <c r="R480" s="169"/>
      <c r="S480" s="169"/>
      <c r="T480" s="169"/>
      <c r="U480" s="169"/>
      <c r="V480" s="169"/>
      <c r="W480" s="169"/>
      <c r="X480" s="169"/>
      <c r="Y480" s="169"/>
      <c r="Z480" s="169"/>
      <c r="AA480" s="169"/>
      <c r="AB480" s="169"/>
      <c r="AC480" s="169"/>
      <c r="AD480" s="169"/>
      <c r="AE480" s="169"/>
      <c r="AF480" s="169"/>
      <c r="AG480" s="169"/>
    </row>
    <row r="481" spans="1:33" x14ac:dyDescent="0.25">
      <c r="A481" s="17" t="s">
        <v>1476</v>
      </c>
      <c r="B481" s="169"/>
      <c r="C481" s="169"/>
      <c r="D481" s="197"/>
      <c r="E481" s="207"/>
      <c r="F481" s="169"/>
      <c r="G481" s="17" t="s">
        <v>2129</v>
      </c>
      <c r="H481" s="169"/>
      <c r="I481" s="169"/>
      <c r="J481" s="169"/>
      <c r="K481" s="197"/>
      <c r="L481" s="169"/>
      <c r="M481" s="17" t="s">
        <v>2753</v>
      </c>
      <c r="N481" s="169"/>
      <c r="O481" s="169"/>
      <c r="P481" s="169"/>
      <c r="Q481" s="169"/>
      <c r="R481" s="169"/>
      <c r="S481" s="169"/>
      <c r="T481" s="169"/>
      <c r="U481" s="169"/>
      <c r="V481" s="169"/>
      <c r="W481" s="169"/>
      <c r="X481" s="169"/>
      <c r="Y481" s="169"/>
      <c r="Z481" s="169"/>
      <c r="AA481" s="169"/>
      <c r="AB481" s="169"/>
      <c r="AC481" s="169"/>
      <c r="AD481" s="169"/>
      <c r="AE481" s="169"/>
      <c r="AF481" s="169"/>
      <c r="AG481" s="169"/>
    </row>
    <row r="482" spans="1:33" x14ac:dyDescent="0.25">
      <c r="A482" s="17" t="s">
        <v>1477</v>
      </c>
      <c r="B482" s="169"/>
      <c r="C482" s="169"/>
      <c r="D482" s="197"/>
      <c r="E482" s="207"/>
      <c r="F482" s="169"/>
      <c r="G482" s="17" t="s">
        <v>2129</v>
      </c>
      <c r="H482" s="169"/>
      <c r="I482" s="169"/>
      <c r="J482" s="169"/>
      <c r="K482" s="197"/>
      <c r="L482" s="169"/>
      <c r="M482" s="17" t="s">
        <v>2754</v>
      </c>
      <c r="N482" s="169"/>
      <c r="O482" s="169"/>
      <c r="P482" s="169"/>
      <c r="Q482" s="169"/>
      <c r="R482" s="169"/>
      <c r="S482" s="169"/>
      <c r="T482" s="169"/>
      <c r="U482" s="169"/>
      <c r="V482" s="169"/>
      <c r="W482" s="169"/>
      <c r="X482" s="169"/>
      <c r="Y482" s="169"/>
      <c r="Z482" s="169"/>
      <c r="AA482" s="169"/>
      <c r="AB482" s="169"/>
      <c r="AC482" s="169"/>
      <c r="AD482" s="169"/>
      <c r="AE482" s="169"/>
      <c r="AF482" s="169"/>
      <c r="AG482" s="169"/>
    </row>
    <row r="483" spans="1:33" x14ac:dyDescent="0.25">
      <c r="A483" s="17" t="s">
        <v>1478</v>
      </c>
      <c r="B483" s="169"/>
      <c r="C483" s="169"/>
      <c r="D483" s="197"/>
      <c r="E483" s="207"/>
      <c r="F483" s="169"/>
      <c r="G483" s="17" t="s">
        <v>2130</v>
      </c>
      <c r="H483" s="169"/>
      <c r="I483" s="169"/>
      <c r="J483" s="169"/>
      <c r="K483" s="197"/>
      <c r="L483" s="169"/>
      <c r="M483" s="17" t="s">
        <v>2755</v>
      </c>
      <c r="N483" s="169"/>
      <c r="O483" s="169"/>
      <c r="P483" s="169"/>
      <c r="Q483" s="169"/>
      <c r="R483" s="169"/>
      <c r="S483" s="169"/>
      <c r="T483" s="169"/>
      <c r="U483" s="169"/>
      <c r="V483" s="169"/>
      <c r="W483" s="169"/>
      <c r="X483" s="169"/>
      <c r="Y483" s="169"/>
      <c r="Z483" s="169"/>
      <c r="AA483" s="169"/>
      <c r="AB483" s="169"/>
      <c r="AC483" s="169"/>
      <c r="AD483" s="169"/>
      <c r="AE483" s="169"/>
      <c r="AF483" s="169"/>
      <c r="AG483" s="169"/>
    </row>
    <row r="484" spans="1:33" x14ac:dyDescent="0.25">
      <c r="A484" s="17" t="s">
        <v>1479</v>
      </c>
      <c r="B484" s="169"/>
      <c r="C484" s="169"/>
      <c r="D484" s="197"/>
      <c r="E484" s="207"/>
      <c r="F484" s="169"/>
      <c r="G484" s="17" t="s">
        <v>2131</v>
      </c>
      <c r="H484" s="169"/>
      <c r="I484" s="169"/>
      <c r="J484" s="169"/>
      <c r="K484" s="197"/>
      <c r="L484" s="169"/>
      <c r="M484" s="17" t="s">
        <v>2756</v>
      </c>
      <c r="N484" s="169"/>
      <c r="O484" s="169"/>
      <c r="P484" s="169"/>
      <c r="Q484" s="169"/>
      <c r="R484" s="169"/>
      <c r="S484" s="169"/>
      <c r="T484" s="169"/>
      <c r="U484" s="169"/>
      <c r="V484" s="169"/>
      <c r="W484" s="169"/>
      <c r="X484" s="169"/>
      <c r="Y484" s="169"/>
      <c r="Z484" s="169"/>
      <c r="AA484" s="169"/>
      <c r="AB484" s="169"/>
      <c r="AC484" s="169"/>
      <c r="AD484" s="169"/>
      <c r="AE484" s="169"/>
      <c r="AF484" s="169"/>
      <c r="AG484" s="169"/>
    </row>
    <row r="485" spans="1:33" x14ac:dyDescent="0.25">
      <c r="A485" s="17" t="s">
        <v>1480</v>
      </c>
      <c r="B485" s="169"/>
      <c r="C485" s="169"/>
      <c r="D485" s="197"/>
      <c r="E485" s="207"/>
      <c r="F485" s="169"/>
      <c r="G485" s="17" t="s">
        <v>2132</v>
      </c>
      <c r="H485" s="169"/>
      <c r="I485" s="169"/>
      <c r="J485" s="169"/>
      <c r="K485" s="197"/>
      <c r="L485" s="169"/>
      <c r="M485" s="17" t="s">
        <v>2755</v>
      </c>
      <c r="N485" s="169"/>
      <c r="O485" s="169"/>
      <c r="P485" s="169"/>
      <c r="Q485" s="169"/>
      <c r="R485" s="169"/>
      <c r="S485" s="169"/>
      <c r="T485" s="169"/>
      <c r="U485" s="169"/>
      <c r="V485" s="169"/>
      <c r="W485" s="169"/>
      <c r="X485" s="169"/>
      <c r="Y485" s="169"/>
      <c r="Z485" s="169"/>
      <c r="AA485" s="169"/>
      <c r="AB485" s="169"/>
      <c r="AC485" s="169"/>
      <c r="AD485" s="169"/>
      <c r="AE485" s="169"/>
      <c r="AF485" s="169"/>
      <c r="AG485" s="169"/>
    </row>
    <row r="486" spans="1:33" x14ac:dyDescent="0.25">
      <c r="A486" s="17" t="s">
        <v>1481</v>
      </c>
      <c r="B486" s="169"/>
      <c r="C486" s="169"/>
      <c r="D486" s="197"/>
      <c r="E486" s="207"/>
      <c r="F486" s="169"/>
      <c r="G486" s="17" t="s">
        <v>2133</v>
      </c>
      <c r="H486" s="169"/>
      <c r="I486" s="169"/>
      <c r="J486" s="169"/>
      <c r="K486" s="197"/>
      <c r="L486" s="169"/>
      <c r="M486" s="17" t="s">
        <v>2757</v>
      </c>
      <c r="N486" s="169"/>
      <c r="O486" s="169"/>
      <c r="P486" s="169"/>
      <c r="Q486" s="169"/>
      <c r="R486" s="169"/>
      <c r="S486" s="169"/>
      <c r="T486" s="169"/>
      <c r="U486" s="169"/>
      <c r="V486" s="169"/>
      <c r="W486" s="169"/>
      <c r="X486" s="169"/>
      <c r="Y486" s="169"/>
      <c r="Z486" s="169"/>
      <c r="AA486" s="169"/>
      <c r="AB486" s="169"/>
      <c r="AC486" s="169"/>
      <c r="AD486" s="169"/>
      <c r="AE486" s="169"/>
      <c r="AF486" s="169"/>
      <c r="AG486" s="169"/>
    </row>
    <row r="487" spans="1:33" x14ac:dyDescent="0.25">
      <c r="A487" s="17" t="s">
        <v>1482</v>
      </c>
      <c r="B487" s="169"/>
      <c r="C487" s="169"/>
      <c r="D487" s="197"/>
      <c r="E487" s="207"/>
      <c r="F487" s="169"/>
      <c r="G487" s="17" t="s">
        <v>2134</v>
      </c>
      <c r="H487" s="169"/>
      <c r="I487" s="169"/>
      <c r="J487" s="169"/>
      <c r="K487" s="197"/>
      <c r="L487" s="169"/>
      <c r="M487" s="17" t="s">
        <v>2758</v>
      </c>
      <c r="N487" s="169"/>
      <c r="O487" s="169"/>
      <c r="P487" s="169"/>
      <c r="Q487" s="169"/>
      <c r="R487" s="169"/>
      <c r="S487" s="169"/>
      <c r="T487" s="169"/>
      <c r="U487" s="169"/>
      <c r="V487" s="169"/>
      <c r="W487" s="169"/>
      <c r="X487" s="169"/>
      <c r="Y487" s="169"/>
      <c r="Z487" s="169"/>
      <c r="AA487" s="169"/>
      <c r="AB487" s="169"/>
      <c r="AC487" s="169"/>
      <c r="AD487" s="169"/>
      <c r="AE487" s="169"/>
      <c r="AF487" s="169"/>
      <c r="AG487" s="169"/>
    </row>
    <row r="488" spans="1:33" x14ac:dyDescent="0.25">
      <c r="A488" s="17" t="s">
        <v>1483</v>
      </c>
      <c r="B488" s="169"/>
      <c r="C488" s="169"/>
      <c r="D488" s="197"/>
      <c r="E488" s="207"/>
      <c r="F488" s="169"/>
      <c r="G488" s="17" t="s">
        <v>2135</v>
      </c>
      <c r="H488" s="169"/>
      <c r="I488" s="169"/>
      <c r="J488" s="169"/>
      <c r="K488" s="197"/>
      <c r="L488" s="169"/>
      <c r="M488" s="17" t="s">
        <v>2759</v>
      </c>
      <c r="N488" s="169"/>
      <c r="O488" s="169"/>
      <c r="P488" s="169"/>
      <c r="Q488" s="169"/>
      <c r="R488" s="169"/>
      <c r="S488" s="169"/>
      <c r="T488" s="169"/>
      <c r="U488" s="169"/>
      <c r="V488" s="169"/>
      <c r="W488" s="169"/>
      <c r="X488" s="169"/>
      <c r="Y488" s="169"/>
      <c r="Z488" s="169"/>
      <c r="AA488" s="169"/>
      <c r="AB488" s="169"/>
      <c r="AC488" s="169"/>
      <c r="AD488" s="169"/>
      <c r="AE488" s="169"/>
      <c r="AF488" s="169"/>
      <c r="AG488" s="169"/>
    </row>
    <row r="489" spans="1:33" x14ac:dyDescent="0.25">
      <c r="A489" s="17" t="s">
        <v>1484</v>
      </c>
      <c r="B489" s="169"/>
      <c r="C489" s="169"/>
      <c r="D489" s="197"/>
      <c r="E489" s="207"/>
      <c r="F489" s="169"/>
      <c r="G489" s="17" t="s">
        <v>2136</v>
      </c>
      <c r="H489" s="169"/>
      <c r="I489" s="169"/>
      <c r="J489" s="169"/>
      <c r="K489" s="197"/>
      <c r="L489" s="169"/>
      <c r="M489" s="17" t="s">
        <v>2108</v>
      </c>
      <c r="N489" s="169"/>
      <c r="O489" s="169"/>
      <c r="P489" s="169"/>
      <c r="Q489" s="169"/>
      <c r="R489" s="169"/>
      <c r="S489" s="169"/>
      <c r="T489" s="169"/>
      <c r="U489" s="169"/>
      <c r="V489" s="169"/>
      <c r="W489" s="169"/>
      <c r="X489" s="169"/>
      <c r="Y489" s="169"/>
      <c r="Z489" s="169"/>
      <c r="AA489" s="169"/>
      <c r="AB489" s="169"/>
      <c r="AC489" s="169"/>
      <c r="AD489" s="169"/>
      <c r="AE489" s="169"/>
      <c r="AF489" s="169"/>
      <c r="AG489" s="169"/>
    </row>
    <row r="490" spans="1:33" x14ac:dyDescent="0.25">
      <c r="A490" s="17" t="s">
        <v>1485</v>
      </c>
      <c r="B490" s="169"/>
      <c r="C490" s="169"/>
      <c r="D490" s="197"/>
      <c r="E490" s="207"/>
      <c r="F490" s="169"/>
      <c r="G490" s="17" t="s">
        <v>2137</v>
      </c>
      <c r="H490" s="169"/>
      <c r="I490" s="169"/>
      <c r="J490" s="169"/>
      <c r="K490" s="197"/>
      <c r="L490" s="169"/>
      <c r="M490" s="17" t="s">
        <v>2127</v>
      </c>
      <c r="N490" s="169"/>
      <c r="O490" s="169"/>
      <c r="P490" s="169"/>
      <c r="Q490" s="169"/>
      <c r="R490" s="169"/>
      <c r="S490" s="169"/>
      <c r="T490" s="169"/>
      <c r="U490" s="169"/>
      <c r="V490" s="169"/>
      <c r="W490" s="169"/>
      <c r="X490" s="169"/>
      <c r="Y490" s="169"/>
      <c r="Z490" s="169"/>
      <c r="AA490" s="169"/>
      <c r="AB490" s="169"/>
      <c r="AC490" s="169"/>
      <c r="AD490" s="169"/>
      <c r="AE490" s="169"/>
      <c r="AF490" s="169"/>
      <c r="AG490" s="169"/>
    </row>
    <row r="491" spans="1:33" x14ac:dyDescent="0.25">
      <c r="A491" s="17" t="s">
        <v>1485</v>
      </c>
      <c r="B491" s="169"/>
      <c r="C491" s="169"/>
      <c r="D491" s="197"/>
      <c r="E491" s="207"/>
      <c r="F491" s="169"/>
      <c r="G491" s="439" t="s">
        <v>2138</v>
      </c>
      <c r="H491" s="440"/>
      <c r="I491" s="169"/>
      <c r="J491" s="169"/>
      <c r="K491" s="197"/>
      <c r="L491" s="169"/>
      <c r="M491" s="17" t="s">
        <v>2760</v>
      </c>
      <c r="N491" s="169"/>
      <c r="O491" s="169"/>
      <c r="P491" s="169"/>
      <c r="Q491" s="169"/>
      <c r="R491" s="169"/>
      <c r="S491" s="169"/>
      <c r="T491" s="169"/>
      <c r="U491" s="169"/>
      <c r="V491" s="169"/>
      <c r="W491" s="169"/>
      <c r="X491" s="169"/>
      <c r="Y491" s="169"/>
      <c r="Z491" s="169"/>
      <c r="AA491" s="169"/>
      <c r="AB491" s="169"/>
      <c r="AC491" s="169"/>
      <c r="AD491" s="169"/>
      <c r="AE491" s="169"/>
      <c r="AF491" s="169"/>
      <c r="AG491" s="169"/>
    </row>
    <row r="492" spans="1:33" x14ac:dyDescent="0.25">
      <c r="A492" s="17" t="s">
        <v>1486</v>
      </c>
      <c r="B492" s="169"/>
      <c r="C492" s="169"/>
      <c r="D492" s="197"/>
      <c r="E492" s="207"/>
      <c r="F492" s="169"/>
      <c r="G492" s="17" t="s">
        <v>2139</v>
      </c>
      <c r="H492" s="169"/>
      <c r="I492" s="169"/>
      <c r="J492" s="169"/>
      <c r="K492" s="197"/>
      <c r="L492" s="169"/>
      <c r="M492" s="17" t="s">
        <v>2761</v>
      </c>
      <c r="N492" s="169"/>
      <c r="O492" s="169"/>
      <c r="P492" s="169"/>
      <c r="Q492" s="169"/>
      <c r="R492" s="169"/>
      <c r="S492" s="169"/>
      <c r="T492" s="169"/>
      <c r="U492" s="169"/>
      <c r="V492" s="169"/>
      <c r="W492" s="169"/>
      <c r="X492" s="169"/>
      <c r="Y492" s="169"/>
      <c r="Z492" s="169"/>
      <c r="AA492" s="169"/>
      <c r="AB492" s="169"/>
      <c r="AC492" s="169"/>
      <c r="AD492" s="169"/>
      <c r="AE492" s="169"/>
      <c r="AF492" s="169"/>
      <c r="AG492" s="169"/>
    </row>
    <row r="493" spans="1:33" x14ac:dyDescent="0.25">
      <c r="A493" s="17" t="s">
        <v>1487</v>
      </c>
      <c r="B493" s="169"/>
      <c r="C493" s="169"/>
      <c r="D493" s="197"/>
      <c r="E493" s="207"/>
      <c r="F493" s="169"/>
      <c r="G493" s="17" t="s">
        <v>2140</v>
      </c>
      <c r="H493" s="169"/>
      <c r="I493" s="169"/>
      <c r="J493" s="169"/>
      <c r="K493" s="197"/>
      <c r="L493" s="169"/>
      <c r="M493" s="17" t="s">
        <v>2762</v>
      </c>
      <c r="N493" s="169"/>
      <c r="O493" s="169"/>
      <c r="P493" s="169"/>
      <c r="Q493" s="169"/>
      <c r="R493" s="169"/>
      <c r="S493" s="169"/>
      <c r="T493" s="169"/>
      <c r="U493" s="169"/>
      <c r="V493" s="169"/>
      <c r="W493" s="169"/>
      <c r="X493" s="169"/>
      <c r="Y493" s="169"/>
      <c r="Z493" s="169"/>
      <c r="AA493" s="169"/>
      <c r="AB493" s="169"/>
      <c r="AC493" s="169"/>
      <c r="AD493" s="169"/>
      <c r="AE493" s="169"/>
      <c r="AF493" s="169"/>
      <c r="AG493" s="169"/>
    </row>
    <row r="494" spans="1:33" x14ac:dyDescent="0.25">
      <c r="A494" s="17" t="s">
        <v>1488</v>
      </c>
      <c r="B494" s="169"/>
      <c r="C494" s="169"/>
      <c r="D494" s="197"/>
      <c r="E494" s="207"/>
      <c r="F494" s="169"/>
      <c r="G494" s="17" t="s">
        <v>2141</v>
      </c>
      <c r="H494" s="169"/>
      <c r="I494" s="169"/>
      <c r="J494" s="169"/>
      <c r="K494" s="197"/>
      <c r="L494" s="169"/>
      <c r="M494" s="17" t="s">
        <v>2763</v>
      </c>
      <c r="N494" s="169"/>
      <c r="O494" s="169"/>
      <c r="P494" s="169"/>
      <c r="Q494" s="169"/>
      <c r="R494" s="169"/>
      <c r="S494" s="169"/>
      <c r="T494" s="169"/>
      <c r="U494" s="169"/>
      <c r="V494" s="169"/>
      <c r="W494" s="169"/>
      <c r="X494" s="169"/>
      <c r="Y494" s="169"/>
      <c r="Z494" s="169"/>
      <c r="AA494" s="169"/>
      <c r="AB494" s="169"/>
      <c r="AC494" s="169"/>
      <c r="AD494" s="169"/>
      <c r="AE494" s="169"/>
      <c r="AF494" s="169"/>
      <c r="AG494" s="169"/>
    </row>
    <row r="495" spans="1:33" x14ac:dyDescent="0.25">
      <c r="A495" s="17" t="s">
        <v>1489</v>
      </c>
      <c r="B495" s="169"/>
      <c r="C495" s="169"/>
      <c r="D495" s="197"/>
      <c r="E495" s="207"/>
      <c r="F495" s="169"/>
      <c r="G495" s="17" t="s">
        <v>2142</v>
      </c>
      <c r="H495" s="169"/>
      <c r="I495" s="169"/>
      <c r="J495" s="169"/>
      <c r="K495" s="197"/>
      <c r="L495" s="169"/>
      <c r="M495" s="17" t="s">
        <v>2764</v>
      </c>
      <c r="N495" s="169"/>
      <c r="O495" s="169"/>
      <c r="P495" s="169"/>
      <c r="Q495" s="169"/>
      <c r="R495" s="169"/>
      <c r="S495" s="169"/>
      <c r="T495" s="169"/>
      <c r="U495" s="169"/>
      <c r="V495" s="169"/>
      <c r="W495" s="169"/>
      <c r="X495" s="169"/>
      <c r="Y495" s="169"/>
      <c r="Z495" s="169"/>
      <c r="AA495" s="169"/>
      <c r="AB495" s="169"/>
      <c r="AC495" s="169"/>
      <c r="AD495" s="169"/>
      <c r="AE495" s="169"/>
      <c r="AF495" s="169"/>
      <c r="AG495" s="169"/>
    </row>
    <row r="496" spans="1:33" x14ac:dyDescent="0.25">
      <c r="A496" s="17" t="s">
        <v>1490</v>
      </c>
      <c r="B496" s="169"/>
      <c r="C496" s="169"/>
      <c r="D496" s="197"/>
      <c r="E496" s="207"/>
      <c r="F496" s="169"/>
      <c r="G496" s="17" t="s">
        <v>2143</v>
      </c>
      <c r="H496" s="169"/>
      <c r="I496" s="169"/>
      <c r="J496" s="169"/>
      <c r="K496" s="197"/>
      <c r="L496" s="169"/>
      <c r="M496" s="17" t="s">
        <v>2765</v>
      </c>
      <c r="N496" s="169"/>
      <c r="O496" s="169"/>
      <c r="P496" s="169"/>
      <c r="Q496" s="169"/>
      <c r="R496" s="169"/>
      <c r="S496" s="169"/>
      <c r="T496" s="169"/>
      <c r="U496" s="169"/>
      <c r="V496" s="169"/>
      <c r="W496" s="169"/>
      <c r="X496" s="169"/>
      <c r="Y496" s="169"/>
      <c r="Z496" s="169"/>
      <c r="AA496" s="169"/>
      <c r="AB496" s="169"/>
      <c r="AC496" s="169"/>
      <c r="AD496" s="169"/>
      <c r="AE496" s="169"/>
      <c r="AF496" s="169"/>
      <c r="AG496" s="169"/>
    </row>
    <row r="497" spans="1:33" x14ac:dyDescent="0.25">
      <c r="A497" s="17" t="s">
        <v>1491</v>
      </c>
      <c r="B497" s="169"/>
      <c r="C497" s="169"/>
      <c r="D497" s="197"/>
      <c r="E497" s="207"/>
      <c r="F497" s="169"/>
      <c r="G497" s="17" t="s">
        <v>2144</v>
      </c>
      <c r="H497" s="169"/>
      <c r="I497" s="169"/>
      <c r="J497" s="169"/>
      <c r="K497" s="197"/>
      <c r="L497" s="169"/>
      <c r="M497" s="17" t="s">
        <v>2766</v>
      </c>
      <c r="N497" s="169"/>
      <c r="O497" s="169"/>
      <c r="P497" s="169"/>
      <c r="Q497" s="169"/>
      <c r="R497" s="169"/>
      <c r="S497" s="169"/>
      <c r="T497" s="169"/>
      <c r="U497" s="169"/>
      <c r="V497" s="169"/>
      <c r="W497" s="169"/>
      <c r="X497" s="169"/>
      <c r="Y497" s="169"/>
      <c r="Z497" s="169"/>
      <c r="AA497" s="169"/>
      <c r="AB497" s="169"/>
      <c r="AC497" s="169"/>
      <c r="AD497" s="169"/>
      <c r="AE497" s="169"/>
      <c r="AF497" s="169"/>
      <c r="AG497" s="169"/>
    </row>
    <row r="498" spans="1:33" x14ac:dyDescent="0.25">
      <c r="A498" s="17" t="s">
        <v>1492</v>
      </c>
      <c r="B498" s="169"/>
      <c r="C498" s="169"/>
      <c r="D498" s="197"/>
      <c r="E498" s="207"/>
      <c r="F498" s="169"/>
      <c r="G498" s="17" t="s">
        <v>2145</v>
      </c>
      <c r="H498" s="169"/>
      <c r="I498" s="169"/>
      <c r="J498" s="169"/>
      <c r="K498" s="197"/>
      <c r="L498" s="169"/>
      <c r="M498" s="17" t="s">
        <v>2125</v>
      </c>
      <c r="N498" s="169"/>
      <c r="O498" s="169"/>
      <c r="P498" s="169"/>
      <c r="Q498" s="169"/>
      <c r="R498" s="169"/>
      <c r="S498" s="169"/>
      <c r="T498" s="169"/>
      <c r="U498" s="169"/>
      <c r="V498" s="169"/>
      <c r="W498" s="169"/>
      <c r="X498" s="169"/>
      <c r="Y498" s="169"/>
      <c r="Z498" s="169"/>
      <c r="AA498" s="169"/>
      <c r="AB498" s="169"/>
      <c r="AC498" s="169"/>
      <c r="AD498" s="169"/>
      <c r="AE498" s="169"/>
      <c r="AF498" s="169"/>
      <c r="AG498" s="169"/>
    </row>
    <row r="499" spans="1:33" x14ac:dyDescent="0.25">
      <c r="A499" s="17" t="s">
        <v>1493</v>
      </c>
      <c r="B499" s="169"/>
      <c r="C499" s="169"/>
      <c r="D499" s="197"/>
      <c r="E499" s="207"/>
      <c r="F499" s="169"/>
      <c r="G499" s="17" t="s">
        <v>2146</v>
      </c>
      <c r="H499" s="169"/>
      <c r="I499" s="169"/>
      <c r="J499" s="169"/>
      <c r="K499" s="197"/>
      <c r="L499" s="169"/>
      <c r="M499" s="17" t="s">
        <v>2767</v>
      </c>
      <c r="N499" s="169"/>
      <c r="O499" s="169"/>
      <c r="P499" s="169"/>
      <c r="Q499" s="169"/>
      <c r="R499" s="169"/>
      <c r="S499" s="169"/>
      <c r="T499" s="169"/>
      <c r="U499" s="169"/>
      <c r="V499" s="169"/>
      <c r="W499" s="169"/>
      <c r="X499" s="169"/>
      <c r="Y499" s="169"/>
      <c r="Z499" s="169"/>
      <c r="AA499" s="169"/>
      <c r="AB499" s="169"/>
      <c r="AC499" s="169"/>
      <c r="AD499" s="169"/>
      <c r="AE499" s="169"/>
      <c r="AF499" s="169"/>
      <c r="AG499" s="169"/>
    </row>
    <row r="500" spans="1:33" x14ac:dyDescent="0.25">
      <c r="A500" s="17" t="s">
        <v>1494</v>
      </c>
      <c r="B500" s="169"/>
      <c r="C500" s="169"/>
      <c r="D500" s="197"/>
      <c r="E500" s="207"/>
      <c r="F500" s="169"/>
      <c r="G500" s="17" t="s">
        <v>2147</v>
      </c>
      <c r="H500" s="169"/>
      <c r="I500" s="169"/>
      <c r="J500" s="169"/>
      <c r="K500" s="197"/>
      <c r="L500" s="169"/>
      <c r="M500" s="17" t="s">
        <v>2768</v>
      </c>
      <c r="N500" s="169"/>
      <c r="O500" s="169"/>
      <c r="P500" s="169"/>
      <c r="Q500" s="169"/>
      <c r="R500" s="169"/>
      <c r="S500" s="169"/>
      <c r="T500" s="169"/>
      <c r="U500" s="169"/>
      <c r="V500" s="169"/>
      <c r="W500" s="169"/>
      <c r="X500" s="169"/>
      <c r="Y500" s="169"/>
      <c r="Z500" s="169"/>
      <c r="AA500" s="169"/>
      <c r="AB500" s="169"/>
      <c r="AC500" s="169"/>
      <c r="AD500" s="169"/>
      <c r="AE500" s="169"/>
      <c r="AF500" s="169"/>
      <c r="AG500" s="169"/>
    </row>
    <row r="501" spans="1:33" x14ac:dyDescent="0.25">
      <c r="A501" s="17" t="s">
        <v>1495</v>
      </c>
      <c r="B501" s="169"/>
      <c r="C501" s="169"/>
      <c r="D501" s="197"/>
      <c r="E501" s="207"/>
      <c r="F501" s="169"/>
      <c r="G501" s="17" t="s">
        <v>2148</v>
      </c>
      <c r="H501" s="169"/>
      <c r="I501" s="169"/>
      <c r="J501" s="169"/>
      <c r="K501" s="197"/>
      <c r="L501" s="169"/>
      <c r="M501" s="17" t="s">
        <v>2125</v>
      </c>
      <c r="N501" s="169"/>
      <c r="O501" s="169"/>
      <c r="P501" s="169"/>
      <c r="Q501" s="169"/>
      <c r="R501" s="169"/>
      <c r="S501" s="169"/>
      <c r="T501" s="169"/>
      <c r="U501" s="169"/>
      <c r="V501" s="169"/>
      <c r="W501" s="169"/>
      <c r="X501" s="169"/>
      <c r="Y501" s="169"/>
      <c r="Z501" s="169"/>
      <c r="AA501" s="169"/>
      <c r="AB501" s="169"/>
      <c r="AC501" s="169"/>
      <c r="AD501" s="169"/>
      <c r="AE501" s="169"/>
      <c r="AF501" s="169"/>
      <c r="AG501" s="169"/>
    </row>
    <row r="502" spans="1:33" x14ac:dyDescent="0.25">
      <c r="A502" s="17" t="s">
        <v>1496</v>
      </c>
      <c r="B502" s="169"/>
      <c r="C502" s="169"/>
      <c r="D502" s="197"/>
      <c r="E502" s="207"/>
      <c r="F502" s="169"/>
      <c r="G502" s="17" t="s">
        <v>2149</v>
      </c>
      <c r="H502" s="169"/>
      <c r="I502" s="169"/>
      <c r="J502" s="169"/>
      <c r="K502" s="197"/>
      <c r="L502" s="169"/>
      <c r="M502" s="17" t="s">
        <v>2769</v>
      </c>
      <c r="N502" s="169"/>
      <c r="O502" s="169"/>
      <c r="P502" s="169"/>
      <c r="Q502" s="169"/>
      <c r="R502" s="169"/>
      <c r="S502" s="169"/>
      <c r="T502" s="169"/>
      <c r="U502" s="169"/>
      <c r="V502" s="169"/>
      <c r="W502" s="169"/>
      <c r="X502" s="169"/>
      <c r="Y502" s="169"/>
      <c r="Z502" s="169"/>
      <c r="AA502" s="169"/>
      <c r="AB502" s="169"/>
      <c r="AC502" s="169"/>
      <c r="AD502" s="169"/>
      <c r="AE502" s="169"/>
      <c r="AF502" s="169"/>
      <c r="AG502" s="169"/>
    </row>
    <row r="503" spans="1:33" x14ac:dyDescent="0.25">
      <c r="A503" s="17" t="s">
        <v>1497</v>
      </c>
      <c r="B503" s="169"/>
      <c r="C503" s="169"/>
      <c r="D503" s="197"/>
      <c r="E503" s="207"/>
      <c r="F503" s="169"/>
      <c r="G503" s="17" t="s">
        <v>2139</v>
      </c>
      <c r="H503" s="169"/>
      <c r="I503" s="169"/>
      <c r="J503" s="169"/>
      <c r="K503" s="197"/>
      <c r="L503" s="169"/>
      <c r="M503" s="17" t="s">
        <v>2770</v>
      </c>
      <c r="N503" s="169"/>
      <c r="O503" s="169"/>
      <c r="P503" s="169"/>
      <c r="Q503" s="169"/>
      <c r="R503" s="169"/>
      <c r="S503" s="169"/>
      <c r="T503" s="169"/>
      <c r="U503" s="169"/>
      <c r="V503" s="169"/>
      <c r="W503" s="169"/>
      <c r="X503" s="169"/>
      <c r="Y503" s="169"/>
      <c r="Z503" s="169"/>
      <c r="AA503" s="169"/>
      <c r="AB503" s="169"/>
      <c r="AC503" s="169"/>
      <c r="AD503" s="169"/>
      <c r="AE503" s="169"/>
      <c r="AF503" s="169"/>
      <c r="AG503" s="169"/>
    </row>
    <row r="504" spans="1:33" x14ac:dyDescent="0.25">
      <c r="A504" s="17" t="s">
        <v>1498</v>
      </c>
      <c r="B504" s="169"/>
      <c r="C504" s="169"/>
      <c r="D504" s="197"/>
      <c r="E504" s="207"/>
      <c r="F504" s="169"/>
      <c r="G504" s="17" t="s">
        <v>2150</v>
      </c>
      <c r="H504" s="169"/>
      <c r="I504" s="169"/>
      <c r="J504" s="169"/>
      <c r="K504" s="197"/>
      <c r="L504" s="169"/>
      <c r="M504" s="17" t="s">
        <v>2771</v>
      </c>
      <c r="N504" s="169"/>
      <c r="O504" s="169"/>
      <c r="P504" s="169"/>
      <c r="Q504" s="169"/>
      <c r="R504" s="169"/>
      <c r="S504" s="169"/>
      <c r="T504" s="169"/>
      <c r="U504" s="169"/>
      <c r="V504" s="169"/>
      <c r="W504" s="169"/>
      <c r="X504" s="169"/>
      <c r="Y504" s="169"/>
      <c r="Z504" s="169"/>
      <c r="AA504" s="169"/>
      <c r="AB504" s="169"/>
      <c r="AC504" s="169"/>
      <c r="AD504" s="169"/>
      <c r="AE504" s="169"/>
      <c r="AF504" s="169"/>
      <c r="AG504" s="169"/>
    </row>
    <row r="505" spans="1:33" x14ac:dyDescent="0.25">
      <c r="A505" s="17" t="s">
        <v>1499</v>
      </c>
      <c r="B505" s="169"/>
      <c r="C505" s="169"/>
      <c r="D505" s="197"/>
      <c r="E505" s="207"/>
      <c r="F505" s="169"/>
      <c r="G505" s="439" t="s">
        <v>2151</v>
      </c>
      <c r="H505" s="440"/>
      <c r="I505" s="169"/>
      <c r="J505" s="169"/>
      <c r="K505" s="197"/>
      <c r="L505" s="169"/>
      <c r="M505" s="17" t="s">
        <v>2772</v>
      </c>
      <c r="N505" s="169"/>
      <c r="O505" s="169"/>
      <c r="P505" s="169"/>
      <c r="Q505" s="169"/>
      <c r="R505" s="169"/>
      <c r="S505" s="169"/>
      <c r="T505" s="169"/>
      <c r="U505" s="169"/>
      <c r="V505" s="169"/>
      <c r="W505" s="169"/>
      <c r="X505" s="169"/>
      <c r="Y505" s="169"/>
      <c r="Z505" s="169"/>
      <c r="AA505" s="169"/>
      <c r="AB505" s="169"/>
      <c r="AC505" s="169"/>
      <c r="AD505" s="169"/>
      <c r="AE505" s="169"/>
      <c r="AF505" s="169"/>
      <c r="AG505" s="169"/>
    </row>
    <row r="506" spans="1:33" x14ac:dyDescent="0.25">
      <c r="A506" s="17" t="s">
        <v>1500</v>
      </c>
      <c r="B506" s="169"/>
      <c r="C506" s="169"/>
      <c r="D506" s="197"/>
      <c r="E506" s="207"/>
      <c r="F506" s="169"/>
      <c r="G506" s="17" t="s">
        <v>2139</v>
      </c>
      <c r="H506" s="169"/>
      <c r="I506" s="169"/>
      <c r="J506" s="169"/>
      <c r="K506" s="197"/>
      <c r="L506" s="169"/>
      <c r="M506" s="17" t="s">
        <v>1461</v>
      </c>
      <c r="N506" s="169"/>
      <c r="O506" s="169"/>
      <c r="P506" s="169"/>
      <c r="Q506" s="169"/>
      <c r="R506" s="169"/>
      <c r="S506" s="169"/>
      <c r="T506" s="169"/>
      <c r="U506" s="169"/>
      <c r="V506" s="169"/>
      <c r="W506" s="169"/>
      <c r="X506" s="169"/>
      <c r="Y506" s="169"/>
      <c r="Z506" s="169"/>
      <c r="AA506" s="169"/>
      <c r="AB506" s="169"/>
      <c r="AC506" s="169"/>
      <c r="AD506" s="169"/>
      <c r="AE506" s="169"/>
      <c r="AF506" s="169"/>
      <c r="AG506" s="169"/>
    </row>
    <row r="507" spans="1:33" x14ac:dyDescent="0.25">
      <c r="A507" s="17" t="s">
        <v>1501</v>
      </c>
      <c r="B507" s="169"/>
      <c r="C507" s="169"/>
      <c r="D507" s="197"/>
      <c r="E507" s="207"/>
      <c r="F507" s="169"/>
      <c r="G507" s="17" t="s">
        <v>2152</v>
      </c>
      <c r="H507" s="169"/>
      <c r="I507" s="169"/>
      <c r="J507" s="169"/>
      <c r="K507" s="197"/>
      <c r="L507" s="169"/>
      <c r="M507" s="17" t="s">
        <v>2773</v>
      </c>
      <c r="N507" s="169"/>
      <c r="O507" s="169"/>
      <c r="P507" s="169"/>
      <c r="Q507" s="169"/>
      <c r="R507" s="169"/>
      <c r="S507" s="169"/>
      <c r="T507" s="169"/>
      <c r="U507" s="169"/>
      <c r="V507" s="169"/>
      <c r="W507" s="169"/>
      <c r="X507" s="169"/>
      <c r="Y507" s="169"/>
      <c r="Z507" s="169"/>
      <c r="AA507" s="169"/>
      <c r="AB507" s="169"/>
      <c r="AC507" s="169"/>
      <c r="AD507" s="169"/>
      <c r="AE507" s="169"/>
      <c r="AF507" s="169"/>
      <c r="AG507" s="169"/>
    </row>
    <row r="508" spans="1:33" x14ac:dyDescent="0.25">
      <c r="A508" s="17" t="s">
        <v>1502</v>
      </c>
      <c r="B508" s="169"/>
      <c r="C508" s="169"/>
      <c r="D508" s="197"/>
      <c r="E508" s="207"/>
      <c r="F508" s="169"/>
      <c r="G508" s="17" t="s">
        <v>2153</v>
      </c>
      <c r="H508" s="169"/>
      <c r="I508" s="169"/>
      <c r="J508" s="169"/>
      <c r="K508" s="197"/>
      <c r="L508" s="169"/>
      <c r="M508" s="17" t="s">
        <v>2774</v>
      </c>
      <c r="N508" s="169"/>
      <c r="O508" s="169"/>
      <c r="P508" s="169"/>
      <c r="Q508" s="169"/>
      <c r="R508" s="169"/>
      <c r="S508" s="169"/>
      <c r="T508" s="169"/>
      <c r="U508" s="169"/>
      <c r="V508" s="169"/>
      <c r="W508" s="169"/>
      <c r="X508" s="169"/>
      <c r="Y508" s="169"/>
      <c r="Z508" s="169"/>
      <c r="AA508" s="169"/>
      <c r="AB508" s="169"/>
      <c r="AC508" s="169"/>
      <c r="AD508" s="169"/>
      <c r="AE508" s="169"/>
      <c r="AF508" s="169"/>
      <c r="AG508" s="169"/>
    </row>
    <row r="509" spans="1:33" x14ac:dyDescent="0.25">
      <c r="A509" s="17" t="s">
        <v>1503</v>
      </c>
      <c r="B509" s="169"/>
      <c r="C509" s="169"/>
      <c r="D509" s="197"/>
      <c r="E509" s="207"/>
      <c r="F509" s="169"/>
      <c r="G509" s="17" t="s">
        <v>2154</v>
      </c>
      <c r="H509" s="169"/>
      <c r="I509" s="169"/>
      <c r="J509" s="169"/>
      <c r="K509" s="197"/>
      <c r="L509" s="169"/>
      <c r="M509" s="17" t="s">
        <v>2775</v>
      </c>
      <c r="N509" s="169"/>
      <c r="O509" s="169"/>
      <c r="P509" s="169"/>
      <c r="Q509" s="169"/>
      <c r="R509" s="169"/>
      <c r="S509" s="169"/>
      <c r="T509" s="169"/>
      <c r="U509" s="169"/>
      <c r="V509" s="169"/>
      <c r="W509" s="169"/>
      <c r="X509" s="169"/>
      <c r="Y509" s="169"/>
      <c r="Z509" s="169"/>
      <c r="AA509" s="169"/>
      <c r="AB509" s="169"/>
      <c r="AC509" s="169"/>
      <c r="AD509" s="169"/>
      <c r="AE509" s="169"/>
      <c r="AF509" s="169"/>
      <c r="AG509" s="169"/>
    </row>
    <row r="510" spans="1:33" x14ac:dyDescent="0.25">
      <c r="A510" s="17" t="s">
        <v>1504</v>
      </c>
      <c r="B510" s="169"/>
      <c r="C510" s="169"/>
      <c r="D510" s="197"/>
      <c r="E510" s="207"/>
      <c r="F510" s="169"/>
      <c r="G510" s="17" t="s">
        <v>2155</v>
      </c>
      <c r="H510" s="169"/>
      <c r="I510" s="169"/>
      <c r="J510" s="169"/>
      <c r="K510" s="197"/>
      <c r="L510" s="169"/>
      <c r="M510" s="17" t="s">
        <v>2776</v>
      </c>
      <c r="N510" s="169"/>
      <c r="O510" s="169"/>
      <c r="P510" s="169"/>
      <c r="Q510" s="169"/>
      <c r="R510" s="169"/>
      <c r="S510" s="169"/>
      <c r="T510" s="169"/>
      <c r="U510" s="169"/>
      <c r="V510" s="169"/>
      <c r="W510" s="169"/>
      <c r="X510" s="169"/>
      <c r="Y510" s="169"/>
      <c r="Z510" s="169"/>
      <c r="AA510" s="169"/>
      <c r="AB510" s="169"/>
      <c r="AC510" s="169"/>
      <c r="AD510" s="169"/>
      <c r="AE510" s="169"/>
      <c r="AF510" s="169"/>
      <c r="AG510" s="169"/>
    </row>
    <row r="511" spans="1:33" x14ac:dyDescent="0.25">
      <c r="A511" s="17" t="s">
        <v>1505</v>
      </c>
      <c r="B511" s="169"/>
      <c r="C511" s="169"/>
      <c r="D511" s="197"/>
      <c r="E511" s="207"/>
      <c r="F511" s="169"/>
      <c r="G511" s="17" t="s">
        <v>2147</v>
      </c>
      <c r="H511" s="169"/>
      <c r="I511" s="169"/>
      <c r="J511" s="169"/>
      <c r="K511" s="197"/>
      <c r="L511" s="169"/>
      <c r="M511" s="17" t="s">
        <v>2777</v>
      </c>
      <c r="N511" s="169"/>
      <c r="O511" s="169"/>
      <c r="P511" s="169"/>
      <c r="Q511" s="169"/>
      <c r="R511" s="169"/>
      <c r="S511" s="169"/>
      <c r="T511" s="169"/>
      <c r="U511" s="169"/>
      <c r="V511" s="169"/>
      <c r="W511" s="169"/>
      <c r="X511" s="169"/>
      <c r="Y511" s="169"/>
      <c r="Z511" s="169"/>
      <c r="AA511" s="169"/>
      <c r="AB511" s="169"/>
      <c r="AC511" s="169"/>
      <c r="AD511" s="169"/>
      <c r="AE511" s="169"/>
      <c r="AF511" s="169"/>
      <c r="AG511" s="169"/>
    </row>
    <row r="512" spans="1:33" x14ac:dyDescent="0.25">
      <c r="A512" s="17" t="s">
        <v>1506</v>
      </c>
      <c r="B512" s="169"/>
      <c r="C512" s="169"/>
      <c r="D512" s="197"/>
      <c r="E512" s="207"/>
      <c r="F512" s="169"/>
      <c r="G512" s="17" t="s">
        <v>2156</v>
      </c>
      <c r="H512" s="169"/>
      <c r="I512" s="169"/>
      <c r="J512" s="169"/>
      <c r="K512" s="197"/>
      <c r="L512" s="169"/>
      <c r="M512" s="17" t="s">
        <v>2778</v>
      </c>
      <c r="N512" s="169"/>
      <c r="O512" s="169"/>
      <c r="P512" s="169"/>
      <c r="Q512" s="169"/>
      <c r="R512" s="169"/>
      <c r="S512" s="169"/>
      <c r="T512" s="169"/>
      <c r="U512" s="169"/>
      <c r="V512" s="169"/>
      <c r="W512" s="169"/>
      <c r="X512" s="169"/>
      <c r="Y512" s="169"/>
      <c r="Z512" s="169"/>
      <c r="AA512" s="169"/>
      <c r="AB512" s="169"/>
      <c r="AC512" s="169"/>
      <c r="AD512" s="169"/>
      <c r="AE512" s="169"/>
      <c r="AF512" s="169"/>
      <c r="AG512" s="169"/>
    </row>
    <row r="513" spans="1:33" x14ac:dyDescent="0.25">
      <c r="A513" s="17" t="s">
        <v>1507</v>
      </c>
      <c r="B513" s="169"/>
      <c r="C513" s="169"/>
      <c r="D513" s="197"/>
      <c r="E513" s="207"/>
      <c r="F513" s="169"/>
      <c r="G513" s="17" t="s">
        <v>2157</v>
      </c>
      <c r="H513" s="169"/>
      <c r="I513" s="169"/>
      <c r="J513" s="169"/>
      <c r="K513" s="197"/>
      <c r="L513" s="169"/>
      <c r="M513" s="17" t="s">
        <v>2779</v>
      </c>
      <c r="N513" s="169"/>
      <c r="O513" s="169"/>
      <c r="P513" s="169"/>
      <c r="Q513" s="169"/>
      <c r="R513" s="169"/>
      <c r="S513" s="169"/>
      <c r="T513" s="169"/>
      <c r="U513" s="169"/>
      <c r="V513" s="169"/>
      <c r="W513" s="169"/>
      <c r="X513" s="169"/>
      <c r="Y513" s="169"/>
      <c r="Z513" s="169"/>
      <c r="AA513" s="169"/>
      <c r="AB513" s="169"/>
      <c r="AC513" s="169"/>
      <c r="AD513" s="169"/>
      <c r="AE513" s="169"/>
      <c r="AF513" s="169"/>
      <c r="AG513" s="169"/>
    </row>
    <row r="514" spans="1:33" x14ac:dyDescent="0.25">
      <c r="A514" s="17" t="s">
        <v>1508</v>
      </c>
      <c r="B514" s="169"/>
      <c r="C514" s="169"/>
      <c r="D514" s="197"/>
      <c r="E514" s="207"/>
      <c r="F514" s="169"/>
      <c r="G514" s="17" t="s">
        <v>2158</v>
      </c>
      <c r="H514" s="169"/>
      <c r="I514" s="169"/>
      <c r="J514" s="169"/>
      <c r="K514" s="197"/>
      <c r="L514" s="169"/>
      <c r="M514" s="17" t="s">
        <v>2780</v>
      </c>
      <c r="N514" s="169"/>
      <c r="O514" s="169"/>
      <c r="P514" s="169"/>
      <c r="Q514" s="169"/>
      <c r="R514" s="169"/>
      <c r="S514" s="169"/>
      <c r="T514" s="169"/>
      <c r="U514" s="169"/>
      <c r="V514" s="169"/>
      <c r="W514" s="169"/>
      <c r="X514" s="169"/>
      <c r="Y514" s="169"/>
      <c r="Z514" s="169"/>
      <c r="AA514" s="169"/>
      <c r="AB514" s="169"/>
      <c r="AC514" s="169"/>
      <c r="AD514" s="169"/>
      <c r="AE514" s="169"/>
      <c r="AF514" s="169"/>
      <c r="AG514" s="169"/>
    </row>
    <row r="515" spans="1:33" x14ac:dyDescent="0.25">
      <c r="A515" s="17" t="s">
        <v>1509</v>
      </c>
      <c r="B515" s="169"/>
      <c r="C515" s="169"/>
      <c r="D515" s="197"/>
      <c r="E515" s="207"/>
      <c r="F515" s="169"/>
      <c r="G515" s="17" t="s">
        <v>2159</v>
      </c>
      <c r="H515" s="169"/>
      <c r="I515" s="169"/>
      <c r="J515" s="169"/>
      <c r="K515" s="197"/>
      <c r="L515" s="169"/>
      <c r="M515" s="17" t="s">
        <v>2781</v>
      </c>
      <c r="N515" s="169"/>
      <c r="O515" s="169"/>
      <c r="P515" s="169"/>
      <c r="Q515" s="169"/>
      <c r="R515" s="169"/>
      <c r="S515" s="169"/>
      <c r="T515" s="169"/>
      <c r="U515" s="169"/>
      <c r="V515" s="169"/>
      <c r="W515" s="169"/>
      <c r="X515" s="169"/>
      <c r="Y515" s="169"/>
      <c r="Z515" s="169"/>
      <c r="AA515" s="169"/>
      <c r="AB515" s="169"/>
      <c r="AC515" s="169"/>
      <c r="AD515" s="169"/>
      <c r="AE515" s="169"/>
      <c r="AF515" s="169"/>
      <c r="AG515" s="169"/>
    </row>
    <row r="516" spans="1:33" x14ac:dyDescent="0.25">
      <c r="A516" s="17" t="s">
        <v>1510</v>
      </c>
      <c r="B516" s="169"/>
      <c r="C516" s="169"/>
      <c r="D516" s="197"/>
      <c r="E516" s="207"/>
      <c r="F516" s="169"/>
      <c r="G516" s="17" t="s">
        <v>1489</v>
      </c>
      <c r="H516" s="169"/>
      <c r="I516" s="169"/>
      <c r="J516" s="169"/>
      <c r="K516" s="197"/>
      <c r="L516" s="169"/>
      <c r="M516" s="17" t="s">
        <v>2782</v>
      </c>
      <c r="N516" s="169"/>
      <c r="O516" s="169"/>
      <c r="P516" s="169"/>
      <c r="Q516" s="169"/>
      <c r="R516" s="169"/>
      <c r="S516" s="169"/>
      <c r="T516" s="169"/>
      <c r="U516" s="169"/>
      <c r="V516" s="169"/>
      <c r="W516" s="169"/>
      <c r="X516" s="169"/>
      <c r="Y516" s="169"/>
      <c r="Z516" s="169"/>
      <c r="AA516" s="169"/>
      <c r="AB516" s="169"/>
      <c r="AC516" s="169"/>
      <c r="AD516" s="169"/>
      <c r="AE516" s="169"/>
      <c r="AF516" s="169"/>
      <c r="AG516" s="169"/>
    </row>
    <row r="517" spans="1:33" x14ac:dyDescent="0.25">
      <c r="A517" s="17" t="s">
        <v>1511</v>
      </c>
      <c r="B517" s="169"/>
      <c r="C517" s="169"/>
      <c r="D517" s="197"/>
      <c r="E517" s="207"/>
      <c r="F517" s="169"/>
      <c r="G517" s="439" t="s">
        <v>2160</v>
      </c>
      <c r="H517" s="440"/>
      <c r="I517" s="169"/>
      <c r="J517" s="169"/>
      <c r="K517" s="197"/>
      <c r="L517" s="169"/>
      <c r="M517" s="17" t="s">
        <v>2760</v>
      </c>
      <c r="N517" s="169"/>
      <c r="O517" s="169"/>
      <c r="P517" s="169"/>
      <c r="Q517" s="169"/>
      <c r="R517" s="169"/>
      <c r="S517" s="169"/>
      <c r="T517" s="169"/>
      <c r="U517" s="169"/>
      <c r="V517" s="169"/>
      <c r="W517" s="169"/>
      <c r="X517" s="169"/>
      <c r="Y517" s="169"/>
      <c r="Z517" s="169"/>
      <c r="AA517" s="169"/>
      <c r="AB517" s="169"/>
      <c r="AC517" s="169"/>
      <c r="AD517" s="169"/>
      <c r="AE517" s="169"/>
      <c r="AF517" s="169"/>
      <c r="AG517" s="169"/>
    </row>
    <row r="518" spans="1:33" x14ac:dyDescent="0.25">
      <c r="A518" s="17" t="s">
        <v>1512</v>
      </c>
      <c r="B518" s="169"/>
      <c r="C518" s="169"/>
      <c r="D518" s="197"/>
      <c r="E518" s="207"/>
      <c r="F518" s="169"/>
      <c r="G518" s="17" t="s">
        <v>2161</v>
      </c>
      <c r="H518" s="169"/>
      <c r="I518" s="169"/>
      <c r="J518" s="169"/>
      <c r="K518" s="197"/>
      <c r="L518" s="169"/>
      <c r="M518" s="17" t="s">
        <v>2783</v>
      </c>
      <c r="N518" s="169"/>
      <c r="O518" s="169"/>
      <c r="P518" s="169"/>
      <c r="Q518" s="169"/>
      <c r="R518" s="169"/>
      <c r="S518" s="169"/>
      <c r="T518" s="169"/>
      <c r="U518" s="169"/>
      <c r="V518" s="169"/>
      <c r="W518" s="169"/>
      <c r="X518" s="169"/>
      <c r="Y518" s="169"/>
      <c r="Z518" s="169"/>
      <c r="AA518" s="169"/>
      <c r="AB518" s="169"/>
      <c r="AC518" s="169"/>
      <c r="AD518" s="169"/>
      <c r="AE518" s="169"/>
      <c r="AF518" s="169"/>
      <c r="AG518" s="169"/>
    </row>
    <row r="519" spans="1:33" x14ac:dyDescent="0.25">
      <c r="A519" s="17" t="s">
        <v>1513</v>
      </c>
      <c r="B519" s="169"/>
      <c r="C519" s="169"/>
      <c r="D519" s="197"/>
      <c r="E519" s="207"/>
      <c r="F519" s="169"/>
      <c r="G519" s="17" t="s">
        <v>2162</v>
      </c>
      <c r="H519" s="169"/>
      <c r="I519" s="169"/>
      <c r="J519" s="169"/>
      <c r="K519" s="197"/>
      <c r="L519" s="169"/>
      <c r="M519" s="17" t="s">
        <v>2784</v>
      </c>
      <c r="N519" s="169"/>
      <c r="O519" s="169"/>
      <c r="P519" s="169"/>
      <c r="Q519" s="169"/>
      <c r="R519" s="169"/>
      <c r="S519" s="169"/>
      <c r="T519" s="169"/>
      <c r="U519" s="169"/>
      <c r="V519" s="169"/>
      <c r="W519" s="169"/>
      <c r="X519" s="169"/>
      <c r="Y519" s="169"/>
      <c r="Z519" s="169"/>
      <c r="AA519" s="169"/>
      <c r="AB519" s="169"/>
      <c r="AC519" s="169"/>
      <c r="AD519" s="169"/>
      <c r="AE519" s="169"/>
      <c r="AF519" s="169"/>
      <c r="AG519" s="169"/>
    </row>
    <row r="520" spans="1:33" x14ac:dyDescent="0.25">
      <c r="A520" s="17" t="s">
        <v>1511</v>
      </c>
      <c r="B520" s="169"/>
      <c r="C520" s="169"/>
      <c r="D520" s="197"/>
      <c r="E520" s="207"/>
      <c r="F520" s="169"/>
      <c r="G520" s="17" t="s">
        <v>2163</v>
      </c>
      <c r="H520" s="169"/>
      <c r="I520" s="169"/>
      <c r="J520" s="169"/>
      <c r="K520" s="197"/>
      <c r="L520" s="169"/>
      <c r="M520" s="17" t="s">
        <v>2785</v>
      </c>
      <c r="N520" s="169"/>
      <c r="O520" s="169"/>
      <c r="P520" s="169"/>
      <c r="Q520" s="169"/>
      <c r="R520" s="169"/>
      <c r="S520" s="169"/>
      <c r="T520" s="169"/>
      <c r="U520" s="169"/>
      <c r="V520" s="169"/>
      <c r="W520" s="169"/>
      <c r="X520" s="169"/>
      <c r="Y520" s="169"/>
      <c r="Z520" s="169"/>
      <c r="AA520" s="169"/>
      <c r="AB520" s="169"/>
      <c r="AC520" s="169"/>
      <c r="AD520" s="169"/>
      <c r="AE520" s="169"/>
      <c r="AF520" s="169"/>
      <c r="AG520" s="169"/>
    </row>
    <row r="521" spans="1:33" x14ac:dyDescent="0.25">
      <c r="A521" s="17" t="s">
        <v>1514</v>
      </c>
      <c r="B521" s="169"/>
      <c r="C521" s="169"/>
      <c r="D521" s="197"/>
      <c r="E521" s="207"/>
      <c r="F521" s="169"/>
      <c r="G521" s="17" t="s">
        <v>1524</v>
      </c>
      <c r="H521" s="169"/>
      <c r="I521" s="169"/>
      <c r="J521" s="169"/>
      <c r="K521" s="197"/>
      <c r="L521" s="169"/>
      <c r="M521" s="17" t="s">
        <v>2786</v>
      </c>
      <c r="N521" s="169"/>
      <c r="O521" s="169"/>
      <c r="P521" s="169"/>
      <c r="Q521" s="169"/>
      <c r="R521" s="169"/>
      <c r="S521" s="169"/>
      <c r="T521" s="169"/>
      <c r="U521" s="169"/>
      <c r="V521" s="169"/>
      <c r="W521" s="169"/>
      <c r="X521" s="169"/>
      <c r="Y521" s="169"/>
      <c r="Z521" s="169"/>
      <c r="AA521" s="169"/>
      <c r="AB521" s="169"/>
      <c r="AC521" s="169"/>
      <c r="AD521" s="169"/>
      <c r="AE521" s="169"/>
      <c r="AF521" s="169"/>
      <c r="AG521" s="169"/>
    </row>
    <row r="522" spans="1:33" x14ac:dyDescent="0.25">
      <c r="A522" s="17" t="s">
        <v>1515</v>
      </c>
      <c r="B522" s="169"/>
      <c r="C522" s="169"/>
      <c r="D522" s="197"/>
      <c r="E522" s="207"/>
      <c r="F522" s="169"/>
      <c r="G522" s="17" t="s">
        <v>2164</v>
      </c>
      <c r="H522" s="169"/>
      <c r="I522" s="169"/>
      <c r="J522" s="169"/>
      <c r="K522" s="197"/>
      <c r="L522" s="169"/>
      <c r="M522" s="17" t="s">
        <v>2787</v>
      </c>
      <c r="N522" s="169"/>
      <c r="O522" s="169"/>
      <c r="P522" s="169"/>
      <c r="Q522" s="169"/>
      <c r="R522" s="169"/>
      <c r="S522" s="169"/>
      <c r="T522" s="169"/>
      <c r="U522" s="169"/>
      <c r="V522" s="169"/>
      <c r="W522" s="169"/>
      <c r="X522" s="169"/>
      <c r="Y522" s="169"/>
      <c r="Z522" s="169"/>
      <c r="AA522" s="169"/>
      <c r="AB522" s="169"/>
      <c r="AC522" s="169"/>
      <c r="AD522" s="169"/>
      <c r="AE522" s="169"/>
      <c r="AF522" s="169"/>
      <c r="AG522" s="169"/>
    </row>
    <row r="523" spans="1:33" x14ac:dyDescent="0.25">
      <c r="A523" s="17" t="s">
        <v>1516</v>
      </c>
      <c r="B523" s="169"/>
      <c r="C523" s="169"/>
      <c r="D523" s="197"/>
      <c r="E523" s="207"/>
      <c r="F523" s="169"/>
      <c r="G523" s="17" t="s">
        <v>2165</v>
      </c>
      <c r="H523" s="169"/>
      <c r="I523" s="169"/>
      <c r="J523" s="169"/>
      <c r="K523" s="197"/>
      <c r="L523" s="169"/>
      <c r="M523" s="17" t="s">
        <v>2121</v>
      </c>
      <c r="N523" s="169"/>
      <c r="O523" s="169"/>
      <c r="P523" s="169"/>
      <c r="Q523" s="169"/>
      <c r="R523" s="169"/>
      <c r="S523" s="169"/>
      <c r="T523" s="169"/>
      <c r="U523" s="169"/>
      <c r="V523" s="169"/>
      <c r="W523" s="169"/>
      <c r="X523" s="169"/>
      <c r="Y523" s="169"/>
      <c r="Z523" s="169"/>
      <c r="AA523" s="169"/>
      <c r="AB523" s="169"/>
      <c r="AC523" s="169"/>
      <c r="AD523" s="169"/>
      <c r="AE523" s="169"/>
      <c r="AF523" s="169"/>
      <c r="AG523" s="169"/>
    </row>
    <row r="524" spans="1:33" x14ac:dyDescent="0.25">
      <c r="A524" s="17" t="s">
        <v>1517</v>
      </c>
      <c r="B524" s="169"/>
      <c r="C524" s="169"/>
      <c r="D524" s="197"/>
      <c r="E524" s="207"/>
      <c r="F524" s="169"/>
      <c r="G524" s="17" t="s">
        <v>2166</v>
      </c>
      <c r="H524" s="169"/>
      <c r="I524" s="169"/>
      <c r="J524" s="169"/>
      <c r="K524" s="197"/>
      <c r="L524" s="169"/>
      <c r="M524" s="17" t="s">
        <v>2788</v>
      </c>
      <c r="N524" s="169"/>
      <c r="O524" s="169"/>
      <c r="P524" s="169"/>
      <c r="Q524" s="169"/>
      <c r="R524" s="169"/>
      <c r="S524" s="169"/>
      <c r="T524" s="169"/>
      <c r="U524" s="169"/>
      <c r="V524" s="169"/>
      <c r="W524" s="169"/>
      <c r="X524" s="169"/>
      <c r="Y524" s="169"/>
      <c r="Z524" s="169"/>
      <c r="AA524" s="169"/>
      <c r="AB524" s="169"/>
      <c r="AC524" s="169"/>
      <c r="AD524" s="169"/>
      <c r="AE524" s="169"/>
      <c r="AF524" s="169"/>
      <c r="AG524" s="169"/>
    </row>
    <row r="525" spans="1:33" x14ac:dyDescent="0.25">
      <c r="A525" s="17" t="s">
        <v>1518</v>
      </c>
      <c r="B525" s="169"/>
      <c r="C525" s="169"/>
      <c r="D525" s="197"/>
      <c r="E525" s="207"/>
      <c r="F525" s="169"/>
      <c r="G525" s="17" t="s">
        <v>2167</v>
      </c>
      <c r="H525" s="169"/>
      <c r="I525" s="169"/>
      <c r="J525" s="169"/>
      <c r="K525" s="197"/>
      <c r="L525" s="169"/>
      <c r="M525" s="17" t="s">
        <v>2121</v>
      </c>
      <c r="N525" s="169"/>
      <c r="O525" s="169"/>
      <c r="P525" s="169"/>
      <c r="Q525" s="169"/>
      <c r="R525" s="169"/>
      <c r="S525" s="169"/>
      <c r="T525" s="169"/>
      <c r="U525" s="169"/>
      <c r="V525" s="169"/>
      <c r="W525" s="169"/>
      <c r="X525" s="169"/>
      <c r="Y525" s="169"/>
      <c r="Z525" s="169"/>
      <c r="AA525" s="169"/>
      <c r="AB525" s="169"/>
      <c r="AC525" s="169"/>
      <c r="AD525" s="169"/>
      <c r="AE525" s="169"/>
      <c r="AF525" s="169"/>
      <c r="AG525" s="169"/>
    </row>
    <row r="526" spans="1:33" x14ac:dyDescent="0.25">
      <c r="A526" s="17" t="s">
        <v>1519</v>
      </c>
      <c r="B526" s="169"/>
      <c r="C526" s="169"/>
      <c r="D526" s="197"/>
      <c r="E526" s="207"/>
      <c r="F526" s="169"/>
      <c r="G526" s="17" t="s">
        <v>2168</v>
      </c>
      <c r="H526" s="169"/>
      <c r="I526" s="169"/>
      <c r="J526" s="169"/>
      <c r="K526" s="197"/>
      <c r="L526" s="169"/>
      <c r="M526" s="17" t="s">
        <v>2789</v>
      </c>
      <c r="N526" s="169"/>
      <c r="O526" s="169"/>
      <c r="P526" s="169"/>
      <c r="Q526" s="169"/>
      <c r="R526" s="169"/>
      <c r="S526" s="169"/>
      <c r="T526" s="169"/>
      <c r="U526" s="169"/>
      <c r="V526" s="169"/>
      <c r="W526" s="169"/>
      <c r="X526" s="169"/>
      <c r="Y526" s="169"/>
      <c r="Z526" s="169"/>
      <c r="AA526" s="169"/>
      <c r="AB526" s="169"/>
      <c r="AC526" s="169"/>
      <c r="AD526" s="169"/>
      <c r="AE526" s="169"/>
      <c r="AF526" s="169"/>
      <c r="AG526" s="169"/>
    </row>
    <row r="527" spans="1:33" x14ac:dyDescent="0.25">
      <c r="A527" s="17" t="s">
        <v>1520</v>
      </c>
      <c r="B527" s="169"/>
      <c r="C527" s="169"/>
      <c r="D527" s="197"/>
      <c r="E527" s="207"/>
      <c r="F527" s="169"/>
      <c r="G527" s="17" t="s">
        <v>2169</v>
      </c>
      <c r="H527" s="169"/>
      <c r="I527" s="169"/>
      <c r="J527" s="169"/>
      <c r="K527" s="197"/>
      <c r="L527" s="169"/>
      <c r="M527" s="17" t="s">
        <v>2790</v>
      </c>
      <c r="N527" s="169"/>
      <c r="O527" s="169"/>
      <c r="P527" s="169"/>
      <c r="Q527" s="169"/>
      <c r="R527" s="169"/>
      <c r="S527" s="169"/>
      <c r="T527" s="169"/>
      <c r="U527" s="169"/>
      <c r="V527" s="169"/>
      <c r="W527" s="169"/>
      <c r="X527" s="169"/>
      <c r="Y527" s="169"/>
      <c r="Z527" s="169"/>
      <c r="AA527" s="169"/>
      <c r="AB527" s="169"/>
      <c r="AC527" s="169"/>
      <c r="AD527" s="169"/>
      <c r="AE527" s="169"/>
      <c r="AF527" s="169"/>
      <c r="AG527" s="169"/>
    </row>
    <row r="528" spans="1:33" x14ac:dyDescent="0.25">
      <c r="A528" s="17" t="s">
        <v>1521</v>
      </c>
      <c r="B528" s="169"/>
      <c r="C528" s="169"/>
      <c r="D528" s="197"/>
      <c r="E528" s="207"/>
      <c r="F528" s="169"/>
      <c r="G528" s="17" t="s">
        <v>2170</v>
      </c>
      <c r="H528" s="169"/>
      <c r="I528" s="169"/>
      <c r="J528" s="169"/>
      <c r="K528" s="197"/>
      <c r="L528" s="169"/>
      <c r="M528" s="17" t="s">
        <v>2791</v>
      </c>
      <c r="N528" s="169"/>
      <c r="O528" s="169"/>
      <c r="P528" s="169"/>
      <c r="Q528" s="169"/>
      <c r="R528" s="169"/>
      <c r="S528" s="169"/>
      <c r="T528" s="169"/>
      <c r="U528" s="169"/>
      <c r="V528" s="169"/>
      <c r="W528" s="169"/>
      <c r="X528" s="169"/>
      <c r="Y528" s="169"/>
      <c r="Z528" s="169"/>
      <c r="AA528" s="169"/>
      <c r="AB528" s="169"/>
      <c r="AC528" s="169"/>
      <c r="AD528" s="169"/>
      <c r="AE528" s="169"/>
      <c r="AF528" s="169"/>
      <c r="AG528" s="169"/>
    </row>
    <row r="529" spans="1:33" x14ac:dyDescent="0.25">
      <c r="A529" s="17" t="s">
        <v>1522</v>
      </c>
      <c r="B529" s="169"/>
      <c r="C529" s="169"/>
      <c r="D529" s="197"/>
      <c r="E529" s="207"/>
      <c r="F529" s="169"/>
      <c r="G529" s="17" t="s">
        <v>2171</v>
      </c>
      <c r="H529" s="169"/>
      <c r="I529" s="169"/>
      <c r="J529" s="169"/>
      <c r="K529" s="197"/>
      <c r="L529" s="169"/>
      <c r="M529" s="17" t="s">
        <v>2792</v>
      </c>
      <c r="N529" s="169"/>
      <c r="O529" s="169"/>
      <c r="P529" s="169"/>
      <c r="Q529" s="169"/>
      <c r="R529" s="169"/>
      <c r="S529" s="169"/>
      <c r="T529" s="169"/>
      <c r="U529" s="169"/>
      <c r="V529" s="169"/>
      <c r="W529" s="169"/>
      <c r="X529" s="169"/>
      <c r="Y529" s="169"/>
      <c r="Z529" s="169"/>
      <c r="AA529" s="169"/>
      <c r="AB529" s="169"/>
      <c r="AC529" s="169"/>
      <c r="AD529" s="169"/>
      <c r="AE529" s="169"/>
      <c r="AF529" s="169"/>
      <c r="AG529" s="169"/>
    </row>
    <row r="530" spans="1:33" x14ac:dyDescent="0.25">
      <c r="A530" s="17" t="s">
        <v>1523</v>
      </c>
      <c r="B530" s="169"/>
      <c r="C530" s="169"/>
      <c r="D530" s="197"/>
      <c r="E530" s="207"/>
      <c r="F530" s="169"/>
      <c r="G530" s="17" t="s">
        <v>2167</v>
      </c>
      <c r="H530" s="169"/>
      <c r="I530" s="169"/>
      <c r="J530" s="169"/>
      <c r="K530" s="197"/>
      <c r="L530" s="169"/>
      <c r="M530" s="17" t="s">
        <v>1451</v>
      </c>
      <c r="N530" s="169"/>
      <c r="O530" s="169"/>
      <c r="P530" s="169"/>
      <c r="Q530" s="169"/>
      <c r="R530" s="169"/>
      <c r="S530" s="169"/>
      <c r="T530" s="169"/>
      <c r="U530" s="169"/>
      <c r="V530" s="169"/>
      <c r="W530" s="169"/>
      <c r="X530" s="169"/>
      <c r="Y530" s="169"/>
      <c r="Z530" s="169"/>
      <c r="AA530" s="169"/>
      <c r="AB530" s="169"/>
      <c r="AC530" s="169"/>
      <c r="AD530" s="169"/>
      <c r="AE530" s="169"/>
      <c r="AF530" s="169"/>
      <c r="AG530" s="169"/>
    </row>
    <row r="531" spans="1:33" x14ac:dyDescent="0.25">
      <c r="A531" s="17" t="s">
        <v>1524</v>
      </c>
      <c r="B531" s="169"/>
      <c r="C531" s="169"/>
      <c r="D531" s="197"/>
      <c r="E531" s="207"/>
      <c r="F531" s="169"/>
      <c r="G531" s="17" t="s">
        <v>2172</v>
      </c>
      <c r="H531" s="169"/>
      <c r="I531" s="169"/>
      <c r="J531" s="169"/>
      <c r="K531" s="197"/>
      <c r="L531" s="169"/>
      <c r="M531" s="17" t="s">
        <v>2793</v>
      </c>
      <c r="N531" s="169"/>
      <c r="O531" s="169"/>
      <c r="P531" s="169"/>
      <c r="Q531" s="169"/>
      <c r="R531" s="169"/>
      <c r="S531" s="169"/>
      <c r="T531" s="169"/>
      <c r="U531" s="169"/>
      <c r="V531" s="169"/>
      <c r="W531" s="169"/>
      <c r="X531" s="169"/>
      <c r="Y531" s="169"/>
      <c r="Z531" s="169"/>
      <c r="AA531" s="169"/>
      <c r="AB531" s="169"/>
      <c r="AC531" s="169"/>
      <c r="AD531" s="169"/>
      <c r="AE531" s="169"/>
      <c r="AF531" s="169"/>
      <c r="AG531" s="169"/>
    </row>
    <row r="532" spans="1:33" x14ac:dyDescent="0.25">
      <c r="A532" s="17" t="s">
        <v>1525</v>
      </c>
      <c r="B532" s="169"/>
      <c r="C532" s="169"/>
      <c r="D532" s="197"/>
      <c r="E532" s="207"/>
      <c r="F532" s="169"/>
      <c r="G532" s="17" t="s">
        <v>2173</v>
      </c>
      <c r="H532" s="169"/>
      <c r="I532" s="169"/>
      <c r="J532" s="169"/>
      <c r="K532" s="197"/>
      <c r="L532" s="169"/>
      <c r="M532" s="17" t="s">
        <v>2794</v>
      </c>
      <c r="N532" s="169"/>
      <c r="O532" s="169"/>
      <c r="P532" s="169"/>
      <c r="Q532" s="169"/>
      <c r="R532" s="169"/>
      <c r="S532" s="169"/>
      <c r="T532" s="169"/>
      <c r="U532" s="169"/>
      <c r="V532" s="169"/>
      <c r="W532" s="169"/>
      <c r="X532" s="169"/>
      <c r="Y532" s="169"/>
      <c r="Z532" s="169"/>
      <c r="AA532" s="169"/>
      <c r="AB532" s="169"/>
      <c r="AC532" s="169"/>
      <c r="AD532" s="169"/>
      <c r="AE532" s="169"/>
      <c r="AF532" s="169"/>
      <c r="AG532" s="169"/>
    </row>
    <row r="533" spans="1:33" x14ac:dyDescent="0.25">
      <c r="A533" s="17" t="s">
        <v>1526</v>
      </c>
      <c r="B533" s="169"/>
      <c r="C533" s="169"/>
      <c r="D533" s="197"/>
      <c r="E533" s="207"/>
      <c r="F533" s="169"/>
      <c r="G533" s="17" t="s">
        <v>1525</v>
      </c>
      <c r="H533" s="169"/>
      <c r="I533" s="169"/>
      <c r="J533" s="169"/>
      <c r="K533" s="197"/>
      <c r="L533" s="169"/>
      <c r="M533" s="17" t="s">
        <v>2795</v>
      </c>
      <c r="N533" s="169"/>
      <c r="O533" s="169"/>
      <c r="P533" s="169"/>
      <c r="Q533" s="169"/>
      <c r="R533" s="169"/>
      <c r="S533" s="169"/>
      <c r="T533" s="169"/>
      <c r="U533" s="169"/>
      <c r="V533" s="169"/>
      <c r="W533" s="169"/>
      <c r="X533" s="169"/>
      <c r="Y533" s="169"/>
      <c r="Z533" s="169"/>
      <c r="AA533" s="169"/>
      <c r="AB533" s="169"/>
      <c r="AC533" s="169"/>
      <c r="AD533" s="169"/>
      <c r="AE533" s="169"/>
      <c r="AF533" s="169"/>
      <c r="AG533" s="169"/>
    </row>
    <row r="534" spans="1:33" x14ac:dyDescent="0.25">
      <c r="A534" s="17" t="s">
        <v>1527</v>
      </c>
      <c r="B534" s="169"/>
      <c r="C534" s="169"/>
      <c r="D534" s="197"/>
      <c r="E534" s="207"/>
      <c r="F534" s="169"/>
      <c r="G534" s="17" t="s">
        <v>2174</v>
      </c>
      <c r="H534" s="169"/>
      <c r="I534" s="169"/>
      <c r="J534" s="169"/>
      <c r="K534" s="197"/>
      <c r="L534" s="169"/>
      <c r="M534" s="17" t="s">
        <v>2796</v>
      </c>
      <c r="N534" s="169"/>
      <c r="O534" s="169"/>
      <c r="P534" s="169"/>
      <c r="Q534" s="169"/>
      <c r="R534" s="169"/>
      <c r="S534" s="169"/>
      <c r="T534" s="169"/>
      <c r="U534" s="169"/>
      <c r="V534" s="169"/>
      <c r="W534" s="169"/>
      <c r="X534" s="169"/>
      <c r="Y534" s="169"/>
      <c r="Z534" s="169"/>
      <c r="AA534" s="169"/>
      <c r="AB534" s="169"/>
      <c r="AC534" s="169"/>
      <c r="AD534" s="169"/>
      <c r="AE534" s="169"/>
      <c r="AF534" s="169"/>
      <c r="AG534" s="169"/>
    </row>
    <row r="535" spans="1:33" x14ac:dyDescent="0.25">
      <c r="A535" s="17" t="s">
        <v>1528</v>
      </c>
      <c r="B535" s="169"/>
      <c r="C535" s="169"/>
      <c r="D535" s="197"/>
      <c r="E535" s="207"/>
      <c r="F535" s="169"/>
      <c r="G535" s="17" t="s">
        <v>2175</v>
      </c>
      <c r="H535" s="169"/>
      <c r="I535" s="169"/>
      <c r="J535" s="169"/>
      <c r="K535" s="197"/>
      <c r="L535" s="169"/>
      <c r="M535" s="17" t="s">
        <v>2797</v>
      </c>
      <c r="N535" s="169"/>
      <c r="O535" s="169"/>
      <c r="P535" s="169"/>
      <c r="Q535" s="169"/>
      <c r="R535" s="169"/>
      <c r="S535" s="169"/>
      <c r="T535" s="169"/>
      <c r="U535" s="169"/>
      <c r="V535" s="169"/>
      <c r="W535" s="169"/>
      <c r="X535" s="169"/>
      <c r="Y535" s="169"/>
      <c r="Z535" s="169"/>
      <c r="AA535" s="169"/>
      <c r="AB535" s="169"/>
      <c r="AC535" s="169"/>
      <c r="AD535" s="169"/>
      <c r="AE535" s="169"/>
      <c r="AF535" s="169"/>
      <c r="AG535" s="169"/>
    </row>
    <row r="536" spans="1:33" x14ac:dyDescent="0.25">
      <c r="A536" s="17" t="s">
        <v>1529</v>
      </c>
      <c r="B536" s="169"/>
      <c r="C536" s="169"/>
      <c r="D536" s="197"/>
      <c r="E536" s="207"/>
      <c r="F536" s="169"/>
      <c r="G536" s="17" t="s">
        <v>1535</v>
      </c>
      <c r="H536" s="169"/>
      <c r="I536" s="169"/>
      <c r="J536" s="169"/>
      <c r="K536" s="197"/>
      <c r="L536" s="169"/>
      <c r="M536" s="17" t="s">
        <v>2798</v>
      </c>
      <c r="N536" s="169"/>
      <c r="O536" s="169"/>
      <c r="P536" s="169"/>
      <c r="Q536" s="169"/>
      <c r="R536" s="169"/>
      <c r="S536" s="169"/>
      <c r="T536" s="169"/>
      <c r="U536" s="169"/>
      <c r="V536" s="169"/>
      <c r="W536" s="169"/>
      <c r="X536" s="169"/>
      <c r="Y536" s="169"/>
      <c r="Z536" s="169"/>
      <c r="AA536" s="169"/>
      <c r="AB536" s="169"/>
      <c r="AC536" s="169"/>
      <c r="AD536" s="169"/>
      <c r="AE536" s="169"/>
      <c r="AF536" s="169"/>
      <c r="AG536" s="169"/>
    </row>
    <row r="537" spans="1:33" x14ac:dyDescent="0.25">
      <c r="A537" s="17" t="s">
        <v>1530</v>
      </c>
      <c r="B537" s="169"/>
      <c r="C537" s="169"/>
      <c r="D537" s="197"/>
      <c r="E537" s="207"/>
      <c r="F537" s="169"/>
      <c r="G537" s="439" t="s">
        <v>2176</v>
      </c>
      <c r="H537" s="440"/>
      <c r="I537" s="169"/>
      <c r="J537" s="169"/>
      <c r="K537" s="197"/>
      <c r="L537" s="169"/>
      <c r="M537" s="17" t="s">
        <v>2799</v>
      </c>
      <c r="N537" s="169"/>
      <c r="O537" s="169"/>
      <c r="P537" s="169"/>
      <c r="Q537" s="169"/>
      <c r="R537" s="169"/>
      <c r="S537" s="169"/>
      <c r="T537" s="169"/>
      <c r="U537" s="169"/>
      <c r="V537" s="169"/>
      <c r="W537" s="169"/>
      <c r="X537" s="169"/>
      <c r="Y537" s="169"/>
      <c r="Z537" s="169"/>
      <c r="AA537" s="169"/>
      <c r="AB537" s="169"/>
      <c r="AC537" s="169"/>
      <c r="AD537" s="169"/>
      <c r="AE537" s="169"/>
      <c r="AF537" s="169"/>
      <c r="AG537" s="169"/>
    </row>
    <row r="538" spans="1:33" x14ac:dyDescent="0.25">
      <c r="A538" s="17" t="s">
        <v>1531</v>
      </c>
      <c r="B538" s="169"/>
      <c r="C538" s="169"/>
      <c r="D538" s="197"/>
      <c r="E538" s="207"/>
      <c r="F538" s="169"/>
      <c r="G538" s="439" t="s">
        <v>2177</v>
      </c>
      <c r="H538" s="440"/>
      <c r="I538" s="169"/>
      <c r="J538" s="169"/>
      <c r="K538" s="197"/>
      <c r="L538" s="169"/>
      <c r="M538" s="17" t="s">
        <v>2800</v>
      </c>
      <c r="N538" s="169"/>
      <c r="O538" s="169"/>
      <c r="P538" s="169"/>
      <c r="Q538" s="169"/>
      <c r="R538" s="169"/>
      <c r="S538" s="169"/>
      <c r="T538" s="169"/>
      <c r="U538" s="169"/>
      <c r="V538" s="169"/>
      <c r="W538" s="169"/>
      <c r="X538" s="169"/>
      <c r="Y538" s="169"/>
      <c r="Z538" s="169"/>
      <c r="AA538" s="169"/>
      <c r="AB538" s="169"/>
      <c r="AC538" s="169"/>
      <c r="AD538" s="169"/>
      <c r="AE538" s="169"/>
      <c r="AF538" s="169"/>
      <c r="AG538" s="169"/>
    </row>
    <row r="539" spans="1:33" x14ac:dyDescent="0.25">
      <c r="A539" s="17" t="s">
        <v>1532</v>
      </c>
      <c r="B539" s="169"/>
      <c r="C539" s="169"/>
      <c r="D539" s="197"/>
      <c r="E539" s="207"/>
      <c r="F539" s="169"/>
      <c r="G539" s="439" t="s">
        <v>2178</v>
      </c>
      <c r="H539" s="440"/>
      <c r="I539" s="169"/>
      <c r="J539" s="169"/>
      <c r="K539" s="197"/>
      <c r="L539" s="169"/>
      <c r="M539" s="17" t="s">
        <v>2801</v>
      </c>
      <c r="N539" s="169"/>
      <c r="O539" s="169"/>
      <c r="P539" s="169"/>
      <c r="Q539" s="169"/>
      <c r="R539" s="169"/>
      <c r="S539" s="169"/>
      <c r="T539" s="169"/>
      <c r="U539" s="169"/>
      <c r="V539" s="169"/>
      <c r="W539" s="169"/>
      <c r="X539" s="169"/>
      <c r="Y539" s="169"/>
      <c r="Z539" s="169"/>
      <c r="AA539" s="169"/>
      <c r="AB539" s="169"/>
      <c r="AC539" s="169"/>
      <c r="AD539" s="169"/>
      <c r="AE539" s="169"/>
      <c r="AF539" s="169"/>
      <c r="AG539" s="169"/>
    </row>
    <row r="540" spans="1:33" x14ac:dyDescent="0.25">
      <c r="A540" s="17" t="s">
        <v>1533</v>
      </c>
      <c r="B540" s="169"/>
      <c r="C540" s="169"/>
      <c r="D540" s="197"/>
      <c r="E540" s="207"/>
      <c r="F540" s="169"/>
      <c r="G540" s="17" t="s">
        <v>2179</v>
      </c>
      <c r="H540" s="169"/>
      <c r="I540" s="169"/>
      <c r="J540" s="169"/>
      <c r="K540" s="197"/>
      <c r="L540" s="169"/>
      <c r="M540" s="17" t="s">
        <v>2802</v>
      </c>
      <c r="N540" s="169"/>
      <c r="O540" s="169"/>
      <c r="P540" s="169"/>
      <c r="Q540" s="169"/>
      <c r="R540" s="169"/>
      <c r="S540" s="169"/>
      <c r="T540" s="169"/>
      <c r="U540" s="169"/>
      <c r="V540" s="169"/>
      <c r="W540" s="169"/>
      <c r="X540" s="169"/>
      <c r="Y540" s="169"/>
      <c r="Z540" s="169"/>
      <c r="AA540" s="169"/>
      <c r="AB540" s="169"/>
      <c r="AC540" s="169"/>
      <c r="AD540" s="169"/>
      <c r="AE540" s="169"/>
      <c r="AF540" s="169"/>
      <c r="AG540" s="169"/>
    </row>
    <row r="541" spans="1:33" x14ac:dyDescent="0.25">
      <c r="A541" s="17" t="s">
        <v>1534</v>
      </c>
      <c r="B541" s="169"/>
      <c r="C541" s="169"/>
      <c r="D541" s="197"/>
      <c r="E541" s="207"/>
      <c r="F541" s="169"/>
      <c r="G541" s="17" t="s">
        <v>2180</v>
      </c>
      <c r="H541" s="169"/>
      <c r="I541" s="169"/>
      <c r="J541" s="169"/>
      <c r="K541" s="197"/>
      <c r="L541" s="169"/>
      <c r="M541" s="17" t="s">
        <v>2803</v>
      </c>
      <c r="N541" s="169"/>
      <c r="O541" s="169"/>
      <c r="P541" s="169"/>
      <c r="Q541" s="169"/>
      <c r="R541" s="169"/>
      <c r="S541" s="169"/>
      <c r="T541" s="169"/>
      <c r="U541" s="169"/>
      <c r="V541" s="169"/>
      <c r="W541" s="169"/>
      <c r="X541" s="169"/>
      <c r="Y541" s="169"/>
      <c r="Z541" s="169"/>
      <c r="AA541" s="169"/>
      <c r="AB541" s="169"/>
      <c r="AC541" s="169"/>
      <c r="AD541" s="169"/>
      <c r="AE541" s="169"/>
      <c r="AF541" s="169"/>
      <c r="AG541" s="169"/>
    </row>
    <row r="542" spans="1:33" x14ac:dyDescent="0.25">
      <c r="A542" s="17" t="s">
        <v>1535</v>
      </c>
      <c r="B542" s="169"/>
      <c r="C542" s="169"/>
      <c r="D542" s="197"/>
      <c r="E542" s="207"/>
      <c r="F542" s="169"/>
      <c r="G542" s="17" t="s">
        <v>2181</v>
      </c>
      <c r="H542" s="169"/>
      <c r="I542" s="169"/>
      <c r="J542" s="169"/>
      <c r="K542" s="197"/>
      <c r="L542" s="169"/>
      <c r="M542" s="17" t="s">
        <v>2804</v>
      </c>
      <c r="N542" s="169"/>
      <c r="O542" s="169"/>
      <c r="P542" s="169"/>
      <c r="Q542" s="169"/>
      <c r="R542" s="169"/>
      <c r="S542" s="169"/>
      <c r="T542" s="169"/>
      <c r="U542" s="169"/>
      <c r="V542" s="169"/>
      <c r="W542" s="169"/>
      <c r="X542" s="169"/>
      <c r="Y542" s="169"/>
      <c r="Z542" s="169"/>
      <c r="AA542" s="169"/>
      <c r="AB542" s="169"/>
      <c r="AC542" s="169"/>
      <c r="AD542" s="169"/>
      <c r="AE542" s="169"/>
      <c r="AF542" s="169"/>
      <c r="AG542" s="169"/>
    </row>
    <row r="543" spans="1:33" x14ac:dyDescent="0.25">
      <c r="A543" s="17" t="s">
        <v>1536</v>
      </c>
      <c r="B543" s="169"/>
      <c r="C543" s="169"/>
      <c r="D543" s="197"/>
      <c r="E543" s="207"/>
      <c r="F543" s="169"/>
      <c r="G543" s="439" t="s">
        <v>2182</v>
      </c>
      <c r="H543" s="440"/>
      <c r="I543" s="169"/>
      <c r="J543" s="169"/>
      <c r="K543" s="197"/>
      <c r="L543" s="169"/>
      <c r="M543" s="17" t="s">
        <v>2805</v>
      </c>
      <c r="N543" s="169"/>
      <c r="O543" s="169"/>
      <c r="P543" s="169"/>
      <c r="Q543" s="169"/>
      <c r="R543" s="169"/>
      <c r="S543" s="169"/>
      <c r="T543" s="169"/>
      <c r="U543" s="169"/>
      <c r="V543" s="169"/>
      <c r="W543" s="169"/>
      <c r="X543" s="169"/>
      <c r="Y543" s="169"/>
      <c r="Z543" s="169"/>
      <c r="AA543" s="169"/>
      <c r="AB543" s="169"/>
      <c r="AC543" s="169"/>
      <c r="AD543" s="169"/>
      <c r="AE543" s="169"/>
      <c r="AF543" s="169"/>
      <c r="AG543" s="169"/>
    </row>
    <row r="544" spans="1:33" x14ac:dyDescent="0.25">
      <c r="A544" s="17" t="s">
        <v>1537</v>
      </c>
      <c r="B544" s="169"/>
      <c r="C544" s="169"/>
      <c r="D544" s="197"/>
      <c r="E544" s="207"/>
      <c r="F544" s="169"/>
      <c r="G544" s="17" t="s">
        <v>2183</v>
      </c>
      <c r="H544" s="169"/>
      <c r="I544" s="169"/>
      <c r="J544" s="169"/>
      <c r="K544" s="197"/>
      <c r="L544" s="169"/>
      <c r="M544" s="17" t="s">
        <v>2806</v>
      </c>
      <c r="N544" s="169"/>
      <c r="O544" s="169"/>
      <c r="P544" s="169"/>
      <c r="Q544" s="169"/>
      <c r="R544" s="169"/>
      <c r="S544" s="169"/>
      <c r="T544" s="169"/>
      <c r="U544" s="169"/>
      <c r="V544" s="169"/>
      <c r="W544" s="169"/>
      <c r="X544" s="169"/>
      <c r="Y544" s="169"/>
      <c r="Z544" s="169"/>
      <c r="AA544" s="169"/>
      <c r="AB544" s="169"/>
      <c r="AC544" s="169"/>
      <c r="AD544" s="169"/>
      <c r="AE544" s="169"/>
      <c r="AF544" s="169"/>
      <c r="AG544" s="169"/>
    </row>
    <row r="545" spans="1:33" x14ac:dyDescent="0.25">
      <c r="A545" s="17" t="s">
        <v>1538</v>
      </c>
      <c r="B545" s="169"/>
      <c r="C545" s="169"/>
      <c r="D545" s="197"/>
      <c r="E545" s="207"/>
      <c r="F545" s="169"/>
      <c r="G545" s="17" t="s">
        <v>2184</v>
      </c>
      <c r="H545" s="169"/>
      <c r="I545" s="169"/>
      <c r="J545" s="169"/>
      <c r="K545" s="197"/>
      <c r="L545" s="169"/>
      <c r="M545" s="17" t="s">
        <v>2807</v>
      </c>
      <c r="N545" s="169"/>
      <c r="O545" s="169"/>
      <c r="P545" s="169"/>
      <c r="Q545" s="169"/>
      <c r="R545" s="169"/>
      <c r="S545" s="169"/>
      <c r="T545" s="169"/>
      <c r="U545" s="169"/>
      <c r="V545" s="169"/>
      <c r="W545" s="169"/>
      <c r="X545" s="169"/>
      <c r="Y545" s="169"/>
      <c r="Z545" s="169"/>
      <c r="AA545" s="169"/>
      <c r="AB545" s="169"/>
      <c r="AC545" s="169"/>
      <c r="AD545" s="169"/>
      <c r="AE545" s="169"/>
      <c r="AF545" s="169"/>
      <c r="AG545" s="169"/>
    </row>
    <row r="546" spans="1:33" x14ac:dyDescent="0.25">
      <c r="A546" s="17" t="s">
        <v>1539</v>
      </c>
      <c r="B546" s="169"/>
      <c r="C546" s="169"/>
      <c r="D546" s="197"/>
      <c r="E546" s="207"/>
      <c r="F546" s="169"/>
      <c r="G546" s="17" t="s">
        <v>2185</v>
      </c>
      <c r="H546" s="169"/>
      <c r="I546" s="169"/>
      <c r="J546" s="169"/>
      <c r="K546" s="197"/>
      <c r="L546" s="169"/>
      <c r="M546" s="17" t="s">
        <v>2808</v>
      </c>
      <c r="N546" s="169"/>
      <c r="O546" s="169"/>
      <c r="P546" s="169"/>
      <c r="Q546" s="169"/>
      <c r="R546" s="169"/>
      <c r="S546" s="169"/>
      <c r="T546" s="169"/>
      <c r="U546" s="169"/>
      <c r="V546" s="169"/>
      <c r="W546" s="169"/>
      <c r="X546" s="169"/>
      <c r="Y546" s="169"/>
      <c r="Z546" s="169"/>
      <c r="AA546" s="169"/>
      <c r="AB546" s="169"/>
      <c r="AC546" s="169"/>
      <c r="AD546" s="169"/>
      <c r="AE546" s="169"/>
      <c r="AF546" s="169"/>
      <c r="AG546" s="169"/>
    </row>
    <row r="547" spans="1:33" x14ac:dyDescent="0.25">
      <c r="A547" s="17" t="s">
        <v>1540</v>
      </c>
      <c r="B547" s="169"/>
      <c r="C547" s="169"/>
      <c r="D547" s="197"/>
      <c r="E547" s="207"/>
      <c r="F547" s="169"/>
      <c r="G547" s="17" t="s">
        <v>2186</v>
      </c>
      <c r="H547" s="169"/>
      <c r="I547" s="169"/>
      <c r="J547" s="169"/>
      <c r="K547" s="197"/>
      <c r="L547" s="169"/>
      <c r="M547" s="17" t="s">
        <v>2809</v>
      </c>
      <c r="N547" s="169"/>
      <c r="O547" s="169"/>
      <c r="P547" s="169"/>
      <c r="Q547" s="169"/>
      <c r="R547" s="169"/>
      <c r="S547" s="169"/>
      <c r="T547" s="169"/>
      <c r="U547" s="169"/>
      <c r="V547" s="169"/>
      <c r="W547" s="169"/>
      <c r="X547" s="169"/>
      <c r="Y547" s="169"/>
      <c r="Z547" s="169"/>
      <c r="AA547" s="169"/>
      <c r="AB547" s="169"/>
      <c r="AC547" s="169"/>
      <c r="AD547" s="169"/>
      <c r="AE547" s="169"/>
      <c r="AF547" s="169"/>
      <c r="AG547" s="169"/>
    </row>
    <row r="548" spans="1:33" x14ac:dyDescent="0.25">
      <c r="A548" s="17" t="s">
        <v>1541</v>
      </c>
      <c r="B548" s="169"/>
      <c r="C548" s="169"/>
      <c r="D548" s="197"/>
      <c r="E548" s="207"/>
      <c r="F548" s="169"/>
      <c r="G548" s="17" t="s">
        <v>2187</v>
      </c>
      <c r="H548" s="169"/>
      <c r="I548" s="169"/>
      <c r="J548" s="169"/>
      <c r="K548" s="197"/>
      <c r="L548" s="169"/>
      <c r="M548" s="17" t="s">
        <v>2810</v>
      </c>
      <c r="N548" s="169"/>
      <c r="O548" s="169"/>
      <c r="P548" s="169"/>
      <c r="Q548" s="169"/>
      <c r="R548" s="169"/>
      <c r="S548" s="169"/>
      <c r="T548" s="169"/>
      <c r="U548" s="169"/>
      <c r="V548" s="169"/>
      <c r="W548" s="169"/>
      <c r="X548" s="169"/>
      <c r="Y548" s="169"/>
      <c r="Z548" s="169"/>
      <c r="AA548" s="169"/>
      <c r="AB548" s="169"/>
      <c r="AC548" s="169"/>
      <c r="AD548" s="169"/>
      <c r="AE548" s="169"/>
      <c r="AF548" s="169"/>
      <c r="AG548" s="169"/>
    </row>
    <row r="549" spans="1:33" x14ac:dyDescent="0.25">
      <c r="A549" s="17" t="s">
        <v>1542</v>
      </c>
      <c r="B549" s="169"/>
      <c r="C549" s="169"/>
      <c r="D549" s="197"/>
      <c r="E549" s="207"/>
      <c r="F549" s="169"/>
      <c r="G549" s="17" t="s">
        <v>2188</v>
      </c>
      <c r="H549" s="169"/>
      <c r="I549" s="169"/>
      <c r="J549" s="169"/>
      <c r="K549" s="197"/>
      <c r="L549" s="169"/>
      <c r="M549" s="17" t="s">
        <v>2811</v>
      </c>
      <c r="N549" s="169"/>
      <c r="O549" s="169"/>
      <c r="P549" s="169"/>
      <c r="Q549" s="169"/>
      <c r="R549" s="169"/>
      <c r="S549" s="169"/>
      <c r="T549" s="169"/>
      <c r="U549" s="169"/>
      <c r="V549" s="169"/>
      <c r="W549" s="169"/>
      <c r="X549" s="169"/>
      <c r="Y549" s="169"/>
      <c r="Z549" s="169"/>
      <c r="AA549" s="169"/>
      <c r="AB549" s="169"/>
      <c r="AC549" s="169"/>
      <c r="AD549" s="169"/>
      <c r="AE549" s="169"/>
      <c r="AF549" s="169"/>
      <c r="AG549" s="169"/>
    </row>
    <row r="550" spans="1:33" x14ac:dyDescent="0.25">
      <c r="A550" s="17" t="s">
        <v>1543</v>
      </c>
      <c r="B550" s="169"/>
      <c r="C550" s="169"/>
      <c r="D550" s="197"/>
      <c r="E550" s="207"/>
      <c r="F550" s="169"/>
      <c r="G550" s="439" t="s">
        <v>2189</v>
      </c>
      <c r="H550" s="440"/>
      <c r="I550" s="169"/>
      <c r="J550" s="169"/>
      <c r="K550" s="197"/>
      <c r="L550" s="169"/>
      <c r="M550" s="17" t="s">
        <v>2812</v>
      </c>
      <c r="N550" s="169"/>
      <c r="O550" s="169"/>
      <c r="P550" s="169"/>
      <c r="Q550" s="169"/>
      <c r="R550" s="169"/>
      <c r="S550" s="169"/>
      <c r="T550" s="169"/>
      <c r="U550" s="169"/>
      <c r="V550" s="169"/>
      <c r="W550" s="169"/>
      <c r="X550" s="169"/>
      <c r="Y550" s="169"/>
      <c r="Z550" s="169"/>
      <c r="AA550" s="169"/>
      <c r="AB550" s="169"/>
      <c r="AC550" s="169"/>
      <c r="AD550" s="169"/>
      <c r="AE550" s="169"/>
      <c r="AF550" s="169"/>
      <c r="AG550" s="169"/>
    </row>
    <row r="551" spans="1:33" x14ac:dyDescent="0.25">
      <c r="A551" s="17" t="s">
        <v>1544</v>
      </c>
      <c r="B551" s="169"/>
      <c r="C551" s="169"/>
      <c r="D551" s="197"/>
      <c r="E551" s="207"/>
      <c r="F551" s="169"/>
      <c r="G551" s="17" t="s">
        <v>2190</v>
      </c>
      <c r="H551" s="169"/>
      <c r="I551" s="169"/>
      <c r="J551" s="169"/>
      <c r="K551" s="197"/>
      <c r="L551" s="169"/>
      <c r="M551" s="17" t="s">
        <v>2813</v>
      </c>
      <c r="N551" s="169"/>
      <c r="O551" s="169"/>
      <c r="P551" s="169"/>
      <c r="Q551" s="169"/>
      <c r="R551" s="169"/>
      <c r="S551" s="169"/>
      <c r="T551" s="169"/>
      <c r="U551" s="169"/>
      <c r="V551" s="169"/>
      <c r="W551" s="169"/>
      <c r="X551" s="169"/>
      <c r="Y551" s="169"/>
      <c r="Z551" s="169"/>
      <c r="AA551" s="169"/>
      <c r="AB551" s="169"/>
      <c r="AC551" s="169"/>
      <c r="AD551" s="169"/>
      <c r="AE551" s="169"/>
      <c r="AF551" s="169"/>
      <c r="AG551" s="169"/>
    </row>
    <row r="552" spans="1:33" x14ac:dyDescent="0.25">
      <c r="A552" s="17" t="s">
        <v>1545</v>
      </c>
      <c r="B552" s="169"/>
      <c r="C552" s="169"/>
      <c r="D552" s="197"/>
      <c r="E552" s="207"/>
      <c r="F552" s="169"/>
      <c r="G552" s="17" t="s">
        <v>2191</v>
      </c>
      <c r="H552" s="169"/>
      <c r="I552" s="169"/>
      <c r="J552" s="169"/>
      <c r="K552" s="197"/>
      <c r="L552" s="169"/>
      <c r="M552" s="17" t="s">
        <v>2814</v>
      </c>
      <c r="N552" s="169"/>
      <c r="O552" s="169"/>
      <c r="P552" s="169"/>
      <c r="Q552" s="169"/>
      <c r="R552" s="169"/>
      <c r="S552" s="169"/>
      <c r="T552" s="169"/>
      <c r="U552" s="169"/>
      <c r="V552" s="169"/>
      <c r="W552" s="169"/>
      <c r="X552" s="169"/>
      <c r="Y552" s="169"/>
      <c r="Z552" s="169"/>
      <c r="AA552" s="169"/>
      <c r="AB552" s="169"/>
      <c r="AC552" s="169"/>
      <c r="AD552" s="169"/>
      <c r="AE552" s="169"/>
      <c r="AF552" s="169"/>
      <c r="AG552" s="169"/>
    </row>
    <row r="553" spans="1:33" x14ac:dyDescent="0.25">
      <c r="A553" s="17" t="s">
        <v>1546</v>
      </c>
      <c r="B553" s="169"/>
      <c r="C553" s="169"/>
      <c r="D553" s="197"/>
      <c r="E553" s="207"/>
      <c r="F553" s="169"/>
      <c r="G553" s="17" t="s">
        <v>2192</v>
      </c>
      <c r="H553" s="169"/>
      <c r="I553" s="169"/>
      <c r="J553" s="169"/>
      <c r="K553" s="197"/>
      <c r="L553" s="169"/>
      <c r="M553" s="17" t="s">
        <v>2815</v>
      </c>
      <c r="N553" s="169"/>
      <c r="O553" s="169"/>
      <c r="P553" s="169"/>
      <c r="Q553" s="169"/>
      <c r="R553" s="169"/>
      <c r="S553" s="169"/>
      <c r="T553" s="169"/>
      <c r="U553" s="169"/>
      <c r="V553" s="169"/>
      <c r="W553" s="169"/>
      <c r="X553" s="169"/>
      <c r="Y553" s="169"/>
      <c r="Z553" s="169"/>
      <c r="AA553" s="169"/>
      <c r="AB553" s="169"/>
      <c r="AC553" s="169"/>
      <c r="AD553" s="169"/>
      <c r="AE553" s="169"/>
      <c r="AF553" s="169"/>
      <c r="AG553" s="169"/>
    </row>
    <row r="554" spans="1:33" x14ac:dyDescent="0.25">
      <c r="A554" s="17" t="s">
        <v>1547</v>
      </c>
      <c r="B554" s="169"/>
      <c r="C554" s="169"/>
      <c r="D554" s="197"/>
      <c r="E554" s="207"/>
      <c r="F554" s="169"/>
      <c r="G554" s="17" t="s">
        <v>2193</v>
      </c>
      <c r="H554" s="169"/>
      <c r="I554" s="169"/>
      <c r="J554" s="169"/>
      <c r="K554" s="197"/>
      <c r="L554" s="169"/>
      <c r="M554" s="17" t="s">
        <v>2816</v>
      </c>
      <c r="N554" s="169"/>
      <c r="O554" s="169"/>
      <c r="P554" s="169"/>
      <c r="Q554" s="169"/>
      <c r="R554" s="169"/>
      <c r="S554" s="169"/>
      <c r="T554" s="169"/>
      <c r="U554" s="169"/>
      <c r="V554" s="169"/>
      <c r="W554" s="169"/>
      <c r="X554" s="169"/>
      <c r="Y554" s="169"/>
      <c r="Z554" s="169"/>
      <c r="AA554" s="169"/>
      <c r="AB554" s="169"/>
      <c r="AC554" s="169"/>
      <c r="AD554" s="169"/>
      <c r="AE554" s="169"/>
      <c r="AF554" s="169"/>
      <c r="AG554" s="169"/>
    </row>
    <row r="555" spans="1:33" x14ac:dyDescent="0.25">
      <c r="A555" s="17" t="s">
        <v>1548</v>
      </c>
      <c r="B555" s="169"/>
      <c r="C555" s="169"/>
      <c r="D555" s="197"/>
      <c r="E555" s="207"/>
      <c r="F555" s="169"/>
      <c r="G555" s="17" t="s">
        <v>2194</v>
      </c>
      <c r="H555" s="169"/>
      <c r="I555" s="169"/>
      <c r="J555" s="169"/>
      <c r="K555" s="197"/>
      <c r="L555" s="169"/>
      <c r="M555" s="17" t="s">
        <v>2817</v>
      </c>
      <c r="N555" s="169"/>
      <c r="O555" s="169"/>
      <c r="P555" s="169"/>
      <c r="Q555" s="169"/>
      <c r="R555" s="169"/>
      <c r="S555" s="169"/>
      <c r="T555" s="169"/>
      <c r="U555" s="169"/>
      <c r="V555" s="169"/>
      <c r="W555" s="169"/>
      <c r="X555" s="169"/>
      <c r="Y555" s="169"/>
      <c r="Z555" s="169"/>
      <c r="AA555" s="169"/>
      <c r="AB555" s="169"/>
      <c r="AC555" s="169"/>
      <c r="AD555" s="169"/>
      <c r="AE555" s="169"/>
      <c r="AF555" s="169"/>
      <c r="AG555" s="169"/>
    </row>
    <row r="556" spans="1:33" x14ac:dyDescent="0.25">
      <c r="A556" s="17" t="s">
        <v>1549</v>
      </c>
      <c r="B556" s="169"/>
      <c r="C556" s="169"/>
      <c r="D556" s="197"/>
      <c r="E556" s="207"/>
      <c r="F556" s="169"/>
      <c r="G556" s="17" t="s">
        <v>2195</v>
      </c>
      <c r="H556" s="169"/>
      <c r="I556" s="169"/>
      <c r="J556" s="169"/>
      <c r="K556" s="197"/>
      <c r="L556" s="169"/>
      <c r="M556" s="17" t="s">
        <v>2818</v>
      </c>
      <c r="N556" s="169"/>
      <c r="O556" s="169"/>
      <c r="P556" s="169"/>
      <c r="Q556" s="169"/>
      <c r="R556" s="169"/>
      <c r="S556" s="169"/>
      <c r="T556" s="169"/>
      <c r="U556" s="169"/>
      <c r="V556" s="169"/>
      <c r="W556" s="169"/>
      <c r="X556" s="169"/>
      <c r="Y556" s="169"/>
      <c r="Z556" s="169"/>
      <c r="AA556" s="169"/>
      <c r="AB556" s="169"/>
      <c r="AC556" s="169"/>
      <c r="AD556" s="169"/>
      <c r="AE556" s="169"/>
      <c r="AF556" s="169"/>
      <c r="AG556" s="169"/>
    </row>
    <row r="557" spans="1:33" x14ac:dyDescent="0.25">
      <c r="A557" s="17" t="s">
        <v>1550</v>
      </c>
      <c r="B557" s="169"/>
      <c r="C557" s="169"/>
      <c r="D557" s="197"/>
      <c r="E557" s="207"/>
      <c r="F557" s="169"/>
      <c r="G557" s="17" t="s">
        <v>2196</v>
      </c>
      <c r="H557" s="169"/>
      <c r="I557" s="169"/>
      <c r="J557" s="169"/>
      <c r="K557" s="197"/>
      <c r="L557" s="169"/>
      <c r="M557" s="17" t="s">
        <v>1486</v>
      </c>
      <c r="N557" s="169"/>
      <c r="O557" s="169"/>
      <c r="P557" s="169"/>
      <c r="Q557" s="169"/>
      <c r="R557" s="169"/>
      <c r="S557" s="169"/>
      <c r="T557" s="169"/>
      <c r="U557" s="169"/>
      <c r="V557" s="169"/>
      <c r="W557" s="169"/>
      <c r="X557" s="169"/>
      <c r="Y557" s="169"/>
      <c r="Z557" s="169"/>
      <c r="AA557" s="169"/>
      <c r="AB557" s="169"/>
      <c r="AC557" s="169"/>
      <c r="AD557" s="169"/>
      <c r="AE557" s="169"/>
      <c r="AF557" s="169"/>
      <c r="AG557" s="169"/>
    </row>
    <row r="558" spans="1:33" x14ac:dyDescent="0.25">
      <c r="A558" s="17" t="s">
        <v>1551</v>
      </c>
      <c r="B558" s="169"/>
      <c r="C558" s="169"/>
      <c r="D558" s="197"/>
      <c r="E558" s="207"/>
      <c r="F558" s="169"/>
      <c r="G558" s="17" t="s">
        <v>2197</v>
      </c>
      <c r="H558" s="169"/>
      <c r="I558" s="169"/>
      <c r="J558" s="169"/>
      <c r="K558" s="197"/>
      <c r="L558" s="169"/>
      <c r="M558" s="17" t="s">
        <v>2819</v>
      </c>
      <c r="N558" s="169"/>
      <c r="O558" s="169"/>
      <c r="P558" s="169"/>
      <c r="Q558" s="169"/>
      <c r="R558" s="169"/>
      <c r="S558" s="169"/>
      <c r="T558" s="169"/>
      <c r="U558" s="169"/>
      <c r="V558" s="169"/>
      <c r="W558" s="169"/>
      <c r="X558" s="169"/>
      <c r="Y558" s="169"/>
      <c r="Z558" s="169"/>
      <c r="AA558" s="169"/>
      <c r="AB558" s="169"/>
      <c r="AC558" s="169"/>
      <c r="AD558" s="169"/>
      <c r="AE558" s="169"/>
      <c r="AF558" s="169"/>
      <c r="AG558" s="169"/>
    </row>
    <row r="559" spans="1:33" x14ac:dyDescent="0.25">
      <c r="A559" s="17" t="s">
        <v>1552</v>
      </c>
      <c r="B559" s="169"/>
      <c r="C559" s="169"/>
      <c r="D559" s="197"/>
      <c r="E559" s="207"/>
      <c r="F559" s="169"/>
      <c r="G559" s="17" t="s">
        <v>2198</v>
      </c>
      <c r="H559" s="169"/>
      <c r="I559" s="169"/>
      <c r="J559" s="169"/>
      <c r="K559" s="197"/>
      <c r="L559" s="169"/>
      <c r="M559" s="17" t="s">
        <v>2155</v>
      </c>
      <c r="N559" s="169"/>
      <c r="O559" s="169"/>
      <c r="P559" s="169"/>
      <c r="Q559" s="169"/>
      <c r="R559" s="169"/>
      <c r="S559" s="169"/>
      <c r="T559" s="169"/>
      <c r="U559" s="169"/>
      <c r="V559" s="169"/>
      <c r="W559" s="169"/>
      <c r="X559" s="169"/>
      <c r="Y559" s="169"/>
      <c r="Z559" s="169"/>
      <c r="AA559" s="169"/>
      <c r="AB559" s="169"/>
      <c r="AC559" s="169"/>
      <c r="AD559" s="169"/>
      <c r="AE559" s="169"/>
      <c r="AF559" s="169"/>
      <c r="AG559" s="169"/>
    </row>
    <row r="560" spans="1:33" x14ac:dyDescent="0.25">
      <c r="A560" s="17" t="s">
        <v>1553</v>
      </c>
      <c r="B560" s="169"/>
      <c r="C560" s="169"/>
      <c r="D560" s="197"/>
      <c r="E560" s="207"/>
      <c r="F560" s="169"/>
      <c r="G560" s="17" t="s">
        <v>2199</v>
      </c>
      <c r="H560" s="169"/>
      <c r="I560" s="169"/>
      <c r="J560" s="169"/>
      <c r="K560" s="197"/>
      <c r="L560" s="169"/>
      <c r="M560" s="17" t="s">
        <v>2820</v>
      </c>
      <c r="N560" s="169"/>
      <c r="O560" s="169"/>
      <c r="P560" s="169"/>
      <c r="Q560" s="169"/>
      <c r="R560" s="169"/>
      <c r="S560" s="169"/>
      <c r="T560" s="169"/>
      <c r="U560" s="169"/>
      <c r="V560" s="169"/>
      <c r="W560" s="169"/>
      <c r="X560" s="169"/>
      <c r="Y560" s="169"/>
      <c r="Z560" s="169"/>
      <c r="AA560" s="169"/>
      <c r="AB560" s="169"/>
      <c r="AC560" s="169"/>
      <c r="AD560" s="169"/>
      <c r="AE560" s="169"/>
      <c r="AF560" s="169"/>
      <c r="AG560" s="169"/>
    </row>
    <row r="561" spans="1:33" x14ac:dyDescent="0.25">
      <c r="A561" s="17" t="s">
        <v>1554</v>
      </c>
      <c r="B561" s="169"/>
      <c r="C561" s="169"/>
      <c r="D561" s="197"/>
      <c r="E561" s="207"/>
      <c r="F561" s="169"/>
      <c r="G561" s="17" t="s">
        <v>2200</v>
      </c>
      <c r="H561" s="169"/>
      <c r="I561" s="169"/>
      <c r="J561" s="169"/>
      <c r="K561" s="197"/>
      <c r="L561" s="169"/>
      <c r="M561" s="17" t="s">
        <v>2821</v>
      </c>
      <c r="N561" s="169"/>
      <c r="O561" s="169"/>
      <c r="P561" s="169"/>
      <c r="Q561" s="169"/>
      <c r="R561" s="169"/>
      <c r="S561" s="169"/>
      <c r="T561" s="169"/>
      <c r="U561" s="169"/>
      <c r="V561" s="169"/>
      <c r="W561" s="169"/>
      <c r="X561" s="169"/>
      <c r="Y561" s="169"/>
      <c r="Z561" s="169"/>
      <c r="AA561" s="169"/>
      <c r="AB561" s="169"/>
      <c r="AC561" s="169"/>
      <c r="AD561" s="169"/>
      <c r="AE561" s="169"/>
      <c r="AF561" s="169"/>
      <c r="AG561" s="169"/>
    </row>
    <row r="562" spans="1:33" x14ac:dyDescent="0.25">
      <c r="A562" s="17" t="s">
        <v>1555</v>
      </c>
      <c r="B562" s="169"/>
      <c r="C562" s="169"/>
      <c r="D562" s="197"/>
      <c r="E562" s="207"/>
      <c r="F562" s="169"/>
      <c r="G562" s="17" t="s">
        <v>2192</v>
      </c>
      <c r="H562" s="169"/>
      <c r="I562" s="169"/>
      <c r="J562" s="169"/>
      <c r="K562" s="197"/>
      <c r="L562" s="169"/>
      <c r="M562" s="17" t="s">
        <v>2822</v>
      </c>
      <c r="N562" s="169"/>
      <c r="O562" s="169"/>
      <c r="P562" s="169"/>
      <c r="Q562" s="169"/>
      <c r="R562" s="169"/>
      <c r="S562" s="169"/>
      <c r="T562" s="169"/>
      <c r="U562" s="169"/>
      <c r="V562" s="169"/>
      <c r="W562" s="169"/>
      <c r="X562" s="169"/>
      <c r="Y562" s="169"/>
      <c r="Z562" s="169"/>
      <c r="AA562" s="169"/>
      <c r="AB562" s="169"/>
      <c r="AC562" s="169"/>
      <c r="AD562" s="169"/>
      <c r="AE562" s="169"/>
      <c r="AF562" s="169"/>
      <c r="AG562" s="169"/>
    </row>
    <row r="563" spans="1:33" x14ac:dyDescent="0.25">
      <c r="A563" s="17" t="s">
        <v>1556</v>
      </c>
      <c r="B563" s="169"/>
      <c r="C563" s="169"/>
      <c r="D563" s="197"/>
      <c r="E563" s="207"/>
      <c r="F563" s="169"/>
      <c r="G563" s="17" t="s">
        <v>2201</v>
      </c>
      <c r="H563" s="169"/>
      <c r="I563" s="169"/>
      <c r="J563" s="169"/>
      <c r="K563" s="197"/>
      <c r="L563" s="169"/>
      <c r="M563" s="17" t="s">
        <v>2823</v>
      </c>
      <c r="N563" s="169"/>
      <c r="O563" s="169"/>
      <c r="P563" s="169"/>
      <c r="Q563" s="169"/>
      <c r="R563" s="169"/>
      <c r="S563" s="169"/>
      <c r="T563" s="169"/>
      <c r="U563" s="169"/>
      <c r="V563" s="169"/>
      <c r="W563" s="169"/>
      <c r="X563" s="169"/>
      <c r="Y563" s="169"/>
      <c r="Z563" s="169"/>
      <c r="AA563" s="169"/>
      <c r="AB563" s="169"/>
      <c r="AC563" s="169"/>
      <c r="AD563" s="169"/>
      <c r="AE563" s="169"/>
      <c r="AF563" s="169"/>
      <c r="AG563" s="169"/>
    </row>
    <row r="564" spans="1:33" x14ac:dyDescent="0.25">
      <c r="A564" s="17" t="s">
        <v>1557</v>
      </c>
      <c r="B564" s="169"/>
      <c r="C564" s="169"/>
      <c r="D564" s="197"/>
      <c r="E564" s="207"/>
      <c r="F564" s="169"/>
      <c r="G564" s="17" t="s">
        <v>2202</v>
      </c>
      <c r="H564" s="169"/>
      <c r="I564" s="169"/>
      <c r="J564" s="169"/>
      <c r="K564" s="197"/>
      <c r="L564" s="169"/>
      <c r="M564" s="17" t="s">
        <v>2824</v>
      </c>
      <c r="N564" s="169"/>
      <c r="O564" s="169"/>
      <c r="P564" s="169"/>
      <c r="Q564" s="169"/>
      <c r="R564" s="169"/>
      <c r="S564" s="169"/>
      <c r="T564" s="169"/>
      <c r="U564" s="169"/>
      <c r="V564" s="169"/>
      <c r="W564" s="169"/>
      <c r="X564" s="169"/>
      <c r="Y564" s="169"/>
      <c r="Z564" s="169"/>
      <c r="AA564" s="169"/>
      <c r="AB564" s="169"/>
      <c r="AC564" s="169"/>
      <c r="AD564" s="169"/>
      <c r="AE564" s="169"/>
      <c r="AF564" s="169"/>
      <c r="AG564" s="169"/>
    </row>
    <row r="565" spans="1:33" x14ac:dyDescent="0.25">
      <c r="A565" s="17" t="s">
        <v>1558</v>
      </c>
      <c r="B565" s="169"/>
      <c r="C565" s="169"/>
      <c r="D565" s="197"/>
      <c r="E565" s="207"/>
      <c r="F565" s="169"/>
      <c r="G565" s="17" t="s">
        <v>2203</v>
      </c>
      <c r="H565" s="169"/>
      <c r="I565" s="169"/>
      <c r="J565" s="169"/>
      <c r="K565" s="197"/>
      <c r="L565" s="169"/>
      <c r="M565" s="17" t="s">
        <v>2825</v>
      </c>
      <c r="N565" s="169"/>
      <c r="O565" s="169"/>
      <c r="P565" s="169"/>
      <c r="Q565" s="169"/>
      <c r="R565" s="169"/>
      <c r="S565" s="169"/>
      <c r="T565" s="169"/>
      <c r="U565" s="169"/>
      <c r="V565" s="169"/>
      <c r="W565" s="169"/>
      <c r="X565" s="169"/>
      <c r="Y565" s="169"/>
      <c r="Z565" s="169"/>
      <c r="AA565" s="169"/>
      <c r="AB565" s="169"/>
      <c r="AC565" s="169"/>
      <c r="AD565" s="169"/>
      <c r="AE565" s="169"/>
      <c r="AF565" s="169"/>
      <c r="AG565" s="169"/>
    </row>
    <row r="566" spans="1:33" x14ac:dyDescent="0.25">
      <c r="A566" s="17" t="s">
        <v>1559</v>
      </c>
      <c r="B566" s="169"/>
      <c r="C566" s="169"/>
      <c r="D566" s="197"/>
      <c r="E566" s="207"/>
      <c r="F566" s="169"/>
      <c r="G566" s="17" t="s">
        <v>2204</v>
      </c>
      <c r="H566" s="169"/>
      <c r="I566" s="169"/>
      <c r="J566" s="169"/>
      <c r="K566" s="197"/>
      <c r="L566" s="169"/>
      <c r="M566" s="17" t="s">
        <v>2826</v>
      </c>
      <c r="N566" s="169"/>
      <c r="O566" s="169"/>
      <c r="P566" s="169"/>
      <c r="Q566" s="169"/>
      <c r="R566" s="169"/>
      <c r="S566" s="169"/>
      <c r="T566" s="169"/>
      <c r="U566" s="169"/>
      <c r="V566" s="169"/>
      <c r="W566" s="169"/>
      <c r="X566" s="169"/>
      <c r="Y566" s="169"/>
      <c r="Z566" s="169"/>
      <c r="AA566" s="169"/>
      <c r="AB566" s="169"/>
      <c r="AC566" s="169"/>
      <c r="AD566" s="169"/>
      <c r="AE566" s="169"/>
      <c r="AF566" s="169"/>
      <c r="AG566" s="169"/>
    </row>
    <row r="567" spans="1:33" x14ac:dyDescent="0.25">
      <c r="A567" s="17" t="s">
        <v>1560</v>
      </c>
      <c r="B567" s="169"/>
      <c r="C567" s="169"/>
      <c r="D567" s="197"/>
      <c r="E567" s="207"/>
      <c r="F567" s="169"/>
      <c r="G567" s="17" t="s">
        <v>2205</v>
      </c>
      <c r="H567" s="169"/>
      <c r="I567" s="169"/>
      <c r="J567" s="169"/>
      <c r="K567" s="197"/>
      <c r="L567" s="169"/>
      <c r="M567" s="17" t="s">
        <v>2827</v>
      </c>
      <c r="N567" s="169"/>
      <c r="O567" s="169"/>
      <c r="P567" s="169"/>
      <c r="Q567" s="169"/>
      <c r="R567" s="169"/>
      <c r="S567" s="169"/>
      <c r="T567" s="169"/>
      <c r="U567" s="169"/>
      <c r="V567" s="169"/>
      <c r="W567" s="169"/>
      <c r="X567" s="169"/>
      <c r="Y567" s="169"/>
      <c r="Z567" s="169"/>
      <c r="AA567" s="169"/>
      <c r="AB567" s="169"/>
      <c r="AC567" s="169"/>
      <c r="AD567" s="169"/>
      <c r="AE567" s="169"/>
      <c r="AF567" s="169"/>
      <c r="AG567" s="169"/>
    </row>
    <row r="568" spans="1:33" x14ac:dyDescent="0.25">
      <c r="A568" s="17" t="s">
        <v>1561</v>
      </c>
      <c r="B568" s="169"/>
      <c r="C568" s="169"/>
      <c r="D568" s="197"/>
      <c r="E568" s="207"/>
      <c r="F568" s="169"/>
      <c r="G568" s="17" t="s">
        <v>2206</v>
      </c>
      <c r="H568" s="169"/>
      <c r="I568" s="169"/>
      <c r="J568" s="169"/>
      <c r="K568" s="197"/>
      <c r="L568" s="169"/>
      <c r="M568" s="17" t="s">
        <v>2828</v>
      </c>
      <c r="N568" s="169"/>
      <c r="O568" s="169"/>
      <c r="P568" s="169"/>
      <c r="Q568" s="169"/>
      <c r="R568" s="169"/>
      <c r="S568" s="169"/>
      <c r="T568" s="169"/>
      <c r="U568" s="169"/>
      <c r="V568" s="169"/>
      <c r="W568" s="169"/>
      <c r="X568" s="169"/>
      <c r="Y568" s="169"/>
      <c r="Z568" s="169"/>
      <c r="AA568" s="169"/>
      <c r="AB568" s="169"/>
      <c r="AC568" s="169"/>
      <c r="AD568" s="169"/>
      <c r="AE568" s="169"/>
      <c r="AF568" s="169"/>
      <c r="AG568" s="169"/>
    </row>
    <row r="569" spans="1:33" x14ac:dyDescent="0.25">
      <c r="A569" s="17" t="s">
        <v>1562</v>
      </c>
      <c r="B569" s="169"/>
      <c r="C569" s="169"/>
      <c r="D569" s="197"/>
      <c r="E569" s="207"/>
      <c r="F569" s="169"/>
      <c r="G569" s="17" t="s">
        <v>2207</v>
      </c>
      <c r="H569" s="169"/>
      <c r="I569" s="169"/>
      <c r="J569" s="169"/>
      <c r="K569" s="197"/>
      <c r="L569" s="169"/>
      <c r="M569" s="17" t="s">
        <v>2829</v>
      </c>
      <c r="N569" s="169"/>
      <c r="O569" s="169"/>
      <c r="P569" s="169"/>
      <c r="Q569" s="169"/>
      <c r="R569" s="169"/>
      <c r="S569" s="169"/>
      <c r="T569" s="169"/>
      <c r="U569" s="169"/>
      <c r="V569" s="169"/>
      <c r="W569" s="169"/>
      <c r="X569" s="169"/>
      <c r="Y569" s="169"/>
      <c r="Z569" s="169"/>
      <c r="AA569" s="169"/>
      <c r="AB569" s="169"/>
      <c r="AC569" s="169"/>
      <c r="AD569" s="169"/>
      <c r="AE569" s="169"/>
      <c r="AF569" s="169"/>
      <c r="AG569" s="169"/>
    </row>
    <row r="570" spans="1:33" x14ac:dyDescent="0.25">
      <c r="A570" s="17" t="s">
        <v>1563</v>
      </c>
      <c r="B570" s="169"/>
      <c r="C570" s="169"/>
      <c r="D570" s="197"/>
      <c r="E570" s="207"/>
      <c r="F570" s="169"/>
      <c r="G570" s="17" t="s">
        <v>2208</v>
      </c>
      <c r="H570" s="169"/>
      <c r="I570" s="169"/>
      <c r="J570" s="169"/>
      <c r="K570" s="197"/>
      <c r="L570" s="169"/>
      <c r="M570" s="17" t="s">
        <v>2830</v>
      </c>
      <c r="N570" s="169"/>
      <c r="O570" s="169"/>
      <c r="P570" s="169"/>
      <c r="Q570" s="169"/>
      <c r="R570" s="169"/>
      <c r="S570" s="169"/>
      <c r="T570" s="169"/>
      <c r="U570" s="169"/>
      <c r="V570" s="169"/>
      <c r="W570" s="169"/>
      <c r="X570" s="169"/>
      <c r="Y570" s="169"/>
      <c r="Z570" s="169"/>
      <c r="AA570" s="169"/>
      <c r="AB570" s="169"/>
      <c r="AC570" s="169"/>
      <c r="AD570" s="169"/>
      <c r="AE570" s="169"/>
      <c r="AF570" s="169"/>
      <c r="AG570" s="169"/>
    </row>
    <row r="571" spans="1:33" x14ac:dyDescent="0.25">
      <c r="A571" s="17" t="s">
        <v>1564</v>
      </c>
      <c r="B571" s="169"/>
      <c r="C571" s="169"/>
      <c r="D571" s="197"/>
      <c r="E571" s="207"/>
      <c r="F571" s="169"/>
      <c r="G571" s="17" t="s">
        <v>2209</v>
      </c>
      <c r="H571" s="169"/>
      <c r="I571" s="169"/>
      <c r="J571" s="169"/>
      <c r="K571" s="197"/>
      <c r="L571" s="169"/>
      <c r="M571" s="17" t="s">
        <v>2831</v>
      </c>
      <c r="N571" s="169"/>
      <c r="O571" s="169"/>
      <c r="P571" s="169"/>
      <c r="Q571" s="169"/>
      <c r="R571" s="169"/>
      <c r="S571" s="169"/>
      <c r="T571" s="169"/>
      <c r="U571" s="169"/>
      <c r="V571" s="169"/>
      <c r="W571" s="169"/>
      <c r="X571" s="169"/>
      <c r="Y571" s="169"/>
      <c r="Z571" s="169"/>
      <c r="AA571" s="169"/>
      <c r="AB571" s="169"/>
      <c r="AC571" s="169"/>
      <c r="AD571" s="169"/>
      <c r="AE571" s="169"/>
      <c r="AF571" s="169"/>
      <c r="AG571" s="169"/>
    </row>
    <row r="572" spans="1:33" x14ac:dyDescent="0.25">
      <c r="A572" s="17" t="s">
        <v>1565</v>
      </c>
      <c r="B572" s="169"/>
      <c r="C572" s="169"/>
      <c r="D572" s="197"/>
      <c r="E572" s="207"/>
      <c r="F572" s="169"/>
      <c r="G572" s="439" t="s">
        <v>2210</v>
      </c>
      <c r="H572" s="440"/>
      <c r="I572" s="169"/>
      <c r="J572" s="169"/>
      <c r="K572" s="197"/>
      <c r="L572" s="169"/>
      <c r="M572" s="17" t="s">
        <v>2832</v>
      </c>
      <c r="N572" s="169"/>
      <c r="O572" s="169"/>
      <c r="P572" s="169"/>
      <c r="Q572" s="169"/>
      <c r="R572" s="169"/>
      <c r="S572" s="169"/>
      <c r="T572" s="169"/>
      <c r="U572" s="169"/>
      <c r="V572" s="169"/>
      <c r="W572" s="169"/>
      <c r="X572" s="169"/>
      <c r="Y572" s="169"/>
      <c r="Z572" s="169"/>
      <c r="AA572" s="169"/>
      <c r="AB572" s="169"/>
      <c r="AC572" s="169"/>
      <c r="AD572" s="169"/>
      <c r="AE572" s="169"/>
      <c r="AF572" s="169"/>
      <c r="AG572" s="169"/>
    </row>
    <row r="573" spans="1:33" x14ac:dyDescent="0.25">
      <c r="A573" s="17" t="s">
        <v>1566</v>
      </c>
      <c r="B573" s="169"/>
      <c r="C573" s="169"/>
      <c r="D573" s="197"/>
      <c r="E573" s="207"/>
      <c r="F573" s="169"/>
      <c r="G573" s="17" t="s">
        <v>2211</v>
      </c>
      <c r="H573" s="169"/>
      <c r="I573" s="169"/>
      <c r="J573" s="169"/>
      <c r="K573" s="197"/>
      <c r="L573" s="169"/>
      <c r="M573" s="17" t="s">
        <v>2833</v>
      </c>
      <c r="N573" s="169"/>
      <c r="O573" s="169"/>
      <c r="P573" s="169"/>
      <c r="Q573" s="169"/>
      <c r="R573" s="169"/>
      <c r="S573" s="169"/>
      <c r="T573" s="169"/>
      <c r="U573" s="169"/>
      <c r="V573" s="169"/>
      <c r="W573" s="169"/>
      <c r="X573" s="169"/>
      <c r="Y573" s="169"/>
      <c r="Z573" s="169"/>
      <c r="AA573" s="169"/>
      <c r="AB573" s="169"/>
      <c r="AC573" s="169"/>
      <c r="AD573" s="169"/>
      <c r="AE573" s="169"/>
      <c r="AF573" s="169"/>
      <c r="AG573" s="169"/>
    </row>
    <row r="574" spans="1:33" x14ac:dyDescent="0.25">
      <c r="A574" s="17" t="s">
        <v>1567</v>
      </c>
      <c r="B574" s="169"/>
      <c r="C574" s="169"/>
      <c r="D574" s="197"/>
      <c r="E574" s="207"/>
      <c r="F574" s="169"/>
      <c r="G574" s="17" t="s">
        <v>2212</v>
      </c>
      <c r="H574" s="169"/>
      <c r="I574" s="169"/>
      <c r="J574" s="169"/>
      <c r="K574" s="197"/>
      <c r="L574" s="169"/>
      <c r="M574" s="17" t="s">
        <v>2834</v>
      </c>
      <c r="N574" s="169"/>
      <c r="O574" s="169"/>
      <c r="P574" s="169"/>
      <c r="Q574" s="169"/>
      <c r="R574" s="169"/>
      <c r="S574" s="169"/>
      <c r="T574" s="169"/>
      <c r="U574" s="169"/>
      <c r="V574" s="169"/>
      <c r="W574" s="169"/>
      <c r="X574" s="169"/>
      <c r="Y574" s="169"/>
      <c r="Z574" s="169"/>
      <c r="AA574" s="169"/>
      <c r="AB574" s="169"/>
      <c r="AC574" s="169"/>
      <c r="AD574" s="169"/>
      <c r="AE574" s="169"/>
      <c r="AF574" s="169"/>
      <c r="AG574" s="169"/>
    </row>
    <row r="575" spans="1:33" x14ac:dyDescent="0.25">
      <c r="A575" s="17" t="s">
        <v>1568</v>
      </c>
      <c r="B575" s="169"/>
      <c r="C575" s="169"/>
      <c r="D575" s="197"/>
      <c r="E575" s="207"/>
      <c r="F575" s="169"/>
      <c r="G575" s="17" t="s">
        <v>2213</v>
      </c>
      <c r="H575" s="169"/>
      <c r="I575" s="169"/>
      <c r="J575" s="169"/>
      <c r="K575" s="197"/>
      <c r="L575" s="169"/>
      <c r="M575" s="17" t="s">
        <v>2835</v>
      </c>
      <c r="N575" s="169"/>
      <c r="O575" s="169"/>
      <c r="P575" s="169"/>
      <c r="Q575" s="169"/>
      <c r="R575" s="169"/>
      <c r="S575" s="169"/>
      <c r="T575" s="169"/>
      <c r="U575" s="169"/>
      <c r="V575" s="169"/>
      <c r="W575" s="169"/>
      <c r="X575" s="169"/>
      <c r="Y575" s="169"/>
      <c r="Z575" s="169"/>
      <c r="AA575" s="169"/>
      <c r="AB575" s="169"/>
      <c r="AC575" s="169"/>
      <c r="AD575" s="169"/>
      <c r="AE575" s="169"/>
      <c r="AF575" s="169"/>
      <c r="AG575" s="169"/>
    </row>
    <row r="576" spans="1:33" x14ac:dyDescent="0.25">
      <c r="A576" s="17" t="s">
        <v>1561</v>
      </c>
      <c r="B576" s="169"/>
      <c r="C576" s="169"/>
      <c r="D576" s="197"/>
      <c r="E576" s="207"/>
      <c r="F576" s="169"/>
      <c r="G576" s="17" t="s">
        <v>2214</v>
      </c>
      <c r="H576" s="169"/>
      <c r="I576" s="169"/>
      <c r="J576" s="169"/>
      <c r="K576" s="197"/>
      <c r="L576" s="169"/>
      <c r="M576" s="17" t="s">
        <v>2836</v>
      </c>
      <c r="N576" s="169"/>
      <c r="O576" s="169"/>
      <c r="P576" s="169"/>
      <c r="Q576" s="169"/>
      <c r="R576" s="169"/>
      <c r="S576" s="169"/>
      <c r="T576" s="169"/>
      <c r="U576" s="169"/>
      <c r="V576" s="169"/>
      <c r="W576" s="169"/>
      <c r="X576" s="169"/>
      <c r="Y576" s="169"/>
      <c r="Z576" s="169"/>
      <c r="AA576" s="169"/>
      <c r="AB576" s="169"/>
      <c r="AC576" s="169"/>
      <c r="AD576" s="169"/>
      <c r="AE576" s="169"/>
      <c r="AF576" s="169"/>
      <c r="AG576" s="169"/>
    </row>
    <row r="577" spans="1:33" x14ac:dyDescent="0.25">
      <c r="A577" s="17" t="s">
        <v>1569</v>
      </c>
      <c r="B577" s="169"/>
      <c r="C577" s="169"/>
      <c r="D577" s="197"/>
      <c r="E577" s="207"/>
      <c r="F577" s="169"/>
      <c r="G577" s="17" t="s">
        <v>2215</v>
      </c>
      <c r="H577" s="169"/>
      <c r="I577" s="169"/>
      <c r="J577" s="169"/>
      <c r="K577" s="197"/>
      <c r="L577" s="169"/>
      <c r="M577" s="17" t="s">
        <v>2837</v>
      </c>
      <c r="N577" s="169"/>
      <c r="O577" s="169"/>
      <c r="P577" s="169"/>
      <c r="Q577" s="169"/>
      <c r="R577" s="169"/>
      <c r="S577" s="169"/>
      <c r="T577" s="169"/>
      <c r="U577" s="169"/>
      <c r="V577" s="169"/>
      <c r="W577" s="169"/>
      <c r="X577" s="169"/>
      <c r="Y577" s="169"/>
      <c r="Z577" s="169"/>
      <c r="AA577" s="169"/>
      <c r="AB577" s="169"/>
      <c r="AC577" s="169"/>
      <c r="AD577" s="169"/>
      <c r="AE577" s="169"/>
      <c r="AF577" s="169"/>
      <c r="AG577" s="169"/>
    </row>
    <row r="578" spans="1:33" x14ac:dyDescent="0.25">
      <c r="A578" s="17" t="s">
        <v>1570</v>
      </c>
      <c r="B578" s="169"/>
      <c r="C578" s="169"/>
      <c r="D578" s="197"/>
      <c r="E578" s="207"/>
      <c r="F578" s="169"/>
      <c r="G578" s="17" t="s">
        <v>2216</v>
      </c>
      <c r="H578" s="169"/>
      <c r="I578" s="169"/>
      <c r="J578" s="169"/>
      <c r="K578" s="197"/>
      <c r="L578" s="169"/>
      <c r="M578" s="17" t="s">
        <v>2838</v>
      </c>
      <c r="N578" s="169"/>
      <c r="O578" s="169"/>
      <c r="P578" s="169"/>
      <c r="Q578" s="169"/>
      <c r="R578" s="169"/>
      <c r="S578" s="169"/>
      <c r="T578" s="169"/>
      <c r="U578" s="169"/>
      <c r="V578" s="169"/>
      <c r="W578" s="169"/>
      <c r="X578" s="169"/>
      <c r="Y578" s="169"/>
      <c r="Z578" s="169"/>
      <c r="AA578" s="169"/>
      <c r="AB578" s="169"/>
      <c r="AC578" s="169"/>
      <c r="AD578" s="169"/>
      <c r="AE578" s="169"/>
      <c r="AF578" s="169"/>
      <c r="AG578" s="169"/>
    </row>
    <row r="579" spans="1:33" x14ac:dyDescent="0.25">
      <c r="A579" s="17" t="s">
        <v>1571</v>
      </c>
      <c r="B579" s="169"/>
      <c r="C579" s="169"/>
      <c r="D579" s="197"/>
      <c r="E579" s="207"/>
      <c r="F579" s="169"/>
      <c r="G579" s="17" t="s">
        <v>2217</v>
      </c>
      <c r="H579" s="169"/>
      <c r="I579" s="169"/>
      <c r="J579" s="169"/>
      <c r="K579" s="197"/>
      <c r="L579" s="169"/>
      <c r="M579" s="17" t="s">
        <v>2839</v>
      </c>
      <c r="N579" s="169"/>
      <c r="O579" s="169"/>
      <c r="P579" s="169"/>
      <c r="Q579" s="169"/>
      <c r="R579" s="169"/>
      <c r="S579" s="169"/>
      <c r="T579" s="169"/>
      <c r="U579" s="169"/>
      <c r="V579" s="169"/>
      <c r="W579" s="169"/>
      <c r="X579" s="169"/>
      <c r="Y579" s="169"/>
      <c r="Z579" s="169"/>
      <c r="AA579" s="169"/>
      <c r="AB579" s="169"/>
      <c r="AC579" s="169"/>
      <c r="AD579" s="169"/>
      <c r="AE579" s="169"/>
      <c r="AF579" s="169"/>
      <c r="AG579" s="169"/>
    </row>
    <row r="580" spans="1:33" x14ac:dyDescent="0.25">
      <c r="A580" s="17" t="s">
        <v>1572</v>
      </c>
      <c r="B580" s="169"/>
      <c r="C580" s="169"/>
      <c r="D580" s="197"/>
      <c r="E580" s="207"/>
      <c r="F580" s="169"/>
      <c r="G580" s="17" t="s">
        <v>2218</v>
      </c>
      <c r="H580" s="169"/>
      <c r="I580" s="169"/>
      <c r="J580" s="169"/>
      <c r="K580" s="197"/>
      <c r="L580" s="169"/>
      <c r="M580" s="17" t="s">
        <v>2840</v>
      </c>
      <c r="N580" s="169"/>
      <c r="O580" s="169"/>
      <c r="P580" s="169"/>
      <c r="Q580" s="169"/>
      <c r="R580" s="169"/>
      <c r="S580" s="169"/>
      <c r="T580" s="169"/>
      <c r="U580" s="169"/>
      <c r="V580" s="169"/>
      <c r="W580" s="169"/>
      <c r="X580" s="169"/>
      <c r="Y580" s="169"/>
      <c r="Z580" s="169"/>
      <c r="AA580" s="169"/>
      <c r="AB580" s="169"/>
      <c r="AC580" s="169"/>
      <c r="AD580" s="169"/>
      <c r="AE580" s="169"/>
      <c r="AF580" s="169"/>
      <c r="AG580" s="169"/>
    </row>
    <row r="581" spans="1:33" x14ac:dyDescent="0.25">
      <c r="A581" s="17" t="s">
        <v>1573</v>
      </c>
      <c r="B581" s="169"/>
      <c r="C581" s="169"/>
      <c r="D581" s="197"/>
      <c r="E581" s="207"/>
      <c r="F581" s="169"/>
      <c r="G581" s="17" t="s">
        <v>2219</v>
      </c>
      <c r="H581" s="169"/>
      <c r="I581" s="169"/>
      <c r="J581" s="169"/>
      <c r="K581" s="197"/>
      <c r="L581" s="169"/>
      <c r="M581" s="17" t="s">
        <v>2841</v>
      </c>
      <c r="N581" s="169"/>
      <c r="O581" s="169"/>
      <c r="P581" s="169"/>
      <c r="Q581" s="169"/>
      <c r="R581" s="169"/>
      <c r="S581" s="169"/>
      <c r="T581" s="169"/>
      <c r="U581" s="169"/>
      <c r="V581" s="169"/>
      <c r="W581" s="169"/>
      <c r="X581" s="169"/>
      <c r="Y581" s="169"/>
      <c r="Z581" s="169"/>
      <c r="AA581" s="169"/>
      <c r="AB581" s="169"/>
      <c r="AC581" s="169"/>
      <c r="AD581" s="169"/>
      <c r="AE581" s="169"/>
      <c r="AF581" s="169"/>
      <c r="AG581" s="169"/>
    </row>
    <row r="582" spans="1:33" x14ac:dyDescent="0.25">
      <c r="A582" s="17" t="s">
        <v>1574</v>
      </c>
      <c r="B582" s="169"/>
      <c r="C582" s="169"/>
      <c r="D582" s="197"/>
      <c r="E582" s="207"/>
      <c r="F582" s="169"/>
      <c r="G582" s="17" t="s">
        <v>2220</v>
      </c>
      <c r="H582" s="169"/>
      <c r="I582" s="169"/>
      <c r="J582" s="169"/>
      <c r="K582" s="197"/>
      <c r="L582" s="169"/>
      <c r="M582" s="17" t="s">
        <v>2842</v>
      </c>
      <c r="N582" s="169"/>
      <c r="O582" s="169"/>
      <c r="P582" s="169"/>
      <c r="Q582" s="169"/>
      <c r="R582" s="169"/>
      <c r="S582" s="169"/>
      <c r="T582" s="169"/>
      <c r="U582" s="169"/>
      <c r="V582" s="169"/>
      <c r="W582" s="169"/>
      <c r="X582" s="169"/>
      <c r="Y582" s="169"/>
      <c r="Z582" s="169"/>
      <c r="AA582" s="169"/>
      <c r="AB582" s="169"/>
      <c r="AC582" s="169"/>
      <c r="AD582" s="169"/>
      <c r="AE582" s="169"/>
      <c r="AF582" s="169"/>
      <c r="AG582" s="169"/>
    </row>
    <row r="583" spans="1:33" x14ac:dyDescent="0.25">
      <c r="A583" s="17" t="s">
        <v>1575</v>
      </c>
      <c r="B583" s="169"/>
      <c r="C583" s="169"/>
      <c r="D583" s="197"/>
      <c r="E583" s="207"/>
      <c r="F583" s="169"/>
      <c r="G583" s="17" t="s">
        <v>2221</v>
      </c>
      <c r="H583" s="169"/>
      <c r="I583" s="169"/>
      <c r="J583" s="169"/>
      <c r="K583" s="197"/>
      <c r="L583" s="169"/>
      <c r="M583" s="17" t="s">
        <v>2838</v>
      </c>
      <c r="N583" s="169"/>
      <c r="O583" s="169"/>
      <c r="P583" s="169"/>
      <c r="Q583" s="169"/>
      <c r="R583" s="169"/>
      <c r="S583" s="169"/>
      <c r="T583" s="169"/>
      <c r="U583" s="169"/>
      <c r="V583" s="169"/>
      <c r="W583" s="169"/>
      <c r="X583" s="169"/>
      <c r="Y583" s="169"/>
      <c r="Z583" s="169"/>
      <c r="AA583" s="169"/>
      <c r="AB583" s="169"/>
      <c r="AC583" s="169"/>
      <c r="AD583" s="169"/>
      <c r="AE583" s="169"/>
      <c r="AF583" s="169"/>
      <c r="AG583" s="169"/>
    </row>
    <row r="584" spans="1:33" x14ac:dyDescent="0.25">
      <c r="A584" s="17" t="s">
        <v>1576</v>
      </c>
      <c r="B584" s="169"/>
      <c r="C584" s="169"/>
      <c r="D584" s="197"/>
      <c r="E584" s="207"/>
      <c r="F584" s="169"/>
      <c r="G584" s="17" t="s">
        <v>2222</v>
      </c>
      <c r="H584" s="169"/>
      <c r="I584" s="169"/>
      <c r="J584" s="169"/>
      <c r="K584" s="197"/>
      <c r="L584" s="169"/>
      <c r="M584" s="17" t="s">
        <v>2843</v>
      </c>
      <c r="N584" s="169"/>
      <c r="O584" s="169"/>
      <c r="P584" s="169"/>
      <c r="Q584" s="169"/>
      <c r="R584" s="169"/>
      <c r="S584" s="169"/>
      <c r="T584" s="169"/>
      <c r="U584" s="169"/>
      <c r="V584" s="169"/>
      <c r="W584" s="169"/>
      <c r="X584" s="169"/>
      <c r="Y584" s="169"/>
      <c r="Z584" s="169"/>
      <c r="AA584" s="169"/>
      <c r="AB584" s="169"/>
      <c r="AC584" s="169"/>
      <c r="AD584" s="169"/>
      <c r="AE584" s="169"/>
      <c r="AF584" s="169"/>
      <c r="AG584" s="169"/>
    </row>
    <row r="585" spans="1:33" x14ac:dyDescent="0.25">
      <c r="A585" s="17" t="s">
        <v>1577</v>
      </c>
      <c r="B585" s="169"/>
      <c r="C585" s="169"/>
      <c r="D585" s="197"/>
      <c r="E585" s="207"/>
      <c r="F585" s="169"/>
      <c r="G585" s="17" t="s">
        <v>2223</v>
      </c>
      <c r="H585" s="169"/>
      <c r="I585" s="169"/>
      <c r="J585" s="169"/>
      <c r="K585" s="197"/>
      <c r="L585" s="169"/>
      <c r="M585" s="17" t="s">
        <v>2844</v>
      </c>
      <c r="N585" s="169"/>
      <c r="O585" s="169"/>
      <c r="P585" s="169"/>
      <c r="Q585" s="169"/>
      <c r="R585" s="169"/>
      <c r="S585" s="169"/>
      <c r="T585" s="169"/>
      <c r="U585" s="169"/>
      <c r="V585" s="169"/>
      <c r="W585" s="169"/>
      <c r="X585" s="169"/>
      <c r="Y585" s="169"/>
      <c r="Z585" s="169"/>
      <c r="AA585" s="169"/>
      <c r="AB585" s="169"/>
      <c r="AC585" s="169"/>
      <c r="AD585" s="169"/>
      <c r="AE585" s="169"/>
      <c r="AF585" s="169"/>
      <c r="AG585" s="169"/>
    </row>
    <row r="586" spans="1:33" x14ac:dyDescent="0.25">
      <c r="A586" s="17" t="s">
        <v>1578</v>
      </c>
      <c r="B586" s="169"/>
      <c r="C586" s="169"/>
      <c r="D586" s="197"/>
      <c r="E586" s="207"/>
      <c r="F586" s="169"/>
      <c r="G586" s="17" t="s">
        <v>2224</v>
      </c>
      <c r="H586" s="169"/>
      <c r="I586" s="169"/>
      <c r="J586" s="169"/>
      <c r="K586" s="197"/>
      <c r="L586" s="169"/>
      <c r="M586" s="17" t="s">
        <v>2845</v>
      </c>
      <c r="N586" s="169"/>
      <c r="O586" s="169"/>
      <c r="P586" s="169"/>
      <c r="Q586" s="169"/>
      <c r="R586" s="169"/>
      <c r="S586" s="169"/>
      <c r="T586" s="169"/>
      <c r="U586" s="169"/>
      <c r="V586" s="169"/>
      <c r="W586" s="169"/>
      <c r="X586" s="169"/>
      <c r="Y586" s="169"/>
      <c r="Z586" s="169"/>
      <c r="AA586" s="169"/>
      <c r="AB586" s="169"/>
      <c r="AC586" s="169"/>
      <c r="AD586" s="169"/>
      <c r="AE586" s="169"/>
      <c r="AF586" s="169"/>
      <c r="AG586" s="169"/>
    </row>
    <row r="587" spans="1:33" x14ac:dyDescent="0.25">
      <c r="A587" s="17" t="s">
        <v>1579</v>
      </c>
      <c r="B587" s="169"/>
      <c r="C587" s="169"/>
      <c r="D587" s="197"/>
      <c r="E587" s="207"/>
      <c r="F587" s="169"/>
      <c r="G587" s="17" t="s">
        <v>2225</v>
      </c>
      <c r="H587" s="169"/>
      <c r="I587" s="169"/>
      <c r="J587" s="169"/>
      <c r="K587" s="197"/>
      <c r="L587" s="169"/>
      <c r="M587" s="17" t="s">
        <v>2846</v>
      </c>
      <c r="N587" s="169"/>
      <c r="O587" s="169"/>
      <c r="P587" s="169"/>
      <c r="Q587" s="169"/>
      <c r="R587" s="169"/>
      <c r="S587" s="169"/>
      <c r="T587" s="169"/>
      <c r="U587" s="169"/>
      <c r="V587" s="169"/>
      <c r="W587" s="169"/>
      <c r="X587" s="169"/>
      <c r="Y587" s="169"/>
      <c r="Z587" s="169"/>
      <c r="AA587" s="169"/>
      <c r="AB587" s="169"/>
      <c r="AC587" s="169"/>
      <c r="AD587" s="169"/>
      <c r="AE587" s="169"/>
      <c r="AF587" s="169"/>
      <c r="AG587" s="169"/>
    </row>
    <row r="588" spans="1:33" x14ac:dyDescent="0.25">
      <c r="A588" s="17" t="s">
        <v>1580</v>
      </c>
      <c r="B588" s="169"/>
      <c r="C588" s="169"/>
      <c r="D588" s="197"/>
      <c r="E588" s="207"/>
      <c r="F588" s="169"/>
      <c r="G588" s="439" t="s">
        <v>2226</v>
      </c>
      <c r="H588" s="440"/>
      <c r="I588" s="169"/>
      <c r="J588" s="169"/>
      <c r="K588" s="197"/>
      <c r="L588" s="169"/>
      <c r="M588" s="17" t="s">
        <v>2847</v>
      </c>
      <c r="N588" s="169"/>
      <c r="O588" s="169"/>
      <c r="P588" s="169"/>
      <c r="Q588" s="169"/>
      <c r="R588" s="169"/>
      <c r="S588" s="169"/>
      <c r="T588" s="169"/>
      <c r="U588" s="169"/>
      <c r="V588" s="169"/>
      <c r="W588" s="169"/>
      <c r="X588" s="169"/>
      <c r="Y588" s="169"/>
      <c r="Z588" s="169"/>
      <c r="AA588" s="169"/>
      <c r="AB588" s="169"/>
      <c r="AC588" s="169"/>
      <c r="AD588" s="169"/>
      <c r="AE588" s="169"/>
      <c r="AF588" s="169"/>
      <c r="AG588" s="169"/>
    </row>
    <row r="589" spans="1:33" x14ac:dyDescent="0.25">
      <c r="A589" s="17" t="s">
        <v>1581</v>
      </c>
      <c r="B589" s="169"/>
      <c r="C589" s="169"/>
      <c r="D589" s="197"/>
      <c r="E589" s="207"/>
      <c r="F589" s="169"/>
      <c r="G589" s="17" t="s">
        <v>2227</v>
      </c>
      <c r="H589" s="169"/>
      <c r="I589" s="169"/>
      <c r="J589" s="169"/>
      <c r="K589" s="197"/>
      <c r="L589" s="169"/>
      <c r="M589" s="17" t="s">
        <v>2143</v>
      </c>
      <c r="N589" s="169"/>
      <c r="O589" s="169"/>
      <c r="P589" s="169"/>
      <c r="Q589" s="169"/>
      <c r="R589" s="169"/>
      <c r="S589" s="169"/>
      <c r="T589" s="169"/>
      <c r="U589" s="169"/>
      <c r="V589" s="169"/>
      <c r="W589" s="169"/>
      <c r="X589" s="169"/>
      <c r="Y589" s="169"/>
      <c r="Z589" s="169"/>
      <c r="AA589" s="169"/>
      <c r="AB589" s="169"/>
      <c r="AC589" s="169"/>
      <c r="AD589" s="169"/>
      <c r="AE589" s="169"/>
      <c r="AF589" s="169"/>
      <c r="AG589" s="169"/>
    </row>
    <row r="590" spans="1:33" x14ac:dyDescent="0.25">
      <c r="A590" s="17" t="s">
        <v>1582</v>
      </c>
      <c r="G590" s="17" t="s">
        <v>2228</v>
      </c>
      <c r="L590" s="169"/>
      <c r="M590" s="17" t="s">
        <v>2135</v>
      </c>
      <c r="N590" s="169"/>
      <c r="O590" s="169"/>
      <c r="P590" s="169"/>
      <c r="Q590" s="169"/>
      <c r="R590" s="169"/>
      <c r="S590" s="169"/>
      <c r="T590" s="169"/>
      <c r="U590" s="169"/>
      <c r="V590" s="169"/>
      <c r="W590" s="169"/>
      <c r="X590" s="169"/>
      <c r="Y590" s="169"/>
      <c r="Z590" s="169"/>
      <c r="AA590" s="169"/>
      <c r="AB590" s="169"/>
      <c r="AC590" s="169"/>
      <c r="AD590" s="169"/>
      <c r="AE590" s="169"/>
      <c r="AF590" s="169"/>
      <c r="AG590" s="169"/>
    </row>
    <row r="591" spans="1:33" x14ac:dyDescent="0.25">
      <c r="A591" s="17" t="s">
        <v>1583</v>
      </c>
      <c r="G591" s="17" t="s">
        <v>1576</v>
      </c>
      <c r="L591" s="169"/>
      <c r="M591" s="17" t="s">
        <v>2848</v>
      </c>
      <c r="N591" s="169"/>
      <c r="O591" s="169"/>
      <c r="P591" s="169"/>
      <c r="Q591" s="169"/>
      <c r="R591" s="169"/>
      <c r="S591" s="169"/>
      <c r="T591" s="169"/>
      <c r="U591" s="169"/>
      <c r="V591" s="169"/>
      <c r="W591" s="169"/>
      <c r="X591" s="169"/>
      <c r="Y591" s="169"/>
      <c r="Z591" s="169"/>
      <c r="AA591" s="169"/>
      <c r="AB591" s="169"/>
      <c r="AC591" s="169"/>
      <c r="AD591" s="169"/>
      <c r="AE591" s="169"/>
      <c r="AF591" s="169"/>
      <c r="AG591" s="169"/>
    </row>
    <row r="592" spans="1:33" x14ac:dyDescent="0.25">
      <c r="A592" s="17" t="s">
        <v>1584</v>
      </c>
      <c r="G592" s="17" t="s">
        <v>2229</v>
      </c>
      <c r="L592" s="169"/>
      <c r="M592" s="17" t="s">
        <v>2849</v>
      </c>
      <c r="N592" s="169"/>
      <c r="O592" s="169"/>
      <c r="P592" s="169"/>
      <c r="Q592" s="169"/>
      <c r="R592" s="169"/>
      <c r="S592" s="169"/>
      <c r="T592" s="169"/>
      <c r="U592" s="169"/>
      <c r="V592" s="169"/>
      <c r="W592" s="169"/>
      <c r="X592" s="169"/>
      <c r="Y592" s="169"/>
      <c r="Z592" s="169"/>
      <c r="AA592" s="169"/>
      <c r="AB592" s="169"/>
      <c r="AC592" s="169"/>
      <c r="AD592" s="169"/>
      <c r="AE592" s="169"/>
      <c r="AF592" s="169"/>
      <c r="AG592" s="169"/>
    </row>
    <row r="593" spans="1:33" x14ac:dyDescent="0.25">
      <c r="A593" s="17" t="s">
        <v>1585</v>
      </c>
      <c r="G593" s="439" t="s">
        <v>2230</v>
      </c>
      <c r="H593" s="360"/>
      <c r="L593" s="169"/>
      <c r="M593" s="17" t="s">
        <v>2850</v>
      </c>
      <c r="N593" s="169"/>
      <c r="O593" s="169"/>
      <c r="P593" s="169"/>
      <c r="Q593" s="169"/>
      <c r="R593" s="169"/>
      <c r="S593" s="169"/>
      <c r="T593" s="169"/>
      <c r="U593" s="169"/>
      <c r="V593" s="169"/>
      <c r="W593" s="169"/>
      <c r="X593" s="169"/>
      <c r="Y593" s="169"/>
      <c r="Z593" s="169"/>
      <c r="AA593" s="169"/>
      <c r="AB593" s="169"/>
      <c r="AC593" s="169"/>
      <c r="AD593" s="169"/>
      <c r="AE593" s="169"/>
      <c r="AF593" s="169"/>
      <c r="AG593" s="169"/>
    </row>
    <row r="594" spans="1:33" x14ac:dyDescent="0.25">
      <c r="A594" s="17" t="s">
        <v>1586</v>
      </c>
      <c r="G594" s="17" t="s">
        <v>2221</v>
      </c>
      <c r="L594" s="169"/>
      <c r="M594" s="17" t="s">
        <v>1527</v>
      </c>
      <c r="N594" s="169"/>
      <c r="O594" s="169"/>
      <c r="P594" s="169"/>
      <c r="Q594" s="169"/>
      <c r="R594" s="169"/>
      <c r="S594" s="169"/>
      <c r="T594" s="169"/>
      <c r="U594" s="169"/>
      <c r="V594" s="169"/>
      <c r="W594" s="169"/>
      <c r="X594" s="169"/>
      <c r="Y594" s="169"/>
      <c r="Z594" s="169"/>
      <c r="AA594" s="169"/>
      <c r="AB594" s="169"/>
      <c r="AC594" s="169"/>
      <c r="AD594" s="169"/>
      <c r="AE594" s="169"/>
      <c r="AF594" s="169"/>
      <c r="AG594" s="169"/>
    </row>
    <row r="595" spans="1:33" x14ac:dyDescent="0.25">
      <c r="A595" s="17" t="s">
        <v>1587</v>
      </c>
      <c r="G595" s="17" t="s">
        <v>2231</v>
      </c>
      <c r="L595" s="169"/>
      <c r="M595" s="17" t="s">
        <v>2851</v>
      </c>
      <c r="N595" s="169"/>
      <c r="O595" s="169"/>
      <c r="P595" s="169"/>
      <c r="Q595" s="169"/>
      <c r="R595" s="169"/>
      <c r="S595" s="169"/>
      <c r="T595" s="169"/>
      <c r="U595" s="169"/>
      <c r="V595" s="169"/>
      <c r="W595" s="169"/>
      <c r="X595" s="169"/>
      <c r="Y595" s="169"/>
      <c r="Z595" s="169"/>
      <c r="AA595" s="169"/>
      <c r="AB595" s="169"/>
      <c r="AC595" s="169"/>
      <c r="AD595" s="169"/>
      <c r="AE595" s="169"/>
      <c r="AF595" s="169"/>
      <c r="AG595" s="169"/>
    </row>
    <row r="596" spans="1:33" x14ac:dyDescent="0.25">
      <c r="A596" s="17" t="s">
        <v>1588</v>
      </c>
      <c r="G596" s="17" t="s">
        <v>2232</v>
      </c>
      <c r="L596" s="169"/>
      <c r="M596" s="17" t="s">
        <v>2852</v>
      </c>
      <c r="N596" s="169"/>
      <c r="O596" s="169"/>
      <c r="P596" s="169"/>
      <c r="Q596" s="169"/>
      <c r="R596" s="169"/>
      <c r="T596" s="169"/>
      <c r="U596" s="169"/>
      <c r="V596" s="169"/>
      <c r="W596" s="169"/>
      <c r="X596" s="169"/>
      <c r="Y596" s="169"/>
      <c r="Z596" s="169"/>
      <c r="AA596" s="169"/>
      <c r="AB596" s="169"/>
      <c r="AC596" s="169"/>
      <c r="AD596" s="169"/>
      <c r="AE596" s="169"/>
      <c r="AF596" s="169"/>
      <c r="AG596" s="169"/>
    </row>
    <row r="597" spans="1:33" x14ac:dyDescent="0.25">
      <c r="A597" s="17" t="s">
        <v>1589</v>
      </c>
      <c r="G597" s="17" t="s">
        <v>1596</v>
      </c>
      <c r="L597" s="169"/>
      <c r="M597" s="17" t="s">
        <v>2853</v>
      </c>
      <c r="N597" s="169"/>
      <c r="O597" s="169"/>
      <c r="P597" s="169"/>
      <c r="Q597" s="169"/>
      <c r="R597" s="169"/>
      <c r="T597" s="169"/>
      <c r="U597" s="169"/>
      <c r="V597" s="169"/>
      <c r="W597" s="169"/>
      <c r="X597" s="169"/>
      <c r="Y597" s="169"/>
      <c r="Z597" s="169"/>
      <c r="AA597" s="169"/>
      <c r="AB597" s="169"/>
      <c r="AC597" s="169"/>
      <c r="AD597" s="169"/>
      <c r="AE597" s="169"/>
      <c r="AF597" s="169"/>
      <c r="AG597" s="169"/>
    </row>
    <row r="598" spans="1:33" x14ac:dyDescent="0.25">
      <c r="A598" s="17" t="s">
        <v>1590</v>
      </c>
      <c r="G598" s="17" t="s">
        <v>1586</v>
      </c>
      <c r="L598" s="169"/>
      <c r="M598" s="17" t="s">
        <v>2854</v>
      </c>
      <c r="N598" s="169"/>
      <c r="O598" s="169"/>
      <c r="P598" s="169"/>
      <c r="Q598" s="169"/>
      <c r="R598" s="169"/>
      <c r="T598" s="169"/>
      <c r="U598" s="169"/>
      <c r="V598" s="169"/>
      <c r="W598" s="169"/>
      <c r="X598" s="169"/>
      <c r="Y598" s="169"/>
      <c r="Z598" s="169"/>
      <c r="AA598" s="169"/>
      <c r="AB598" s="169"/>
      <c r="AC598" s="169"/>
      <c r="AD598" s="169"/>
      <c r="AE598" s="169"/>
      <c r="AF598" s="169"/>
      <c r="AG598" s="169"/>
    </row>
    <row r="599" spans="1:33" x14ac:dyDescent="0.25">
      <c r="A599" s="17" t="s">
        <v>1591</v>
      </c>
      <c r="G599" s="17" t="s">
        <v>2233</v>
      </c>
      <c r="L599" s="169"/>
      <c r="M599" s="17" t="s">
        <v>2855</v>
      </c>
      <c r="N599" s="169"/>
      <c r="O599" s="169"/>
      <c r="P599" s="169"/>
      <c r="Q599" s="169"/>
      <c r="R599" s="169"/>
      <c r="T599" s="169"/>
      <c r="U599" s="169"/>
      <c r="V599" s="169"/>
      <c r="W599" s="169"/>
      <c r="X599" s="169"/>
      <c r="Y599" s="169"/>
      <c r="Z599" s="169"/>
      <c r="AA599" s="169"/>
      <c r="AB599" s="169"/>
      <c r="AC599" s="169"/>
      <c r="AD599" s="169"/>
      <c r="AE599" s="169"/>
      <c r="AF599" s="169"/>
      <c r="AG599" s="169"/>
    </row>
    <row r="600" spans="1:33" x14ac:dyDescent="0.25">
      <c r="A600" s="17" t="s">
        <v>1592</v>
      </c>
      <c r="G600" s="17" t="s">
        <v>2234</v>
      </c>
      <c r="L600" s="169"/>
      <c r="M600" s="17" t="s">
        <v>2856</v>
      </c>
      <c r="N600" s="169"/>
      <c r="O600" s="169"/>
      <c r="P600" s="169"/>
      <c r="Q600" s="169"/>
      <c r="R600" s="169"/>
      <c r="T600" s="169"/>
      <c r="U600" s="169"/>
      <c r="V600" s="169"/>
      <c r="W600" s="169"/>
      <c r="X600" s="169"/>
      <c r="Y600" s="169"/>
      <c r="Z600" s="169"/>
      <c r="AA600" s="169"/>
      <c r="AB600" s="169"/>
      <c r="AC600" s="169"/>
      <c r="AD600" s="169"/>
      <c r="AE600" s="169"/>
      <c r="AF600" s="169"/>
      <c r="AG600" s="169"/>
    </row>
    <row r="601" spans="1:33" x14ac:dyDescent="0.25">
      <c r="A601" s="17" t="s">
        <v>1593</v>
      </c>
      <c r="G601" s="17" t="s">
        <v>2235</v>
      </c>
      <c r="L601" s="169"/>
      <c r="M601" s="17" t="s">
        <v>2857</v>
      </c>
      <c r="N601" s="169"/>
      <c r="O601" s="169"/>
      <c r="P601" s="169"/>
      <c r="Q601" s="169"/>
      <c r="R601" s="169"/>
      <c r="T601" s="169"/>
      <c r="U601" s="169"/>
      <c r="V601" s="169"/>
      <c r="W601" s="169"/>
      <c r="X601" s="169"/>
      <c r="Y601" s="169"/>
      <c r="Z601" s="169"/>
      <c r="AA601" s="169"/>
      <c r="AB601" s="169"/>
      <c r="AC601" s="169"/>
      <c r="AD601" s="169"/>
      <c r="AE601" s="169"/>
      <c r="AF601" s="169"/>
      <c r="AG601" s="169"/>
    </row>
    <row r="602" spans="1:33" x14ac:dyDescent="0.25">
      <c r="A602" s="17" t="s">
        <v>1594</v>
      </c>
      <c r="G602" s="17" t="s">
        <v>2236</v>
      </c>
      <c r="L602" s="169"/>
      <c r="M602" s="17" t="s">
        <v>2858</v>
      </c>
      <c r="N602" s="169"/>
      <c r="O602" s="169"/>
      <c r="P602" s="169"/>
      <c r="Q602" s="169"/>
      <c r="R602" s="169"/>
      <c r="T602" s="169"/>
      <c r="U602" s="169"/>
      <c r="V602" s="169"/>
      <c r="W602" s="169"/>
      <c r="X602" s="169"/>
      <c r="Y602" s="169"/>
      <c r="Z602" s="169"/>
      <c r="AA602" s="169"/>
      <c r="AB602" s="169"/>
      <c r="AC602" s="169"/>
      <c r="AD602" s="169"/>
      <c r="AE602" s="169"/>
      <c r="AF602" s="169"/>
      <c r="AG602" s="169"/>
    </row>
    <row r="603" spans="1:33" x14ac:dyDescent="0.25">
      <c r="A603" s="17" t="s">
        <v>1595</v>
      </c>
      <c r="G603" s="17" t="s">
        <v>2237</v>
      </c>
      <c r="M603" s="17" t="s">
        <v>2186</v>
      </c>
      <c r="N603" s="169"/>
      <c r="O603" s="169"/>
      <c r="P603" s="169"/>
      <c r="Q603" s="169"/>
      <c r="R603" s="169"/>
    </row>
    <row r="604" spans="1:33" x14ac:dyDescent="0.25">
      <c r="A604" s="17" t="s">
        <v>1596</v>
      </c>
      <c r="G604" s="17" t="s">
        <v>2236</v>
      </c>
      <c r="M604" s="17" t="s">
        <v>2859</v>
      </c>
      <c r="N604" s="169"/>
      <c r="O604" s="169"/>
      <c r="P604" s="169"/>
      <c r="Q604" s="169"/>
      <c r="R604" s="169"/>
    </row>
    <row r="605" spans="1:33" x14ac:dyDescent="0.25">
      <c r="A605" s="17" t="s">
        <v>1593</v>
      </c>
      <c r="G605" s="17" t="s">
        <v>2236</v>
      </c>
      <c r="M605" s="17" t="s">
        <v>2858</v>
      </c>
      <c r="N605" s="169"/>
      <c r="O605" s="169"/>
      <c r="P605" s="169"/>
      <c r="Q605" s="169"/>
      <c r="R605" s="169"/>
    </row>
    <row r="606" spans="1:33" x14ac:dyDescent="0.25">
      <c r="A606" s="17" t="s">
        <v>1597</v>
      </c>
      <c r="G606" s="17" t="s">
        <v>2238</v>
      </c>
      <c r="M606" s="17" t="s">
        <v>2860</v>
      </c>
      <c r="N606" s="169"/>
      <c r="O606" s="169"/>
      <c r="P606" s="169"/>
      <c r="Q606" s="169"/>
      <c r="R606" s="169"/>
    </row>
    <row r="607" spans="1:33" x14ac:dyDescent="0.25">
      <c r="A607" s="17" t="s">
        <v>1598</v>
      </c>
      <c r="G607" s="17" t="s">
        <v>2239</v>
      </c>
      <c r="M607" s="17" t="s">
        <v>2861</v>
      </c>
      <c r="N607" s="169"/>
      <c r="O607" s="169"/>
      <c r="P607" s="169"/>
      <c r="Q607" s="169"/>
      <c r="R607" s="169"/>
    </row>
    <row r="608" spans="1:33" x14ac:dyDescent="0.25">
      <c r="A608" s="17" t="s">
        <v>1599</v>
      </c>
      <c r="G608" s="17" t="s">
        <v>2240</v>
      </c>
      <c r="M608" s="17" t="s">
        <v>2862</v>
      </c>
      <c r="N608" s="169"/>
      <c r="O608" s="169"/>
      <c r="P608" s="169"/>
      <c r="Q608" s="169"/>
      <c r="R608" s="169"/>
    </row>
    <row r="609" spans="1:18" x14ac:dyDescent="0.25">
      <c r="A609" s="17" t="s">
        <v>1600</v>
      </c>
      <c r="G609" s="17" t="s">
        <v>2241</v>
      </c>
      <c r="M609" s="17" t="s">
        <v>2863</v>
      </c>
      <c r="N609" s="169"/>
      <c r="O609" s="169"/>
      <c r="P609" s="169"/>
      <c r="Q609" s="169"/>
      <c r="R609" s="169"/>
    </row>
    <row r="610" spans="1:18" x14ac:dyDescent="0.25">
      <c r="A610" s="17" t="s">
        <v>1601</v>
      </c>
      <c r="G610" s="17" t="s">
        <v>2242</v>
      </c>
      <c r="M610" s="17" t="s">
        <v>2855</v>
      </c>
      <c r="N610" s="169"/>
      <c r="O610" s="169"/>
      <c r="P610" s="169"/>
      <c r="Q610" s="169"/>
      <c r="R610" s="169"/>
    </row>
    <row r="611" spans="1:18" x14ac:dyDescent="0.25">
      <c r="A611" s="17" t="s">
        <v>1602</v>
      </c>
      <c r="G611" s="17" t="s">
        <v>2243</v>
      </c>
      <c r="M611" s="17" t="s">
        <v>2187</v>
      </c>
      <c r="N611" s="169"/>
      <c r="O611" s="169"/>
      <c r="P611" s="169"/>
      <c r="Q611" s="169"/>
      <c r="R611" s="169"/>
    </row>
    <row r="612" spans="1:18" x14ac:dyDescent="0.25">
      <c r="A612" s="17" t="s">
        <v>1603</v>
      </c>
      <c r="G612" s="439" t="s">
        <v>2244</v>
      </c>
      <c r="H612" s="360"/>
      <c r="M612" s="17" t="s">
        <v>2864</v>
      </c>
      <c r="N612" s="169"/>
      <c r="O612" s="169"/>
      <c r="P612" s="169"/>
      <c r="Q612" s="169"/>
      <c r="R612" s="169"/>
    </row>
    <row r="613" spans="1:18" x14ac:dyDescent="0.25">
      <c r="A613" s="17" t="s">
        <v>1604</v>
      </c>
      <c r="G613" s="17" t="s">
        <v>2245</v>
      </c>
      <c r="M613" s="17" t="s">
        <v>2865</v>
      </c>
      <c r="N613" s="169"/>
      <c r="O613" s="169"/>
      <c r="P613" s="169"/>
      <c r="Q613" s="169"/>
      <c r="R613" s="169"/>
    </row>
    <row r="614" spans="1:18" x14ac:dyDescent="0.25">
      <c r="A614" s="17" t="s">
        <v>1605</v>
      </c>
      <c r="G614" s="17" t="s">
        <v>2246</v>
      </c>
      <c r="M614" s="17" t="s">
        <v>2866</v>
      </c>
      <c r="N614" s="169"/>
      <c r="O614" s="169"/>
      <c r="P614" s="169"/>
      <c r="Q614" s="169"/>
      <c r="R614" s="169"/>
    </row>
    <row r="615" spans="1:18" x14ac:dyDescent="0.25">
      <c r="A615" s="17" t="s">
        <v>1606</v>
      </c>
      <c r="G615" s="17" t="s">
        <v>2247</v>
      </c>
      <c r="M615" s="17" t="s">
        <v>2867</v>
      </c>
      <c r="N615" s="169"/>
      <c r="O615" s="169"/>
      <c r="P615" s="169"/>
      <c r="Q615" s="169"/>
      <c r="R615" s="169"/>
    </row>
    <row r="616" spans="1:18" x14ac:dyDescent="0.25">
      <c r="A616" s="17" t="s">
        <v>1607</v>
      </c>
      <c r="G616" s="17" t="s">
        <v>2248</v>
      </c>
      <c r="M616" s="17" t="s">
        <v>2868</v>
      </c>
      <c r="N616" s="169"/>
      <c r="O616" s="169"/>
      <c r="P616" s="169"/>
      <c r="Q616" s="169"/>
      <c r="R616" s="169"/>
    </row>
    <row r="617" spans="1:18" x14ac:dyDescent="0.25">
      <c r="A617" s="17" t="s">
        <v>1608</v>
      </c>
      <c r="G617" s="17" t="s">
        <v>2249</v>
      </c>
      <c r="M617" s="17" t="s">
        <v>2853</v>
      </c>
      <c r="N617" s="169"/>
      <c r="O617" s="169"/>
      <c r="P617" s="169"/>
      <c r="Q617" s="169"/>
      <c r="R617" s="169"/>
    </row>
    <row r="618" spans="1:18" x14ac:dyDescent="0.25">
      <c r="A618" s="17" t="s">
        <v>1609</v>
      </c>
      <c r="G618" s="17" t="s">
        <v>1633</v>
      </c>
      <c r="M618" s="17" t="s">
        <v>2869</v>
      </c>
      <c r="N618" s="169"/>
      <c r="O618" s="169"/>
      <c r="P618" s="169"/>
      <c r="Q618" s="169"/>
      <c r="R618" s="169"/>
    </row>
    <row r="619" spans="1:18" x14ac:dyDescent="0.25">
      <c r="A619" s="17" t="s">
        <v>1610</v>
      </c>
      <c r="G619" s="17" t="s">
        <v>2250</v>
      </c>
      <c r="M619" s="17" t="s">
        <v>2870</v>
      </c>
      <c r="N619" s="169"/>
      <c r="O619" s="169"/>
      <c r="P619" s="169"/>
      <c r="Q619" s="169"/>
      <c r="R619" s="169"/>
    </row>
    <row r="620" spans="1:18" x14ac:dyDescent="0.25">
      <c r="A620" s="17" t="s">
        <v>1611</v>
      </c>
      <c r="G620" s="17" t="s">
        <v>2251</v>
      </c>
      <c r="M620" s="17" t="s">
        <v>2869</v>
      </c>
      <c r="N620" s="169"/>
      <c r="O620" s="169"/>
      <c r="P620" s="169"/>
      <c r="Q620" s="169"/>
      <c r="R620" s="169"/>
    </row>
    <row r="621" spans="1:18" x14ac:dyDescent="0.25">
      <c r="A621" s="17" t="s">
        <v>1612</v>
      </c>
      <c r="G621" s="17" t="s">
        <v>2252</v>
      </c>
      <c r="M621" s="17" t="s">
        <v>2871</v>
      </c>
      <c r="N621" s="169"/>
      <c r="O621" s="169"/>
      <c r="P621" s="169"/>
      <c r="Q621" s="169"/>
      <c r="R621" s="169"/>
    </row>
    <row r="622" spans="1:18" x14ac:dyDescent="0.25">
      <c r="A622" s="17" t="s">
        <v>1613</v>
      </c>
      <c r="G622" s="17" t="s">
        <v>2253</v>
      </c>
      <c r="M622" s="17" t="s">
        <v>2172</v>
      </c>
      <c r="N622" s="169"/>
      <c r="O622" s="169"/>
      <c r="P622" s="169"/>
      <c r="Q622" s="169"/>
      <c r="R622" s="169"/>
    </row>
    <row r="623" spans="1:18" x14ac:dyDescent="0.25">
      <c r="A623" s="17" t="s">
        <v>1612</v>
      </c>
      <c r="G623" s="17" t="s">
        <v>2254</v>
      </c>
      <c r="M623" s="17" t="s">
        <v>2872</v>
      </c>
      <c r="N623" s="169"/>
      <c r="O623" s="169"/>
      <c r="P623" s="169"/>
      <c r="Q623" s="169"/>
      <c r="R623" s="169"/>
    </row>
    <row r="624" spans="1:18" x14ac:dyDescent="0.25">
      <c r="A624" s="17" t="s">
        <v>1614</v>
      </c>
      <c r="G624" s="17" t="s">
        <v>2255</v>
      </c>
      <c r="M624" s="17" t="s">
        <v>2183</v>
      </c>
      <c r="N624" s="169"/>
      <c r="O624" s="169"/>
      <c r="P624" s="169"/>
      <c r="Q624" s="169"/>
      <c r="R624" s="169"/>
    </row>
    <row r="625" spans="1:18" x14ac:dyDescent="0.25">
      <c r="A625" s="17" t="s">
        <v>1615</v>
      </c>
      <c r="G625" s="17" t="s">
        <v>2256</v>
      </c>
      <c r="M625" s="17" t="s">
        <v>2873</v>
      </c>
      <c r="N625" s="169"/>
      <c r="O625" s="169"/>
      <c r="P625" s="169"/>
      <c r="Q625" s="169"/>
      <c r="R625" s="169"/>
    </row>
    <row r="626" spans="1:18" x14ac:dyDescent="0.25">
      <c r="A626" s="17" t="s">
        <v>1613</v>
      </c>
      <c r="G626" s="17" t="s">
        <v>2257</v>
      </c>
      <c r="M626" s="17" t="s">
        <v>2869</v>
      </c>
      <c r="N626" s="169"/>
      <c r="O626" s="169"/>
      <c r="P626" s="169"/>
      <c r="Q626" s="169"/>
      <c r="R626" s="169"/>
    </row>
    <row r="627" spans="1:18" x14ac:dyDescent="0.25">
      <c r="A627" s="17" t="s">
        <v>1616</v>
      </c>
      <c r="G627" s="17" t="s">
        <v>2258</v>
      </c>
      <c r="M627" s="17" t="s">
        <v>2874</v>
      </c>
      <c r="N627" s="169"/>
      <c r="O627" s="169"/>
      <c r="P627" s="169"/>
      <c r="Q627" s="169"/>
      <c r="R627" s="169"/>
    </row>
    <row r="628" spans="1:18" x14ac:dyDescent="0.25">
      <c r="A628" s="17" t="s">
        <v>1617</v>
      </c>
      <c r="G628" s="17" t="s">
        <v>2259</v>
      </c>
      <c r="M628" s="17" t="s">
        <v>1538</v>
      </c>
      <c r="N628" s="169"/>
      <c r="O628" s="169"/>
      <c r="P628" s="169"/>
      <c r="Q628" s="169"/>
      <c r="R628" s="169"/>
    </row>
    <row r="629" spans="1:18" x14ac:dyDescent="0.25">
      <c r="A629" s="17" t="s">
        <v>1618</v>
      </c>
      <c r="G629" s="17" t="s">
        <v>2260</v>
      </c>
      <c r="M629" s="17" t="s">
        <v>2875</v>
      </c>
      <c r="N629" s="169"/>
      <c r="O629" s="169"/>
      <c r="P629" s="169"/>
      <c r="Q629" s="169"/>
      <c r="R629" s="169"/>
    </row>
    <row r="630" spans="1:18" x14ac:dyDescent="0.25">
      <c r="A630" s="17" t="s">
        <v>1613</v>
      </c>
      <c r="G630" s="17" t="s">
        <v>2261</v>
      </c>
      <c r="M630" s="17" t="s">
        <v>2876</v>
      </c>
    </row>
    <row r="631" spans="1:18" x14ac:dyDescent="0.25">
      <c r="A631" s="17" t="s">
        <v>1619</v>
      </c>
      <c r="G631" s="17" t="s">
        <v>2262</v>
      </c>
      <c r="M631" s="17" t="s">
        <v>2857</v>
      </c>
    </row>
    <row r="632" spans="1:18" x14ac:dyDescent="0.25">
      <c r="A632" s="17" t="s">
        <v>1616</v>
      </c>
      <c r="G632" s="17" t="s">
        <v>2263</v>
      </c>
      <c r="M632" s="17" t="s">
        <v>2874</v>
      </c>
    </row>
    <row r="633" spans="1:18" x14ac:dyDescent="0.25">
      <c r="A633" s="17" t="s">
        <v>1620</v>
      </c>
      <c r="G633" s="17" t="s">
        <v>2264</v>
      </c>
      <c r="M633" s="17" t="s">
        <v>2877</v>
      </c>
    </row>
    <row r="634" spans="1:18" x14ac:dyDescent="0.25">
      <c r="A634" s="17" t="s">
        <v>1621</v>
      </c>
      <c r="G634" s="17" t="s">
        <v>2265</v>
      </c>
      <c r="M634" s="17" t="s">
        <v>2878</v>
      </c>
    </row>
    <row r="635" spans="1:18" x14ac:dyDescent="0.25">
      <c r="A635" s="17" t="s">
        <v>1622</v>
      </c>
      <c r="G635" s="17" t="s">
        <v>1620</v>
      </c>
      <c r="M635" s="17" t="s">
        <v>2879</v>
      </c>
    </row>
    <row r="636" spans="1:18" x14ac:dyDescent="0.25">
      <c r="A636" s="17" t="s">
        <v>1623</v>
      </c>
      <c r="G636" s="17" t="s">
        <v>2266</v>
      </c>
      <c r="M636" s="17" t="s">
        <v>2855</v>
      </c>
    </row>
    <row r="637" spans="1:18" x14ac:dyDescent="0.25">
      <c r="A637" s="17" t="s">
        <v>1624</v>
      </c>
      <c r="G637" s="17" t="s">
        <v>2267</v>
      </c>
      <c r="M637" s="17" t="s">
        <v>2873</v>
      </c>
    </row>
    <row r="638" spans="1:18" x14ac:dyDescent="0.25">
      <c r="A638" s="17" t="s">
        <v>1625</v>
      </c>
      <c r="G638" s="17" t="s">
        <v>1608</v>
      </c>
      <c r="M638" s="17" t="s">
        <v>2860</v>
      </c>
    </row>
    <row r="639" spans="1:18" x14ac:dyDescent="0.25">
      <c r="A639" s="17" t="s">
        <v>1626</v>
      </c>
      <c r="G639" s="17" t="s">
        <v>2268</v>
      </c>
      <c r="M639" s="17" t="s">
        <v>2871</v>
      </c>
    </row>
    <row r="640" spans="1:18" x14ac:dyDescent="0.25">
      <c r="A640" s="17" t="s">
        <v>1627</v>
      </c>
      <c r="G640" s="17" t="s">
        <v>2269</v>
      </c>
      <c r="M640" s="17" t="s">
        <v>2855</v>
      </c>
    </row>
    <row r="641" spans="1:13" x14ac:dyDescent="0.25">
      <c r="A641" s="17" t="s">
        <v>1628</v>
      </c>
      <c r="G641" s="17" t="s">
        <v>1611</v>
      </c>
      <c r="M641" s="17" t="s">
        <v>2866</v>
      </c>
    </row>
    <row r="642" spans="1:13" x14ac:dyDescent="0.25">
      <c r="A642" s="17" t="s">
        <v>1629</v>
      </c>
      <c r="G642" s="17" t="s">
        <v>2270</v>
      </c>
      <c r="M642" s="17" t="s">
        <v>2880</v>
      </c>
    </row>
    <row r="643" spans="1:13" x14ac:dyDescent="0.25">
      <c r="A643" s="17" t="s">
        <v>1630</v>
      </c>
      <c r="G643" s="17" t="s">
        <v>2271</v>
      </c>
      <c r="M643" s="17" t="s">
        <v>2881</v>
      </c>
    </row>
    <row r="644" spans="1:13" x14ac:dyDescent="0.25">
      <c r="A644" s="17" t="s">
        <v>1631</v>
      </c>
      <c r="G644" s="17" t="s">
        <v>2272</v>
      </c>
      <c r="M644" s="17" t="s">
        <v>2882</v>
      </c>
    </row>
    <row r="645" spans="1:13" x14ac:dyDescent="0.25">
      <c r="A645" s="17" t="s">
        <v>1632</v>
      </c>
      <c r="G645" s="17" t="s">
        <v>1616</v>
      </c>
      <c r="M645" s="17" t="s">
        <v>2869</v>
      </c>
    </row>
    <row r="646" spans="1:13" x14ac:dyDescent="0.25">
      <c r="A646" s="17" t="s">
        <v>1632</v>
      </c>
      <c r="G646" s="17" t="s">
        <v>2273</v>
      </c>
      <c r="M646" s="17" t="s">
        <v>1544</v>
      </c>
    </row>
    <row r="647" spans="1:13" x14ac:dyDescent="0.25">
      <c r="A647" s="17" t="s">
        <v>1633</v>
      </c>
      <c r="G647" s="17" t="s">
        <v>2274</v>
      </c>
      <c r="M647" s="17" t="s">
        <v>2883</v>
      </c>
    </row>
    <row r="648" spans="1:13" x14ac:dyDescent="0.25">
      <c r="A648" s="17" t="s">
        <v>1634</v>
      </c>
      <c r="G648" s="17" t="s">
        <v>2275</v>
      </c>
      <c r="M648" s="17" t="s">
        <v>2190</v>
      </c>
    </row>
    <row r="649" spans="1:13" x14ac:dyDescent="0.25">
      <c r="A649" s="17" t="s">
        <v>1635</v>
      </c>
      <c r="G649" s="17" t="s">
        <v>2276</v>
      </c>
      <c r="M649" s="17" t="s">
        <v>2884</v>
      </c>
    </row>
    <row r="650" spans="1:13" x14ac:dyDescent="0.25">
      <c r="A650" s="17" t="s">
        <v>1636</v>
      </c>
      <c r="G650" s="17" t="s">
        <v>1664</v>
      </c>
      <c r="M650" s="17" t="s">
        <v>2885</v>
      </c>
    </row>
    <row r="651" spans="1:13" x14ac:dyDescent="0.25">
      <c r="A651" s="17" t="s">
        <v>1637</v>
      </c>
      <c r="G651" s="17" t="s">
        <v>2277</v>
      </c>
      <c r="M651" s="17" t="s">
        <v>2886</v>
      </c>
    </row>
    <row r="652" spans="1:13" x14ac:dyDescent="0.25">
      <c r="A652" s="17" t="s">
        <v>1638</v>
      </c>
      <c r="G652" s="17" t="s">
        <v>2278</v>
      </c>
      <c r="M652" s="17" t="s">
        <v>2887</v>
      </c>
    </row>
    <row r="653" spans="1:13" x14ac:dyDescent="0.25">
      <c r="A653" s="17" t="s">
        <v>1639</v>
      </c>
      <c r="G653" s="17" t="s">
        <v>2279</v>
      </c>
      <c r="M653" s="17" t="s">
        <v>2888</v>
      </c>
    </row>
    <row r="654" spans="1:13" x14ac:dyDescent="0.25">
      <c r="A654" s="17" t="s">
        <v>1640</v>
      </c>
      <c r="G654" s="17" t="s">
        <v>2278</v>
      </c>
      <c r="M654" s="17" t="s">
        <v>2889</v>
      </c>
    </row>
    <row r="655" spans="1:13" x14ac:dyDescent="0.25">
      <c r="A655" s="17" t="s">
        <v>1641</v>
      </c>
      <c r="G655" s="17" t="s">
        <v>2280</v>
      </c>
      <c r="M655" s="17" t="s">
        <v>2890</v>
      </c>
    </row>
    <row r="656" spans="1:13" x14ac:dyDescent="0.25">
      <c r="A656" s="17" t="s">
        <v>1642</v>
      </c>
      <c r="G656" s="17" t="s">
        <v>2277</v>
      </c>
      <c r="M656" s="17" t="s">
        <v>2200</v>
      </c>
    </row>
    <row r="657" spans="1:13" x14ac:dyDescent="0.25">
      <c r="A657" s="17" t="s">
        <v>1643</v>
      </c>
      <c r="G657" s="17" t="s">
        <v>2280</v>
      </c>
      <c r="M657" s="17" t="s">
        <v>2891</v>
      </c>
    </row>
    <row r="658" spans="1:13" x14ac:dyDescent="0.25">
      <c r="A658" s="17" t="s">
        <v>1643</v>
      </c>
      <c r="G658" s="17" t="s">
        <v>2281</v>
      </c>
      <c r="M658" s="17" t="s">
        <v>2892</v>
      </c>
    </row>
    <row r="659" spans="1:13" x14ac:dyDescent="0.25">
      <c r="A659" s="439" t="s">
        <v>1644</v>
      </c>
      <c r="B659" s="360"/>
      <c r="G659" s="17" t="s">
        <v>2282</v>
      </c>
      <c r="M659" s="17" t="s">
        <v>2893</v>
      </c>
    </row>
    <row r="660" spans="1:13" x14ac:dyDescent="0.25">
      <c r="A660" s="439" t="s">
        <v>1645</v>
      </c>
      <c r="B660" s="360"/>
      <c r="G660" s="17" t="s">
        <v>2283</v>
      </c>
      <c r="M660" s="17" t="s">
        <v>2894</v>
      </c>
    </row>
    <row r="661" spans="1:13" x14ac:dyDescent="0.25">
      <c r="A661" s="17" t="s">
        <v>1646</v>
      </c>
      <c r="G661" s="17" t="s">
        <v>2284</v>
      </c>
      <c r="M661" s="17" t="s">
        <v>2895</v>
      </c>
    </row>
    <row r="662" spans="1:13" x14ac:dyDescent="0.25">
      <c r="A662" s="17" t="s">
        <v>1647</v>
      </c>
      <c r="G662" s="17" t="s">
        <v>2285</v>
      </c>
      <c r="M662" s="17" t="s">
        <v>2896</v>
      </c>
    </row>
    <row r="663" spans="1:13" x14ac:dyDescent="0.25">
      <c r="A663" s="17" t="s">
        <v>1648</v>
      </c>
      <c r="G663" s="17" t="s">
        <v>2286</v>
      </c>
      <c r="M663" s="17" t="s">
        <v>2897</v>
      </c>
    </row>
    <row r="664" spans="1:13" x14ac:dyDescent="0.25">
      <c r="A664" s="17" t="s">
        <v>1649</v>
      </c>
      <c r="G664" s="17" t="s">
        <v>2287</v>
      </c>
      <c r="M664" s="17" t="s">
        <v>2898</v>
      </c>
    </row>
    <row r="665" spans="1:13" x14ac:dyDescent="0.25">
      <c r="A665" s="17" t="s">
        <v>1650</v>
      </c>
      <c r="G665" s="17" t="s">
        <v>2288</v>
      </c>
      <c r="M665" s="17" t="s">
        <v>2899</v>
      </c>
    </row>
    <row r="666" spans="1:13" x14ac:dyDescent="0.25">
      <c r="A666" s="17" t="s">
        <v>1648</v>
      </c>
      <c r="G666" s="17" t="s">
        <v>2289</v>
      </c>
      <c r="M666" s="17" t="s">
        <v>2900</v>
      </c>
    </row>
    <row r="667" spans="1:13" x14ac:dyDescent="0.25">
      <c r="A667" s="17" t="s">
        <v>1651</v>
      </c>
      <c r="G667" s="17" t="s">
        <v>2289</v>
      </c>
      <c r="M667" s="17" t="s">
        <v>2901</v>
      </c>
    </row>
    <row r="668" spans="1:13" x14ac:dyDescent="0.25">
      <c r="A668" s="17" t="s">
        <v>1652</v>
      </c>
      <c r="G668" s="17" t="s">
        <v>2290</v>
      </c>
      <c r="M668" s="17" t="s">
        <v>2899</v>
      </c>
    </row>
    <row r="669" spans="1:13" x14ac:dyDescent="0.25">
      <c r="A669" s="17" t="s">
        <v>1653</v>
      </c>
      <c r="G669" s="17" t="s">
        <v>2291</v>
      </c>
      <c r="M669" s="17" t="s">
        <v>2200</v>
      </c>
    </row>
    <row r="670" spans="1:13" x14ac:dyDescent="0.25">
      <c r="A670" s="17" t="s">
        <v>1654</v>
      </c>
      <c r="G670" s="17" t="s">
        <v>2285</v>
      </c>
      <c r="M670" s="17" t="s">
        <v>2902</v>
      </c>
    </row>
    <row r="671" spans="1:13" x14ac:dyDescent="0.25">
      <c r="A671" s="17" t="s">
        <v>1655</v>
      </c>
      <c r="G671" s="17" t="s">
        <v>2291</v>
      </c>
      <c r="M671" s="17" t="s">
        <v>2903</v>
      </c>
    </row>
    <row r="672" spans="1:13" x14ac:dyDescent="0.25">
      <c r="A672" s="17" t="s">
        <v>1656</v>
      </c>
      <c r="G672" s="17" t="s">
        <v>2292</v>
      </c>
      <c r="M672" s="17" t="s">
        <v>2904</v>
      </c>
    </row>
    <row r="673" spans="1:13" x14ac:dyDescent="0.25">
      <c r="A673" s="17" t="s">
        <v>1657</v>
      </c>
      <c r="G673" s="17" t="s">
        <v>2293</v>
      </c>
      <c r="M673" s="17" t="s">
        <v>2905</v>
      </c>
    </row>
    <row r="674" spans="1:13" x14ac:dyDescent="0.25">
      <c r="A674" s="17" t="s">
        <v>1658</v>
      </c>
      <c r="G674" s="17" t="s">
        <v>2294</v>
      </c>
      <c r="M674" s="17" t="s">
        <v>2906</v>
      </c>
    </row>
    <row r="675" spans="1:13" x14ac:dyDescent="0.25">
      <c r="A675" s="17" t="s">
        <v>1659</v>
      </c>
      <c r="G675" s="17" t="s">
        <v>2295</v>
      </c>
      <c r="M675" s="17" t="s">
        <v>2907</v>
      </c>
    </row>
    <row r="676" spans="1:13" x14ac:dyDescent="0.25">
      <c r="A676" s="17" t="s">
        <v>1660</v>
      </c>
      <c r="G676" s="439" t="s">
        <v>2296</v>
      </c>
      <c r="H676" s="360"/>
      <c r="M676" s="17" t="s">
        <v>2908</v>
      </c>
    </row>
    <row r="677" spans="1:13" x14ac:dyDescent="0.25">
      <c r="A677" s="17" t="s">
        <v>1661</v>
      </c>
      <c r="G677" s="17" t="s">
        <v>2297</v>
      </c>
      <c r="M677" s="17" t="s">
        <v>2909</v>
      </c>
    </row>
    <row r="678" spans="1:13" x14ac:dyDescent="0.25">
      <c r="A678" s="17" t="s">
        <v>1662</v>
      </c>
      <c r="G678" s="17" t="s">
        <v>2298</v>
      </c>
      <c r="M678" s="17" t="s">
        <v>2194</v>
      </c>
    </row>
    <row r="679" spans="1:13" x14ac:dyDescent="0.25">
      <c r="A679" s="17" t="s">
        <v>1663</v>
      </c>
      <c r="G679" s="17" t="s">
        <v>2299</v>
      </c>
      <c r="M679" s="17" t="s">
        <v>2200</v>
      </c>
    </row>
    <row r="680" spans="1:13" x14ac:dyDescent="0.25">
      <c r="A680" s="17" t="s">
        <v>1664</v>
      </c>
      <c r="G680" s="17" t="s">
        <v>2300</v>
      </c>
      <c r="M680" s="17" t="s">
        <v>2894</v>
      </c>
    </row>
    <row r="681" spans="1:13" x14ac:dyDescent="0.25">
      <c r="A681" s="17" t="s">
        <v>1665</v>
      </c>
      <c r="G681" s="17" t="s">
        <v>2301</v>
      </c>
      <c r="M681" s="17" t="s">
        <v>2910</v>
      </c>
    </row>
    <row r="682" spans="1:13" x14ac:dyDescent="0.25">
      <c r="A682" s="17" t="s">
        <v>1666</v>
      </c>
      <c r="G682" s="17" t="s">
        <v>2302</v>
      </c>
      <c r="M682" s="17" t="s">
        <v>2911</v>
      </c>
    </row>
    <row r="683" spans="1:13" x14ac:dyDescent="0.25">
      <c r="A683" s="17" t="s">
        <v>1667</v>
      </c>
      <c r="G683" s="17" t="s">
        <v>2303</v>
      </c>
      <c r="M683" s="17" t="s">
        <v>2888</v>
      </c>
    </row>
    <row r="684" spans="1:13" x14ac:dyDescent="0.25">
      <c r="A684" s="17" t="s">
        <v>1668</v>
      </c>
      <c r="G684" s="17" t="s">
        <v>2304</v>
      </c>
      <c r="M684" s="17" t="s">
        <v>2912</v>
      </c>
    </row>
    <row r="685" spans="1:13" x14ac:dyDescent="0.25">
      <c r="A685" s="17" t="s">
        <v>1669</v>
      </c>
      <c r="G685" s="17" t="s">
        <v>2305</v>
      </c>
      <c r="M685" s="17" t="s">
        <v>2913</v>
      </c>
    </row>
    <row r="686" spans="1:13" x14ac:dyDescent="0.25">
      <c r="A686" s="17" t="s">
        <v>1670</v>
      </c>
      <c r="G686" s="17" t="s">
        <v>2306</v>
      </c>
      <c r="M686" s="17" t="s">
        <v>2914</v>
      </c>
    </row>
    <row r="687" spans="1:13" x14ac:dyDescent="0.25">
      <c r="A687" s="17" t="s">
        <v>1671</v>
      </c>
      <c r="G687" s="439" t="s">
        <v>2307</v>
      </c>
      <c r="H687" s="360"/>
      <c r="M687" s="17" t="s">
        <v>2915</v>
      </c>
    </row>
    <row r="688" spans="1:13" x14ac:dyDescent="0.25">
      <c r="A688" s="17" t="s">
        <v>1672</v>
      </c>
      <c r="G688" s="17" t="s">
        <v>2308</v>
      </c>
      <c r="M688" s="17" t="s">
        <v>2890</v>
      </c>
    </row>
    <row r="689" spans="1:13" x14ac:dyDescent="0.25">
      <c r="A689" s="17" t="s">
        <v>1673</v>
      </c>
      <c r="G689" s="17" t="s">
        <v>1667</v>
      </c>
      <c r="M689" s="17" t="s">
        <v>2916</v>
      </c>
    </row>
    <row r="690" spans="1:13" x14ac:dyDescent="0.25">
      <c r="A690" s="17" t="s">
        <v>1674</v>
      </c>
      <c r="G690" s="17" t="s">
        <v>2309</v>
      </c>
      <c r="M690" s="17" t="s">
        <v>2917</v>
      </c>
    </row>
    <row r="691" spans="1:13" x14ac:dyDescent="0.25">
      <c r="A691" s="17" t="s">
        <v>1675</v>
      </c>
      <c r="G691" s="439" t="s">
        <v>2310</v>
      </c>
      <c r="H691" s="360"/>
      <c r="M691" s="17" t="s">
        <v>2903</v>
      </c>
    </row>
    <row r="692" spans="1:13" x14ac:dyDescent="0.25">
      <c r="A692" s="17" t="s">
        <v>1676</v>
      </c>
      <c r="G692" s="17" t="s">
        <v>2311</v>
      </c>
      <c r="M692" s="17" t="s">
        <v>2918</v>
      </c>
    </row>
    <row r="693" spans="1:13" x14ac:dyDescent="0.25">
      <c r="A693" s="17" t="s">
        <v>1677</v>
      </c>
      <c r="G693" s="17" t="s">
        <v>2312</v>
      </c>
      <c r="M693" s="17" t="s">
        <v>2191</v>
      </c>
    </row>
    <row r="694" spans="1:13" x14ac:dyDescent="0.25">
      <c r="A694" s="17" t="s">
        <v>1678</v>
      </c>
      <c r="G694" s="17" t="s">
        <v>2313</v>
      </c>
      <c r="M694" s="17" t="s">
        <v>2890</v>
      </c>
    </row>
    <row r="695" spans="1:13" x14ac:dyDescent="0.25">
      <c r="A695" s="17" t="s">
        <v>1679</v>
      </c>
      <c r="G695" s="439" t="s">
        <v>2314</v>
      </c>
      <c r="H695" s="360"/>
      <c r="M695" s="17" t="s">
        <v>2919</v>
      </c>
    </row>
    <row r="696" spans="1:13" x14ac:dyDescent="0.25">
      <c r="A696" s="17" t="s">
        <v>1680</v>
      </c>
      <c r="G696" s="439" t="s">
        <v>2315</v>
      </c>
      <c r="H696" s="360"/>
      <c r="M696" s="17" t="s">
        <v>2907</v>
      </c>
    </row>
    <row r="697" spans="1:13" x14ac:dyDescent="0.25">
      <c r="A697" s="17" t="s">
        <v>1681</v>
      </c>
      <c r="G697" s="17" t="s">
        <v>2316</v>
      </c>
      <c r="M697" s="17" t="s">
        <v>2895</v>
      </c>
    </row>
    <row r="698" spans="1:13" x14ac:dyDescent="0.25">
      <c r="A698" s="17" t="s">
        <v>1682</v>
      </c>
      <c r="G698" s="439" t="s">
        <v>2317</v>
      </c>
      <c r="H698" s="360"/>
      <c r="M698" s="17" t="s">
        <v>2887</v>
      </c>
    </row>
    <row r="699" spans="1:13" x14ac:dyDescent="0.25">
      <c r="A699" s="17" t="s">
        <v>1683</v>
      </c>
      <c r="G699" s="17" t="s">
        <v>2318</v>
      </c>
      <c r="M699" s="17" t="s">
        <v>2920</v>
      </c>
    </row>
    <row r="700" spans="1:13" x14ac:dyDescent="0.25">
      <c r="A700" s="17" t="s">
        <v>1684</v>
      </c>
      <c r="G700" s="17" t="s">
        <v>2319</v>
      </c>
      <c r="M700" s="17" t="s">
        <v>2921</v>
      </c>
    </row>
    <row r="701" spans="1:13" x14ac:dyDescent="0.25">
      <c r="A701" s="17" t="s">
        <v>1685</v>
      </c>
      <c r="G701" s="17" t="s">
        <v>1675</v>
      </c>
      <c r="M701" s="17" t="s">
        <v>2922</v>
      </c>
    </row>
    <row r="702" spans="1:13" x14ac:dyDescent="0.25">
      <c r="A702" s="17" t="s">
        <v>1686</v>
      </c>
      <c r="G702" s="17" t="s">
        <v>2320</v>
      </c>
      <c r="M702" s="17" t="s">
        <v>2923</v>
      </c>
    </row>
    <row r="703" spans="1:13" x14ac:dyDescent="0.25">
      <c r="A703" s="17" t="s">
        <v>1687</v>
      </c>
      <c r="G703" s="17" t="s">
        <v>2321</v>
      </c>
      <c r="M703" s="17" t="s">
        <v>2924</v>
      </c>
    </row>
    <row r="704" spans="1:13" x14ac:dyDescent="0.25">
      <c r="A704" s="17" t="s">
        <v>1688</v>
      </c>
      <c r="G704" s="17" t="s">
        <v>2322</v>
      </c>
      <c r="M704" s="17" t="s">
        <v>2925</v>
      </c>
    </row>
    <row r="705" spans="1:13" x14ac:dyDescent="0.25">
      <c r="A705" s="17" t="s">
        <v>1689</v>
      </c>
      <c r="G705" s="17" t="s">
        <v>2323</v>
      </c>
      <c r="M705" s="17" t="s">
        <v>2926</v>
      </c>
    </row>
    <row r="706" spans="1:13" x14ac:dyDescent="0.25">
      <c r="A706" s="17" t="s">
        <v>1690</v>
      </c>
      <c r="G706" s="17" t="s">
        <v>2324</v>
      </c>
      <c r="M706" s="17" t="s">
        <v>1602</v>
      </c>
    </row>
    <row r="707" spans="1:13" x14ac:dyDescent="0.25">
      <c r="A707" s="17" t="s">
        <v>1691</v>
      </c>
      <c r="G707" s="17" t="s">
        <v>2325</v>
      </c>
      <c r="M707" s="17" t="s">
        <v>1575</v>
      </c>
    </row>
    <row r="708" spans="1:13" x14ac:dyDescent="0.25">
      <c r="A708" s="17" t="s">
        <v>1692</v>
      </c>
      <c r="G708" s="17" t="s">
        <v>2326</v>
      </c>
      <c r="M708" s="17" t="s">
        <v>1584</v>
      </c>
    </row>
    <row r="709" spans="1:13" x14ac:dyDescent="0.25">
      <c r="A709" s="17" t="s">
        <v>1678</v>
      </c>
      <c r="G709" s="17" t="s">
        <v>2327</v>
      </c>
      <c r="M709" s="17" t="s">
        <v>2927</v>
      </c>
    </row>
    <row r="710" spans="1:13" x14ac:dyDescent="0.25">
      <c r="A710" s="17" t="s">
        <v>1693</v>
      </c>
      <c r="G710" s="17" t="s">
        <v>2328</v>
      </c>
      <c r="M710" s="17" t="s">
        <v>2928</v>
      </c>
    </row>
    <row r="711" spans="1:13" x14ac:dyDescent="0.25">
      <c r="A711" s="17" t="s">
        <v>1694</v>
      </c>
      <c r="G711" s="17" t="s">
        <v>2318</v>
      </c>
      <c r="M711" s="17" t="s">
        <v>2929</v>
      </c>
    </row>
    <row r="712" spans="1:13" x14ac:dyDescent="0.25">
      <c r="A712" s="17" t="s">
        <v>1695</v>
      </c>
      <c r="G712" s="17" t="s">
        <v>2329</v>
      </c>
      <c r="M712" s="17" t="s">
        <v>2930</v>
      </c>
    </row>
    <row r="713" spans="1:13" x14ac:dyDescent="0.25">
      <c r="A713" s="17" t="s">
        <v>1696</v>
      </c>
      <c r="G713" s="17" t="s">
        <v>2330</v>
      </c>
      <c r="M713" s="17" t="s">
        <v>2931</v>
      </c>
    </row>
    <row r="714" spans="1:13" x14ac:dyDescent="0.25">
      <c r="A714" s="17" t="s">
        <v>1697</v>
      </c>
      <c r="G714" s="17" t="s">
        <v>2331</v>
      </c>
      <c r="M714" s="17" t="s">
        <v>2932</v>
      </c>
    </row>
    <row r="715" spans="1:13" x14ac:dyDescent="0.25">
      <c r="A715" s="17" t="s">
        <v>1698</v>
      </c>
      <c r="G715" s="17" t="s">
        <v>2332</v>
      </c>
      <c r="M715" s="17" t="s">
        <v>2933</v>
      </c>
    </row>
    <row r="716" spans="1:13" x14ac:dyDescent="0.25">
      <c r="A716" s="17" t="s">
        <v>1699</v>
      </c>
      <c r="G716" s="17" t="s">
        <v>2333</v>
      </c>
      <c r="M716" s="17" t="s">
        <v>2934</v>
      </c>
    </row>
    <row r="717" spans="1:13" x14ac:dyDescent="0.25">
      <c r="A717" s="17" t="s">
        <v>1700</v>
      </c>
      <c r="G717" s="17" t="s">
        <v>2334</v>
      </c>
      <c r="M717" s="17" t="s">
        <v>2234</v>
      </c>
    </row>
    <row r="718" spans="1:13" x14ac:dyDescent="0.25">
      <c r="A718" s="17" t="s">
        <v>1701</v>
      </c>
      <c r="G718" s="439" t="s">
        <v>2335</v>
      </c>
      <c r="H718" s="360"/>
      <c r="M718" s="17" t="s">
        <v>2222</v>
      </c>
    </row>
    <row r="719" spans="1:13" x14ac:dyDescent="0.25">
      <c r="A719" s="17" t="s">
        <v>1702</v>
      </c>
      <c r="G719" s="17" t="s">
        <v>2336</v>
      </c>
      <c r="M719" s="17" t="s">
        <v>2935</v>
      </c>
    </row>
    <row r="720" spans="1:13" x14ac:dyDescent="0.25">
      <c r="A720" s="17" t="s">
        <v>1703</v>
      </c>
      <c r="G720" s="17" t="s">
        <v>2337</v>
      </c>
      <c r="M720" s="17" t="s">
        <v>2224</v>
      </c>
    </row>
    <row r="721" spans="1:13" x14ac:dyDescent="0.25">
      <c r="A721" s="17" t="s">
        <v>1704</v>
      </c>
      <c r="G721" s="17" t="s">
        <v>2338</v>
      </c>
      <c r="M721" s="17" t="s">
        <v>2936</v>
      </c>
    </row>
    <row r="722" spans="1:13" x14ac:dyDescent="0.25">
      <c r="A722" s="17" t="s">
        <v>1705</v>
      </c>
      <c r="G722" s="17" t="s">
        <v>2339</v>
      </c>
      <c r="M722" s="17" t="s">
        <v>1586</v>
      </c>
    </row>
    <row r="723" spans="1:13" x14ac:dyDescent="0.25">
      <c r="A723" s="17" t="s">
        <v>1706</v>
      </c>
      <c r="G723" s="17" t="s">
        <v>2340</v>
      </c>
      <c r="M723" s="17" t="s">
        <v>2937</v>
      </c>
    </row>
    <row r="724" spans="1:13" x14ac:dyDescent="0.25">
      <c r="A724" s="17" t="s">
        <v>1707</v>
      </c>
      <c r="G724" s="17" t="s">
        <v>2341</v>
      </c>
      <c r="M724" s="17" t="s">
        <v>2938</v>
      </c>
    </row>
    <row r="725" spans="1:13" x14ac:dyDescent="0.25">
      <c r="A725" s="17" t="s">
        <v>1708</v>
      </c>
      <c r="G725" s="17" t="s">
        <v>2342</v>
      </c>
      <c r="M725" s="17" t="s">
        <v>2939</v>
      </c>
    </row>
    <row r="726" spans="1:13" x14ac:dyDescent="0.25">
      <c r="A726" s="17" t="s">
        <v>1709</v>
      </c>
      <c r="G726" s="17" t="s">
        <v>1703</v>
      </c>
      <c r="M726" s="17" t="s">
        <v>2940</v>
      </c>
    </row>
    <row r="727" spans="1:13" x14ac:dyDescent="0.25">
      <c r="A727" s="17" t="s">
        <v>1710</v>
      </c>
      <c r="G727" s="17" t="s">
        <v>2343</v>
      </c>
      <c r="M727" s="17" t="s">
        <v>2941</v>
      </c>
    </row>
    <row r="728" spans="1:13" x14ac:dyDescent="0.25">
      <c r="A728" s="17" t="s">
        <v>1711</v>
      </c>
      <c r="G728" s="17" t="s">
        <v>2344</v>
      </c>
      <c r="M728" s="17" t="s">
        <v>2942</v>
      </c>
    </row>
    <row r="729" spans="1:13" x14ac:dyDescent="0.25">
      <c r="A729" s="17" t="s">
        <v>1712</v>
      </c>
      <c r="G729" s="17" t="s">
        <v>2345</v>
      </c>
      <c r="M729" s="17" t="s">
        <v>2943</v>
      </c>
    </row>
    <row r="730" spans="1:13" x14ac:dyDescent="0.25">
      <c r="A730" s="17" t="s">
        <v>1704</v>
      </c>
      <c r="G730" s="17" t="s">
        <v>2346</v>
      </c>
      <c r="M730" s="17" t="s">
        <v>2944</v>
      </c>
    </row>
    <row r="731" spans="1:13" x14ac:dyDescent="0.25">
      <c r="A731" s="17" t="s">
        <v>1713</v>
      </c>
      <c r="G731" s="17" t="s">
        <v>2347</v>
      </c>
      <c r="M731" s="17" t="s">
        <v>2945</v>
      </c>
    </row>
    <row r="732" spans="1:13" x14ac:dyDescent="0.25">
      <c r="A732" s="17" t="s">
        <v>1714</v>
      </c>
      <c r="G732" s="17" t="s">
        <v>2348</v>
      </c>
      <c r="M732" s="17" t="s">
        <v>2946</v>
      </c>
    </row>
    <row r="733" spans="1:13" x14ac:dyDescent="0.25">
      <c r="A733" s="17" t="s">
        <v>1715</v>
      </c>
      <c r="G733" s="17" t="s">
        <v>2349</v>
      </c>
      <c r="M733" s="17" t="s">
        <v>2237</v>
      </c>
    </row>
    <row r="734" spans="1:13" x14ac:dyDescent="0.25">
      <c r="A734" s="17" t="s">
        <v>1716</v>
      </c>
      <c r="G734" s="17" t="s">
        <v>2350</v>
      </c>
      <c r="M734" s="17" t="s">
        <v>2937</v>
      </c>
    </row>
    <row r="735" spans="1:13" x14ac:dyDescent="0.25">
      <c r="A735" s="17" t="s">
        <v>1717</v>
      </c>
      <c r="G735" s="17" t="s">
        <v>2351</v>
      </c>
      <c r="M735" s="17" t="s">
        <v>2947</v>
      </c>
    </row>
    <row r="736" spans="1:13" x14ac:dyDescent="0.25">
      <c r="A736" s="17" t="s">
        <v>1718</v>
      </c>
      <c r="G736" s="17" t="s">
        <v>2352</v>
      </c>
      <c r="M736" s="17" t="s">
        <v>1602</v>
      </c>
    </row>
    <row r="737" spans="1:13" x14ac:dyDescent="0.25">
      <c r="A737" s="17" t="s">
        <v>1719</v>
      </c>
      <c r="G737" s="17" t="s">
        <v>2353</v>
      </c>
      <c r="M737" s="17" t="s">
        <v>2948</v>
      </c>
    </row>
    <row r="738" spans="1:13" x14ac:dyDescent="0.25">
      <c r="A738" s="17" t="s">
        <v>1720</v>
      </c>
      <c r="G738" s="17" t="s">
        <v>2354</v>
      </c>
      <c r="M738" s="17" t="s">
        <v>2949</v>
      </c>
    </row>
    <row r="739" spans="1:13" x14ac:dyDescent="0.25">
      <c r="A739" s="17" t="s">
        <v>1721</v>
      </c>
      <c r="G739" s="17" t="s">
        <v>2355</v>
      </c>
      <c r="M739" s="17" t="s">
        <v>2950</v>
      </c>
    </row>
    <row r="740" spans="1:13" x14ac:dyDescent="0.25">
      <c r="A740" s="17" t="s">
        <v>1722</v>
      </c>
      <c r="G740" s="17" t="s">
        <v>2356</v>
      </c>
      <c r="M740" s="17" t="s">
        <v>2951</v>
      </c>
    </row>
    <row r="741" spans="1:13" x14ac:dyDescent="0.25">
      <c r="A741" s="17" t="s">
        <v>1723</v>
      </c>
      <c r="G741" s="17" t="s">
        <v>2357</v>
      </c>
      <c r="M741" s="17" t="s">
        <v>2952</v>
      </c>
    </row>
    <row r="742" spans="1:13" x14ac:dyDescent="0.25">
      <c r="A742" s="17" t="s">
        <v>1724</v>
      </c>
      <c r="G742" s="17" t="s">
        <v>2358</v>
      </c>
      <c r="M742" s="17" t="s">
        <v>2953</v>
      </c>
    </row>
    <row r="743" spans="1:13" x14ac:dyDescent="0.25">
      <c r="A743" s="17" t="s">
        <v>1725</v>
      </c>
      <c r="G743" s="17" t="s">
        <v>2346</v>
      </c>
      <c r="M743" s="17" t="s">
        <v>2954</v>
      </c>
    </row>
    <row r="744" spans="1:13" x14ac:dyDescent="0.25">
      <c r="A744" s="17" t="s">
        <v>1726</v>
      </c>
      <c r="G744" s="17" t="s">
        <v>2359</v>
      </c>
      <c r="M744" s="17" t="s">
        <v>2955</v>
      </c>
    </row>
    <row r="745" spans="1:13" x14ac:dyDescent="0.25">
      <c r="A745" s="17" t="s">
        <v>1727</v>
      </c>
      <c r="G745" s="439" t="s">
        <v>2360</v>
      </c>
      <c r="H745" s="360"/>
      <c r="M745" s="17" t="s">
        <v>2956</v>
      </c>
    </row>
    <row r="746" spans="1:13" x14ac:dyDescent="0.25">
      <c r="A746" s="17" t="s">
        <v>1728</v>
      </c>
      <c r="G746" s="17" t="s">
        <v>2361</v>
      </c>
      <c r="M746" s="17" t="s">
        <v>1606</v>
      </c>
    </row>
    <row r="747" spans="1:13" x14ac:dyDescent="0.25">
      <c r="A747" s="17" t="s">
        <v>1729</v>
      </c>
      <c r="G747" s="17" t="s">
        <v>2362</v>
      </c>
      <c r="M747" s="17" t="s">
        <v>2937</v>
      </c>
    </row>
    <row r="748" spans="1:13" x14ac:dyDescent="0.25">
      <c r="A748" s="17" t="s">
        <v>1730</v>
      </c>
      <c r="G748" s="17" t="s">
        <v>2363</v>
      </c>
      <c r="M748" s="17" t="s">
        <v>2922</v>
      </c>
    </row>
    <row r="749" spans="1:13" x14ac:dyDescent="0.25">
      <c r="A749" s="17" t="s">
        <v>1731</v>
      </c>
      <c r="G749" s="17" t="s">
        <v>2364</v>
      </c>
      <c r="M749" s="17" t="s">
        <v>2957</v>
      </c>
    </row>
    <row r="750" spans="1:13" x14ac:dyDescent="0.25">
      <c r="A750" s="17" t="s">
        <v>1732</v>
      </c>
      <c r="G750" s="17" t="s">
        <v>2365</v>
      </c>
      <c r="M750" s="17" t="s">
        <v>2954</v>
      </c>
    </row>
    <row r="751" spans="1:13" x14ac:dyDescent="0.25">
      <c r="A751" s="17" t="s">
        <v>1733</v>
      </c>
      <c r="G751" s="17" t="s">
        <v>2366</v>
      </c>
      <c r="M751" s="17" t="s">
        <v>1586</v>
      </c>
    </row>
    <row r="752" spans="1:13" x14ac:dyDescent="0.25">
      <c r="A752" s="17" t="s">
        <v>1734</v>
      </c>
      <c r="G752" s="17" t="s">
        <v>2367</v>
      </c>
      <c r="M752" s="17" t="s">
        <v>2958</v>
      </c>
    </row>
    <row r="753" spans="1:13" x14ac:dyDescent="0.25">
      <c r="A753" s="17" t="s">
        <v>1735</v>
      </c>
      <c r="G753" s="17" t="s">
        <v>2368</v>
      </c>
      <c r="M753" s="17" t="s">
        <v>2959</v>
      </c>
    </row>
    <row r="754" spans="1:13" x14ac:dyDescent="0.25">
      <c r="A754" s="17" t="s">
        <v>1736</v>
      </c>
      <c r="G754" s="17" t="s">
        <v>2369</v>
      </c>
      <c r="M754" s="17" t="s">
        <v>2960</v>
      </c>
    </row>
    <row r="755" spans="1:13" x14ac:dyDescent="0.25">
      <c r="A755" s="17" t="s">
        <v>1737</v>
      </c>
      <c r="G755" s="17" t="s">
        <v>2370</v>
      </c>
      <c r="M755" s="17" t="s">
        <v>2961</v>
      </c>
    </row>
    <row r="756" spans="1:13" x14ac:dyDescent="0.25">
      <c r="A756" s="17" t="s">
        <v>1738</v>
      </c>
      <c r="G756" s="17" t="s">
        <v>2371</v>
      </c>
      <c r="M756" s="17" t="s">
        <v>2962</v>
      </c>
    </row>
    <row r="757" spans="1:13" x14ac:dyDescent="0.25">
      <c r="A757" s="17" t="s">
        <v>1739</v>
      </c>
      <c r="G757" s="17" t="s">
        <v>2372</v>
      </c>
      <c r="M757" s="17" t="s">
        <v>2963</v>
      </c>
    </row>
    <row r="758" spans="1:13" x14ac:dyDescent="0.25">
      <c r="A758" s="17" t="s">
        <v>1740</v>
      </c>
      <c r="G758" s="17" t="s">
        <v>2373</v>
      </c>
      <c r="M758" s="17" t="s">
        <v>2964</v>
      </c>
    </row>
    <row r="759" spans="1:13" x14ac:dyDescent="0.25">
      <c r="A759" s="17" t="s">
        <v>1741</v>
      </c>
      <c r="G759" s="17" t="s">
        <v>2374</v>
      </c>
      <c r="M759" s="17" t="s">
        <v>2965</v>
      </c>
    </row>
    <row r="760" spans="1:13" x14ac:dyDescent="0.25">
      <c r="A760" s="17" t="s">
        <v>1742</v>
      </c>
      <c r="G760" s="17" t="s">
        <v>2375</v>
      </c>
      <c r="M760" s="17" t="s">
        <v>2966</v>
      </c>
    </row>
    <row r="761" spans="1:13" x14ac:dyDescent="0.25">
      <c r="A761" s="17" t="s">
        <v>1743</v>
      </c>
      <c r="G761" s="17" t="s">
        <v>2376</v>
      </c>
      <c r="M761" s="17" t="s">
        <v>2967</v>
      </c>
    </row>
    <row r="762" spans="1:13" x14ac:dyDescent="0.25">
      <c r="A762" s="17" t="s">
        <v>1744</v>
      </c>
      <c r="G762" s="17" t="s">
        <v>2363</v>
      </c>
      <c r="M762" s="17" t="s">
        <v>2968</v>
      </c>
    </row>
    <row r="763" spans="1:13" x14ac:dyDescent="0.25">
      <c r="A763" s="17" t="s">
        <v>1745</v>
      </c>
      <c r="G763" s="17" t="s">
        <v>2377</v>
      </c>
      <c r="M763" s="17" t="s">
        <v>2969</v>
      </c>
    </row>
    <row r="764" spans="1:13" x14ac:dyDescent="0.25">
      <c r="A764" s="17" t="s">
        <v>1746</v>
      </c>
      <c r="G764" s="17" t="s">
        <v>2378</v>
      </c>
      <c r="M764" s="17" t="s">
        <v>2970</v>
      </c>
    </row>
    <row r="765" spans="1:13" x14ac:dyDescent="0.25">
      <c r="A765" s="17" t="s">
        <v>1747</v>
      </c>
      <c r="G765" s="17" t="s">
        <v>1754</v>
      </c>
      <c r="M765" s="17" t="s">
        <v>2971</v>
      </c>
    </row>
    <row r="766" spans="1:13" x14ac:dyDescent="0.25">
      <c r="A766" s="17" t="s">
        <v>1748</v>
      </c>
      <c r="G766" s="17" t="s">
        <v>2379</v>
      </c>
      <c r="M766" s="17" t="s">
        <v>2270</v>
      </c>
    </row>
    <row r="767" spans="1:13" x14ac:dyDescent="0.25">
      <c r="A767" s="17" t="s">
        <v>1749</v>
      </c>
      <c r="G767" s="17" t="s">
        <v>2380</v>
      </c>
      <c r="M767" s="17" t="s">
        <v>2972</v>
      </c>
    </row>
    <row r="768" spans="1:13" x14ac:dyDescent="0.25">
      <c r="A768" s="17" t="s">
        <v>1750</v>
      </c>
      <c r="G768" s="439" t="s">
        <v>2381</v>
      </c>
      <c r="H768" s="360"/>
      <c r="M768" s="17" t="s">
        <v>2973</v>
      </c>
    </row>
    <row r="769" spans="1:13" x14ac:dyDescent="0.25">
      <c r="A769" s="17" t="s">
        <v>1751</v>
      </c>
      <c r="G769" s="17" t="s">
        <v>2382</v>
      </c>
      <c r="M769" s="17" t="s">
        <v>2974</v>
      </c>
    </row>
    <row r="770" spans="1:13" x14ac:dyDescent="0.25">
      <c r="A770" s="17" t="s">
        <v>1752</v>
      </c>
      <c r="G770" s="17" t="s">
        <v>2383</v>
      </c>
      <c r="M770" s="17" t="s">
        <v>2975</v>
      </c>
    </row>
    <row r="771" spans="1:13" x14ac:dyDescent="0.25">
      <c r="A771" s="17" t="s">
        <v>1753</v>
      </c>
      <c r="G771" s="17" t="s">
        <v>2384</v>
      </c>
      <c r="M771" s="17" t="s">
        <v>2976</v>
      </c>
    </row>
    <row r="772" spans="1:13" x14ac:dyDescent="0.25">
      <c r="A772" s="17" t="s">
        <v>1754</v>
      </c>
      <c r="G772" s="17" t="s">
        <v>2385</v>
      </c>
      <c r="M772" s="17" t="s">
        <v>2977</v>
      </c>
    </row>
    <row r="773" spans="1:13" x14ac:dyDescent="0.25">
      <c r="A773" s="17" t="s">
        <v>1755</v>
      </c>
      <c r="G773" s="17" t="s">
        <v>2386</v>
      </c>
      <c r="M773" s="17" t="s">
        <v>2978</v>
      </c>
    </row>
    <row r="774" spans="1:13" x14ac:dyDescent="0.25">
      <c r="A774" s="17" t="s">
        <v>1756</v>
      </c>
      <c r="G774" s="17" t="s">
        <v>2383</v>
      </c>
      <c r="M774" s="17" t="s">
        <v>1608</v>
      </c>
    </row>
    <row r="775" spans="1:13" x14ac:dyDescent="0.25">
      <c r="A775" s="17" t="s">
        <v>1757</v>
      </c>
      <c r="G775" s="17" t="s">
        <v>2387</v>
      </c>
      <c r="M775" s="17" t="s">
        <v>1621</v>
      </c>
    </row>
    <row r="776" spans="1:13" x14ac:dyDescent="0.25">
      <c r="A776" s="17" t="s">
        <v>1758</v>
      </c>
      <c r="G776" s="439" t="s">
        <v>2388</v>
      </c>
      <c r="H776" s="360"/>
      <c r="M776" s="17" t="s">
        <v>2979</v>
      </c>
    </row>
    <row r="777" spans="1:13" x14ac:dyDescent="0.25">
      <c r="A777" s="17" t="s">
        <v>1759</v>
      </c>
      <c r="G777" s="17" t="s">
        <v>2389</v>
      </c>
      <c r="M777" s="17" t="s">
        <v>2980</v>
      </c>
    </row>
    <row r="778" spans="1:13" x14ac:dyDescent="0.25">
      <c r="A778" s="17" t="s">
        <v>1760</v>
      </c>
      <c r="G778" s="17" t="s">
        <v>2390</v>
      </c>
      <c r="M778" s="17" t="s">
        <v>2981</v>
      </c>
    </row>
    <row r="779" spans="1:13" x14ac:dyDescent="0.25">
      <c r="A779" s="17" t="s">
        <v>1761</v>
      </c>
      <c r="G779" s="17" t="s">
        <v>1730</v>
      </c>
      <c r="M779" s="17" t="s">
        <v>2982</v>
      </c>
    </row>
    <row r="780" spans="1:13" x14ac:dyDescent="0.25">
      <c r="A780" s="17" t="s">
        <v>1762</v>
      </c>
      <c r="G780" s="17" t="s">
        <v>2391</v>
      </c>
      <c r="M780" s="17" t="s">
        <v>2983</v>
      </c>
    </row>
    <row r="781" spans="1:13" x14ac:dyDescent="0.25">
      <c r="A781" s="17" t="s">
        <v>1763</v>
      </c>
      <c r="G781" s="17" t="s">
        <v>2392</v>
      </c>
      <c r="M781" s="17" t="s">
        <v>1621</v>
      </c>
    </row>
    <row r="782" spans="1:13" x14ac:dyDescent="0.25">
      <c r="A782" s="17" t="s">
        <v>1764</v>
      </c>
      <c r="G782" s="17" t="s">
        <v>1782</v>
      </c>
      <c r="M782" s="17" t="s">
        <v>2984</v>
      </c>
    </row>
    <row r="783" spans="1:13" x14ac:dyDescent="0.25">
      <c r="A783" s="17" t="s">
        <v>1765</v>
      </c>
      <c r="G783" s="17" t="s">
        <v>1784</v>
      </c>
      <c r="M783" s="17" t="s">
        <v>2985</v>
      </c>
    </row>
    <row r="784" spans="1:13" x14ac:dyDescent="0.25">
      <c r="A784" s="17" t="s">
        <v>1766</v>
      </c>
      <c r="G784" s="17" t="s">
        <v>2393</v>
      </c>
      <c r="M784" s="17" t="s">
        <v>2962</v>
      </c>
    </row>
    <row r="785" spans="1:13" x14ac:dyDescent="0.25">
      <c r="A785" s="17" t="s">
        <v>1767</v>
      </c>
      <c r="G785" s="17" t="s">
        <v>2394</v>
      </c>
      <c r="M785" s="17" t="s">
        <v>1621</v>
      </c>
    </row>
    <row r="786" spans="1:13" x14ac:dyDescent="0.25">
      <c r="A786" s="17" t="s">
        <v>1768</v>
      </c>
      <c r="G786" s="17" t="s">
        <v>2395</v>
      </c>
      <c r="M786" s="17" t="s">
        <v>2986</v>
      </c>
    </row>
    <row r="787" spans="1:13" x14ac:dyDescent="0.25">
      <c r="A787" s="17" t="s">
        <v>1769</v>
      </c>
      <c r="G787" s="17" t="s">
        <v>2396</v>
      </c>
      <c r="M787" s="17" t="s">
        <v>2987</v>
      </c>
    </row>
    <row r="788" spans="1:13" x14ac:dyDescent="0.25">
      <c r="A788" s="17" t="s">
        <v>1770</v>
      </c>
      <c r="G788" s="17" t="s">
        <v>2397</v>
      </c>
      <c r="M788" s="17" t="s">
        <v>2988</v>
      </c>
    </row>
    <row r="789" spans="1:13" x14ac:dyDescent="0.25">
      <c r="A789" s="17" t="s">
        <v>1771</v>
      </c>
      <c r="G789" s="439" t="s">
        <v>2398</v>
      </c>
      <c r="H789" s="360"/>
      <c r="M789" s="17" t="s">
        <v>1616</v>
      </c>
    </row>
    <row r="790" spans="1:13" x14ac:dyDescent="0.25">
      <c r="A790" s="17" t="s">
        <v>1772</v>
      </c>
      <c r="G790" s="17" t="s">
        <v>1774</v>
      </c>
      <c r="M790" s="17" t="s">
        <v>2270</v>
      </c>
    </row>
    <row r="791" spans="1:13" x14ac:dyDescent="0.25">
      <c r="A791" s="17" t="s">
        <v>1773</v>
      </c>
      <c r="G791" s="17" t="s">
        <v>2399</v>
      </c>
      <c r="M791" s="17" t="s">
        <v>1608</v>
      </c>
    </row>
    <row r="792" spans="1:13" x14ac:dyDescent="0.25">
      <c r="A792" s="17" t="s">
        <v>1774</v>
      </c>
      <c r="G792" s="17" t="s">
        <v>2400</v>
      </c>
      <c r="M792" s="17" t="s">
        <v>2989</v>
      </c>
    </row>
    <row r="793" spans="1:13" x14ac:dyDescent="0.25">
      <c r="A793" s="17" t="s">
        <v>1775</v>
      </c>
      <c r="G793" s="17" t="s">
        <v>2401</v>
      </c>
      <c r="M793" s="17" t="s">
        <v>2990</v>
      </c>
    </row>
    <row r="794" spans="1:13" x14ac:dyDescent="0.25">
      <c r="A794" s="17" t="s">
        <v>1776</v>
      </c>
      <c r="G794" s="17" t="s">
        <v>2402</v>
      </c>
      <c r="M794" s="17" t="s">
        <v>2991</v>
      </c>
    </row>
    <row r="795" spans="1:13" x14ac:dyDescent="0.25">
      <c r="A795" s="17" t="s">
        <v>1777</v>
      </c>
      <c r="G795" s="17" t="s">
        <v>2403</v>
      </c>
      <c r="M795" s="17" t="s">
        <v>2992</v>
      </c>
    </row>
    <row r="796" spans="1:13" x14ac:dyDescent="0.25">
      <c r="A796" s="17" t="s">
        <v>1778</v>
      </c>
      <c r="G796" s="17" t="s">
        <v>2404</v>
      </c>
      <c r="M796" s="17" t="s">
        <v>2993</v>
      </c>
    </row>
    <row r="797" spans="1:13" x14ac:dyDescent="0.25">
      <c r="A797" s="17" t="s">
        <v>1779</v>
      </c>
      <c r="G797" s="17" t="s">
        <v>2405</v>
      </c>
      <c r="M797" s="17" t="s">
        <v>2994</v>
      </c>
    </row>
    <row r="798" spans="1:13" x14ac:dyDescent="0.25">
      <c r="A798" s="17" t="s">
        <v>1780</v>
      </c>
      <c r="G798" s="17" t="s">
        <v>2406</v>
      </c>
      <c r="M798" s="17" t="s">
        <v>2995</v>
      </c>
    </row>
    <row r="799" spans="1:13" x14ac:dyDescent="0.25">
      <c r="A799" s="17" t="s">
        <v>1781</v>
      </c>
      <c r="G799" s="17" t="s">
        <v>2407</v>
      </c>
      <c r="M799" s="17" t="s">
        <v>2996</v>
      </c>
    </row>
    <row r="800" spans="1:13" x14ac:dyDescent="0.25">
      <c r="A800" s="17" t="s">
        <v>1782</v>
      </c>
      <c r="G800" s="17" t="s">
        <v>2408</v>
      </c>
      <c r="M800" s="17" t="s">
        <v>2997</v>
      </c>
    </row>
    <row r="801" spans="1:13" x14ac:dyDescent="0.25">
      <c r="A801" s="17" t="s">
        <v>1783</v>
      </c>
      <c r="G801" s="17" t="s">
        <v>2409</v>
      </c>
      <c r="M801" s="17" t="s">
        <v>2998</v>
      </c>
    </row>
    <row r="802" spans="1:13" x14ac:dyDescent="0.25">
      <c r="A802" s="17" t="s">
        <v>1784</v>
      </c>
      <c r="G802" s="17" t="s">
        <v>1765</v>
      </c>
      <c r="M802" s="17" t="s">
        <v>2999</v>
      </c>
    </row>
    <row r="803" spans="1:13" x14ac:dyDescent="0.25">
      <c r="A803" s="17" t="s">
        <v>1785</v>
      </c>
      <c r="G803" s="17" t="s">
        <v>2410</v>
      </c>
      <c r="M803" s="17" t="s">
        <v>2977</v>
      </c>
    </row>
    <row r="804" spans="1:13" x14ac:dyDescent="0.25">
      <c r="A804" s="17" t="s">
        <v>1786</v>
      </c>
      <c r="G804" s="17" t="s">
        <v>2411</v>
      </c>
      <c r="M804" s="17" t="s">
        <v>3000</v>
      </c>
    </row>
    <row r="805" spans="1:13" x14ac:dyDescent="0.25">
      <c r="A805" s="17" t="s">
        <v>1787</v>
      </c>
      <c r="G805" s="17" t="s">
        <v>2412</v>
      </c>
      <c r="M805" s="17" t="s">
        <v>3001</v>
      </c>
    </row>
    <row r="806" spans="1:13" x14ac:dyDescent="0.25">
      <c r="A806" s="17" t="s">
        <v>1788</v>
      </c>
      <c r="G806" s="17" t="s">
        <v>2413</v>
      </c>
      <c r="M806" s="17" t="s">
        <v>3002</v>
      </c>
    </row>
    <row r="807" spans="1:13" x14ac:dyDescent="0.25">
      <c r="A807" s="17" t="s">
        <v>1789</v>
      </c>
      <c r="G807" s="17" t="s">
        <v>2414</v>
      </c>
      <c r="M807" s="17" t="s">
        <v>3003</v>
      </c>
    </row>
    <row r="808" spans="1:13" x14ac:dyDescent="0.25">
      <c r="A808" s="17" t="s">
        <v>1790</v>
      </c>
      <c r="G808" s="17" t="s">
        <v>2415</v>
      </c>
      <c r="M808" s="17" t="s">
        <v>3004</v>
      </c>
    </row>
    <row r="809" spans="1:13" x14ac:dyDescent="0.25">
      <c r="A809" s="17" t="s">
        <v>1791</v>
      </c>
      <c r="G809" s="17" t="s">
        <v>2416</v>
      </c>
      <c r="M809" s="17" t="s">
        <v>3005</v>
      </c>
    </row>
    <row r="810" spans="1:13" x14ac:dyDescent="0.25">
      <c r="A810" s="17" t="s">
        <v>1792</v>
      </c>
      <c r="G810" s="17" t="s">
        <v>2417</v>
      </c>
      <c r="M810" s="17" t="s">
        <v>1662</v>
      </c>
    </row>
    <row r="811" spans="1:13" x14ac:dyDescent="0.25">
      <c r="A811" s="17" t="s">
        <v>1793</v>
      </c>
      <c r="G811" s="17" t="s">
        <v>2418</v>
      </c>
      <c r="M811" s="17" t="s">
        <v>3006</v>
      </c>
    </row>
    <row r="812" spans="1:13" x14ac:dyDescent="0.25">
      <c r="A812" s="17" t="s">
        <v>1794</v>
      </c>
      <c r="G812" s="17" t="s">
        <v>2395</v>
      </c>
      <c r="M812" s="17" t="s">
        <v>3007</v>
      </c>
    </row>
    <row r="813" spans="1:13" x14ac:dyDescent="0.25">
      <c r="A813" s="17" t="s">
        <v>1795</v>
      </c>
      <c r="G813" s="17" t="s">
        <v>2419</v>
      </c>
      <c r="M813" s="17" t="s">
        <v>3008</v>
      </c>
    </row>
    <row r="814" spans="1:13" x14ac:dyDescent="0.25">
      <c r="A814" s="17" t="s">
        <v>1796</v>
      </c>
      <c r="G814" s="17" t="s">
        <v>2420</v>
      </c>
      <c r="M814" s="17" t="s">
        <v>1642</v>
      </c>
    </row>
    <row r="815" spans="1:13" x14ac:dyDescent="0.25">
      <c r="A815" s="17" t="s">
        <v>1797</v>
      </c>
      <c r="G815" s="17" t="s">
        <v>1806</v>
      </c>
      <c r="M815" s="17" t="s">
        <v>3009</v>
      </c>
    </row>
    <row r="816" spans="1:13" x14ac:dyDescent="0.25">
      <c r="A816" s="17" t="s">
        <v>1798</v>
      </c>
      <c r="G816" s="17" t="s">
        <v>2421</v>
      </c>
      <c r="M816" s="17" t="s">
        <v>3010</v>
      </c>
    </row>
    <row r="817" spans="1:13" x14ac:dyDescent="0.25">
      <c r="A817" s="17" t="s">
        <v>1799</v>
      </c>
      <c r="G817" s="17" t="s">
        <v>2422</v>
      </c>
      <c r="M817" s="17" t="s">
        <v>3011</v>
      </c>
    </row>
    <row r="818" spans="1:13" x14ac:dyDescent="0.25">
      <c r="A818" s="17" t="s">
        <v>1800</v>
      </c>
      <c r="G818" s="17" t="s">
        <v>2423</v>
      </c>
      <c r="M818" s="17" t="s">
        <v>3011</v>
      </c>
    </row>
    <row r="819" spans="1:13" x14ac:dyDescent="0.25">
      <c r="A819" s="17" t="s">
        <v>1801</v>
      </c>
      <c r="G819" s="17" t="s">
        <v>2424</v>
      </c>
      <c r="M819" s="17" t="s">
        <v>3012</v>
      </c>
    </row>
    <row r="820" spans="1:13" x14ac:dyDescent="0.25">
      <c r="A820" s="17" t="s">
        <v>1802</v>
      </c>
      <c r="G820" s="17" t="s">
        <v>2425</v>
      </c>
      <c r="M820" s="17" t="s">
        <v>3013</v>
      </c>
    </row>
    <row r="821" spans="1:13" x14ac:dyDescent="0.25">
      <c r="A821" s="17" t="s">
        <v>1803</v>
      </c>
      <c r="G821" s="17" t="s">
        <v>2426</v>
      </c>
      <c r="M821" s="17" t="s">
        <v>3014</v>
      </c>
    </row>
    <row r="822" spans="1:13" x14ac:dyDescent="0.25">
      <c r="A822" s="17" t="s">
        <v>1804</v>
      </c>
      <c r="G822" s="17" t="s">
        <v>2427</v>
      </c>
      <c r="M822" s="17" t="s">
        <v>3015</v>
      </c>
    </row>
    <row r="823" spans="1:13" x14ac:dyDescent="0.25">
      <c r="A823" s="17" t="s">
        <v>1805</v>
      </c>
      <c r="G823" s="17" t="s">
        <v>2428</v>
      </c>
      <c r="M823" s="17" t="s">
        <v>3016</v>
      </c>
    </row>
    <row r="824" spans="1:13" x14ac:dyDescent="0.25">
      <c r="A824" s="17" t="s">
        <v>1806</v>
      </c>
      <c r="G824" s="17" t="s">
        <v>2429</v>
      </c>
      <c r="M824" s="17" t="s">
        <v>3017</v>
      </c>
    </row>
    <row r="825" spans="1:13" x14ac:dyDescent="0.25">
      <c r="A825" s="17" t="s">
        <v>1807</v>
      </c>
      <c r="G825" s="17" t="s">
        <v>2430</v>
      </c>
      <c r="M825" s="17" t="s">
        <v>3018</v>
      </c>
    </row>
    <row r="826" spans="1:13" x14ac:dyDescent="0.25">
      <c r="A826" s="17" t="s">
        <v>1808</v>
      </c>
      <c r="G826" s="17" t="s">
        <v>2431</v>
      </c>
      <c r="M826" s="17" t="s">
        <v>3019</v>
      </c>
    </row>
    <row r="827" spans="1:13" x14ac:dyDescent="0.25">
      <c r="A827" s="17" t="s">
        <v>1809</v>
      </c>
      <c r="G827" s="17" t="s">
        <v>2432</v>
      </c>
      <c r="M827" s="17" t="s">
        <v>3020</v>
      </c>
    </row>
    <row r="828" spans="1:13" x14ac:dyDescent="0.25">
      <c r="A828" s="17" t="s">
        <v>1810</v>
      </c>
      <c r="G828" s="17" t="s">
        <v>2433</v>
      </c>
      <c r="M828" s="17" t="s">
        <v>3021</v>
      </c>
    </row>
    <row r="829" spans="1:13" x14ac:dyDescent="0.25">
      <c r="A829" s="17" t="s">
        <v>1811</v>
      </c>
      <c r="G829" s="17" t="s">
        <v>2430</v>
      </c>
      <c r="M829" s="17" t="s">
        <v>3022</v>
      </c>
    </row>
    <row r="830" spans="1:13" x14ac:dyDescent="0.25">
      <c r="A830" s="17" t="s">
        <v>1812</v>
      </c>
      <c r="G830" s="17" t="s">
        <v>2434</v>
      </c>
      <c r="M830" s="17" t="s">
        <v>3023</v>
      </c>
    </row>
    <row r="831" spans="1:13" x14ac:dyDescent="0.25">
      <c r="A831" s="17" t="s">
        <v>1813</v>
      </c>
      <c r="G831" s="17" t="s">
        <v>2435</v>
      </c>
      <c r="M831" s="17" t="s">
        <v>3024</v>
      </c>
    </row>
    <row r="832" spans="1:13" x14ac:dyDescent="0.25">
      <c r="A832" s="17" t="s">
        <v>1814</v>
      </c>
      <c r="G832" s="17" t="s">
        <v>2436</v>
      </c>
      <c r="M832" s="17" t="s">
        <v>3025</v>
      </c>
    </row>
    <row r="833" spans="1:13" x14ac:dyDescent="0.25">
      <c r="A833" s="17" t="s">
        <v>1815</v>
      </c>
      <c r="G833" s="17" t="s">
        <v>2437</v>
      </c>
      <c r="M833" s="17" t="s">
        <v>3026</v>
      </c>
    </row>
    <row r="834" spans="1:13" x14ac:dyDescent="0.25">
      <c r="A834" s="17" t="s">
        <v>1816</v>
      </c>
      <c r="G834" s="17" t="s">
        <v>2438</v>
      </c>
      <c r="M834" s="17" t="s">
        <v>3027</v>
      </c>
    </row>
    <row r="835" spans="1:13" x14ac:dyDescent="0.25">
      <c r="A835" s="17" t="s">
        <v>1817</v>
      </c>
      <c r="G835" s="17" t="s">
        <v>2439</v>
      </c>
      <c r="M835" s="17" t="s">
        <v>3028</v>
      </c>
    </row>
    <row r="836" spans="1:13" x14ac:dyDescent="0.25">
      <c r="A836" s="17" t="s">
        <v>1818</v>
      </c>
      <c r="G836" s="17" t="s">
        <v>2440</v>
      </c>
      <c r="M836" s="17" t="s">
        <v>3029</v>
      </c>
    </row>
    <row r="837" spans="1:13" x14ac:dyDescent="0.25">
      <c r="A837" s="17" t="s">
        <v>1819</v>
      </c>
      <c r="G837" s="17" t="s">
        <v>2441</v>
      </c>
      <c r="M837" s="17" t="s">
        <v>3030</v>
      </c>
    </row>
    <row r="838" spans="1:13" x14ac:dyDescent="0.25">
      <c r="A838" s="17" t="s">
        <v>1817</v>
      </c>
      <c r="G838" s="17" t="s">
        <v>2442</v>
      </c>
      <c r="M838" s="17" t="s">
        <v>3031</v>
      </c>
    </row>
    <row r="839" spans="1:13" x14ac:dyDescent="0.25">
      <c r="A839" s="17" t="s">
        <v>1820</v>
      </c>
      <c r="G839" s="17" t="s">
        <v>2443</v>
      </c>
      <c r="M839" s="17" t="s">
        <v>3032</v>
      </c>
    </row>
    <row r="840" spans="1:13" x14ac:dyDescent="0.25">
      <c r="A840" s="17" t="s">
        <v>1821</v>
      </c>
      <c r="G840" s="17" t="s">
        <v>2442</v>
      </c>
      <c r="M840" s="17" t="s">
        <v>3033</v>
      </c>
    </row>
    <row r="841" spans="1:13" x14ac:dyDescent="0.25">
      <c r="A841" s="17" t="s">
        <v>1822</v>
      </c>
      <c r="G841" s="17" t="s">
        <v>2444</v>
      </c>
      <c r="M841" s="17" t="s">
        <v>3034</v>
      </c>
    </row>
    <row r="842" spans="1:13" x14ac:dyDescent="0.25">
      <c r="A842" s="17" t="s">
        <v>1823</v>
      </c>
      <c r="G842" s="17" t="s">
        <v>2445</v>
      </c>
      <c r="M842" s="17" t="s">
        <v>3035</v>
      </c>
    </row>
    <row r="843" spans="1:13" x14ac:dyDescent="0.25">
      <c r="A843" s="17" t="s">
        <v>1824</v>
      </c>
      <c r="G843" s="17" t="s">
        <v>2443</v>
      </c>
      <c r="M843" s="17" t="s">
        <v>3036</v>
      </c>
    </row>
    <row r="844" spans="1:13" x14ac:dyDescent="0.25">
      <c r="A844" s="17" t="s">
        <v>1825</v>
      </c>
      <c r="G844" s="17" t="s">
        <v>2446</v>
      </c>
      <c r="M844" s="17" t="s">
        <v>3037</v>
      </c>
    </row>
    <row r="845" spans="1:13" x14ac:dyDescent="0.25">
      <c r="A845" s="17" t="s">
        <v>1796</v>
      </c>
      <c r="G845" s="17" t="s">
        <v>2447</v>
      </c>
      <c r="M845" s="17" t="s">
        <v>1650</v>
      </c>
    </row>
    <row r="846" spans="1:13" x14ac:dyDescent="0.25">
      <c r="A846" s="17" t="s">
        <v>1826</v>
      </c>
      <c r="G846" s="17" t="s">
        <v>2448</v>
      </c>
      <c r="M846" s="17" t="s">
        <v>3038</v>
      </c>
    </row>
    <row r="847" spans="1:13" x14ac:dyDescent="0.25">
      <c r="A847" s="17" t="s">
        <v>1827</v>
      </c>
      <c r="G847" s="439" t="s">
        <v>2449</v>
      </c>
      <c r="H847" s="360"/>
      <c r="M847" s="17" t="s">
        <v>3039</v>
      </c>
    </row>
    <row r="848" spans="1:13" x14ac:dyDescent="0.25">
      <c r="A848" s="17" t="s">
        <v>1828</v>
      </c>
      <c r="G848" s="17" t="s">
        <v>2450</v>
      </c>
      <c r="M848" s="17" t="s">
        <v>3040</v>
      </c>
    </row>
    <row r="849" spans="1:13" x14ac:dyDescent="0.25">
      <c r="A849" s="17" t="s">
        <v>1829</v>
      </c>
      <c r="G849" s="17" t="s">
        <v>2451</v>
      </c>
      <c r="M849" s="17" t="s">
        <v>3041</v>
      </c>
    </row>
    <row r="850" spans="1:13" x14ac:dyDescent="0.25">
      <c r="A850" s="17" t="s">
        <v>1830</v>
      </c>
      <c r="G850" s="17" t="s">
        <v>2452</v>
      </c>
      <c r="M850" s="17" t="s">
        <v>3042</v>
      </c>
    </row>
    <row r="851" spans="1:13" x14ac:dyDescent="0.25">
      <c r="A851" s="17" t="s">
        <v>1831</v>
      </c>
      <c r="G851" s="17" t="s">
        <v>2453</v>
      </c>
      <c r="M851" s="17" t="s">
        <v>3043</v>
      </c>
    </row>
    <row r="852" spans="1:13" x14ac:dyDescent="0.25">
      <c r="A852" s="17" t="s">
        <v>1832</v>
      </c>
      <c r="G852" s="17" t="s">
        <v>2454</v>
      </c>
      <c r="M852" s="17" t="s">
        <v>3023</v>
      </c>
    </row>
    <row r="853" spans="1:13" x14ac:dyDescent="0.25">
      <c r="A853" s="17" t="s">
        <v>1833</v>
      </c>
      <c r="G853" s="17" t="s">
        <v>2455</v>
      </c>
      <c r="M853" s="17" t="s">
        <v>3044</v>
      </c>
    </row>
    <row r="854" spans="1:13" x14ac:dyDescent="0.25">
      <c r="A854" s="17" t="s">
        <v>1834</v>
      </c>
      <c r="G854" s="439" t="s">
        <v>2456</v>
      </c>
      <c r="H854" s="360"/>
      <c r="M854" s="17" t="s">
        <v>3045</v>
      </c>
    </row>
    <row r="855" spans="1:13" x14ac:dyDescent="0.25">
      <c r="A855" s="17" t="s">
        <v>1835</v>
      </c>
      <c r="G855" s="17" t="s">
        <v>2457</v>
      </c>
      <c r="M855" s="17" t="s">
        <v>3046</v>
      </c>
    </row>
    <row r="856" spans="1:13" x14ac:dyDescent="0.25">
      <c r="A856" s="17" t="s">
        <v>1836</v>
      </c>
      <c r="G856" s="17" t="s">
        <v>2458</v>
      </c>
      <c r="M856" s="17" t="s">
        <v>3047</v>
      </c>
    </row>
    <row r="857" spans="1:13" x14ac:dyDescent="0.25">
      <c r="A857" s="17" t="s">
        <v>1830</v>
      </c>
      <c r="G857" s="17" t="s">
        <v>2459</v>
      </c>
      <c r="M857" s="17" t="s">
        <v>3029</v>
      </c>
    </row>
    <row r="858" spans="1:13" x14ac:dyDescent="0.25">
      <c r="A858" s="17" t="s">
        <v>1837</v>
      </c>
      <c r="G858" s="17" t="s">
        <v>2460</v>
      </c>
      <c r="M858" s="17" t="s">
        <v>2312</v>
      </c>
    </row>
    <row r="859" spans="1:13" x14ac:dyDescent="0.25">
      <c r="A859" s="17" t="s">
        <v>1838</v>
      </c>
      <c r="G859" s="17" t="s">
        <v>2461</v>
      </c>
      <c r="M859" s="17" t="s">
        <v>3048</v>
      </c>
    </row>
    <row r="860" spans="1:13" x14ac:dyDescent="0.25">
      <c r="A860" s="17" t="s">
        <v>1839</v>
      </c>
      <c r="G860" s="17" t="s">
        <v>2462</v>
      </c>
      <c r="M860" s="17" t="s">
        <v>3049</v>
      </c>
    </row>
    <row r="861" spans="1:13" x14ac:dyDescent="0.25">
      <c r="A861" s="17" t="s">
        <v>1840</v>
      </c>
      <c r="G861" s="17" t="s">
        <v>2463</v>
      </c>
      <c r="M861" s="17" t="s">
        <v>3050</v>
      </c>
    </row>
    <row r="862" spans="1:13" x14ac:dyDescent="0.25">
      <c r="A862" s="17" t="s">
        <v>1841</v>
      </c>
      <c r="G862" s="17" t="s">
        <v>2464</v>
      </c>
      <c r="M862" s="17" t="s">
        <v>1697</v>
      </c>
    </row>
    <row r="863" spans="1:13" x14ac:dyDescent="0.25">
      <c r="A863" s="17" t="s">
        <v>1842</v>
      </c>
      <c r="G863" s="17" t="s">
        <v>1830</v>
      </c>
      <c r="M863" s="17" t="s">
        <v>3051</v>
      </c>
    </row>
    <row r="864" spans="1:13" x14ac:dyDescent="0.25">
      <c r="A864" s="17" t="s">
        <v>1843</v>
      </c>
      <c r="G864" s="17" t="s">
        <v>2465</v>
      </c>
      <c r="M864" s="17" t="s">
        <v>3052</v>
      </c>
    </row>
    <row r="865" spans="1:13" x14ac:dyDescent="0.25">
      <c r="A865" s="17" t="s">
        <v>1844</v>
      </c>
      <c r="G865" s="17" t="s">
        <v>2466</v>
      </c>
      <c r="M865" s="17" t="s">
        <v>3050</v>
      </c>
    </row>
    <row r="866" spans="1:13" x14ac:dyDescent="0.25">
      <c r="A866" s="17" t="s">
        <v>1845</v>
      </c>
      <c r="G866" s="17" t="s">
        <v>2467</v>
      </c>
      <c r="M866" s="17" t="s">
        <v>3053</v>
      </c>
    </row>
    <row r="867" spans="1:13" x14ac:dyDescent="0.25">
      <c r="A867" s="17" t="s">
        <v>1846</v>
      </c>
      <c r="G867" s="17" t="s">
        <v>2468</v>
      </c>
      <c r="M867" s="17" t="s">
        <v>3050</v>
      </c>
    </row>
    <row r="868" spans="1:13" x14ac:dyDescent="0.25">
      <c r="A868" s="17" t="s">
        <v>1847</v>
      </c>
      <c r="G868" s="17" t="s">
        <v>2469</v>
      </c>
      <c r="M868" s="17" t="s">
        <v>2322</v>
      </c>
    </row>
    <row r="869" spans="1:13" x14ac:dyDescent="0.25">
      <c r="A869" s="17" t="s">
        <v>1848</v>
      </c>
      <c r="G869" s="17" t="s">
        <v>2470</v>
      </c>
      <c r="M869" s="17" t="s">
        <v>1671</v>
      </c>
    </row>
    <row r="870" spans="1:13" x14ac:dyDescent="0.25">
      <c r="A870" s="17" t="s">
        <v>1849</v>
      </c>
      <c r="G870" s="17" t="s">
        <v>2471</v>
      </c>
      <c r="M870" s="17" t="s">
        <v>3054</v>
      </c>
    </row>
    <row r="871" spans="1:13" x14ac:dyDescent="0.25">
      <c r="A871" s="17" t="s">
        <v>1850</v>
      </c>
      <c r="G871" s="17" t="s">
        <v>2472</v>
      </c>
      <c r="M871" s="17" t="s">
        <v>3055</v>
      </c>
    </row>
    <row r="872" spans="1:13" x14ac:dyDescent="0.25">
      <c r="A872" s="17" t="s">
        <v>1851</v>
      </c>
      <c r="G872" s="17" t="s">
        <v>2473</v>
      </c>
      <c r="M872" s="17" t="s">
        <v>3056</v>
      </c>
    </row>
    <row r="873" spans="1:13" x14ac:dyDescent="0.25">
      <c r="A873" s="17" t="s">
        <v>1852</v>
      </c>
      <c r="G873" s="17" t="s">
        <v>2474</v>
      </c>
      <c r="M873" s="17" t="s">
        <v>2321</v>
      </c>
    </row>
    <row r="874" spans="1:13" x14ac:dyDescent="0.25">
      <c r="A874" s="17" t="s">
        <v>1853</v>
      </c>
      <c r="G874" s="17" t="s">
        <v>2475</v>
      </c>
      <c r="M874" s="17" t="s">
        <v>3057</v>
      </c>
    </row>
    <row r="875" spans="1:13" x14ac:dyDescent="0.25">
      <c r="A875" s="17" t="s">
        <v>1854</v>
      </c>
      <c r="G875" s="17" t="s">
        <v>2476</v>
      </c>
      <c r="M875" s="17" t="s">
        <v>3058</v>
      </c>
    </row>
    <row r="876" spans="1:13" x14ac:dyDescent="0.25">
      <c r="A876" s="17" t="s">
        <v>1855</v>
      </c>
      <c r="G876" s="17" t="s">
        <v>2477</v>
      </c>
      <c r="M876" s="17" t="s">
        <v>1695</v>
      </c>
    </row>
    <row r="877" spans="1:13" x14ac:dyDescent="0.25">
      <c r="A877" s="17" t="s">
        <v>1856</v>
      </c>
      <c r="G877" s="17" t="s">
        <v>2478</v>
      </c>
      <c r="M877" s="17" t="s">
        <v>3059</v>
      </c>
    </row>
    <row r="878" spans="1:13" x14ac:dyDescent="0.25">
      <c r="A878" s="17" t="s">
        <v>1857</v>
      </c>
      <c r="G878" s="17" t="s">
        <v>2479</v>
      </c>
      <c r="M878" s="17" t="s">
        <v>3060</v>
      </c>
    </row>
    <row r="879" spans="1:13" x14ac:dyDescent="0.25">
      <c r="A879" s="17" t="s">
        <v>1858</v>
      </c>
      <c r="G879" s="17" t="s">
        <v>2480</v>
      </c>
      <c r="M879" s="17" t="s">
        <v>3061</v>
      </c>
    </row>
    <row r="880" spans="1:13" x14ac:dyDescent="0.25">
      <c r="A880" s="17" t="s">
        <v>1859</v>
      </c>
      <c r="G880" s="17" t="s">
        <v>2481</v>
      </c>
      <c r="M880" s="17" t="s">
        <v>3062</v>
      </c>
    </row>
    <row r="881" spans="1:13" x14ac:dyDescent="0.25">
      <c r="A881" s="17" t="s">
        <v>1860</v>
      </c>
      <c r="G881" s="17" t="s">
        <v>2482</v>
      </c>
      <c r="M881" s="17" t="s">
        <v>3063</v>
      </c>
    </row>
    <row r="882" spans="1:13" x14ac:dyDescent="0.25">
      <c r="A882" s="17" t="s">
        <v>1861</v>
      </c>
      <c r="G882" s="17" t="s">
        <v>2483</v>
      </c>
      <c r="M882" s="17" t="s">
        <v>3064</v>
      </c>
    </row>
    <row r="883" spans="1:13" x14ac:dyDescent="0.25">
      <c r="A883" s="17" t="s">
        <v>1862</v>
      </c>
      <c r="G883" s="17" t="s">
        <v>2484</v>
      </c>
      <c r="M883" s="17" t="s">
        <v>3065</v>
      </c>
    </row>
    <row r="884" spans="1:13" x14ac:dyDescent="0.25">
      <c r="A884" s="17" t="s">
        <v>1863</v>
      </c>
      <c r="G884" s="17" t="s">
        <v>2485</v>
      </c>
      <c r="M884" s="17" t="s">
        <v>3066</v>
      </c>
    </row>
    <row r="885" spans="1:13" x14ac:dyDescent="0.25">
      <c r="A885" s="17" t="s">
        <v>1864</v>
      </c>
      <c r="G885" s="17" t="s">
        <v>2486</v>
      </c>
      <c r="M885" s="17" t="s">
        <v>2324</v>
      </c>
    </row>
    <row r="886" spans="1:13" x14ac:dyDescent="0.25">
      <c r="A886" s="17" t="s">
        <v>1865</v>
      </c>
      <c r="G886" s="17" t="s">
        <v>2487</v>
      </c>
      <c r="M886" s="17" t="s">
        <v>3067</v>
      </c>
    </row>
    <row r="887" spans="1:13" x14ac:dyDescent="0.25">
      <c r="A887" s="17" t="s">
        <v>1866</v>
      </c>
      <c r="G887" s="17" t="s">
        <v>2488</v>
      </c>
      <c r="M887" s="17" t="s">
        <v>3067</v>
      </c>
    </row>
    <row r="888" spans="1:13" x14ac:dyDescent="0.25">
      <c r="A888" s="17" t="s">
        <v>1867</v>
      </c>
      <c r="G888" s="17" t="s">
        <v>2489</v>
      </c>
      <c r="M888" s="17" t="s">
        <v>3068</v>
      </c>
    </row>
    <row r="889" spans="1:13" x14ac:dyDescent="0.25">
      <c r="A889" s="17" t="s">
        <v>1868</v>
      </c>
      <c r="G889" s="17" t="s">
        <v>2490</v>
      </c>
      <c r="M889" s="17" t="s">
        <v>3067</v>
      </c>
    </row>
    <row r="890" spans="1:13" x14ac:dyDescent="0.25">
      <c r="A890" s="17" t="s">
        <v>1869</v>
      </c>
      <c r="G890" s="17" t="s">
        <v>2481</v>
      </c>
      <c r="M890" s="17" t="s">
        <v>3069</v>
      </c>
    </row>
    <row r="891" spans="1:13" x14ac:dyDescent="0.25">
      <c r="A891" s="17" t="s">
        <v>1870</v>
      </c>
      <c r="G891" s="17" t="s">
        <v>2491</v>
      </c>
      <c r="M891" s="17" t="s">
        <v>3070</v>
      </c>
    </row>
    <row r="892" spans="1:13" x14ac:dyDescent="0.25">
      <c r="A892" s="17" t="s">
        <v>1871</v>
      </c>
      <c r="G892" s="17" t="s">
        <v>2492</v>
      </c>
      <c r="M892" s="17" t="s">
        <v>3071</v>
      </c>
    </row>
    <row r="893" spans="1:13" x14ac:dyDescent="0.25">
      <c r="A893" s="17" t="s">
        <v>1872</v>
      </c>
      <c r="G893" s="17" t="s">
        <v>2493</v>
      </c>
      <c r="M893" s="17" t="s">
        <v>3072</v>
      </c>
    </row>
    <row r="894" spans="1:13" x14ac:dyDescent="0.25">
      <c r="A894" s="17" t="s">
        <v>1873</v>
      </c>
      <c r="G894" s="17" t="s">
        <v>2494</v>
      </c>
      <c r="M894" s="17" t="s">
        <v>3073</v>
      </c>
    </row>
    <row r="895" spans="1:13" x14ac:dyDescent="0.25">
      <c r="A895" s="17" t="s">
        <v>1874</v>
      </c>
      <c r="G895" s="17" t="s">
        <v>2495</v>
      </c>
      <c r="M895" s="17" t="s">
        <v>3074</v>
      </c>
    </row>
    <row r="896" spans="1:13" x14ac:dyDescent="0.25">
      <c r="A896" s="17" t="s">
        <v>1875</v>
      </c>
      <c r="G896" s="17" t="s">
        <v>2496</v>
      </c>
      <c r="M896" s="17" t="s">
        <v>1692</v>
      </c>
    </row>
    <row r="897" spans="1:13" x14ac:dyDescent="0.25">
      <c r="A897" s="17" t="s">
        <v>1876</v>
      </c>
      <c r="G897" s="17" t="s">
        <v>2497</v>
      </c>
      <c r="M897" s="17" t="s">
        <v>3075</v>
      </c>
    </row>
    <row r="898" spans="1:13" x14ac:dyDescent="0.25">
      <c r="A898" s="17" t="s">
        <v>1877</v>
      </c>
      <c r="G898" s="17" t="s">
        <v>2498</v>
      </c>
      <c r="M898" s="17" t="s">
        <v>2320</v>
      </c>
    </row>
    <row r="899" spans="1:13" x14ac:dyDescent="0.25">
      <c r="A899" s="17" t="s">
        <v>1878</v>
      </c>
      <c r="G899" s="17" t="s">
        <v>2499</v>
      </c>
      <c r="M899" s="17" t="s">
        <v>3071</v>
      </c>
    </row>
    <row r="900" spans="1:13" x14ac:dyDescent="0.25">
      <c r="A900" s="17" t="s">
        <v>1879</v>
      </c>
      <c r="G900" s="17" t="s">
        <v>2500</v>
      </c>
      <c r="M900" s="17" t="s">
        <v>3076</v>
      </c>
    </row>
    <row r="901" spans="1:13" x14ac:dyDescent="0.25">
      <c r="A901" s="17" t="s">
        <v>1880</v>
      </c>
      <c r="G901" s="17" t="s">
        <v>2501</v>
      </c>
      <c r="M901" s="17" t="s">
        <v>2331</v>
      </c>
    </row>
    <row r="902" spans="1:13" x14ac:dyDescent="0.25">
      <c r="A902" s="17" t="s">
        <v>1881</v>
      </c>
      <c r="G902" s="17" t="s">
        <v>2502</v>
      </c>
      <c r="M902" s="17" t="s">
        <v>3057</v>
      </c>
    </row>
    <row r="903" spans="1:13" x14ac:dyDescent="0.25">
      <c r="A903" s="17" t="s">
        <v>1882</v>
      </c>
      <c r="G903" s="17" t="s">
        <v>2503</v>
      </c>
      <c r="M903" s="17" t="s">
        <v>3077</v>
      </c>
    </row>
    <row r="904" spans="1:13" x14ac:dyDescent="0.25">
      <c r="A904" s="17" t="s">
        <v>1883</v>
      </c>
      <c r="G904" s="17" t="s">
        <v>2504</v>
      </c>
      <c r="M904" s="17" t="s">
        <v>1696</v>
      </c>
    </row>
    <row r="905" spans="1:13" x14ac:dyDescent="0.25">
      <c r="A905" s="17" t="s">
        <v>1884</v>
      </c>
      <c r="G905" s="17" t="s">
        <v>1881</v>
      </c>
      <c r="M905" s="17" t="s">
        <v>3078</v>
      </c>
    </row>
    <row r="906" spans="1:13" x14ac:dyDescent="0.25">
      <c r="A906" s="17" t="s">
        <v>1885</v>
      </c>
      <c r="G906" s="17" t="s">
        <v>2505</v>
      </c>
      <c r="M906" s="17" t="s">
        <v>3079</v>
      </c>
    </row>
    <row r="907" spans="1:13" x14ac:dyDescent="0.25">
      <c r="A907" s="17" t="s">
        <v>1886</v>
      </c>
      <c r="G907" s="17" t="s">
        <v>2506</v>
      </c>
      <c r="M907" s="17" t="s">
        <v>3080</v>
      </c>
    </row>
    <row r="908" spans="1:13" x14ac:dyDescent="0.25">
      <c r="A908" s="17" t="s">
        <v>1887</v>
      </c>
      <c r="G908" s="17" t="s">
        <v>2507</v>
      </c>
      <c r="M908" s="17" t="s">
        <v>3081</v>
      </c>
    </row>
    <row r="909" spans="1:13" x14ac:dyDescent="0.25">
      <c r="A909" s="17" t="s">
        <v>1888</v>
      </c>
      <c r="G909" s="439" t="s">
        <v>2508</v>
      </c>
      <c r="H909" s="360"/>
      <c r="M909" s="17" t="s">
        <v>3082</v>
      </c>
    </row>
    <row r="910" spans="1:13" x14ac:dyDescent="0.25">
      <c r="A910" s="17" t="s">
        <v>1889</v>
      </c>
      <c r="G910" s="17" t="s">
        <v>2509</v>
      </c>
      <c r="M910" s="17" t="s">
        <v>3083</v>
      </c>
    </row>
    <row r="911" spans="1:13" x14ac:dyDescent="0.25">
      <c r="A911" s="17" t="s">
        <v>1890</v>
      </c>
      <c r="G911" s="17" t="s">
        <v>2510</v>
      </c>
      <c r="M911" s="17" t="s">
        <v>1955</v>
      </c>
    </row>
    <row r="912" spans="1:13" x14ac:dyDescent="0.25">
      <c r="A912" s="17" t="s">
        <v>1891</v>
      </c>
      <c r="G912" s="17" t="s">
        <v>2511</v>
      </c>
      <c r="M912" s="17" t="s">
        <v>1956</v>
      </c>
    </row>
    <row r="913" spans="1:13" x14ac:dyDescent="0.25">
      <c r="A913" s="17" t="s">
        <v>1892</v>
      </c>
      <c r="G913" s="17" t="s">
        <v>2512</v>
      </c>
      <c r="M913" s="17" t="s">
        <v>1957</v>
      </c>
    </row>
    <row r="914" spans="1:13" x14ac:dyDescent="0.25">
      <c r="A914" s="17" t="s">
        <v>1893</v>
      </c>
      <c r="G914" s="17" t="s">
        <v>2513</v>
      </c>
      <c r="M914" s="17" t="s">
        <v>1958</v>
      </c>
    </row>
    <row r="915" spans="1:13" x14ac:dyDescent="0.25">
      <c r="A915" s="17" t="s">
        <v>1894</v>
      </c>
      <c r="G915" s="17" t="s">
        <v>2514</v>
      </c>
    </row>
    <row r="916" spans="1:13" x14ac:dyDescent="0.25">
      <c r="A916" s="17" t="s">
        <v>1895</v>
      </c>
      <c r="G916" s="17" t="s">
        <v>2515</v>
      </c>
    </row>
    <row r="917" spans="1:13" x14ac:dyDescent="0.25">
      <c r="A917" s="17" t="s">
        <v>1896</v>
      </c>
      <c r="G917" s="17" t="s">
        <v>1924</v>
      </c>
    </row>
    <row r="918" spans="1:13" x14ac:dyDescent="0.25">
      <c r="A918" s="17" t="s">
        <v>1897</v>
      </c>
      <c r="G918" s="17" t="s">
        <v>2516</v>
      </c>
    </row>
    <row r="919" spans="1:13" x14ac:dyDescent="0.25">
      <c r="A919" s="17" t="s">
        <v>1898</v>
      </c>
      <c r="G919" s="17" t="s">
        <v>2517</v>
      </c>
    </row>
    <row r="920" spans="1:13" x14ac:dyDescent="0.25">
      <c r="A920" s="17" t="s">
        <v>1899</v>
      </c>
      <c r="G920" s="17" t="s">
        <v>2518</v>
      </c>
    </row>
    <row r="921" spans="1:13" x14ac:dyDescent="0.25">
      <c r="A921" s="17" t="s">
        <v>1900</v>
      </c>
      <c r="G921" s="17" t="s">
        <v>2519</v>
      </c>
    </row>
    <row r="922" spans="1:13" x14ac:dyDescent="0.25">
      <c r="A922" s="17" t="s">
        <v>1901</v>
      </c>
      <c r="G922" s="17" t="s">
        <v>2520</v>
      </c>
    </row>
    <row r="923" spans="1:13" x14ac:dyDescent="0.25">
      <c r="A923" s="17" t="s">
        <v>1902</v>
      </c>
      <c r="G923" s="17" t="s">
        <v>2521</v>
      </c>
    </row>
    <row r="924" spans="1:13" x14ac:dyDescent="0.25">
      <c r="A924" s="17" t="s">
        <v>1903</v>
      </c>
      <c r="G924" s="17" t="s">
        <v>1919</v>
      </c>
    </row>
    <row r="925" spans="1:13" x14ac:dyDescent="0.25">
      <c r="A925" s="17" t="s">
        <v>1904</v>
      </c>
      <c r="G925" s="17" t="s">
        <v>2522</v>
      </c>
    </row>
    <row r="926" spans="1:13" x14ac:dyDescent="0.25">
      <c r="A926" s="17" t="s">
        <v>1905</v>
      </c>
      <c r="G926" s="17" t="s">
        <v>2523</v>
      </c>
    </row>
    <row r="927" spans="1:13" x14ac:dyDescent="0.25">
      <c r="A927" s="17" t="s">
        <v>1906</v>
      </c>
      <c r="G927" s="17" t="s">
        <v>2524</v>
      </c>
    </row>
    <row r="928" spans="1:13" x14ac:dyDescent="0.25">
      <c r="A928" s="17" t="s">
        <v>1907</v>
      </c>
      <c r="G928" s="17" t="s">
        <v>2516</v>
      </c>
    </row>
    <row r="929" spans="1:7" x14ac:dyDescent="0.25">
      <c r="A929" s="17" t="s">
        <v>1908</v>
      </c>
      <c r="G929" s="17" t="s">
        <v>2525</v>
      </c>
    </row>
    <row r="930" spans="1:7" x14ac:dyDescent="0.25">
      <c r="A930" s="17" t="s">
        <v>1909</v>
      </c>
      <c r="G930" s="17" t="s">
        <v>2519</v>
      </c>
    </row>
    <row r="931" spans="1:7" x14ac:dyDescent="0.25">
      <c r="A931" s="17" t="s">
        <v>1910</v>
      </c>
      <c r="G931" s="17" t="s">
        <v>2526</v>
      </c>
    </row>
    <row r="932" spans="1:7" x14ac:dyDescent="0.25">
      <c r="A932" s="17" t="s">
        <v>1911</v>
      </c>
      <c r="G932" s="17" t="s">
        <v>2527</v>
      </c>
    </row>
    <row r="933" spans="1:7" x14ac:dyDescent="0.25">
      <c r="A933" s="17" t="s">
        <v>1912</v>
      </c>
      <c r="G933" s="17" t="s">
        <v>2528</v>
      </c>
    </row>
    <row r="934" spans="1:7" x14ac:dyDescent="0.25">
      <c r="A934" s="17" t="s">
        <v>1913</v>
      </c>
      <c r="G934" s="17" t="s">
        <v>2529</v>
      </c>
    </row>
    <row r="935" spans="1:7" x14ac:dyDescent="0.25">
      <c r="A935" s="17" t="s">
        <v>1914</v>
      </c>
      <c r="G935" s="17" t="s">
        <v>2530</v>
      </c>
    </row>
    <row r="936" spans="1:7" x14ac:dyDescent="0.25">
      <c r="A936" s="17" t="s">
        <v>1915</v>
      </c>
      <c r="G936" s="17" t="s">
        <v>2531</v>
      </c>
    </row>
    <row r="937" spans="1:7" x14ac:dyDescent="0.25">
      <c r="A937" s="17" t="s">
        <v>1916</v>
      </c>
      <c r="G937" s="17" t="s">
        <v>2532</v>
      </c>
    </row>
    <row r="938" spans="1:7" x14ac:dyDescent="0.25">
      <c r="A938" s="17" t="s">
        <v>1917</v>
      </c>
      <c r="G938" s="17" t="s">
        <v>2533</v>
      </c>
    </row>
    <row r="939" spans="1:7" x14ac:dyDescent="0.25">
      <c r="A939" s="17" t="s">
        <v>1918</v>
      </c>
      <c r="G939" s="17" t="s">
        <v>2533</v>
      </c>
    </row>
    <row r="940" spans="1:7" x14ac:dyDescent="0.25">
      <c r="A940" s="17" t="s">
        <v>1919</v>
      </c>
      <c r="G940" s="17" t="s">
        <v>2534</v>
      </c>
    </row>
    <row r="941" spans="1:7" x14ac:dyDescent="0.25">
      <c r="A941" s="17" t="s">
        <v>1920</v>
      </c>
      <c r="G941" s="17" t="s">
        <v>2535</v>
      </c>
    </row>
    <row r="942" spans="1:7" x14ac:dyDescent="0.25">
      <c r="A942" s="17" t="s">
        <v>1921</v>
      </c>
      <c r="G942" s="17" t="s">
        <v>2536</v>
      </c>
    </row>
    <row r="943" spans="1:7" x14ac:dyDescent="0.25">
      <c r="A943" s="17" t="s">
        <v>1922</v>
      </c>
      <c r="G943" s="17" t="s">
        <v>2537</v>
      </c>
    </row>
    <row r="944" spans="1:7" x14ac:dyDescent="0.25">
      <c r="A944" s="17" t="s">
        <v>1923</v>
      </c>
      <c r="G944" s="17" t="s">
        <v>2538</v>
      </c>
    </row>
    <row r="945" spans="1:7" x14ac:dyDescent="0.25">
      <c r="A945" s="17" t="s">
        <v>1924</v>
      </c>
      <c r="G945" s="17" t="s">
        <v>2539</v>
      </c>
    </row>
    <row r="946" spans="1:7" x14ac:dyDescent="0.25">
      <c r="A946" s="17" t="s">
        <v>1925</v>
      </c>
      <c r="G946" s="17" t="s">
        <v>2540</v>
      </c>
    </row>
    <row r="947" spans="1:7" x14ac:dyDescent="0.25">
      <c r="A947" s="17" t="s">
        <v>1926</v>
      </c>
      <c r="G947" s="17" t="s">
        <v>2541</v>
      </c>
    </row>
    <row r="948" spans="1:7" x14ac:dyDescent="0.25">
      <c r="A948" s="17" t="s">
        <v>1927</v>
      </c>
      <c r="G948" s="17" t="s">
        <v>2542</v>
      </c>
    </row>
    <row r="949" spans="1:7" x14ac:dyDescent="0.25">
      <c r="A949" s="17" t="s">
        <v>1928</v>
      </c>
      <c r="G949" s="17" t="s">
        <v>2543</v>
      </c>
    </row>
    <row r="950" spans="1:7" x14ac:dyDescent="0.25">
      <c r="A950" s="17" t="s">
        <v>1929</v>
      </c>
      <c r="G950" s="17" t="s">
        <v>2544</v>
      </c>
    </row>
    <row r="951" spans="1:7" x14ac:dyDescent="0.25">
      <c r="A951" s="17" t="s">
        <v>1930</v>
      </c>
      <c r="G951" s="17" t="s">
        <v>2541</v>
      </c>
    </row>
    <row r="952" spans="1:7" x14ac:dyDescent="0.25">
      <c r="A952" s="17" t="s">
        <v>1931</v>
      </c>
      <c r="G952" s="17" t="s">
        <v>2545</v>
      </c>
    </row>
    <row r="953" spans="1:7" x14ac:dyDescent="0.25">
      <c r="A953" s="17" t="s">
        <v>1932</v>
      </c>
      <c r="G953" s="17" t="s">
        <v>2546</v>
      </c>
    </row>
    <row r="954" spans="1:7" x14ac:dyDescent="0.25">
      <c r="A954" s="17" t="s">
        <v>1933</v>
      </c>
      <c r="G954" s="17" t="s">
        <v>2547</v>
      </c>
    </row>
    <row r="955" spans="1:7" x14ac:dyDescent="0.25">
      <c r="A955" s="17" t="s">
        <v>1934</v>
      </c>
      <c r="G955" s="17" t="s">
        <v>2543</v>
      </c>
    </row>
    <row r="956" spans="1:7" x14ac:dyDescent="0.25">
      <c r="A956" s="17" t="s">
        <v>1935</v>
      </c>
      <c r="G956" s="17" t="s">
        <v>2548</v>
      </c>
    </row>
    <row r="957" spans="1:7" x14ac:dyDescent="0.25">
      <c r="A957" s="17" t="s">
        <v>1936</v>
      </c>
      <c r="G957" s="17" t="s">
        <v>2549</v>
      </c>
    </row>
    <row r="958" spans="1:7" x14ac:dyDescent="0.25">
      <c r="A958" s="17" t="s">
        <v>1937</v>
      </c>
      <c r="G958" s="17" t="s">
        <v>2550</v>
      </c>
    </row>
    <row r="959" spans="1:7" x14ac:dyDescent="0.25">
      <c r="A959" s="17" t="s">
        <v>1938</v>
      </c>
      <c r="G959" s="17" t="s">
        <v>2551</v>
      </c>
    </row>
    <row r="960" spans="1:7" x14ac:dyDescent="0.25">
      <c r="A960" s="17" t="s">
        <v>1939</v>
      </c>
      <c r="G960" s="17" t="s">
        <v>2552</v>
      </c>
    </row>
    <row r="961" spans="1:7" x14ac:dyDescent="0.25">
      <c r="A961" s="17" t="s">
        <v>1940</v>
      </c>
      <c r="G961" s="17" t="s">
        <v>2545</v>
      </c>
    </row>
    <row r="962" spans="1:7" x14ac:dyDescent="0.25">
      <c r="A962" s="17" t="s">
        <v>1941</v>
      </c>
      <c r="G962" s="17" t="s">
        <v>2553</v>
      </c>
    </row>
    <row r="963" spans="1:7" x14ac:dyDescent="0.25">
      <c r="A963" s="17" t="s">
        <v>1942</v>
      </c>
      <c r="G963" s="17" t="s">
        <v>2541</v>
      </c>
    </row>
    <row r="964" spans="1:7" x14ac:dyDescent="0.25">
      <c r="A964" s="17" t="s">
        <v>1941</v>
      </c>
      <c r="G964" s="17" t="s">
        <v>2554</v>
      </c>
    </row>
    <row r="965" spans="1:7" x14ac:dyDescent="0.25">
      <c r="A965" s="17" t="s">
        <v>1943</v>
      </c>
      <c r="G965" s="17" t="s">
        <v>2555</v>
      </c>
    </row>
    <row r="966" spans="1:7" x14ac:dyDescent="0.25">
      <c r="A966" s="17" t="s">
        <v>1944</v>
      </c>
      <c r="G966" s="17" t="s">
        <v>2545</v>
      </c>
    </row>
    <row r="967" spans="1:7" x14ac:dyDescent="0.25">
      <c r="A967" s="17" t="s">
        <v>1925</v>
      </c>
      <c r="G967" s="17" t="s">
        <v>2556</v>
      </c>
    </row>
    <row r="968" spans="1:7" x14ac:dyDescent="0.25">
      <c r="A968" s="17" t="s">
        <v>1945</v>
      </c>
      <c r="G968" s="17" t="s">
        <v>2557</v>
      </c>
    </row>
    <row r="969" spans="1:7" x14ac:dyDescent="0.25">
      <c r="A969" s="17" t="s">
        <v>1928</v>
      </c>
      <c r="G969" s="17" t="s">
        <v>1926</v>
      </c>
    </row>
    <row r="970" spans="1:7" x14ac:dyDescent="0.25">
      <c r="A970" s="17" t="s">
        <v>1946</v>
      </c>
      <c r="G970" s="17" t="s">
        <v>2558</v>
      </c>
    </row>
    <row r="971" spans="1:7" x14ac:dyDescent="0.25">
      <c r="A971" s="17" t="s">
        <v>1947</v>
      </c>
      <c r="G971" s="17" t="s">
        <v>2559</v>
      </c>
    </row>
    <row r="972" spans="1:7" x14ac:dyDescent="0.25">
      <c r="A972" s="17" t="s">
        <v>1948</v>
      </c>
      <c r="G972" s="17" t="s">
        <v>2558</v>
      </c>
    </row>
    <row r="973" spans="1:7" x14ac:dyDescent="0.25">
      <c r="A973" s="17" t="s">
        <v>1949</v>
      </c>
      <c r="G973" s="17" t="s">
        <v>2557</v>
      </c>
    </row>
    <row r="974" spans="1:7" x14ac:dyDescent="0.25">
      <c r="A974" s="17" t="s">
        <v>1950</v>
      </c>
      <c r="G974" s="17" t="s">
        <v>2556</v>
      </c>
    </row>
    <row r="975" spans="1:7" x14ac:dyDescent="0.25">
      <c r="A975" s="17" t="s">
        <v>1951</v>
      </c>
      <c r="G975" s="17" t="s">
        <v>2556</v>
      </c>
    </row>
    <row r="976" spans="1:7" x14ac:dyDescent="0.25">
      <c r="A976" s="17" t="s">
        <v>1952</v>
      </c>
      <c r="G976" s="17" t="s">
        <v>2550</v>
      </c>
    </row>
    <row r="977" spans="1:7" x14ac:dyDescent="0.25">
      <c r="A977" s="17" t="s">
        <v>1953</v>
      </c>
      <c r="G977" s="17" t="s">
        <v>2560</v>
      </c>
    </row>
    <row r="978" spans="1:7" x14ac:dyDescent="0.25">
      <c r="A978" s="17" t="s">
        <v>1954</v>
      </c>
      <c r="G978" s="17" t="s">
        <v>2561</v>
      </c>
    </row>
    <row r="979" spans="1:7" x14ac:dyDescent="0.25">
      <c r="A979" s="17" t="s">
        <v>1955</v>
      </c>
      <c r="G979" s="17" t="s">
        <v>1955</v>
      </c>
    </row>
    <row r="980" spans="1:7" x14ac:dyDescent="0.25">
      <c r="A980" s="17" t="s">
        <v>1956</v>
      </c>
      <c r="G980" s="17" t="s">
        <v>1956</v>
      </c>
    </row>
    <row r="981" spans="1:7" x14ac:dyDescent="0.25">
      <c r="A981" s="17" t="s">
        <v>1957</v>
      </c>
      <c r="G981" s="17" t="s">
        <v>1957</v>
      </c>
    </row>
    <row r="982" spans="1:7" x14ac:dyDescent="0.25">
      <c r="A982" s="17" t="s">
        <v>1958</v>
      </c>
      <c r="G982" s="17" t="s">
        <v>1958</v>
      </c>
    </row>
    <row r="983" spans="1:7" x14ac:dyDescent="0.25">
      <c r="G983" s="17" t="s">
        <v>2562</v>
      </c>
    </row>
  </sheetData>
  <phoneticPr fontId="7" type="noConversion"/>
  <pageMargins left="0.75" right="0.75" top="1" bottom="1" header="0.5" footer="0.5"/>
  <pageSetup paperSize="9" orientation="landscape" horizontalDpi="4294967292" verticalDpi="4294967292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K208"/>
  <sheetViews>
    <sheetView workbookViewId="0">
      <selection activeCell="E15" sqref="E15"/>
    </sheetView>
  </sheetViews>
  <sheetFormatPr defaultColWidth="8.81640625" defaultRowHeight="12.5" x14ac:dyDescent="0.25"/>
  <cols>
    <col min="2" max="2" width="28.453125" bestFit="1" customWidth="1"/>
    <col min="3" max="3" width="17.453125" bestFit="1" customWidth="1"/>
    <col min="5" max="6" width="15.7265625" bestFit="1" customWidth="1"/>
    <col min="7" max="7" width="18.453125" style="2" bestFit="1" customWidth="1"/>
    <col min="8" max="8" width="28.7265625" bestFit="1" customWidth="1"/>
    <col min="9" max="9" width="19.7265625" bestFit="1" customWidth="1"/>
  </cols>
  <sheetData>
    <row r="1" spans="1:9" ht="14.5" x14ac:dyDescent="0.35">
      <c r="A1" s="386" t="s">
        <v>908</v>
      </c>
    </row>
    <row r="2" spans="1:9" x14ac:dyDescent="0.25">
      <c r="E2" t="s">
        <v>909</v>
      </c>
      <c r="H2" t="s">
        <v>910</v>
      </c>
      <c r="I2" t="s">
        <v>911</v>
      </c>
    </row>
    <row r="5" spans="1:9" x14ac:dyDescent="0.25">
      <c r="A5" t="s">
        <v>301</v>
      </c>
    </row>
    <row r="7" spans="1:9" x14ac:dyDescent="0.25">
      <c r="B7" t="s">
        <v>912</v>
      </c>
      <c r="C7">
        <v>2</v>
      </c>
      <c r="D7">
        <f>F$208-SUM(C7:C$205)</f>
        <v>864.26200000000017</v>
      </c>
    </row>
    <row r="8" spans="1:9" x14ac:dyDescent="0.25">
      <c r="B8" t="s">
        <v>913</v>
      </c>
      <c r="C8">
        <v>60</v>
      </c>
      <c r="D8">
        <f>F$208-SUM(C8:C$205)</f>
        <v>866.26200000000017</v>
      </c>
    </row>
    <row r="9" spans="1:9" x14ac:dyDescent="0.25">
      <c r="B9" t="s">
        <v>914</v>
      </c>
      <c r="C9">
        <v>0.06</v>
      </c>
      <c r="D9">
        <f>F$208-SUM(C9:C$205)</f>
        <v>926.26200000000063</v>
      </c>
    </row>
    <row r="10" spans="1:9" x14ac:dyDescent="0.25">
      <c r="C10">
        <v>0.5</v>
      </c>
      <c r="D10">
        <f>F$208-SUM(C10:C$205)</f>
        <v>926.32200000000057</v>
      </c>
    </row>
    <row r="11" spans="1:9" x14ac:dyDescent="0.25">
      <c r="B11" t="s">
        <v>915</v>
      </c>
      <c r="C11">
        <v>1.9</v>
      </c>
      <c r="D11">
        <f>F$208-SUM(C11:C$205)</f>
        <v>926.82200000000057</v>
      </c>
    </row>
    <row r="12" spans="1:9" x14ac:dyDescent="0.25">
      <c r="B12" t="s">
        <v>916</v>
      </c>
      <c r="C12">
        <v>0</v>
      </c>
      <c r="D12">
        <f>F$208-SUM(C12:C$205)</f>
        <v>928.72200000000066</v>
      </c>
    </row>
    <row r="13" spans="1:9" x14ac:dyDescent="0.25">
      <c r="B13" t="s">
        <v>914</v>
      </c>
      <c r="C13">
        <v>0.06</v>
      </c>
      <c r="D13">
        <f>F$208-SUM(C13:C$205)</f>
        <v>928.72200000000066</v>
      </c>
    </row>
    <row r="14" spans="1:9" x14ac:dyDescent="0.25">
      <c r="B14" t="s">
        <v>917</v>
      </c>
      <c r="C14">
        <v>1</v>
      </c>
      <c r="D14">
        <f>F$208-SUM(C14:C$205)</f>
        <v>928.78200000000061</v>
      </c>
    </row>
    <row r="15" spans="1:9" x14ac:dyDescent="0.25">
      <c r="B15" t="s">
        <v>914</v>
      </c>
      <c r="C15">
        <v>0.06</v>
      </c>
      <c r="D15">
        <f>F$208-SUM(C15:C$205)</f>
        <v>929.78200000000061</v>
      </c>
    </row>
    <row r="16" spans="1:9" x14ac:dyDescent="0.25">
      <c r="B16" t="s">
        <v>918</v>
      </c>
      <c r="C16">
        <v>0.08</v>
      </c>
      <c r="D16">
        <f>F$208-SUM(C16:C$205)</f>
        <v>929.84200000000055</v>
      </c>
    </row>
    <row r="17" spans="2:4" x14ac:dyDescent="0.25">
      <c r="B17" t="s">
        <v>914</v>
      </c>
      <c r="C17">
        <v>0.06</v>
      </c>
      <c r="D17">
        <f>F$208-SUM(C17:C$205)</f>
        <v>929.92200000000093</v>
      </c>
    </row>
    <row r="18" spans="2:4" x14ac:dyDescent="0.25">
      <c r="B18" s="402" t="s">
        <v>919</v>
      </c>
      <c r="C18" s="402">
        <v>30</v>
      </c>
      <c r="D18">
        <f>F$208-SUM(C18:C$205)</f>
        <v>929.98200000000088</v>
      </c>
    </row>
    <row r="19" spans="2:4" x14ac:dyDescent="0.25">
      <c r="B19" t="s">
        <v>914</v>
      </c>
      <c r="C19">
        <v>0.06</v>
      </c>
      <c r="D19">
        <f>F$208-SUM(C19:C$205)</f>
        <v>959.98200000000043</v>
      </c>
    </row>
    <row r="20" spans="2:4" x14ac:dyDescent="0.25">
      <c r="B20" t="s">
        <v>918</v>
      </c>
      <c r="C20">
        <v>0.11</v>
      </c>
      <c r="D20">
        <f>F$208-SUM(C20:C$205)</f>
        <v>960.04200000000037</v>
      </c>
    </row>
    <row r="21" spans="2:4" x14ac:dyDescent="0.25">
      <c r="B21" t="s">
        <v>914</v>
      </c>
      <c r="C21">
        <v>0.06</v>
      </c>
      <c r="D21">
        <f>F$208-SUM(C21:C$205)</f>
        <v>960.1520000000005</v>
      </c>
    </row>
    <row r="22" spans="2:4" x14ac:dyDescent="0.25">
      <c r="B22" t="s">
        <v>920</v>
      </c>
      <c r="C22">
        <v>1.9</v>
      </c>
      <c r="D22">
        <f>F$208-SUM(C22:C$205)</f>
        <v>960.21200000000044</v>
      </c>
    </row>
    <row r="23" spans="2:4" x14ac:dyDescent="0.25">
      <c r="B23" t="s">
        <v>916</v>
      </c>
      <c r="C23">
        <v>0</v>
      </c>
      <c r="D23">
        <f>F$208-SUM(C23:C$205)</f>
        <v>962.11200000000053</v>
      </c>
    </row>
    <row r="24" spans="2:4" x14ac:dyDescent="0.25">
      <c r="B24" t="s">
        <v>914</v>
      </c>
      <c r="C24">
        <v>0.06</v>
      </c>
      <c r="D24">
        <f>F$208-SUM(C24:C$205)</f>
        <v>962.11200000000053</v>
      </c>
    </row>
    <row r="25" spans="2:4" x14ac:dyDescent="0.25">
      <c r="B25" t="s">
        <v>920</v>
      </c>
      <c r="C25">
        <v>1.9</v>
      </c>
      <c r="D25">
        <f>F$208-SUM(C25:C$205)</f>
        <v>962.17200000000048</v>
      </c>
    </row>
    <row r="26" spans="2:4" x14ac:dyDescent="0.25">
      <c r="B26" t="s">
        <v>916</v>
      </c>
      <c r="C26">
        <v>0</v>
      </c>
      <c r="D26">
        <f>F$208-SUM(C26:C$205)</f>
        <v>964.07200000000057</v>
      </c>
    </row>
    <row r="27" spans="2:4" x14ac:dyDescent="0.25">
      <c r="B27" t="s">
        <v>914</v>
      </c>
      <c r="C27">
        <v>0.06</v>
      </c>
      <c r="D27">
        <f>F$208-SUM(C27:C$205)</f>
        <v>964.07200000000057</v>
      </c>
    </row>
    <row r="28" spans="2:4" x14ac:dyDescent="0.25">
      <c r="B28" t="s">
        <v>920</v>
      </c>
      <c r="C28">
        <v>1.9</v>
      </c>
      <c r="D28">
        <f>F$208-SUM(C28:C$205)</f>
        <v>964.13200000000052</v>
      </c>
    </row>
    <row r="29" spans="2:4" x14ac:dyDescent="0.25">
      <c r="B29" t="s">
        <v>916</v>
      </c>
      <c r="C29">
        <v>0</v>
      </c>
      <c r="D29">
        <f>F$208-SUM(C29:C$205)</f>
        <v>966.03200000000061</v>
      </c>
    </row>
    <row r="30" spans="2:4" x14ac:dyDescent="0.25">
      <c r="B30" t="s">
        <v>914</v>
      </c>
      <c r="C30">
        <v>0.06</v>
      </c>
      <c r="D30">
        <f>F$208-SUM(C30:C$205)</f>
        <v>966.03200000000061</v>
      </c>
    </row>
    <row r="31" spans="2:4" x14ac:dyDescent="0.25">
      <c r="B31" t="s">
        <v>920</v>
      </c>
      <c r="C31">
        <v>1.9</v>
      </c>
      <c r="D31">
        <f>F$208-SUM(C31:C$205)</f>
        <v>966.09200000000055</v>
      </c>
    </row>
    <row r="32" spans="2:4" x14ac:dyDescent="0.25">
      <c r="B32" t="s">
        <v>916</v>
      </c>
      <c r="C32">
        <v>0</v>
      </c>
      <c r="D32">
        <f>F$208-SUM(C32:C$205)</f>
        <v>967.99200000000064</v>
      </c>
    </row>
    <row r="33" spans="2:10" x14ac:dyDescent="0.25">
      <c r="B33" t="s">
        <v>914</v>
      </c>
      <c r="C33">
        <v>0.05</v>
      </c>
      <c r="D33">
        <f>F$208-SUM(C33:C$205)</f>
        <v>967.99200000000064</v>
      </c>
    </row>
    <row r="34" spans="2:10" x14ac:dyDescent="0.25">
      <c r="B34" t="s">
        <v>918</v>
      </c>
      <c r="C34">
        <v>0.08</v>
      </c>
      <c r="D34">
        <f>F$208-SUM(C34:C$205)</f>
        <v>968.04200000000037</v>
      </c>
    </row>
    <row r="35" spans="2:10" x14ac:dyDescent="0.25">
      <c r="B35" t="s">
        <v>914</v>
      </c>
      <c r="C35">
        <v>0.06</v>
      </c>
      <c r="D35">
        <f>F$208-SUM(C35:C$205)</f>
        <v>968.1220000000003</v>
      </c>
    </row>
    <row r="36" spans="2:10" x14ac:dyDescent="0.25">
      <c r="B36" s="402" t="s">
        <v>919</v>
      </c>
      <c r="C36" s="402">
        <v>50</v>
      </c>
      <c r="D36">
        <f>F$208-SUM(C36:C$205)</f>
        <v>968.18200000000024</v>
      </c>
    </row>
    <row r="37" spans="2:10" x14ac:dyDescent="0.25">
      <c r="B37" t="s">
        <v>914</v>
      </c>
      <c r="C37">
        <v>0.06</v>
      </c>
      <c r="D37">
        <f>F$208-SUM(C37:C$205)</f>
        <v>1018.1819999999998</v>
      </c>
    </row>
    <row r="38" spans="2:10" x14ac:dyDescent="0.25">
      <c r="B38" t="s">
        <v>918</v>
      </c>
      <c r="C38">
        <v>0.11</v>
      </c>
      <c r="D38">
        <f>F$208-SUM(C38:C$205)</f>
        <v>1018.2419999999997</v>
      </c>
    </row>
    <row r="39" spans="2:10" x14ac:dyDescent="0.25">
      <c r="B39" t="s">
        <v>914</v>
      </c>
      <c r="C39">
        <v>0.06</v>
      </c>
      <c r="D39">
        <f>F$208-SUM(C39:C$205)</f>
        <v>1018.3519999999999</v>
      </c>
    </row>
    <row r="40" spans="2:10" x14ac:dyDescent="0.25">
      <c r="B40" s="402" t="s">
        <v>919</v>
      </c>
      <c r="C40" s="402">
        <v>4</v>
      </c>
      <c r="D40">
        <f>F$208-SUM(C40:C$205)</f>
        <v>1018.4119999999998</v>
      </c>
    </row>
    <row r="41" spans="2:10" x14ac:dyDescent="0.25">
      <c r="B41" t="s">
        <v>921</v>
      </c>
      <c r="C41">
        <v>0.06</v>
      </c>
      <c r="D41">
        <f>F$208-SUM(C41:C$205)</f>
        <v>1022.4119999999998</v>
      </c>
    </row>
    <row r="42" spans="2:10" x14ac:dyDescent="0.25">
      <c r="B42" t="s">
        <v>922</v>
      </c>
      <c r="C42">
        <v>0.11</v>
      </c>
      <c r="D42">
        <f>F$208-SUM(C42:C$205)</f>
        <v>1022.4719999999998</v>
      </c>
    </row>
    <row r="43" spans="2:10" x14ac:dyDescent="0.25">
      <c r="B43" t="s">
        <v>923</v>
      </c>
      <c r="C43">
        <v>0.06</v>
      </c>
      <c r="D43">
        <f>F$208-SUM(C43:C$205)</f>
        <v>1022.5819999999999</v>
      </c>
    </row>
    <row r="44" spans="2:10" ht="14.5" x14ac:dyDescent="0.35">
      <c r="B44" s="403" t="s">
        <v>924</v>
      </c>
      <c r="C44">
        <v>1.6</v>
      </c>
      <c r="D44">
        <f>F$208-SUM(C44:C$205)</f>
        <v>1022.6419999999998</v>
      </c>
      <c r="E44" s="2">
        <f>G72-I72</f>
        <v>983.29</v>
      </c>
      <c r="F44" t="s">
        <v>925</v>
      </c>
      <c r="G44" s="2">
        <v>965.72</v>
      </c>
      <c r="H44" s="2"/>
      <c r="J44" s="2"/>
    </row>
    <row r="45" spans="2:10" x14ac:dyDescent="0.25">
      <c r="B45" t="s">
        <v>926</v>
      </c>
      <c r="C45">
        <v>0.04</v>
      </c>
      <c r="D45">
        <f>F$208-SUM(C45:C$205)</f>
        <v>1024.2419999999997</v>
      </c>
    </row>
    <row r="46" spans="2:10" x14ac:dyDescent="0.25">
      <c r="B46" t="s">
        <v>927</v>
      </c>
      <c r="C46">
        <v>0.6</v>
      </c>
      <c r="D46">
        <f>F$208-SUM(C46:C$205)</f>
        <v>1024.2819999999997</v>
      </c>
    </row>
    <row r="47" spans="2:10" x14ac:dyDescent="0.25">
      <c r="B47" t="s">
        <v>926</v>
      </c>
      <c r="C47">
        <v>0.04</v>
      </c>
      <c r="D47">
        <f>F$208-SUM(C47:C$205)</f>
        <v>1024.8819999999996</v>
      </c>
    </row>
    <row r="48" spans="2:10" x14ac:dyDescent="0.25">
      <c r="B48" t="s">
        <v>918</v>
      </c>
      <c r="C48">
        <v>0.11</v>
      </c>
      <c r="D48">
        <f>F$208-SUM(C48:C$205)</f>
        <v>1024.9219999999996</v>
      </c>
    </row>
    <row r="49" spans="2:4" x14ac:dyDescent="0.25">
      <c r="B49" t="s">
        <v>914</v>
      </c>
      <c r="C49">
        <v>0.06</v>
      </c>
      <c r="D49">
        <f>F$208-SUM(C49:C$205)</f>
        <v>1025.0319999999997</v>
      </c>
    </row>
    <row r="50" spans="2:4" x14ac:dyDescent="0.25">
      <c r="B50" t="s">
        <v>918</v>
      </c>
      <c r="C50">
        <v>0.11</v>
      </c>
      <c r="D50">
        <f>F$208-SUM(C50:C$205)</f>
        <v>1025.0919999999996</v>
      </c>
    </row>
    <row r="51" spans="2:4" x14ac:dyDescent="0.25">
      <c r="B51" t="s">
        <v>914</v>
      </c>
      <c r="C51">
        <v>0.06</v>
      </c>
      <c r="D51">
        <f>F$208-SUM(C51:C$205)</f>
        <v>1025.2019999999998</v>
      </c>
    </row>
    <row r="52" spans="2:4" x14ac:dyDescent="0.25">
      <c r="B52" s="402" t="s">
        <v>919</v>
      </c>
      <c r="C52" s="402">
        <v>150</v>
      </c>
      <c r="D52">
        <f>F$208-SUM(C52:C$205)</f>
        <v>1025.2619999999997</v>
      </c>
    </row>
    <row r="53" spans="2:4" x14ac:dyDescent="0.25">
      <c r="B53" t="s">
        <v>914</v>
      </c>
      <c r="C53">
        <v>0.06</v>
      </c>
      <c r="D53">
        <f>F$208-SUM(C53:C$205)</f>
        <v>1175.2619999999997</v>
      </c>
    </row>
    <row r="54" spans="2:4" x14ac:dyDescent="0.25">
      <c r="B54" t="s">
        <v>918</v>
      </c>
      <c r="C54">
        <v>0.11</v>
      </c>
      <c r="D54">
        <f>F$208-SUM(C54:C$205)</f>
        <v>1175.3220000000001</v>
      </c>
    </row>
    <row r="55" spans="2:4" x14ac:dyDescent="0.25">
      <c r="B55" t="s">
        <v>914</v>
      </c>
      <c r="C55">
        <v>0.06</v>
      </c>
      <c r="D55">
        <f>F$208-SUM(C55:C$205)</f>
        <v>1175.4319999999998</v>
      </c>
    </row>
    <row r="56" spans="2:4" x14ac:dyDescent="0.25">
      <c r="B56" t="s">
        <v>920</v>
      </c>
      <c r="C56">
        <v>1.9</v>
      </c>
      <c r="D56">
        <f>F$208-SUM(C56:C$205)</f>
        <v>1175.4919999999997</v>
      </c>
    </row>
    <row r="57" spans="2:4" x14ac:dyDescent="0.25">
      <c r="B57" t="s">
        <v>916</v>
      </c>
      <c r="C57">
        <v>0</v>
      </c>
      <c r="D57">
        <f>F$208-SUM(C57:C$205)</f>
        <v>1177.3919999999998</v>
      </c>
    </row>
    <row r="58" spans="2:4" x14ac:dyDescent="0.25">
      <c r="B58" t="s">
        <v>914</v>
      </c>
      <c r="C58">
        <v>0.06</v>
      </c>
      <c r="D58">
        <f>F$208-SUM(C58:C$205)</f>
        <v>1177.3919999999998</v>
      </c>
    </row>
    <row r="59" spans="2:4" x14ac:dyDescent="0.25">
      <c r="B59" t="s">
        <v>920</v>
      </c>
      <c r="C59">
        <v>1.9</v>
      </c>
      <c r="D59">
        <f>F$208-SUM(C59:C$205)</f>
        <v>1177.4519999999998</v>
      </c>
    </row>
    <row r="60" spans="2:4" x14ac:dyDescent="0.25">
      <c r="B60" t="s">
        <v>916</v>
      </c>
      <c r="C60">
        <v>0</v>
      </c>
      <c r="D60">
        <f>F$208-SUM(C60:C$205)</f>
        <v>1179.3519999999999</v>
      </c>
    </row>
    <row r="61" spans="2:4" x14ac:dyDescent="0.25">
      <c r="B61" t="s">
        <v>914</v>
      </c>
      <c r="C61">
        <v>0.06</v>
      </c>
      <c r="D61">
        <f>F$208-SUM(C61:C$205)</f>
        <v>1179.3519999999999</v>
      </c>
    </row>
    <row r="62" spans="2:4" x14ac:dyDescent="0.25">
      <c r="B62" t="s">
        <v>928</v>
      </c>
      <c r="C62">
        <v>0.05</v>
      </c>
      <c r="D62">
        <f>F$208-SUM(C62:C$205)</f>
        <v>1179.4119999999998</v>
      </c>
    </row>
    <row r="63" spans="2:4" x14ac:dyDescent="0.25">
      <c r="B63" t="s">
        <v>914</v>
      </c>
      <c r="C63">
        <v>0.06</v>
      </c>
      <c r="D63">
        <f>F$208-SUM(C63:C$205)</f>
        <v>1179.462</v>
      </c>
    </row>
    <row r="64" spans="2:4" x14ac:dyDescent="0.25">
      <c r="B64" t="s">
        <v>918</v>
      </c>
      <c r="C64">
        <v>0.08</v>
      </c>
      <c r="D64">
        <f>F$208-SUM(C64:C$205)</f>
        <v>1179.5219999999999</v>
      </c>
    </row>
    <row r="65" spans="2:11" x14ac:dyDescent="0.25">
      <c r="B65" t="s">
        <v>914</v>
      </c>
      <c r="C65">
        <v>0.06</v>
      </c>
      <c r="D65">
        <f>F$208-SUM(C65:C$205)</f>
        <v>1179.6019999999999</v>
      </c>
    </row>
    <row r="66" spans="2:11" x14ac:dyDescent="0.25">
      <c r="B66" s="402" t="s">
        <v>919</v>
      </c>
      <c r="C66" s="402">
        <v>50</v>
      </c>
      <c r="D66">
        <f>F$208-SUM(C66:C$205)</f>
        <v>1179.6619999999998</v>
      </c>
    </row>
    <row r="67" spans="2:11" x14ac:dyDescent="0.25">
      <c r="B67" t="s">
        <v>914</v>
      </c>
      <c r="C67">
        <v>0.06</v>
      </c>
      <c r="D67">
        <f>F$208-SUM(C67:C$205)</f>
        <v>1229.6619999999998</v>
      </c>
    </row>
    <row r="68" spans="2:11" x14ac:dyDescent="0.25">
      <c r="B68" t="s">
        <v>918</v>
      </c>
      <c r="C68">
        <v>0.11</v>
      </c>
      <c r="D68">
        <f>F$208-SUM(C68:C$205)</f>
        <v>1229.7219999999998</v>
      </c>
    </row>
    <row r="69" spans="2:11" x14ac:dyDescent="0.25">
      <c r="B69" t="s">
        <v>914</v>
      </c>
      <c r="C69">
        <v>0.06</v>
      </c>
      <c r="D69">
        <f>F$208-SUM(C69:C$205)</f>
        <v>1229.8319999999999</v>
      </c>
    </row>
    <row r="70" spans="2:11" x14ac:dyDescent="0.25">
      <c r="B70" t="s">
        <v>920</v>
      </c>
      <c r="C70">
        <v>0.3</v>
      </c>
      <c r="D70">
        <f>F$208-SUM(C70:C$205)</f>
        <v>1229.8919999999998</v>
      </c>
    </row>
    <row r="71" spans="2:11" x14ac:dyDescent="0.25">
      <c r="B71" t="s">
        <v>914</v>
      </c>
      <c r="C71">
        <v>0.06</v>
      </c>
      <c r="D71">
        <f>F$208-SUM(C71:C$205)</f>
        <v>1230.192</v>
      </c>
    </row>
    <row r="72" spans="2:11" x14ac:dyDescent="0.25">
      <c r="B72" s="404" t="s">
        <v>929</v>
      </c>
      <c r="C72">
        <v>0.8</v>
      </c>
      <c r="D72">
        <f>F$208-SUM(C72:C$205)</f>
        <v>1230.252</v>
      </c>
      <c r="F72" t="s">
        <v>930</v>
      </c>
      <c r="G72" s="2">
        <v>1190.9000000000001</v>
      </c>
      <c r="H72" s="2">
        <f>G72-G44</f>
        <v>225.18000000000006</v>
      </c>
      <c r="I72">
        <f>SUM(C44:C71)</f>
        <v>207.6100000000001</v>
      </c>
      <c r="J72" s="2">
        <f>G72-D72</f>
        <v>-39.351999999999862</v>
      </c>
      <c r="K72" s="2">
        <f>H72-I72</f>
        <v>17.569999999999965</v>
      </c>
    </row>
    <row r="73" spans="2:11" x14ac:dyDescent="0.25">
      <c r="B73" t="s">
        <v>914</v>
      </c>
      <c r="C73">
        <v>0.06</v>
      </c>
      <c r="D73">
        <f>F$208-SUM(C73:C$205)</f>
        <v>1231.0519999999997</v>
      </c>
    </row>
    <row r="74" spans="2:11" x14ac:dyDescent="0.25">
      <c r="B74" t="s">
        <v>920</v>
      </c>
      <c r="C74">
        <v>0.3</v>
      </c>
      <c r="D74">
        <f>F$208-SUM(C74:C$205)</f>
        <v>1231.1120000000001</v>
      </c>
    </row>
    <row r="75" spans="2:11" x14ac:dyDescent="0.25">
      <c r="B75" t="s">
        <v>914</v>
      </c>
      <c r="C75">
        <v>0.06</v>
      </c>
      <c r="D75">
        <f>F$208-SUM(C75:C$205)</f>
        <v>1231.4119999999998</v>
      </c>
    </row>
    <row r="76" spans="2:11" x14ac:dyDescent="0.25">
      <c r="B76" t="s">
        <v>918</v>
      </c>
      <c r="C76">
        <v>0.11</v>
      </c>
      <c r="D76">
        <f>F$208-SUM(C76:C$205)</f>
        <v>1231.4719999999998</v>
      </c>
    </row>
    <row r="77" spans="2:11" x14ac:dyDescent="0.25">
      <c r="B77" t="s">
        <v>914</v>
      </c>
      <c r="C77">
        <v>0.06</v>
      </c>
      <c r="D77">
        <f>F$208-SUM(C77:C$205)</f>
        <v>1231.5819999999999</v>
      </c>
    </row>
    <row r="78" spans="2:11" x14ac:dyDescent="0.25">
      <c r="B78" s="402" t="s">
        <v>919</v>
      </c>
      <c r="C78" s="402">
        <v>200</v>
      </c>
      <c r="D78">
        <f>F$208-SUM(C78:C$205)</f>
        <v>1231.6419999999998</v>
      </c>
    </row>
    <row r="79" spans="2:11" x14ac:dyDescent="0.25">
      <c r="B79" t="s">
        <v>914</v>
      </c>
      <c r="C79">
        <v>0.06</v>
      </c>
      <c r="D79">
        <f>F$208-SUM(C79:C$205)</f>
        <v>1431.6419999999998</v>
      </c>
    </row>
    <row r="80" spans="2:11" x14ac:dyDescent="0.25">
      <c r="B80" t="s">
        <v>918</v>
      </c>
      <c r="C80">
        <v>0.11</v>
      </c>
      <c r="D80">
        <f>F$208-SUM(C80:C$205)</f>
        <v>1431.7019999999998</v>
      </c>
    </row>
    <row r="81" spans="2:4" x14ac:dyDescent="0.25">
      <c r="B81" t="s">
        <v>914</v>
      </c>
      <c r="C81">
        <v>0.06</v>
      </c>
      <c r="D81">
        <f>F$208-SUM(C81:C$205)</f>
        <v>1431.8119999999999</v>
      </c>
    </row>
    <row r="82" spans="2:4" x14ac:dyDescent="0.25">
      <c r="B82" t="s">
        <v>920</v>
      </c>
      <c r="C82">
        <v>3.8</v>
      </c>
      <c r="D82">
        <f>F$208-SUM(C82:C$205)</f>
        <v>1431.8719999999998</v>
      </c>
    </row>
    <row r="83" spans="2:4" x14ac:dyDescent="0.25">
      <c r="B83" t="s">
        <v>916</v>
      </c>
      <c r="C83">
        <v>0</v>
      </c>
      <c r="D83">
        <f>F$208-SUM(C83:C$205)</f>
        <v>1435.672</v>
      </c>
    </row>
    <row r="84" spans="2:4" x14ac:dyDescent="0.25">
      <c r="B84" t="s">
        <v>914</v>
      </c>
      <c r="C84">
        <v>0.06</v>
      </c>
      <c r="D84">
        <f>F$208-SUM(C84:C$205)</f>
        <v>1435.672</v>
      </c>
    </row>
    <row r="85" spans="2:4" x14ac:dyDescent="0.25">
      <c r="B85" t="s">
        <v>918</v>
      </c>
      <c r="C85">
        <v>0.11</v>
      </c>
      <c r="D85">
        <f>F$208-SUM(C85:C$205)</f>
        <v>1435.732</v>
      </c>
    </row>
    <row r="86" spans="2:4" x14ac:dyDescent="0.25">
      <c r="B86" t="s">
        <v>914</v>
      </c>
      <c r="C86">
        <v>0.06</v>
      </c>
      <c r="D86">
        <f>F$208-SUM(C86:C$205)</f>
        <v>1435.8420000000001</v>
      </c>
    </row>
    <row r="87" spans="2:4" x14ac:dyDescent="0.25">
      <c r="B87" t="s">
        <v>931</v>
      </c>
      <c r="C87">
        <v>0.06</v>
      </c>
      <c r="D87">
        <f>F$208-SUM(C87:C$205)</f>
        <v>1435.902</v>
      </c>
    </row>
    <row r="88" spans="2:4" x14ac:dyDescent="0.25">
      <c r="B88" s="405" t="s">
        <v>932</v>
      </c>
      <c r="C88" s="405">
        <f>1.02*520</f>
        <v>530.4</v>
      </c>
      <c r="D88">
        <f>F$208-SUM(C88:C$205)</f>
        <v>1435.962</v>
      </c>
    </row>
    <row r="89" spans="2:4" x14ac:dyDescent="0.25">
      <c r="B89" t="s">
        <v>931</v>
      </c>
      <c r="C89">
        <v>0.06</v>
      </c>
      <c r="D89">
        <f>F$208-SUM(C89:C$205)</f>
        <v>1966.362000000001</v>
      </c>
    </row>
    <row r="90" spans="2:4" x14ac:dyDescent="0.25">
      <c r="B90" t="s">
        <v>914</v>
      </c>
      <c r="C90">
        <v>0.06</v>
      </c>
      <c r="D90">
        <f>F$208-SUM(C90:C$205)</f>
        <v>1966.4220000000009</v>
      </c>
    </row>
    <row r="91" spans="2:4" x14ac:dyDescent="0.25">
      <c r="B91" t="s">
        <v>918</v>
      </c>
      <c r="C91">
        <v>0.11</v>
      </c>
      <c r="D91">
        <f>F$208-SUM(C91:C$205)</f>
        <v>1966.4820000000009</v>
      </c>
    </row>
    <row r="92" spans="2:4" x14ac:dyDescent="0.25">
      <c r="B92" t="s">
        <v>914</v>
      </c>
      <c r="C92">
        <v>0.06</v>
      </c>
      <c r="D92">
        <f>F$208-SUM(C92:C$205)</f>
        <v>1966.592000000001</v>
      </c>
    </row>
    <row r="93" spans="2:4" x14ac:dyDescent="0.25">
      <c r="B93" t="s">
        <v>920</v>
      </c>
      <c r="C93">
        <v>3.8</v>
      </c>
      <c r="D93">
        <f>F$208-SUM(C93:C$205)</f>
        <v>1966.652000000001</v>
      </c>
    </row>
    <row r="94" spans="2:4" x14ac:dyDescent="0.25">
      <c r="B94" t="s">
        <v>916</v>
      </c>
      <c r="C94">
        <v>0</v>
      </c>
      <c r="D94">
        <f>F$208-SUM(C94:C$205)</f>
        <v>1970.4520000000011</v>
      </c>
    </row>
    <row r="95" spans="2:4" x14ac:dyDescent="0.25">
      <c r="B95" t="s">
        <v>914</v>
      </c>
      <c r="C95">
        <v>0.06</v>
      </c>
      <c r="D95">
        <f>F$208-SUM(C95:C$205)</f>
        <v>1970.4520000000011</v>
      </c>
    </row>
    <row r="96" spans="2:4" x14ac:dyDescent="0.25">
      <c r="B96" t="s">
        <v>918</v>
      </c>
      <c r="C96">
        <v>0.11</v>
      </c>
      <c r="D96">
        <f>F$208-SUM(C96:C$205)</f>
        <v>1970.5120000000011</v>
      </c>
    </row>
    <row r="97" spans="2:5" x14ac:dyDescent="0.25">
      <c r="B97" t="s">
        <v>914</v>
      </c>
      <c r="C97">
        <v>0.06</v>
      </c>
      <c r="D97">
        <f>F$208-SUM(C97:C$205)</f>
        <v>1970.6220000000012</v>
      </c>
    </row>
    <row r="98" spans="2:5" x14ac:dyDescent="0.25">
      <c r="B98" s="402" t="s">
        <v>919</v>
      </c>
      <c r="C98" s="402">
        <v>50</v>
      </c>
      <c r="D98">
        <f>F$208-SUM(C98:C$205)</f>
        <v>1970.6820000000012</v>
      </c>
    </row>
    <row r="99" spans="2:5" x14ac:dyDescent="0.25">
      <c r="B99" t="s">
        <v>914</v>
      </c>
      <c r="C99">
        <v>0.06</v>
      </c>
      <c r="D99">
        <f>F$208-SUM(C99:C$205)</f>
        <v>2020.6820000000012</v>
      </c>
    </row>
    <row r="100" spans="2:5" x14ac:dyDescent="0.25">
      <c r="B100" t="s">
        <v>918</v>
      </c>
      <c r="C100">
        <v>0.11</v>
      </c>
      <c r="D100">
        <f>F$208-SUM(C100:C$205)</f>
        <v>2020.7420000000011</v>
      </c>
    </row>
    <row r="101" spans="2:5" x14ac:dyDescent="0.25">
      <c r="B101" t="s">
        <v>914</v>
      </c>
      <c r="C101">
        <v>0.06</v>
      </c>
      <c r="D101">
        <f>F$208-SUM(C101:C$205)</f>
        <v>2020.8520000000008</v>
      </c>
    </row>
    <row r="102" spans="2:5" x14ac:dyDescent="0.25">
      <c r="B102" s="402" t="s">
        <v>919</v>
      </c>
      <c r="C102" s="402">
        <v>4</v>
      </c>
      <c r="D102">
        <f>F$208-SUM(C102:C$205)</f>
        <v>2020.9120000000012</v>
      </c>
    </row>
    <row r="103" spans="2:5" x14ac:dyDescent="0.25">
      <c r="B103" t="s">
        <v>921</v>
      </c>
      <c r="C103">
        <v>0.06</v>
      </c>
      <c r="D103">
        <f>F$208-SUM(C103:C$205)</f>
        <v>2024.9120000000012</v>
      </c>
    </row>
    <row r="104" spans="2:5" x14ac:dyDescent="0.25">
      <c r="B104" t="s">
        <v>922</v>
      </c>
      <c r="C104">
        <v>0.11</v>
      </c>
      <c r="D104">
        <f>F$208-SUM(C104:C$205)</f>
        <v>2024.9720000000011</v>
      </c>
    </row>
    <row r="105" spans="2:5" x14ac:dyDescent="0.25">
      <c r="B105" t="s">
        <v>923</v>
      </c>
      <c r="C105">
        <v>0.06</v>
      </c>
      <c r="D105">
        <f>F$208-SUM(C105:C$205)</f>
        <v>2025.0820000000012</v>
      </c>
    </row>
    <row r="106" spans="2:5" x14ac:dyDescent="0.25">
      <c r="B106" s="360" t="s">
        <v>924</v>
      </c>
      <c r="C106">
        <v>1.6</v>
      </c>
      <c r="D106">
        <f>F$208-SUM(C106:C$205)</f>
        <v>2025.1420000000012</v>
      </c>
      <c r="E106" s="2">
        <f>G146+(D106-D146)</f>
        <v>2010.7100000000019</v>
      </c>
    </row>
    <row r="107" spans="2:5" x14ac:dyDescent="0.25">
      <c r="B107" t="s">
        <v>926</v>
      </c>
      <c r="C107">
        <v>0.04</v>
      </c>
      <c r="D107">
        <f>F$208-SUM(C107:C$205)</f>
        <v>2026.7420000000011</v>
      </c>
    </row>
    <row r="108" spans="2:5" x14ac:dyDescent="0.25">
      <c r="B108" t="s">
        <v>927</v>
      </c>
      <c r="C108">
        <v>0.6</v>
      </c>
      <c r="D108">
        <f>F$208-SUM(C108:C$205)</f>
        <v>2026.7820000000011</v>
      </c>
    </row>
    <row r="109" spans="2:5" x14ac:dyDescent="0.25">
      <c r="B109" t="s">
        <v>926</v>
      </c>
      <c r="C109">
        <v>0.04</v>
      </c>
      <c r="D109">
        <f>F$208-SUM(C109:C$205)</f>
        <v>2027.382000000001</v>
      </c>
    </row>
    <row r="110" spans="2:5" x14ac:dyDescent="0.25">
      <c r="B110" t="s">
        <v>918</v>
      </c>
      <c r="C110">
        <v>0.11</v>
      </c>
      <c r="D110">
        <f>F$208-SUM(C110:C$205)</f>
        <v>2027.4220000000009</v>
      </c>
    </row>
    <row r="111" spans="2:5" x14ac:dyDescent="0.25">
      <c r="B111" t="s">
        <v>914</v>
      </c>
      <c r="C111">
        <v>0.06</v>
      </c>
      <c r="D111">
        <f>F$208-SUM(C111:C$205)</f>
        <v>2027.5320000000011</v>
      </c>
    </row>
    <row r="112" spans="2:5" x14ac:dyDescent="0.25">
      <c r="B112" t="s">
        <v>918</v>
      </c>
      <c r="C112">
        <v>0.11</v>
      </c>
      <c r="D112">
        <f>F$208-SUM(C112:C$205)</f>
        <v>2027.592000000001</v>
      </c>
    </row>
    <row r="113" spans="2:4" x14ac:dyDescent="0.25">
      <c r="B113" t="s">
        <v>914</v>
      </c>
      <c r="C113">
        <v>0.06</v>
      </c>
      <c r="D113">
        <f>F$208-SUM(C113:C$205)</f>
        <v>2027.7020000000011</v>
      </c>
    </row>
    <row r="114" spans="2:4" x14ac:dyDescent="0.25">
      <c r="B114" t="s">
        <v>931</v>
      </c>
      <c r="C114">
        <v>0.06</v>
      </c>
      <c r="D114">
        <f>F$208-SUM(C114:C$205)</f>
        <v>2027.7620000000011</v>
      </c>
    </row>
    <row r="115" spans="2:4" x14ac:dyDescent="0.25">
      <c r="B115" s="405" t="s">
        <v>932</v>
      </c>
      <c r="C115" s="405">
        <f>1.02*900</f>
        <v>918</v>
      </c>
      <c r="D115">
        <f>F$208-SUM(C115:C$205)</f>
        <v>2027.822000000001</v>
      </c>
    </row>
    <row r="116" spans="2:4" x14ac:dyDescent="0.25">
      <c r="B116" t="s">
        <v>931</v>
      </c>
      <c r="C116">
        <v>0.06</v>
      </c>
      <c r="D116">
        <f>F$208-SUM(C116:C$205)</f>
        <v>2945.8220000000001</v>
      </c>
    </row>
    <row r="117" spans="2:4" x14ac:dyDescent="0.25">
      <c r="B117" t="s">
        <v>914</v>
      </c>
      <c r="C117">
        <v>0.06</v>
      </c>
      <c r="D117">
        <f>F$208-SUM(C117:C$205)</f>
        <v>2945.8820000000001</v>
      </c>
    </row>
    <row r="118" spans="2:4" x14ac:dyDescent="0.25">
      <c r="B118" t="s">
        <v>918</v>
      </c>
      <c r="C118">
        <v>0.11</v>
      </c>
      <c r="D118">
        <f>F$208-SUM(C118:C$205)</f>
        <v>2945.942</v>
      </c>
    </row>
    <row r="119" spans="2:4" x14ac:dyDescent="0.25">
      <c r="B119" t="s">
        <v>914</v>
      </c>
      <c r="C119">
        <v>0.06</v>
      </c>
      <c r="D119">
        <f>F$208-SUM(C119:C$205)</f>
        <v>2946.0519999999997</v>
      </c>
    </row>
    <row r="120" spans="2:4" x14ac:dyDescent="0.25">
      <c r="B120" t="s">
        <v>920</v>
      </c>
      <c r="C120">
        <v>1.9</v>
      </c>
      <c r="D120">
        <f>F$208-SUM(C120:C$205)</f>
        <v>2946.1120000000001</v>
      </c>
    </row>
    <row r="121" spans="2:4" x14ac:dyDescent="0.25">
      <c r="B121" t="s">
        <v>916</v>
      </c>
      <c r="C121">
        <v>0</v>
      </c>
      <c r="D121">
        <f>F$208-SUM(C121:C$205)</f>
        <v>2948.0119999999997</v>
      </c>
    </row>
    <row r="122" spans="2:4" x14ac:dyDescent="0.25">
      <c r="B122" t="s">
        <v>914</v>
      </c>
      <c r="C122">
        <v>0.06</v>
      </c>
      <c r="D122">
        <f>F$208-SUM(C122:C$205)</f>
        <v>2948.0119999999997</v>
      </c>
    </row>
    <row r="123" spans="2:4" x14ac:dyDescent="0.25">
      <c r="B123" t="s">
        <v>918</v>
      </c>
      <c r="C123">
        <v>0.11</v>
      </c>
      <c r="D123">
        <f>F$208-SUM(C123:C$205)</f>
        <v>2948.0720000000001</v>
      </c>
    </row>
    <row r="124" spans="2:4" x14ac:dyDescent="0.25">
      <c r="B124" t="s">
        <v>914</v>
      </c>
      <c r="C124">
        <v>0.06</v>
      </c>
      <c r="D124">
        <f>F$208-SUM(C124:C$205)</f>
        <v>2948.1819999999998</v>
      </c>
    </row>
    <row r="125" spans="2:4" x14ac:dyDescent="0.25">
      <c r="B125" t="s">
        <v>931</v>
      </c>
      <c r="C125">
        <v>0.06</v>
      </c>
      <c r="D125">
        <f>F$208-SUM(C125:C$205)</f>
        <v>2948.2420000000002</v>
      </c>
    </row>
    <row r="126" spans="2:4" x14ac:dyDescent="0.25">
      <c r="B126" s="405" t="s">
        <v>932</v>
      </c>
      <c r="C126" s="405">
        <f>1.02*842</f>
        <v>858.84</v>
      </c>
      <c r="D126">
        <f>F$208-SUM(C126:C$205)</f>
        <v>2948.3019999999997</v>
      </c>
    </row>
    <row r="127" spans="2:4" x14ac:dyDescent="0.25">
      <c r="B127" t="s">
        <v>931</v>
      </c>
      <c r="C127">
        <v>0.06</v>
      </c>
      <c r="D127">
        <f>F$208-SUM(C127:C$205)</f>
        <v>3807.1419999999989</v>
      </c>
    </row>
    <row r="128" spans="2:4" x14ac:dyDescent="0.25">
      <c r="B128" t="s">
        <v>914</v>
      </c>
      <c r="C128">
        <v>0.06</v>
      </c>
      <c r="D128">
        <f>F$208-SUM(C128:C$205)</f>
        <v>3807.2019999999993</v>
      </c>
    </row>
    <row r="129" spans="2:4" x14ac:dyDescent="0.25">
      <c r="B129" t="s">
        <v>918</v>
      </c>
      <c r="C129">
        <v>0.11</v>
      </c>
      <c r="D129">
        <f>F$208-SUM(C129:C$205)</f>
        <v>3807.2619999999993</v>
      </c>
    </row>
    <row r="130" spans="2:4" x14ac:dyDescent="0.25">
      <c r="B130" t="s">
        <v>914</v>
      </c>
      <c r="C130">
        <v>0.06</v>
      </c>
      <c r="D130">
        <f>F$208-SUM(C130:C$205)</f>
        <v>3807.3719999999994</v>
      </c>
    </row>
    <row r="131" spans="2:4" x14ac:dyDescent="0.25">
      <c r="B131" t="s">
        <v>920</v>
      </c>
      <c r="C131">
        <v>3.8</v>
      </c>
      <c r="D131">
        <f>F$208-SUM(C131:C$205)</f>
        <v>3807.4319999999993</v>
      </c>
    </row>
    <row r="132" spans="2:4" x14ac:dyDescent="0.25">
      <c r="B132" t="s">
        <v>916</v>
      </c>
      <c r="C132">
        <v>0</v>
      </c>
      <c r="D132">
        <f>F$208-SUM(C132:C$205)</f>
        <v>3811.2319999999991</v>
      </c>
    </row>
    <row r="133" spans="2:4" x14ac:dyDescent="0.25">
      <c r="B133" t="s">
        <v>914</v>
      </c>
      <c r="C133">
        <v>0.06</v>
      </c>
      <c r="D133">
        <f>F$208-SUM(C133:C$205)</f>
        <v>3811.2319999999991</v>
      </c>
    </row>
    <row r="134" spans="2:4" x14ac:dyDescent="0.25">
      <c r="B134" t="s">
        <v>928</v>
      </c>
      <c r="C134">
        <v>0.05</v>
      </c>
      <c r="D134">
        <f>F$208-SUM(C134:C$205)</f>
        <v>3811.291999999999</v>
      </c>
    </row>
    <row r="135" spans="2:4" x14ac:dyDescent="0.25">
      <c r="B135" t="s">
        <v>914</v>
      </c>
      <c r="C135">
        <v>0.06</v>
      </c>
      <c r="D135">
        <f>F$208-SUM(C135:C$205)</f>
        <v>3811.3419999999992</v>
      </c>
    </row>
    <row r="136" spans="2:4" x14ac:dyDescent="0.25">
      <c r="B136" t="s">
        <v>918</v>
      </c>
      <c r="C136">
        <v>0.11</v>
      </c>
      <c r="D136">
        <f>F$208-SUM(C136:C$205)</f>
        <v>3811.4019999999991</v>
      </c>
    </row>
    <row r="137" spans="2:4" x14ac:dyDescent="0.25">
      <c r="B137" t="s">
        <v>914</v>
      </c>
      <c r="C137">
        <v>0.06</v>
      </c>
      <c r="D137">
        <f>F$208-SUM(C137:C$205)</f>
        <v>3811.5119999999993</v>
      </c>
    </row>
    <row r="138" spans="2:4" x14ac:dyDescent="0.25">
      <c r="B138" s="402" t="s">
        <v>919</v>
      </c>
      <c r="C138" s="402">
        <v>50</v>
      </c>
      <c r="D138">
        <f>F$208-SUM(C138:C$205)</f>
        <v>3811.5719999999992</v>
      </c>
    </row>
    <row r="139" spans="2:4" x14ac:dyDescent="0.25">
      <c r="B139" t="s">
        <v>914</v>
      </c>
      <c r="C139">
        <v>0.06</v>
      </c>
      <c r="D139">
        <f>F$208-SUM(C139:C$205)</f>
        <v>3861.5719999999992</v>
      </c>
    </row>
    <row r="140" spans="2:4" x14ac:dyDescent="0.25">
      <c r="B140" t="s">
        <v>918</v>
      </c>
      <c r="C140">
        <v>0.11</v>
      </c>
      <c r="D140">
        <f>F$208-SUM(C140:C$205)</f>
        <v>3861.6319999999992</v>
      </c>
    </row>
    <row r="141" spans="2:4" x14ac:dyDescent="0.25">
      <c r="B141" t="s">
        <v>914</v>
      </c>
      <c r="C141">
        <v>0.06</v>
      </c>
      <c r="D141">
        <f>F$208-SUM(C141:C$205)</f>
        <v>3861.7419999999993</v>
      </c>
    </row>
    <row r="142" spans="2:4" x14ac:dyDescent="0.25">
      <c r="B142" s="402" t="s">
        <v>919</v>
      </c>
      <c r="C142" s="402">
        <v>4</v>
      </c>
      <c r="D142">
        <f>F$208-SUM(C142:C$205)</f>
        <v>3861.8019999999992</v>
      </c>
    </row>
    <row r="143" spans="2:4" x14ac:dyDescent="0.25">
      <c r="B143" t="s">
        <v>921</v>
      </c>
      <c r="C143">
        <v>0.06</v>
      </c>
      <c r="D143">
        <f>F$208-SUM(C143:C$205)</f>
        <v>3865.8019999999992</v>
      </c>
    </row>
    <row r="144" spans="2:4" x14ac:dyDescent="0.25">
      <c r="B144" t="s">
        <v>922</v>
      </c>
      <c r="C144">
        <v>0.11</v>
      </c>
      <c r="D144">
        <f>F$208-SUM(C144:C$205)</f>
        <v>3865.8619999999992</v>
      </c>
    </row>
    <row r="145" spans="2:11" x14ac:dyDescent="0.25">
      <c r="B145" t="s">
        <v>923</v>
      </c>
      <c r="C145">
        <v>0.06</v>
      </c>
      <c r="D145">
        <f>F$208-SUM(C145:C$205)</f>
        <v>3865.9719999999993</v>
      </c>
    </row>
    <row r="146" spans="2:11" x14ac:dyDescent="0.25">
      <c r="B146" s="360" t="s">
        <v>924</v>
      </c>
      <c r="C146">
        <v>1.6</v>
      </c>
      <c r="D146">
        <f>F$208-SUM(C146:C$205)</f>
        <v>3866.0319999999992</v>
      </c>
      <c r="E146" s="2">
        <f>G146</f>
        <v>3851.6</v>
      </c>
      <c r="F146" t="s">
        <v>933</v>
      </c>
      <c r="G146" s="2">
        <v>3851.6</v>
      </c>
      <c r="H146" s="2">
        <f>G146-G72</f>
        <v>2660.7</v>
      </c>
      <c r="I146">
        <f>SUM(C72:C145)</f>
        <v>2635.7799999999993</v>
      </c>
      <c r="J146" s="2">
        <f>G146-D146</f>
        <v>-14.431999999999334</v>
      </c>
      <c r="K146" s="2">
        <f>H146-I146</f>
        <v>24.920000000000528</v>
      </c>
    </row>
    <row r="147" spans="2:11" x14ac:dyDescent="0.25">
      <c r="B147" t="s">
        <v>926</v>
      </c>
      <c r="C147">
        <v>0.04</v>
      </c>
      <c r="D147">
        <f>F$208-SUM(C147:C$205)</f>
        <v>3867.6319999999992</v>
      </c>
    </row>
    <row r="148" spans="2:11" x14ac:dyDescent="0.25">
      <c r="B148" t="s">
        <v>927</v>
      </c>
      <c r="C148">
        <v>0.6</v>
      </c>
      <c r="D148">
        <f>F$208-SUM(C148:C$205)</f>
        <v>3867.6719999999991</v>
      </c>
    </row>
    <row r="149" spans="2:11" x14ac:dyDescent="0.25">
      <c r="B149" t="s">
        <v>926</v>
      </c>
      <c r="C149">
        <v>0.04</v>
      </c>
      <c r="D149">
        <f>F$208-SUM(C149:C$205)</f>
        <v>3868.271999999999</v>
      </c>
    </row>
    <row r="150" spans="2:11" x14ac:dyDescent="0.25">
      <c r="B150" t="s">
        <v>918</v>
      </c>
      <c r="C150">
        <v>0.11</v>
      </c>
      <c r="D150">
        <f>F$208-SUM(C150:C$205)</f>
        <v>3868.311999999999</v>
      </c>
    </row>
    <row r="151" spans="2:11" x14ac:dyDescent="0.25">
      <c r="B151" t="s">
        <v>914</v>
      </c>
      <c r="C151">
        <v>0.06</v>
      </c>
      <c r="D151">
        <f>F$208-SUM(C151:C$205)</f>
        <v>3868.4219999999991</v>
      </c>
    </row>
    <row r="152" spans="2:11" x14ac:dyDescent="0.25">
      <c r="B152" t="s">
        <v>918</v>
      </c>
      <c r="C152">
        <v>0.11</v>
      </c>
      <c r="D152">
        <f>F$208-SUM(C152:C$205)</f>
        <v>3868.4819999999991</v>
      </c>
    </row>
    <row r="153" spans="2:11" x14ac:dyDescent="0.25">
      <c r="B153" t="s">
        <v>914</v>
      </c>
      <c r="C153">
        <v>0.06</v>
      </c>
      <c r="D153">
        <f>F$208-SUM(C153:C$205)</f>
        <v>3868.5919999999992</v>
      </c>
    </row>
    <row r="154" spans="2:11" x14ac:dyDescent="0.25">
      <c r="B154" t="s">
        <v>931</v>
      </c>
      <c r="C154">
        <v>0.06</v>
      </c>
      <c r="D154">
        <f>F$208-SUM(C154:C$205)</f>
        <v>3868.6519999999991</v>
      </c>
    </row>
    <row r="155" spans="2:11" x14ac:dyDescent="0.25">
      <c r="B155" s="405" t="s">
        <v>932</v>
      </c>
      <c r="C155" s="405">
        <f>1.02*697</f>
        <v>710.94</v>
      </c>
      <c r="D155">
        <f>F$208-SUM(C155:C$205)</f>
        <v>3868.7119999999991</v>
      </c>
    </row>
    <row r="156" spans="2:11" x14ac:dyDescent="0.25">
      <c r="B156" t="s">
        <v>931</v>
      </c>
      <c r="C156">
        <v>0.06</v>
      </c>
      <c r="D156">
        <f>F$208-SUM(C156:C$205)</f>
        <v>4579.652</v>
      </c>
    </row>
    <row r="157" spans="2:11" x14ac:dyDescent="0.25">
      <c r="B157" t="s">
        <v>914</v>
      </c>
      <c r="C157">
        <v>0.06</v>
      </c>
      <c r="D157">
        <f>F$208-SUM(C157:C$205)</f>
        <v>4579.7119999999995</v>
      </c>
    </row>
    <row r="158" spans="2:11" x14ac:dyDescent="0.25">
      <c r="B158" t="s">
        <v>918</v>
      </c>
      <c r="C158">
        <v>0.11</v>
      </c>
      <c r="D158">
        <f>F$208-SUM(C158:C$205)</f>
        <v>4579.7719999999999</v>
      </c>
    </row>
    <row r="159" spans="2:11" x14ac:dyDescent="0.25">
      <c r="B159" t="s">
        <v>914</v>
      </c>
      <c r="C159">
        <v>0.06</v>
      </c>
      <c r="D159">
        <f>F$208-SUM(C159:C$205)</f>
        <v>4579.8819999999996</v>
      </c>
    </row>
    <row r="160" spans="2:11" x14ac:dyDescent="0.25">
      <c r="B160" t="s">
        <v>928</v>
      </c>
      <c r="C160">
        <v>0.05</v>
      </c>
      <c r="D160">
        <f>F$208-SUM(C160:C$205)</f>
        <v>4579.942</v>
      </c>
    </row>
    <row r="161" spans="2:11" x14ac:dyDescent="0.25">
      <c r="B161" t="s">
        <v>914</v>
      </c>
      <c r="C161">
        <v>0.06</v>
      </c>
      <c r="D161">
        <f>F$208-SUM(C161:C$205)</f>
        <v>4579.9919999999993</v>
      </c>
    </row>
    <row r="162" spans="2:11" x14ac:dyDescent="0.25">
      <c r="B162" t="s">
        <v>934</v>
      </c>
      <c r="C162">
        <v>0.11</v>
      </c>
      <c r="D162">
        <f>F$208-SUM(C162:C$205)</f>
        <v>4580.0519999999997</v>
      </c>
    </row>
    <row r="163" spans="2:11" x14ac:dyDescent="0.25">
      <c r="B163" t="s">
        <v>935</v>
      </c>
      <c r="C163">
        <v>0.06</v>
      </c>
      <c r="D163">
        <f>F$208-SUM(C163:C$205)</f>
        <v>4580.1619999999994</v>
      </c>
    </row>
    <row r="164" spans="2:11" x14ac:dyDescent="0.25">
      <c r="B164" s="402" t="s">
        <v>936</v>
      </c>
      <c r="C164" s="402">
        <v>50</v>
      </c>
      <c r="D164">
        <f>F$208-SUM(C164:C$205)</f>
        <v>4580.2219999999998</v>
      </c>
      <c r="F164" t="s">
        <v>937</v>
      </c>
      <c r="G164" s="2">
        <v>4580.5</v>
      </c>
      <c r="H164" s="2">
        <f>G164-G146</f>
        <v>728.90000000000009</v>
      </c>
      <c r="I164">
        <f>SUM(C146:C163)</f>
        <v>714.18999999999971</v>
      </c>
      <c r="J164" s="2">
        <f>G164-D164</f>
        <v>0.27800000000024738</v>
      </c>
      <c r="K164" s="2">
        <f>H164-I164</f>
        <v>14.710000000000377</v>
      </c>
    </row>
    <row r="165" spans="2:11" x14ac:dyDescent="0.25">
      <c r="B165" t="s">
        <v>938</v>
      </c>
      <c r="D165">
        <f>F$208-SUM(C165:C$205)</f>
        <v>4630.2219999999998</v>
      </c>
    </row>
    <row r="166" spans="2:11" x14ac:dyDescent="0.25">
      <c r="B166" t="s">
        <v>938</v>
      </c>
      <c r="D166">
        <f>F$208-SUM(C166:C$205)</f>
        <v>4630.2219999999998</v>
      </c>
    </row>
    <row r="167" spans="2:11" x14ac:dyDescent="0.25">
      <c r="B167" t="s">
        <v>938</v>
      </c>
      <c r="D167">
        <f>F$208-SUM(C167:C$205)</f>
        <v>4630.2219999999998</v>
      </c>
    </row>
    <row r="168" spans="2:11" x14ac:dyDescent="0.25">
      <c r="B168" t="s">
        <v>935</v>
      </c>
      <c r="C168">
        <v>0.06</v>
      </c>
      <c r="D168">
        <f>F$208-SUM(C168:C$205)</f>
        <v>4630.2219999999998</v>
      </c>
    </row>
    <row r="169" spans="2:11" x14ac:dyDescent="0.25">
      <c r="B169" t="s">
        <v>934</v>
      </c>
      <c r="C169">
        <v>0.11</v>
      </c>
      <c r="D169">
        <f>F$208-SUM(C169:C$205)</f>
        <v>4630.2819999999992</v>
      </c>
    </row>
    <row r="170" spans="2:11" x14ac:dyDescent="0.25">
      <c r="B170" t="s">
        <v>935</v>
      </c>
      <c r="C170">
        <v>6.5000000000000002E-2</v>
      </c>
      <c r="D170">
        <f>F$208-SUM(C170:C$205)</f>
        <v>4630.3919999999998</v>
      </c>
    </row>
    <row r="171" spans="2:11" x14ac:dyDescent="0.25">
      <c r="B171" t="s">
        <v>938</v>
      </c>
      <c r="D171">
        <f>F$208-SUM(C171:C$205)</f>
        <v>4630.4569999999994</v>
      </c>
    </row>
    <row r="172" spans="2:11" x14ac:dyDescent="0.25">
      <c r="B172" t="s">
        <v>938</v>
      </c>
      <c r="D172">
        <f>F$208-SUM(C172:C$205)</f>
        <v>4630.4569999999994</v>
      </c>
    </row>
    <row r="173" spans="2:11" x14ac:dyDescent="0.25">
      <c r="B173" t="s">
        <v>938</v>
      </c>
      <c r="D173">
        <f>F$208-SUM(C173:C$205)</f>
        <v>4630.4569999999994</v>
      </c>
    </row>
    <row r="174" spans="2:11" x14ac:dyDescent="0.25">
      <c r="B174" t="s">
        <v>916</v>
      </c>
      <c r="C174">
        <v>0</v>
      </c>
      <c r="D174">
        <f>F$208-SUM(C174:C$205)</f>
        <v>4630.4569999999994</v>
      </c>
    </row>
    <row r="175" spans="2:11" x14ac:dyDescent="0.25">
      <c r="B175" t="s">
        <v>917</v>
      </c>
      <c r="C175">
        <v>5</v>
      </c>
      <c r="D175">
        <f>F$208-SUM(C175:C$205)</f>
        <v>4630.4569999999994</v>
      </c>
    </row>
    <row r="176" spans="2:11" x14ac:dyDescent="0.25">
      <c r="B176" t="s">
        <v>935</v>
      </c>
      <c r="C176">
        <v>6.5000000000000002E-2</v>
      </c>
      <c r="D176">
        <f>F$208-SUM(C176:C$205)</f>
        <v>4635.4569999999994</v>
      </c>
    </row>
    <row r="177" spans="2:4" x14ac:dyDescent="0.25">
      <c r="B177" t="s">
        <v>917</v>
      </c>
      <c r="C177">
        <v>0.3</v>
      </c>
      <c r="D177">
        <f>F$208-SUM(C177:C$205)</f>
        <v>4635.5219999999999</v>
      </c>
    </row>
    <row r="178" spans="2:4" x14ac:dyDescent="0.25">
      <c r="B178" t="s">
        <v>935</v>
      </c>
      <c r="C178">
        <v>6.5000000000000002E-2</v>
      </c>
      <c r="D178">
        <f>F$208-SUM(C178:C$205)</f>
        <v>4635.8219999999992</v>
      </c>
    </row>
    <row r="179" spans="2:4" x14ac:dyDescent="0.25">
      <c r="B179" t="s">
        <v>939</v>
      </c>
      <c r="C179">
        <v>0.04</v>
      </c>
      <c r="D179">
        <f>F$208-SUM(C179:C$205)</f>
        <v>4635.8869999999997</v>
      </c>
    </row>
    <row r="180" spans="2:4" x14ac:dyDescent="0.25">
      <c r="B180" t="s">
        <v>940</v>
      </c>
      <c r="C180">
        <v>0.9</v>
      </c>
      <c r="D180">
        <f>F$208-SUM(C180:C$205)</f>
        <v>4635.9269999999997</v>
      </c>
    </row>
    <row r="181" spans="2:4" x14ac:dyDescent="0.25">
      <c r="B181" t="s">
        <v>941</v>
      </c>
      <c r="C181">
        <v>6.5000000000000002E-2</v>
      </c>
      <c r="D181">
        <f>F$208-SUM(C181:C$205)</f>
        <v>4636.8269999999993</v>
      </c>
    </row>
    <row r="182" spans="2:4" x14ac:dyDescent="0.25">
      <c r="B182" t="s">
        <v>935</v>
      </c>
      <c r="C182">
        <v>6.5000000000000002E-2</v>
      </c>
      <c r="D182">
        <f>F$208-SUM(C182:C$205)</f>
        <v>4636.8919999999998</v>
      </c>
    </row>
    <row r="183" spans="2:4" x14ac:dyDescent="0.25">
      <c r="B183" t="s">
        <v>942</v>
      </c>
      <c r="C183">
        <v>0.4</v>
      </c>
      <c r="D183">
        <f>F$208-SUM(C183:C$205)</f>
        <v>4636.9569999999994</v>
      </c>
    </row>
    <row r="184" spans="2:4" x14ac:dyDescent="0.25">
      <c r="B184" t="s">
        <v>943</v>
      </c>
      <c r="C184">
        <v>0.14000000000000001</v>
      </c>
      <c r="D184">
        <f>F$208-SUM(C184:C$205)</f>
        <v>4637.357</v>
      </c>
    </row>
    <row r="185" spans="2:4" x14ac:dyDescent="0.25">
      <c r="B185" t="s">
        <v>935</v>
      </c>
      <c r="C185">
        <v>6.5000000000000002E-2</v>
      </c>
      <c r="D185">
        <f>F$208-SUM(C185:C$205)</f>
        <v>4637.4969999999994</v>
      </c>
    </row>
    <row r="186" spans="2:4" x14ac:dyDescent="0.25">
      <c r="B186" t="s">
        <v>944</v>
      </c>
      <c r="C186">
        <v>15</v>
      </c>
      <c r="D186">
        <f>F$208-SUM(C186:C$205)</f>
        <v>4637.5619999999999</v>
      </c>
    </row>
    <row r="187" spans="2:4" x14ac:dyDescent="0.25">
      <c r="B187" t="s">
        <v>935</v>
      </c>
      <c r="C187">
        <v>6.5000000000000002E-2</v>
      </c>
      <c r="D187">
        <f>F$208-SUM(C187:C$205)</f>
        <v>4652.5619999999999</v>
      </c>
    </row>
    <row r="188" spans="2:4" x14ac:dyDescent="0.25">
      <c r="B188" t="s">
        <v>945</v>
      </c>
      <c r="C188">
        <v>0.113</v>
      </c>
      <c r="D188">
        <f>F$208-SUM(C188:C$205)</f>
        <v>4652.6269999999995</v>
      </c>
    </row>
    <row r="189" spans="2:4" x14ac:dyDescent="0.25">
      <c r="B189" t="s">
        <v>935</v>
      </c>
      <c r="C189">
        <v>6.5000000000000002E-2</v>
      </c>
      <c r="D189">
        <f>F$208-SUM(C189:C$205)</f>
        <v>4652.74</v>
      </c>
    </row>
    <row r="190" spans="2:4" x14ac:dyDescent="0.25">
      <c r="B190" s="402" t="s">
        <v>946</v>
      </c>
      <c r="C190" s="402">
        <v>20</v>
      </c>
      <c r="D190">
        <f>F$208-SUM(C190:C$205)</f>
        <v>4652.8049999999994</v>
      </c>
    </row>
    <row r="191" spans="2:4" x14ac:dyDescent="0.25">
      <c r="B191" t="s">
        <v>935</v>
      </c>
      <c r="C191">
        <v>6.5000000000000002E-2</v>
      </c>
      <c r="D191">
        <f>F$208-SUM(C191:C$205)</f>
        <v>4672.8049999999994</v>
      </c>
    </row>
    <row r="192" spans="2:4" x14ac:dyDescent="0.25">
      <c r="B192" t="s">
        <v>947</v>
      </c>
      <c r="D192">
        <f>F$208-SUM(C192:C$205)</f>
        <v>4672.87</v>
      </c>
    </row>
    <row r="193" spans="2:8" x14ac:dyDescent="0.25">
      <c r="B193" t="s">
        <v>948</v>
      </c>
      <c r="D193">
        <f>F$208-SUM(C193:C$205)</f>
        <v>4672.87</v>
      </c>
    </row>
    <row r="194" spans="2:8" x14ac:dyDescent="0.25">
      <c r="B194" t="s">
        <v>949</v>
      </c>
      <c r="C194">
        <v>0.13</v>
      </c>
      <c r="D194">
        <f>F$208-SUM(C194:C$205)</f>
        <v>4672.87</v>
      </c>
    </row>
    <row r="195" spans="2:8" x14ac:dyDescent="0.25">
      <c r="B195" t="s">
        <v>948</v>
      </c>
      <c r="C195">
        <v>0.08</v>
      </c>
      <c r="D195">
        <f>F$208-SUM(C195:C$205)</f>
        <v>4673</v>
      </c>
    </row>
    <row r="196" spans="2:8" x14ac:dyDescent="0.25">
      <c r="B196" t="s">
        <v>917</v>
      </c>
      <c r="C196">
        <v>3</v>
      </c>
      <c r="D196">
        <f>F$208-SUM(C196:C$205)</f>
        <v>4673.08</v>
      </c>
    </row>
    <row r="197" spans="2:8" x14ac:dyDescent="0.25">
      <c r="B197" t="s">
        <v>935</v>
      </c>
      <c r="C197">
        <v>6.5000000000000002E-2</v>
      </c>
      <c r="D197">
        <f>F$208-SUM(C197:C$205)</f>
        <v>4676.08</v>
      </c>
    </row>
    <row r="198" spans="2:8" x14ac:dyDescent="0.25">
      <c r="B198" t="s">
        <v>917</v>
      </c>
      <c r="C198">
        <v>3</v>
      </c>
      <c r="D198">
        <f>F$208-SUM(C198:C$205)</f>
        <v>4676.1449999999995</v>
      </c>
    </row>
    <row r="199" spans="2:8" x14ac:dyDescent="0.25">
      <c r="B199" t="s">
        <v>935</v>
      </c>
      <c r="C199">
        <v>0.08</v>
      </c>
      <c r="D199">
        <f>F$208-SUM(C199:C$205)</f>
        <v>4679.1449999999995</v>
      </c>
    </row>
    <row r="200" spans="2:8" x14ac:dyDescent="0.25">
      <c r="B200" t="s">
        <v>950</v>
      </c>
      <c r="D200">
        <f>F$208-SUM(C200:C$205)</f>
        <v>4679.2249999999995</v>
      </c>
    </row>
    <row r="201" spans="2:8" x14ac:dyDescent="0.25">
      <c r="B201" t="s">
        <v>949</v>
      </c>
      <c r="C201">
        <v>0.13</v>
      </c>
      <c r="D201">
        <f>F$208-SUM(C201:C$205)</f>
        <v>4679.2249999999995</v>
      </c>
    </row>
    <row r="202" spans="2:8" x14ac:dyDescent="0.25">
      <c r="B202" t="s">
        <v>935</v>
      </c>
      <c r="C202">
        <v>0.08</v>
      </c>
      <c r="D202">
        <f>F$208-SUM(C202:C$205)</f>
        <v>4679.3549999999996</v>
      </c>
    </row>
    <row r="203" spans="2:8" x14ac:dyDescent="0.25">
      <c r="B203" t="s">
        <v>917</v>
      </c>
      <c r="C203">
        <v>1.2</v>
      </c>
      <c r="D203">
        <f>F$208-SUM(C203:C$205)</f>
        <v>4679.4349999999995</v>
      </c>
    </row>
    <row r="204" spans="2:8" x14ac:dyDescent="0.25">
      <c r="C204">
        <v>6.5000000000000002E-2</v>
      </c>
      <c r="D204">
        <f>F$208-SUM(C204:C$205)</f>
        <v>4680.6349999999993</v>
      </c>
    </row>
    <row r="205" spans="2:8" x14ac:dyDescent="0.25">
      <c r="B205" t="s">
        <v>951</v>
      </c>
      <c r="C205">
        <v>1.2</v>
      </c>
      <c r="D205">
        <f>F$208-SUM(C205:C$205)</f>
        <v>4680.7</v>
      </c>
    </row>
    <row r="207" spans="2:8" x14ac:dyDescent="0.25">
      <c r="B207" t="s">
        <v>302</v>
      </c>
      <c r="F207">
        <v>4581.8999999999996</v>
      </c>
      <c r="H207" t="s">
        <v>952</v>
      </c>
    </row>
    <row r="208" spans="2:8" x14ac:dyDescent="0.25">
      <c r="E208" t="s">
        <v>953</v>
      </c>
      <c r="F208">
        <f>F207+100</f>
        <v>4681.8999999999996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98"/>
  <sheetViews>
    <sheetView workbookViewId="0">
      <pane ySplit="1540" activePane="bottomLeft"/>
      <selection activeCell="G1" sqref="G1"/>
      <selection pane="bottomLeft" activeCell="M33" sqref="M33"/>
    </sheetView>
  </sheetViews>
  <sheetFormatPr defaultColWidth="11.453125" defaultRowHeight="13" x14ac:dyDescent="0.3"/>
  <cols>
    <col min="9" max="9" width="18.26953125" bestFit="1" customWidth="1"/>
    <col min="13" max="13" width="11.453125" style="10"/>
  </cols>
  <sheetData>
    <row r="1" spans="1:22" x14ac:dyDescent="0.3">
      <c r="A1" s="10" t="s">
        <v>724</v>
      </c>
      <c r="G1" s="333" t="s">
        <v>736</v>
      </c>
      <c r="H1" s="334"/>
      <c r="I1" s="334"/>
      <c r="J1" s="334"/>
      <c r="K1" s="334"/>
      <c r="L1" s="334"/>
    </row>
    <row r="2" spans="1:22" ht="50" x14ac:dyDescent="0.25">
      <c r="A2" s="219" t="s">
        <v>356</v>
      </c>
      <c r="B2" s="219"/>
      <c r="C2" s="219"/>
      <c r="D2" s="277"/>
      <c r="E2" s="219" t="s">
        <v>675</v>
      </c>
      <c r="F2" s="169"/>
      <c r="G2" s="302" t="s">
        <v>725</v>
      </c>
      <c r="H2" s="303" t="s">
        <v>726</v>
      </c>
      <c r="I2" s="304" t="s">
        <v>727</v>
      </c>
      <c r="J2" s="305" t="s">
        <v>728</v>
      </c>
      <c r="K2" s="306" t="s">
        <v>729</v>
      </c>
      <c r="L2" s="307" t="s">
        <v>730</v>
      </c>
      <c r="M2" s="308" t="s">
        <v>731</v>
      </c>
      <c r="N2" s="306" t="s">
        <v>730</v>
      </c>
      <c r="O2" s="309" t="s">
        <v>732</v>
      </c>
      <c r="Q2" s="310" t="s">
        <v>59</v>
      </c>
      <c r="R2" s="311" t="s">
        <v>17</v>
      </c>
      <c r="S2" s="310" t="s">
        <v>62</v>
      </c>
      <c r="T2" s="310" t="s">
        <v>733</v>
      </c>
      <c r="U2" s="310" t="s">
        <v>734</v>
      </c>
    </row>
    <row r="3" spans="1:22" x14ac:dyDescent="0.3">
      <c r="A3" s="219"/>
      <c r="B3" s="219" t="s">
        <v>174</v>
      </c>
      <c r="C3" s="219" t="s">
        <v>287</v>
      </c>
      <c r="D3" s="277" t="s">
        <v>15</v>
      </c>
      <c r="E3" s="219" t="s">
        <v>719</v>
      </c>
      <c r="F3" s="169"/>
      <c r="Q3" s="310"/>
      <c r="R3" s="311"/>
      <c r="S3" s="310" t="s">
        <v>61</v>
      </c>
      <c r="T3" s="310" t="s">
        <v>735</v>
      </c>
      <c r="U3" s="310"/>
    </row>
    <row r="4" spans="1:22" x14ac:dyDescent="0.3">
      <c r="A4" s="553" t="s">
        <v>721</v>
      </c>
      <c r="B4" s="219">
        <v>2016</v>
      </c>
      <c r="C4" s="219" t="s">
        <v>175</v>
      </c>
      <c r="D4" s="219">
        <v>1</v>
      </c>
      <c r="E4" s="219">
        <v>2569.5</v>
      </c>
      <c r="F4" s="169"/>
      <c r="G4" s="312">
        <v>42928</v>
      </c>
      <c r="H4" s="5">
        <v>23</v>
      </c>
      <c r="I4" t="s">
        <v>786</v>
      </c>
      <c r="J4" s="3">
        <v>2569.5</v>
      </c>
      <c r="K4">
        <v>155.0266</v>
      </c>
      <c r="L4">
        <v>1326.3711419147694</v>
      </c>
      <c r="M4" s="10">
        <v>51.619814824470502</v>
      </c>
      <c r="N4">
        <v>1291.9743875104082</v>
      </c>
      <c r="O4">
        <v>50.281159272637019</v>
      </c>
      <c r="Q4">
        <v>2016</v>
      </c>
      <c r="R4" s="17" t="s">
        <v>111</v>
      </c>
      <c r="S4">
        <v>1</v>
      </c>
      <c r="T4">
        <f t="shared" ref="T4:T7" si="0">M4</f>
        <v>51.619814824470502</v>
      </c>
    </row>
    <row r="5" spans="1:22" x14ac:dyDescent="0.3">
      <c r="A5" s="553"/>
      <c r="B5" s="219">
        <v>2016</v>
      </c>
      <c r="C5" s="219" t="s">
        <v>175</v>
      </c>
      <c r="D5" s="219">
        <v>2</v>
      </c>
      <c r="E5" s="219">
        <v>3024.3</v>
      </c>
      <c r="F5" s="169"/>
      <c r="G5" s="312">
        <v>42928</v>
      </c>
      <c r="H5" s="5">
        <v>25</v>
      </c>
      <c r="I5" t="s">
        <v>787</v>
      </c>
      <c r="J5" s="3">
        <v>3024.3</v>
      </c>
      <c r="K5">
        <v>221.21710000000002</v>
      </c>
      <c r="L5">
        <v>1890.2786172877638</v>
      </c>
      <c r="M5" s="10">
        <v>62.503012838930125</v>
      </c>
      <c r="N5">
        <v>1843.5986293921735</v>
      </c>
      <c r="O5">
        <v>60.959515570286463</v>
      </c>
      <c r="Q5">
        <v>2016</v>
      </c>
      <c r="R5" s="17" t="s">
        <v>111</v>
      </c>
      <c r="S5">
        <v>2</v>
      </c>
      <c r="T5">
        <f t="shared" si="0"/>
        <v>62.503012838930125</v>
      </c>
    </row>
    <row r="6" spans="1:22" x14ac:dyDescent="0.3">
      <c r="A6" s="553"/>
      <c r="B6" s="219">
        <v>2016</v>
      </c>
      <c r="C6" s="219" t="s">
        <v>175</v>
      </c>
      <c r="D6" s="219">
        <v>3</v>
      </c>
      <c r="E6" s="219">
        <v>3885.8</v>
      </c>
      <c r="F6" s="169"/>
      <c r="G6" s="312">
        <v>42929</v>
      </c>
      <c r="H6" s="5">
        <v>27</v>
      </c>
      <c r="I6" t="s">
        <v>788</v>
      </c>
      <c r="J6" s="3">
        <v>3488.2</v>
      </c>
      <c r="K6">
        <v>352.28361666666666</v>
      </c>
      <c r="L6">
        <v>2963.106227079425</v>
      </c>
      <c r="M6" s="10">
        <v>84.946569207024396</v>
      </c>
      <c r="N6">
        <v>2935.8923557174576</v>
      </c>
      <c r="O6">
        <v>84.166399739620957</v>
      </c>
      <c r="Q6">
        <v>2016</v>
      </c>
      <c r="R6" s="17" t="s">
        <v>111</v>
      </c>
      <c r="S6">
        <v>3</v>
      </c>
      <c r="T6">
        <f t="shared" si="0"/>
        <v>84.946569207024396</v>
      </c>
      <c r="V6" s="10" t="s">
        <v>1264</v>
      </c>
    </row>
    <row r="7" spans="1:22" x14ac:dyDescent="0.3">
      <c r="A7" s="553"/>
      <c r="B7" s="219">
        <v>2016</v>
      </c>
      <c r="C7" s="219" t="s">
        <v>175</v>
      </c>
      <c r="D7" s="219">
        <v>4</v>
      </c>
      <c r="E7" s="219">
        <v>3981.2</v>
      </c>
      <c r="F7" s="169"/>
      <c r="G7" s="312">
        <v>42928</v>
      </c>
      <c r="H7" s="5">
        <v>27</v>
      </c>
      <c r="I7" t="s">
        <v>789</v>
      </c>
      <c r="J7" s="3">
        <v>3981.2</v>
      </c>
      <c r="K7">
        <v>364.56880000000001</v>
      </c>
      <c r="L7">
        <v>3111.5580340836309</v>
      </c>
      <c r="M7" s="10">
        <v>78.156285393439944</v>
      </c>
      <c r="N7">
        <v>3038.2757029142385</v>
      </c>
      <c r="O7">
        <v>76.315575779017351</v>
      </c>
      <c r="Q7">
        <v>2016</v>
      </c>
      <c r="R7" s="17" t="s">
        <v>111</v>
      </c>
      <c r="S7">
        <v>4</v>
      </c>
      <c r="T7">
        <f t="shared" si="0"/>
        <v>78.156285393439944</v>
      </c>
    </row>
    <row r="8" spans="1:22" x14ac:dyDescent="0.3">
      <c r="A8" s="553"/>
      <c r="B8" s="219">
        <v>2016</v>
      </c>
      <c r="C8" s="219" t="s">
        <v>175</v>
      </c>
      <c r="D8" s="219" t="s">
        <v>717</v>
      </c>
      <c r="E8" s="219">
        <v>2795.7</v>
      </c>
      <c r="F8" s="169"/>
      <c r="G8" s="312">
        <v>42928</v>
      </c>
      <c r="H8" s="5">
        <v>18</v>
      </c>
      <c r="I8" t="s">
        <v>781</v>
      </c>
      <c r="J8" s="3">
        <v>2795.7</v>
      </c>
      <c r="K8">
        <v>221.1208</v>
      </c>
      <c r="L8">
        <v>1889.4581930595373</v>
      </c>
      <c r="M8" s="10">
        <v>67.584440142344931</v>
      </c>
      <c r="N8">
        <v>1842.7960759367195</v>
      </c>
      <c r="O8">
        <v>65.915372748746989</v>
      </c>
      <c r="Q8">
        <v>2016</v>
      </c>
      <c r="R8" s="17" t="s">
        <v>111</v>
      </c>
      <c r="S8" s="17">
        <v>5</v>
      </c>
      <c r="T8" s="17">
        <f>M81</f>
        <v>67.580360963191339</v>
      </c>
    </row>
    <row r="9" spans="1:22" x14ac:dyDescent="0.3">
      <c r="A9" s="553"/>
      <c r="B9" s="219">
        <v>2016</v>
      </c>
      <c r="C9" s="219" t="s">
        <v>175</v>
      </c>
      <c r="D9" s="219" t="s">
        <v>718</v>
      </c>
      <c r="E9" s="219">
        <v>3303.6</v>
      </c>
      <c r="F9" s="169"/>
      <c r="G9" s="312">
        <v>42928</v>
      </c>
      <c r="H9" s="5">
        <v>17</v>
      </c>
      <c r="I9" t="s">
        <v>780</v>
      </c>
      <c r="J9" s="3">
        <v>3303.6</v>
      </c>
      <c r="K9">
        <v>261.38059999999996</v>
      </c>
      <c r="L9">
        <v>2232.4500450174714</v>
      </c>
      <c r="M9" s="10">
        <v>67.576281784037761</v>
      </c>
      <c r="N9">
        <v>2178.3167572023312</v>
      </c>
      <c r="O9">
        <v>65.93766670306124</v>
      </c>
      <c r="Q9">
        <v>2016</v>
      </c>
      <c r="R9" s="17" t="s">
        <v>111</v>
      </c>
      <c r="S9">
        <v>6</v>
      </c>
      <c r="T9">
        <f>M10</f>
        <v>59.446226910085166</v>
      </c>
    </row>
    <row r="10" spans="1:22" x14ac:dyDescent="0.3">
      <c r="A10" s="219"/>
      <c r="B10" s="219">
        <v>2016</v>
      </c>
      <c r="C10" s="219" t="s">
        <v>175</v>
      </c>
      <c r="D10" s="219">
        <v>6</v>
      </c>
      <c r="E10" s="219">
        <v>2215</v>
      </c>
      <c r="F10" s="169"/>
      <c r="G10" s="312">
        <v>42928</v>
      </c>
      <c r="H10" s="5">
        <v>13</v>
      </c>
      <c r="I10" t="s">
        <v>776</v>
      </c>
      <c r="J10" s="3">
        <v>2215</v>
      </c>
      <c r="K10">
        <v>153.89540000000002</v>
      </c>
      <c r="L10">
        <v>1316.7339260583865</v>
      </c>
      <c r="M10" s="10">
        <v>59.446226910085166</v>
      </c>
      <c r="N10">
        <v>1282.5470929225648</v>
      </c>
      <c r="O10">
        <v>57.902803292215111</v>
      </c>
      <c r="Q10">
        <v>2016</v>
      </c>
      <c r="R10" s="17" t="s">
        <v>111</v>
      </c>
      <c r="S10">
        <v>7</v>
      </c>
      <c r="T10" s="17" t="s">
        <v>801</v>
      </c>
    </row>
    <row r="11" spans="1:22" x14ac:dyDescent="0.3">
      <c r="A11" s="219"/>
      <c r="B11" s="219">
        <v>2016</v>
      </c>
      <c r="C11" s="219" t="s">
        <v>175</v>
      </c>
      <c r="D11" s="219">
        <v>7</v>
      </c>
      <c r="E11" s="219" t="s">
        <v>760</v>
      </c>
      <c r="F11" s="169"/>
      <c r="Q11">
        <v>2016</v>
      </c>
      <c r="R11" s="17" t="s">
        <v>111</v>
      </c>
      <c r="S11">
        <v>8</v>
      </c>
      <c r="T11">
        <f>M12</f>
        <v>61.61044446726104</v>
      </c>
    </row>
    <row r="12" spans="1:22" x14ac:dyDescent="0.3">
      <c r="A12" s="553" t="s">
        <v>721</v>
      </c>
      <c r="B12" s="219">
        <v>2016</v>
      </c>
      <c r="C12" s="219" t="s">
        <v>175</v>
      </c>
      <c r="D12" s="219">
        <v>8</v>
      </c>
      <c r="E12" s="257">
        <v>2402.8000000000002</v>
      </c>
      <c r="F12" s="169"/>
      <c r="G12" s="312">
        <v>42928</v>
      </c>
      <c r="H12" s="5">
        <v>28</v>
      </c>
      <c r="I12" t="s">
        <v>790</v>
      </c>
      <c r="J12" s="3">
        <v>2402.8000000000002</v>
      </c>
      <c r="K12">
        <v>173.10340000000002</v>
      </c>
      <c r="L12">
        <v>1480.3757596593484</v>
      </c>
      <c r="M12" s="10">
        <v>61.61044446726104</v>
      </c>
      <c r="N12">
        <v>1442.6244218151544</v>
      </c>
      <c r="O12">
        <v>60.039305053069519</v>
      </c>
      <c r="Q12">
        <v>2016</v>
      </c>
      <c r="R12" s="17" t="s">
        <v>111</v>
      </c>
      <c r="S12">
        <v>9</v>
      </c>
      <c r="T12">
        <f>M13</f>
        <v>61.212728676716452</v>
      </c>
    </row>
    <row r="13" spans="1:22" x14ac:dyDescent="0.3">
      <c r="A13" s="553"/>
      <c r="B13" s="219">
        <v>2016</v>
      </c>
      <c r="C13" s="219" t="s">
        <v>175</v>
      </c>
      <c r="D13" s="219">
        <v>9</v>
      </c>
      <c r="E13" s="219">
        <v>2607.4</v>
      </c>
      <c r="F13" s="169"/>
      <c r="G13" s="312">
        <v>42928</v>
      </c>
      <c r="H13" s="5">
        <v>29</v>
      </c>
      <c r="I13" t="s">
        <v>791</v>
      </c>
      <c r="J13" s="3">
        <v>2607.4</v>
      </c>
      <c r="K13">
        <v>186.68230000000003</v>
      </c>
      <c r="L13">
        <v>1596.060687516705</v>
      </c>
      <c r="M13" s="10">
        <v>61.212728676716452</v>
      </c>
      <c r="N13">
        <v>1555.7894593671942</v>
      </c>
      <c r="O13">
        <v>59.668231163887171</v>
      </c>
      <c r="Q13">
        <v>2016</v>
      </c>
      <c r="R13" s="17" t="s">
        <v>111</v>
      </c>
      <c r="S13">
        <v>10</v>
      </c>
      <c r="T13">
        <f>M14</f>
        <v>58.196963020415659</v>
      </c>
    </row>
    <row r="14" spans="1:22" x14ac:dyDescent="0.3">
      <c r="A14" s="219"/>
      <c r="B14" s="219">
        <v>2016</v>
      </c>
      <c r="C14" s="219" t="s">
        <v>175</v>
      </c>
      <c r="D14" s="219">
        <v>10</v>
      </c>
      <c r="E14" s="219">
        <v>2140.3000000000002</v>
      </c>
      <c r="F14" s="169"/>
      <c r="G14" s="312">
        <v>42928</v>
      </c>
      <c r="H14" s="5">
        <v>14</v>
      </c>
      <c r="I14" t="s">
        <v>777</v>
      </c>
      <c r="J14" s="3">
        <v>2140.3000000000002</v>
      </c>
      <c r="K14">
        <v>145.5446</v>
      </c>
      <c r="L14">
        <v>1245.5895995259564</v>
      </c>
      <c r="M14" s="10">
        <v>58.196963020415659</v>
      </c>
      <c r="N14">
        <v>1212.9524574521233</v>
      </c>
      <c r="O14">
        <v>56.672076692618944</v>
      </c>
      <c r="Q14">
        <v>2016</v>
      </c>
      <c r="R14" s="17" t="s">
        <v>111</v>
      </c>
      <c r="S14">
        <v>11</v>
      </c>
      <c r="T14">
        <f>M15</f>
        <v>59.510515679078843</v>
      </c>
    </row>
    <row r="15" spans="1:22" x14ac:dyDescent="0.3">
      <c r="A15" s="553" t="s">
        <v>721</v>
      </c>
      <c r="B15" s="219">
        <v>2016</v>
      </c>
      <c r="C15" s="219" t="s">
        <v>175</v>
      </c>
      <c r="D15" s="219">
        <v>11</v>
      </c>
      <c r="E15" s="219">
        <v>2691.7</v>
      </c>
      <c r="F15" s="169"/>
      <c r="G15" s="312">
        <v>42928</v>
      </c>
      <c r="H15" s="5">
        <v>30</v>
      </c>
      <c r="I15" t="s">
        <v>792</v>
      </c>
      <c r="J15" s="3">
        <v>2691.7</v>
      </c>
      <c r="K15">
        <v>187.36120000000003</v>
      </c>
      <c r="L15">
        <v>1601.8445505337652</v>
      </c>
      <c r="M15" s="10">
        <v>59.510515679078843</v>
      </c>
      <c r="N15">
        <v>1561.4473362198173</v>
      </c>
      <c r="O15">
        <v>58.009708965331107</v>
      </c>
      <c r="Q15">
        <v>2016</v>
      </c>
      <c r="R15" s="17" t="s">
        <v>111</v>
      </c>
      <c r="S15">
        <v>12</v>
      </c>
      <c r="T15">
        <f>M16</f>
        <v>64.532317190825353</v>
      </c>
    </row>
    <row r="16" spans="1:22" x14ac:dyDescent="0.3">
      <c r="A16" s="553"/>
      <c r="B16" s="219">
        <v>2016</v>
      </c>
      <c r="C16" s="219" t="s">
        <v>175</v>
      </c>
      <c r="D16" s="219">
        <v>12</v>
      </c>
      <c r="E16" s="219">
        <v>2109</v>
      </c>
      <c r="F16" s="169"/>
      <c r="G16" s="312">
        <v>42928</v>
      </c>
      <c r="H16" s="5">
        <v>15</v>
      </c>
      <c r="I16" t="s">
        <v>778</v>
      </c>
      <c r="J16" s="3">
        <v>2109</v>
      </c>
      <c r="K16">
        <v>159.08970000000002</v>
      </c>
      <c r="L16">
        <v>1360.9865695545066</v>
      </c>
      <c r="M16" s="10">
        <v>64.532317190825353</v>
      </c>
      <c r="N16">
        <v>1325.8358095753542</v>
      </c>
      <c r="O16">
        <v>62.865614489111152</v>
      </c>
      <c r="Q16">
        <v>2016</v>
      </c>
      <c r="R16" s="17" t="s">
        <v>111</v>
      </c>
      <c r="S16">
        <v>13</v>
      </c>
      <c r="T16" s="17" t="s">
        <v>801</v>
      </c>
    </row>
    <row r="17" spans="1:22" x14ac:dyDescent="0.3">
      <c r="A17" s="255"/>
      <c r="B17" s="219">
        <v>2016</v>
      </c>
      <c r="C17" s="219" t="s">
        <v>175</v>
      </c>
      <c r="D17" s="219">
        <v>13</v>
      </c>
      <c r="E17" s="219" t="s">
        <v>760</v>
      </c>
      <c r="F17" s="169"/>
      <c r="Q17">
        <v>2016</v>
      </c>
      <c r="R17" s="17" t="s">
        <v>111</v>
      </c>
      <c r="S17">
        <v>14</v>
      </c>
      <c r="T17" s="360">
        <f>M18</f>
        <v>39.286833962453755</v>
      </c>
      <c r="V17" s="10" t="s">
        <v>1282</v>
      </c>
    </row>
    <row r="18" spans="1:22" x14ac:dyDescent="0.3">
      <c r="A18" s="255"/>
      <c r="B18" s="219">
        <v>2016</v>
      </c>
      <c r="C18" s="219" t="s">
        <v>175</v>
      </c>
      <c r="D18" s="219">
        <v>14</v>
      </c>
      <c r="E18" s="219">
        <v>3516</v>
      </c>
      <c r="F18" s="169"/>
      <c r="G18" s="312">
        <v>42928</v>
      </c>
      <c r="H18" s="5">
        <v>16</v>
      </c>
      <c r="I18" t="s">
        <v>779</v>
      </c>
      <c r="J18" s="3">
        <v>3516</v>
      </c>
      <c r="K18">
        <v>161.477</v>
      </c>
      <c r="L18">
        <v>1381.325082119874</v>
      </c>
      <c r="M18" s="10">
        <v>39.286833962453755</v>
      </c>
      <c r="N18">
        <v>1345.7313014154872</v>
      </c>
      <c r="O18">
        <v>38.274496627289174</v>
      </c>
      <c r="Q18">
        <v>2016</v>
      </c>
      <c r="R18" s="17" t="s">
        <v>111</v>
      </c>
      <c r="S18">
        <v>15</v>
      </c>
      <c r="T18" s="17" t="s">
        <v>801</v>
      </c>
    </row>
    <row r="19" spans="1:22" x14ac:dyDescent="0.3">
      <c r="A19" s="255"/>
      <c r="B19" s="219">
        <v>2016</v>
      </c>
      <c r="C19" s="219" t="s">
        <v>175</v>
      </c>
      <c r="D19" s="219">
        <v>15</v>
      </c>
      <c r="E19" s="219" t="s">
        <v>760</v>
      </c>
      <c r="F19" s="169"/>
      <c r="Q19">
        <v>2016</v>
      </c>
      <c r="R19" s="17" t="s">
        <v>111</v>
      </c>
      <c r="S19">
        <v>16</v>
      </c>
      <c r="T19" s="17" t="s">
        <v>720</v>
      </c>
    </row>
    <row r="20" spans="1:22" x14ac:dyDescent="0.3">
      <c r="A20" s="255"/>
      <c r="B20" s="219">
        <v>2016</v>
      </c>
      <c r="C20" s="219" t="s">
        <v>175</v>
      </c>
      <c r="D20" s="219">
        <v>16</v>
      </c>
      <c r="E20" s="219" t="s">
        <v>720</v>
      </c>
      <c r="F20" s="169"/>
      <c r="Q20">
        <v>2016</v>
      </c>
      <c r="R20" s="17" t="s">
        <v>111</v>
      </c>
      <c r="S20">
        <v>17</v>
      </c>
      <c r="T20" s="17" t="s">
        <v>720</v>
      </c>
    </row>
    <row r="21" spans="1:22" x14ac:dyDescent="0.3">
      <c r="A21" s="255"/>
      <c r="B21" s="219">
        <v>2016</v>
      </c>
      <c r="C21" s="219" t="s">
        <v>175</v>
      </c>
      <c r="D21" s="219">
        <v>17</v>
      </c>
      <c r="E21" s="219" t="s">
        <v>720</v>
      </c>
      <c r="F21" s="169"/>
      <c r="Q21">
        <v>2016</v>
      </c>
      <c r="R21" s="17" t="s">
        <v>111</v>
      </c>
      <c r="S21">
        <v>18</v>
      </c>
      <c r="T21" s="17" t="s">
        <v>720</v>
      </c>
    </row>
    <row r="22" spans="1:22" x14ac:dyDescent="0.3">
      <c r="A22" s="255"/>
      <c r="B22" s="219">
        <v>2016</v>
      </c>
      <c r="C22" s="219" t="s">
        <v>175</v>
      </c>
      <c r="D22" s="219">
        <v>18</v>
      </c>
      <c r="E22" s="293" t="s">
        <v>720</v>
      </c>
      <c r="F22" s="169"/>
      <c r="Q22">
        <v>2016</v>
      </c>
      <c r="R22" s="17" t="s">
        <v>111</v>
      </c>
      <c r="S22">
        <v>19</v>
      </c>
      <c r="T22" s="17" t="s">
        <v>720</v>
      </c>
    </row>
    <row r="23" spans="1:22" x14ac:dyDescent="0.3">
      <c r="A23" s="255"/>
      <c r="B23" s="219">
        <v>2016</v>
      </c>
      <c r="C23" s="219" t="s">
        <v>175</v>
      </c>
      <c r="D23" s="219">
        <v>19</v>
      </c>
      <c r="E23" s="219" t="s">
        <v>720</v>
      </c>
      <c r="F23" s="169"/>
      <c r="Q23">
        <v>2016</v>
      </c>
      <c r="R23" s="17" t="s">
        <v>111</v>
      </c>
      <c r="S23">
        <v>20</v>
      </c>
      <c r="T23" s="17" t="s">
        <v>720</v>
      </c>
    </row>
    <row r="24" spans="1:22" x14ac:dyDescent="0.3">
      <c r="A24" s="255"/>
      <c r="B24" s="219">
        <v>2016</v>
      </c>
      <c r="C24" s="219" t="s">
        <v>175</v>
      </c>
      <c r="D24" s="219">
        <v>20</v>
      </c>
      <c r="E24" s="219" t="s">
        <v>720</v>
      </c>
      <c r="F24" s="169"/>
      <c r="Q24" s="84">
        <v>2016</v>
      </c>
      <c r="R24" s="315" t="s">
        <v>111</v>
      </c>
      <c r="S24" s="84">
        <v>21</v>
      </c>
      <c r="T24" s="17" t="s">
        <v>720</v>
      </c>
    </row>
    <row r="25" spans="1:22" s="84" customFormat="1" x14ac:dyDescent="0.3">
      <c r="A25" s="313"/>
      <c r="B25" s="293">
        <v>2016</v>
      </c>
      <c r="C25" s="293" t="s">
        <v>175</v>
      </c>
      <c r="D25" s="293">
        <v>21</v>
      </c>
      <c r="E25" s="293" t="s">
        <v>720</v>
      </c>
      <c r="F25" s="179"/>
      <c r="M25" s="314"/>
    </row>
    <row r="26" spans="1:22" x14ac:dyDescent="0.3">
      <c r="A26" s="554" t="s">
        <v>721</v>
      </c>
      <c r="B26" s="219">
        <v>2016</v>
      </c>
      <c r="C26" s="219" t="s">
        <v>225</v>
      </c>
      <c r="D26" s="219">
        <v>1</v>
      </c>
      <c r="E26" s="219">
        <v>2934.3</v>
      </c>
      <c r="F26" s="169"/>
      <c r="G26" s="312">
        <v>42928</v>
      </c>
      <c r="H26" s="5">
        <v>31</v>
      </c>
      <c r="I26" t="s">
        <v>793</v>
      </c>
      <c r="J26" s="3">
        <v>2934.3</v>
      </c>
      <c r="K26">
        <v>231.60140000000001</v>
      </c>
      <c r="L26">
        <v>1978.7472705917241</v>
      </c>
      <c r="M26" s="10">
        <v>67.435070394701427</v>
      </c>
      <c r="N26">
        <v>1930.140226977519</v>
      </c>
      <c r="O26">
        <v>65.778557985806458</v>
      </c>
      <c r="Q26">
        <v>2016</v>
      </c>
      <c r="R26" s="17" t="s">
        <v>109</v>
      </c>
      <c r="S26">
        <v>1</v>
      </c>
      <c r="T26">
        <f>M26</f>
        <v>67.435070394701427</v>
      </c>
    </row>
    <row r="27" spans="1:22" x14ac:dyDescent="0.3">
      <c r="A27" s="554"/>
      <c r="B27" s="219">
        <v>2016</v>
      </c>
      <c r="C27" s="219" t="s">
        <v>225</v>
      </c>
      <c r="D27" s="219">
        <v>2</v>
      </c>
      <c r="E27" s="219">
        <v>3131.9</v>
      </c>
      <c r="F27" s="169"/>
      <c r="G27" s="312">
        <v>42928</v>
      </c>
      <c r="H27" s="5">
        <v>32</v>
      </c>
      <c r="I27" t="s">
        <v>794</v>
      </c>
      <c r="J27" s="3">
        <v>3131.9</v>
      </c>
      <c r="K27">
        <v>273.32979999999998</v>
      </c>
      <c r="L27">
        <v>2334.2508050166703</v>
      </c>
      <c r="M27" s="10">
        <v>74.531460296199441</v>
      </c>
      <c r="N27">
        <v>2277.9000567860116</v>
      </c>
      <c r="O27">
        <v>72.732209099460761</v>
      </c>
      <c r="Q27">
        <v>2016</v>
      </c>
      <c r="R27" s="17" t="s">
        <v>109</v>
      </c>
      <c r="S27">
        <v>2</v>
      </c>
      <c r="T27">
        <f>M27</f>
        <v>74.531460296199441</v>
      </c>
    </row>
    <row r="28" spans="1:22" x14ac:dyDescent="0.3">
      <c r="A28" s="554"/>
      <c r="B28" s="219">
        <v>2016</v>
      </c>
      <c r="C28" s="219" t="s">
        <v>225</v>
      </c>
      <c r="D28" s="219">
        <v>3</v>
      </c>
      <c r="E28" s="219">
        <v>2781.8</v>
      </c>
      <c r="F28" s="169"/>
      <c r="G28" s="312">
        <v>42928</v>
      </c>
      <c r="H28" s="5">
        <v>22</v>
      </c>
      <c r="I28" t="s">
        <v>785</v>
      </c>
      <c r="J28" s="3">
        <v>2781.8</v>
      </c>
      <c r="K28">
        <v>246.30870000000002</v>
      </c>
      <c r="L28">
        <v>2104.0455598107696</v>
      </c>
      <c r="M28" s="10">
        <v>75.636119052799245</v>
      </c>
      <c r="N28">
        <v>2052.709224229809</v>
      </c>
      <c r="O28">
        <v>73.790683163053018</v>
      </c>
      <c r="Q28">
        <v>2016</v>
      </c>
      <c r="R28" s="17" t="s">
        <v>109</v>
      </c>
      <c r="S28">
        <v>3</v>
      </c>
      <c r="T28">
        <f>M28</f>
        <v>75.636119052799245</v>
      </c>
    </row>
    <row r="29" spans="1:22" x14ac:dyDescent="0.3">
      <c r="A29" s="554"/>
      <c r="B29" s="219">
        <v>2016</v>
      </c>
      <c r="C29" s="219" t="s">
        <v>225</v>
      </c>
      <c r="D29" s="219">
        <v>4</v>
      </c>
      <c r="E29" s="219">
        <v>2448.6</v>
      </c>
      <c r="F29" s="169"/>
      <c r="G29" s="312">
        <v>42928</v>
      </c>
      <c r="H29" s="5">
        <v>21</v>
      </c>
      <c r="I29" t="s">
        <v>784</v>
      </c>
      <c r="J29" s="3">
        <v>2448.6</v>
      </c>
      <c r="K29">
        <v>221.97830000000002</v>
      </c>
      <c r="L29">
        <v>1896.7636320595805</v>
      </c>
      <c r="M29" s="10">
        <v>77.46318843664055</v>
      </c>
      <c r="N29">
        <v>1849.9423852622817</v>
      </c>
      <c r="O29">
        <v>75.551024473669926</v>
      </c>
      <c r="Q29">
        <v>2016</v>
      </c>
      <c r="R29" s="17" t="s">
        <v>109</v>
      </c>
      <c r="S29">
        <v>4</v>
      </c>
      <c r="T29">
        <f>M29</f>
        <v>77.46318843664055</v>
      </c>
    </row>
    <row r="30" spans="1:22" x14ac:dyDescent="0.3">
      <c r="A30" s="554"/>
      <c r="B30" s="219">
        <v>2016</v>
      </c>
      <c r="C30" s="219" t="s">
        <v>225</v>
      </c>
      <c r="D30" s="219" t="s">
        <v>717</v>
      </c>
      <c r="E30" s="219">
        <v>2515.8000000000002</v>
      </c>
      <c r="F30" s="169"/>
      <c r="G30" s="312">
        <v>42928</v>
      </c>
      <c r="H30" s="5">
        <v>19</v>
      </c>
      <c r="I30" t="s">
        <v>782</v>
      </c>
      <c r="J30" s="3">
        <v>2515.8000000000002</v>
      </c>
      <c r="K30">
        <v>211.9315</v>
      </c>
      <c r="L30">
        <v>1811.1702973124882</v>
      </c>
      <c r="M30" s="10">
        <v>71.991823567552586</v>
      </c>
      <c r="N30">
        <v>1766.2134750208161</v>
      </c>
      <c r="O30">
        <v>70.204844384323707</v>
      </c>
      <c r="Q30">
        <v>2016</v>
      </c>
      <c r="R30" s="17" t="s">
        <v>109</v>
      </c>
      <c r="S30" s="17">
        <v>5</v>
      </c>
      <c r="T30" s="17">
        <f>M83</f>
        <v>72.616080797736615</v>
      </c>
    </row>
    <row r="31" spans="1:22" x14ac:dyDescent="0.3">
      <c r="A31" s="554"/>
      <c r="B31" s="219">
        <v>2016</v>
      </c>
      <c r="C31" s="219" t="s">
        <v>225</v>
      </c>
      <c r="D31" s="219" t="s">
        <v>718</v>
      </c>
      <c r="E31" s="219">
        <v>2083.1</v>
      </c>
      <c r="F31" s="169"/>
      <c r="G31" s="312">
        <v>42928</v>
      </c>
      <c r="H31" s="5">
        <v>20</v>
      </c>
      <c r="I31" t="s">
        <v>783</v>
      </c>
      <c r="J31" s="3">
        <v>2083.1</v>
      </c>
      <c r="K31">
        <v>178.41990000000001</v>
      </c>
      <c r="L31">
        <v>1525.6694814596146</v>
      </c>
      <c r="M31" s="10">
        <v>73.240338027920643</v>
      </c>
      <c r="N31">
        <v>1486.9315396336387</v>
      </c>
      <c r="O31">
        <v>71.380708541771341</v>
      </c>
      <c r="Q31">
        <v>2016</v>
      </c>
      <c r="R31" s="17" t="s">
        <v>109</v>
      </c>
      <c r="S31" s="17">
        <v>6</v>
      </c>
      <c r="T31">
        <f t="shared" ref="T31:T40" si="1">M32</f>
        <v>67.129541325547407</v>
      </c>
    </row>
    <row r="32" spans="1:22" x14ac:dyDescent="0.3">
      <c r="A32" s="554"/>
      <c r="B32" s="219">
        <v>2016</v>
      </c>
      <c r="C32" s="219" t="s">
        <v>225</v>
      </c>
      <c r="D32" s="219">
        <v>6</v>
      </c>
      <c r="E32" s="219">
        <v>2302.9</v>
      </c>
      <c r="F32" s="169"/>
      <c r="G32" s="312">
        <v>42928</v>
      </c>
      <c r="H32" s="5">
        <v>33</v>
      </c>
      <c r="I32" t="s">
        <v>795</v>
      </c>
      <c r="J32" s="3">
        <v>2302.9</v>
      </c>
      <c r="K32">
        <v>180.79760000000002</v>
      </c>
      <c r="L32">
        <v>1545.9262071860312</v>
      </c>
      <c r="M32" s="10">
        <v>67.129541325547407</v>
      </c>
      <c r="N32">
        <v>1506.7470261448796</v>
      </c>
      <c r="O32">
        <v>65.428243785873448</v>
      </c>
      <c r="Q32">
        <v>2016</v>
      </c>
      <c r="R32" t="s">
        <v>109</v>
      </c>
      <c r="S32">
        <v>7</v>
      </c>
      <c r="T32">
        <f t="shared" si="1"/>
        <v>66.516592817359253</v>
      </c>
    </row>
    <row r="33" spans="1:20" x14ac:dyDescent="0.3">
      <c r="A33" s="554"/>
      <c r="B33" s="219">
        <v>2016</v>
      </c>
      <c r="C33" s="219" t="s">
        <v>225</v>
      </c>
      <c r="D33" s="219">
        <v>7</v>
      </c>
      <c r="E33" s="219">
        <v>2465.9</v>
      </c>
      <c r="F33" s="169"/>
      <c r="G33" s="312">
        <v>42923</v>
      </c>
      <c r="H33" s="5">
        <v>13</v>
      </c>
      <c r="I33" t="s">
        <v>744</v>
      </c>
      <c r="J33" s="3">
        <v>2465.9</v>
      </c>
      <c r="K33">
        <v>193.59980000000002</v>
      </c>
      <c r="L33">
        <v>1640.2326622832618</v>
      </c>
      <c r="M33" s="10">
        <v>66.516592817359253</v>
      </c>
      <c r="N33">
        <v>1613.4391325562035</v>
      </c>
      <c r="O33">
        <v>65.430030924052204</v>
      </c>
      <c r="Q33">
        <v>2016</v>
      </c>
      <c r="R33" t="s">
        <v>109</v>
      </c>
      <c r="S33">
        <v>8</v>
      </c>
      <c r="T33">
        <f t="shared" si="1"/>
        <v>63.980839053770922</v>
      </c>
    </row>
    <row r="34" spans="1:20" x14ac:dyDescent="0.3">
      <c r="A34" s="554" t="s">
        <v>723</v>
      </c>
      <c r="B34" s="219">
        <v>2016</v>
      </c>
      <c r="C34" s="219" t="s">
        <v>225</v>
      </c>
      <c r="D34" s="219">
        <v>8</v>
      </c>
      <c r="E34" s="219">
        <v>3113.2</v>
      </c>
      <c r="F34" s="169"/>
      <c r="G34" s="312">
        <v>42923</v>
      </c>
      <c r="H34" s="5">
        <v>14</v>
      </c>
      <c r="I34" t="s">
        <v>745</v>
      </c>
      <c r="J34" s="3">
        <v>3113.2</v>
      </c>
      <c r="K34">
        <v>235.12569999999999</v>
      </c>
      <c r="L34">
        <v>1991.8514814219964</v>
      </c>
      <c r="M34" s="10">
        <v>63.980839053770922</v>
      </c>
      <c r="N34">
        <v>1959.5113499583681</v>
      </c>
      <c r="O34">
        <v>62.942032312680467</v>
      </c>
      <c r="Q34">
        <v>2016</v>
      </c>
      <c r="R34" t="s">
        <v>109</v>
      </c>
      <c r="S34">
        <v>9</v>
      </c>
      <c r="T34">
        <f t="shared" si="1"/>
        <v>66.26752157070365</v>
      </c>
    </row>
    <row r="35" spans="1:20" x14ac:dyDescent="0.3">
      <c r="A35" s="554"/>
      <c r="B35" s="219">
        <v>2016</v>
      </c>
      <c r="C35" s="219" t="s">
        <v>225</v>
      </c>
      <c r="D35" s="219">
        <v>9</v>
      </c>
      <c r="E35" s="219">
        <v>2481</v>
      </c>
      <c r="F35" s="169"/>
      <c r="G35" s="312">
        <v>42923</v>
      </c>
      <c r="H35" s="5">
        <v>15</v>
      </c>
      <c r="I35" t="s">
        <v>746</v>
      </c>
      <c r="J35" s="3">
        <v>2481</v>
      </c>
      <c r="K35">
        <v>194.05620000000002</v>
      </c>
      <c r="L35">
        <v>1644.0972101691575</v>
      </c>
      <c r="M35" s="10">
        <v>66.26752157070365</v>
      </c>
      <c r="N35">
        <v>1617.2427192339721</v>
      </c>
      <c r="O35">
        <v>65.185115648285858</v>
      </c>
      <c r="Q35">
        <v>2016</v>
      </c>
      <c r="R35" t="s">
        <v>109</v>
      </c>
      <c r="S35">
        <v>10</v>
      </c>
      <c r="T35">
        <f t="shared" si="1"/>
        <v>63.699475945192432</v>
      </c>
    </row>
    <row r="36" spans="1:20" x14ac:dyDescent="0.3">
      <c r="A36" s="554"/>
      <c r="B36" s="219">
        <v>2016</v>
      </c>
      <c r="C36" s="219" t="s">
        <v>225</v>
      </c>
      <c r="D36" s="219">
        <v>10</v>
      </c>
      <c r="E36" s="219">
        <v>2875.1</v>
      </c>
      <c r="F36" s="169"/>
      <c r="G36" s="312">
        <v>42923</v>
      </c>
      <c r="H36" s="5">
        <v>16</v>
      </c>
      <c r="I36" t="s">
        <v>747</v>
      </c>
      <c r="J36" s="3">
        <v>2875.1</v>
      </c>
      <c r="K36">
        <v>216.17930000000001</v>
      </c>
      <c r="L36">
        <v>1831.4236329002276</v>
      </c>
      <c r="M36" s="10">
        <v>63.699475945192432</v>
      </c>
      <c r="N36">
        <v>1801.6141662781017</v>
      </c>
      <c r="O36">
        <v>62.662660995377614</v>
      </c>
      <c r="Q36">
        <v>2016</v>
      </c>
      <c r="R36" t="s">
        <v>109</v>
      </c>
      <c r="S36">
        <v>11</v>
      </c>
      <c r="T36">
        <f t="shared" si="1"/>
        <v>60.370264743393101</v>
      </c>
    </row>
    <row r="37" spans="1:20" x14ac:dyDescent="0.3">
      <c r="A37" s="554"/>
      <c r="B37" s="219">
        <v>2016</v>
      </c>
      <c r="C37" s="219" t="s">
        <v>225</v>
      </c>
      <c r="D37" s="219">
        <v>11</v>
      </c>
      <c r="E37" s="219">
        <v>2239.1</v>
      </c>
      <c r="F37" s="169"/>
      <c r="G37" s="312">
        <v>42923</v>
      </c>
      <c r="H37" s="5">
        <v>17</v>
      </c>
      <c r="I37" t="s">
        <v>748</v>
      </c>
      <c r="J37" s="3">
        <v>2239.1</v>
      </c>
      <c r="K37">
        <v>159.53030000000001</v>
      </c>
      <c r="L37">
        <v>1351.7505978693148</v>
      </c>
      <c r="M37" s="10">
        <v>60.370264743393101</v>
      </c>
      <c r="N37">
        <v>1329.5077208159869</v>
      </c>
      <c r="O37">
        <v>59.376880032869771</v>
      </c>
      <c r="Q37">
        <v>2016</v>
      </c>
      <c r="R37" t="s">
        <v>109</v>
      </c>
      <c r="S37">
        <v>12</v>
      </c>
      <c r="T37">
        <f t="shared" si="1"/>
        <v>67.529827446221233</v>
      </c>
    </row>
    <row r="38" spans="1:20" x14ac:dyDescent="0.3">
      <c r="A38" s="554"/>
      <c r="B38" s="219">
        <v>2016</v>
      </c>
      <c r="C38" s="219" t="s">
        <v>225</v>
      </c>
      <c r="D38" s="219">
        <v>12</v>
      </c>
      <c r="E38" s="219">
        <v>2637.6</v>
      </c>
      <c r="F38" s="169"/>
      <c r="G38" s="312">
        <v>42923</v>
      </c>
      <c r="H38" s="5">
        <v>18</v>
      </c>
      <c r="I38" t="s">
        <v>749</v>
      </c>
      <c r="J38" s="3">
        <v>2637.6</v>
      </c>
      <c r="K38">
        <v>210.244</v>
      </c>
      <c r="L38">
        <v>1781.1667287215312</v>
      </c>
      <c r="M38" s="10">
        <v>67.529827446221233</v>
      </c>
      <c r="N38">
        <v>1752.1500383014156</v>
      </c>
      <c r="O38">
        <v>66.429710278336955</v>
      </c>
      <c r="Q38">
        <v>2016</v>
      </c>
      <c r="R38" t="s">
        <v>109</v>
      </c>
      <c r="S38">
        <v>13</v>
      </c>
      <c r="T38">
        <f t="shared" si="1"/>
        <v>70.302414428743546</v>
      </c>
    </row>
    <row r="39" spans="1:20" x14ac:dyDescent="0.3">
      <c r="A39" s="554"/>
      <c r="B39" s="219">
        <v>2016</v>
      </c>
      <c r="C39" s="219" t="s">
        <v>225</v>
      </c>
      <c r="D39" s="219">
        <v>13</v>
      </c>
      <c r="E39" s="219">
        <v>3018.8</v>
      </c>
      <c r="F39" s="169"/>
      <c r="G39" s="312">
        <v>42923</v>
      </c>
      <c r="H39" s="5">
        <v>19</v>
      </c>
      <c r="I39" t="s">
        <v>750</v>
      </c>
      <c r="J39" s="3">
        <v>3018.8</v>
      </c>
      <c r="K39">
        <v>250.53030000000001</v>
      </c>
      <c r="L39">
        <v>2122.2892867749101</v>
      </c>
      <c r="M39" s="10">
        <v>70.302414428743546</v>
      </c>
      <c r="N39">
        <v>2087.8915676103252</v>
      </c>
      <c r="O39">
        <v>69.162964343789753</v>
      </c>
      <c r="Q39">
        <v>2016</v>
      </c>
      <c r="R39" t="s">
        <v>109</v>
      </c>
      <c r="S39">
        <v>14</v>
      </c>
      <c r="T39">
        <f t="shared" si="1"/>
        <v>67.950138217984005</v>
      </c>
    </row>
    <row r="40" spans="1:20" x14ac:dyDescent="0.3">
      <c r="A40" s="554"/>
      <c r="B40" s="219">
        <v>2016</v>
      </c>
      <c r="C40" s="219" t="s">
        <v>225</v>
      </c>
      <c r="D40" s="219">
        <v>14</v>
      </c>
      <c r="E40" s="219">
        <v>2994.6</v>
      </c>
      <c r="F40" s="169"/>
      <c r="G40" s="312">
        <v>42923</v>
      </c>
      <c r="H40" s="5">
        <v>20</v>
      </c>
      <c r="I40" t="s">
        <v>751</v>
      </c>
      <c r="J40" s="3">
        <v>2994.6</v>
      </c>
      <c r="K40">
        <v>240.202</v>
      </c>
      <c r="L40">
        <v>2034.834839075749</v>
      </c>
      <c r="M40" s="10">
        <v>67.950138217984005</v>
      </c>
      <c r="N40">
        <v>2001.8166677768529</v>
      </c>
      <c r="O40">
        <v>66.847547845350064</v>
      </c>
      <c r="Q40">
        <v>2016</v>
      </c>
      <c r="R40" t="s">
        <v>109</v>
      </c>
      <c r="S40">
        <v>15</v>
      </c>
      <c r="T40">
        <f t="shared" si="1"/>
        <v>67.596772424485593</v>
      </c>
    </row>
    <row r="41" spans="1:20" x14ac:dyDescent="0.3">
      <c r="A41" s="554"/>
      <c r="B41" s="219">
        <v>2016</v>
      </c>
      <c r="C41" s="219" t="s">
        <v>225</v>
      </c>
      <c r="D41" s="219">
        <v>15</v>
      </c>
      <c r="E41" s="219">
        <v>3283.7</v>
      </c>
      <c r="F41" s="169"/>
      <c r="G41" s="312">
        <v>42923</v>
      </c>
      <c r="H41" s="5">
        <v>22</v>
      </c>
      <c r="I41" t="s">
        <v>752</v>
      </c>
      <c r="J41" s="3">
        <v>3283.7</v>
      </c>
      <c r="K41">
        <v>262.03149999999999</v>
      </c>
      <c r="L41">
        <v>2219.6752161028335</v>
      </c>
      <c r="M41" s="10">
        <v>67.596772424485593</v>
      </c>
      <c r="N41">
        <v>2183.7412851790173</v>
      </c>
      <c r="O41">
        <v>66.502460187563344</v>
      </c>
      <c r="Q41">
        <v>2016</v>
      </c>
      <c r="R41" t="s">
        <v>109</v>
      </c>
      <c r="S41" s="17">
        <v>16</v>
      </c>
      <c r="T41" s="17">
        <f>M87</f>
        <v>63.025721943428337</v>
      </c>
    </row>
    <row r="42" spans="1:20" x14ac:dyDescent="0.3">
      <c r="A42" s="554"/>
      <c r="B42" s="219">
        <v>2016</v>
      </c>
      <c r="C42" s="219" t="s">
        <v>225</v>
      </c>
      <c r="D42" s="219" t="s">
        <v>711</v>
      </c>
      <c r="E42" s="219">
        <v>2797.1</v>
      </c>
      <c r="F42" s="169"/>
      <c r="G42" s="312">
        <v>42923</v>
      </c>
      <c r="H42" s="5">
        <v>23</v>
      </c>
      <c r="I42" t="s">
        <v>753</v>
      </c>
      <c r="J42" s="3">
        <v>2797.1</v>
      </c>
      <c r="K42">
        <v>207.8263</v>
      </c>
      <c r="L42">
        <v>1760.6949552251897</v>
      </c>
      <c r="M42" s="10">
        <v>62.947157957355472</v>
      </c>
      <c r="N42">
        <v>1732.0011962531223</v>
      </c>
      <c r="O42">
        <v>61.921318374499386</v>
      </c>
      <c r="Q42">
        <v>2016</v>
      </c>
      <c r="R42" t="s">
        <v>109</v>
      </c>
      <c r="S42">
        <v>17</v>
      </c>
      <c r="T42" s="17">
        <f>M85</f>
        <v>50.195517680001636</v>
      </c>
    </row>
    <row r="43" spans="1:20" x14ac:dyDescent="0.3">
      <c r="A43" s="554"/>
      <c r="B43" s="219">
        <v>2016</v>
      </c>
      <c r="C43" s="219" t="s">
        <v>225</v>
      </c>
      <c r="D43" s="219" t="s">
        <v>712</v>
      </c>
      <c r="E43" s="219">
        <v>2863.4</v>
      </c>
      <c r="F43" s="169"/>
      <c r="G43" s="312">
        <v>42923</v>
      </c>
      <c r="H43" s="5">
        <v>24</v>
      </c>
      <c r="I43" t="s">
        <v>754</v>
      </c>
      <c r="J43" s="3">
        <v>2863.4</v>
      </c>
      <c r="K43">
        <v>213.28640000000001</v>
      </c>
      <c r="L43">
        <v>1806.9281233053375</v>
      </c>
      <c r="M43" s="10">
        <v>63.104285929501202</v>
      </c>
      <c r="N43">
        <v>1777.5050604496257</v>
      </c>
      <c r="O43">
        <v>62.076729079053763</v>
      </c>
      <c r="Q43">
        <v>2016</v>
      </c>
      <c r="R43" t="s">
        <v>109</v>
      </c>
      <c r="S43">
        <v>18</v>
      </c>
      <c r="T43" s="17">
        <f>M86</f>
        <v>43.142146829754992</v>
      </c>
    </row>
    <row r="44" spans="1:20" x14ac:dyDescent="0.3">
      <c r="A44" s="554"/>
      <c r="B44" s="219">
        <v>2016</v>
      </c>
      <c r="C44" s="219" t="s">
        <v>225</v>
      </c>
      <c r="D44" s="219">
        <v>17</v>
      </c>
      <c r="E44" s="219">
        <v>2372.4</v>
      </c>
      <c r="F44" s="169"/>
      <c r="G44" s="312">
        <v>42923</v>
      </c>
      <c r="H44" s="5">
        <v>25</v>
      </c>
      <c r="I44" t="s">
        <v>755</v>
      </c>
      <c r="J44" s="3">
        <v>2372.4</v>
      </c>
      <c r="K44">
        <v>139.7783</v>
      </c>
      <c r="L44">
        <v>1184.5013650862011</v>
      </c>
      <c r="M44" s="10">
        <v>49.928400146948285</v>
      </c>
      <c r="N44">
        <v>1164.896756619484</v>
      </c>
      <c r="O44">
        <v>49.102038299590454</v>
      </c>
      <c r="Q44">
        <v>2016</v>
      </c>
      <c r="R44" t="s">
        <v>109</v>
      </c>
      <c r="S44">
        <v>19</v>
      </c>
      <c r="T44" s="17" t="s">
        <v>720</v>
      </c>
    </row>
    <row r="45" spans="1:20" x14ac:dyDescent="0.3">
      <c r="A45" s="554"/>
      <c r="B45" s="219">
        <v>2016</v>
      </c>
      <c r="C45" s="219" t="s">
        <v>225</v>
      </c>
      <c r="D45" s="219">
        <v>18</v>
      </c>
      <c r="E45" s="219">
        <v>2740.3</v>
      </c>
      <c r="F45" s="169"/>
      <c r="G45" s="312">
        <v>42923</v>
      </c>
      <c r="H45" s="5">
        <v>26</v>
      </c>
      <c r="I45" t="s">
        <v>756</v>
      </c>
      <c r="J45" s="3">
        <v>2740.3</v>
      </c>
      <c r="K45">
        <v>139.0162</v>
      </c>
      <c r="L45">
        <v>1178.0483152530699</v>
      </c>
      <c r="M45" s="10">
        <v>42.989757152613571</v>
      </c>
      <c r="N45">
        <v>1158.5455002497918</v>
      </c>
      <c r="O45">
        <v>42.278053506907703</v>
      </c>
      <c r="Q45">
        <v>2016</v>
      </c>
      <c r="R45" t="s">
        <v>109</v>
      </c>
      <c r="S45">
        <v>20</v>
      </c>
      <c r="T45" s="17" t="s">
        <v>720</v>
      </c>
    </row>
    <row r="46" spans="1:20" x14ac:dyDescent="0.3">
      <c r="A46" s="255"/>
      <c r="B46" s="219">
        <v>2016</v>
      </c>
      <c r="C46" s="219" t="s">
        <v>225</v>
      </c>
      <c r="D46" s="219">
        <v>19</v>
      </c>
      <c r="E46" s="219" t="s">
        <v>720</v>
      </c>
      <c r="F46" s="169"/>
      <c r="Q46" s="84">
        <v>2016</v>
      </c>
      <c r="R46" s="84" t="s">
        <v>109</v>
      </c>
      <c r="S46" s="84">
        <v>21</v>
      </c>
      <c r="T46" s="315" t="s">
        <v>720</v>
      </c>
    </row>
    <row r="47" spans="1:20" x14ac:dyDescent="0.3">
      <c r="A47" s="255"/>
      <c r="B47" s="219">
        <v>2016</v>
      </c>
      <c r="C47" s="219" t="s">
        <v>225</v>
      </c>
      <c r="D47" s="219">
        <v>20</v>
      </c>
      <c r="E47" s="219" t="s">
        <v>720</v>
      </c>
      <c r="F47" s="169"/>
    </row>
    <row r="48" spans="1:20" s="84" customFormat="1" x14ac:dyDescent="0.3">
      <c r="A48" s="313"/>
      <c r="B48" s="293">
        <v>2016</v>
      </c>
      <c r="C48" s="293" t="s">
        <v>225</v>
      </c>
      <c r="D48" s="293">
        <v>21</v>
      </c>
      <c r="E48" s="293" t="s">
        <v>720</v>
      </c>
      <c r="F48" s="179"/>
      <c r="M48" s="314"/>
    </row>
    <row r="49" spans="1:20" x14ac:dyDescent="0.3">
      <c r="A49" s="554" t="s">
        <v>723</v>
      </c>
      <c r="B49" s="219">
        <v>2016</v>
      </c>
      <c r="C49" s="219" t="s">
        <v>239</v>
      </c>
      <c r="D49" s="219">
        <v>1</v>
      </c>
      <c r="E49" s="219">
        <v>2166.5</v>
      </c>
      <c r="F49" s="169"/>
      <c r="G49" s="312">
        <v>42923</v>
      </c>
      <c r="H49" s="5">
        <v>27</v>
      </c>
      <c r="I49" t="s">
        <v>757</v>
      </c>
      <c r="J49" s="3">
        <v>2166.5</v>
      </c>
      <c r="K49">
        <v>188.49809999999999</v>
      </c>
      <c r="L49">
        <v>1597.0342311932652</v>
      </c>
      <c r="M49" s="10">
        <v>73.71494258911909</v>
      </c>
      <c r="N49">
        <v>1570.9221339716905</v>
      </c>
      <c r="O49">
        <v>72.509676158397895</v>
      </c>
      <c r="Q49">
        <v>2016</v>
      </c>
      <c r="R49" s="17" t="s">
        <v>110</v>
      </c>
      <c r="S49">
        <v>1</v>
      </c>
      <c r="T49">
        <f>M49</f>
        <v>73.71494258911909</v>
      </c>
    </row>
    <row r="50" spans="1:20" x14ac:dyDescent="0.3">
      <c r="A50" s="554"/>
      <c r="B50" s="219">
        <v>2016</v>
      </c>
      <c r="C50" s="219" t="s">
        <v>239</v>
      </c>
      <c r="D50" s="219">
        <v>2</v>
      </c>
      <c r="E50" s="219">
        <v>2943.1</v>
      </c>
      <c r="F50" s="169"/>
      <c r="G50" s="312">
        <v>42923</v>
      </c>
      <c r="H50" s="5">
        <v>28</v>
      </c>
      <c r="I50" t="s">
        <v>758</v>
      </c>
      <c r="J50" s="3">
        <v>2943.1</v>
      </c>
      <c r="K50">
        <v>270.62729999999999</v>
      </c>
      <c r="L50">
        <v>2292.4597926093688</v>
      </c>
      <c r="M50" s="10">
        <v>77.892691128720358</v>
      </c>
      <c r="N50">
        <v>2255.3777233139053</v>
      </c>
      <c r="O50">
        <v>76.632724790659694</v>
      </c>
      <c r="Q50">
        <v>2016</v>
      </c>
      <c r="R50" s="17" t="s">
        <v>110</v>
      </c>
      <c r="S50">
        <v>2</v>
      </c>
      <c r="T50">
        <f t="shared" ref="T50:T57" si="2">M50</f>
        <v>77.892691128720358</v>
      </c>
    </row>
    <row r="51" spans="1:20" x14ac:dyDescent="0.3">
      <c r="A51" s="554"/>
      <c r="B51" s="219">
        <v>2016</v>
      </c>
      <c r="C51" s="219" t="s">
        <v>239</v>
      </c>
      <c r="D51" s="219">
        <v>3</v>
      </c>
      <c r="E51" s="219">
        <v>2420.6</v>
      </c>
      <c r="F51" s="169"/>
      <c r="G51" s="312">
        <v>42923</v>
      </c>
      <c r="H51" s="5">
        <v>29</v>
      </c>
      <c r="I51" t="s">
        <v>759</v>
      </c>
      <c r="J51" s="3">
        <v>2420.6</v>
      </c>
      <c r="K51">
        <v>218.3801</v>
      </c>
      <c r="L51">
        <v>1850.0588147303752</v>
      </c>
      <c r="M51" s="10">
        <v>76.429761824769699</v>
      </c>
      <c r="N51">
        <v>1819.955387926728</v>
      </c>
      <c r="O51">
        <v>75.186126907656288</v>
      </c>
      <c r="Q51">
        <v>2016</v>
      </c>
      <c r="R51" s="17" t="s">
        <v>110</v>
      </c>
      <c r="S51">
        <v>3</v>
      </c>
      <c r="T51">
        <f t="shared" si="2"/>
        <v>76.429761824769699</v>
      </c>
    </row>
    <row r="52" spans="1:20" x14ac:dyDescent="0.3">
      <c r="A52" s="554"/>
      <c r="B52" s="219">
        <v>2016</v>
      </c>
      <c r="C52" s="219" t="s">
        <v>239</v>
      </c>
      <c r="D52" s="219">
        <v>4</v>
      </c>
      <c r="E52" s="219">
        <v>2029.2</v>
      </c>
      <c r="F52" s="169"/>
      <c r="G52" s="312">
        <v>42927</v>
      </c>
      <c r="H52" s="5">
        <v>21</v>
      </c>
      <c r="I52" t="s">
        <v>766</v>
      </c>
      <c r="J52" s="3">
        <v>2029.2</v>
      </c>
      <c r="K52">
        <v>171.33275</v>
      </c>
      <c r="L52">
        <v>1451.1125954035949</v>
      </c>
      <c r="M52" s="10">
        <v>71.511560979873593</v>
      </c>
      <c r="N52">
        <v>1427.8680222731057</v>
      </c>
      <c r="O52">
        <v>70.366056686039116</v>
      </c>
      <c r="Q52">
        <v>2016</v>
      </c>
      <c r="R52" s="17" t="s">
        <v>110</v>
      </c>
      <c r="S52">
        <v>4</v>
      </c>
      <c r="T52">
        <f t="shared" si="2"/>
        <v>71.511560979873593</v>
      </c>
    </row>
    <row r="53" spans="1:20" x14ac:dyDescent="0.3">
      <c r="A53" s="554"/>
      <c r="B53" s="219">
        <v>2016</v>
      </c>
      <c r="C53" s="219" t="s">
        <v>239</v>
      </c>
      <c r="D53" s="219">
        <v>5</v>
      </c>
      <c r="E53" s="219">
        <v>2226.8000000000002</v>
      </c>
      <c r="F53" s="169"/>
      <c r="G53" s="312">
        <v>42927</v>
      </c>
      <c r="H53" s="5">
        <v>23</v>
      </c>
      <c r="I53" t="s">
        <v>767</v>
      </c>
      <c r="J53" s="3">
        <v>2226.8000000000002</v>
      </c>
      <c r="K53">
        <v>188.57245</v>
      </c>
      <c r="L53">
        <v>1596.4985801647797</v>
      </c>
      <c r="M53" s="10">
        <v>71.694744932853411</v>
      </c>
      <c r="N53">
        <v>1571.5417585761868</v>
      </c>
      <c r="O53">
        <v>70.573996702720791</v>
      </c>
      <c r="Q53">
        <v>2016</v>
      </c>
      <c r="R53" s="17" t="s">
        <v>110</v>
      </c>
      <c r="S53">
        <v>5</v>
      </c>
      <c r="T53">
        <f t="shared" si="2"/>
        <v>71.694744932853411</v>
      </c>
    </row>
    <row r="54" spans="1:20" x14ac:dyDescent="0.3">
      <c r="A54" s="554"/>
      <c r="B54" s="219">
        <v>2016</v>
      </c>
      <c r="C54" s="219" t="s">
        <v>239</v>
      </c>
      <c r="D54" s="219">
        <v>6</v>
      </c>
      <c r="E54" s="219">
        <v>2683.9</v>
      </c>
      <c r="F54" s="169"/>
      <c r="G54" s="312">
        <v>42927</v>
      </c>
      <c r="H54" s="5">
        <v>24</v>
      </c>
      <c r="I54" t="s">
        <v>768</v>
      </c>
      <c r="J54" s="3">
        <v>2683.9</v>
      </c>
      <c r="K54">
        <v>214.95495</v>
      </c>
      <c r="L54">
        <v>1818.987703697205</v>
      </c>
      <c r="M54" s="10">
        <v>67.77404909635996</v>
      </c>
      <c r="N54">
        <v>1791.4105699833472</v>
      </c>
      <c r="O54">
        <v>66.746546815579833</v>
      </c>
      <c r="Q54">
        <v>2016</v>
      </c>
      <c r="R54" s="17" t="s">
        <v>110</v>
      </c>
      <c r="S54">
        <v>6</v>
      </c>
      <c r="T54">
        <f t="shared" si="2"/>
        <v>67.77404909635996</v>
      </c>
    </row>
    <row r="55" spans="1:20" x14ac:dyDescent="0.3">
      <c r="A55" s="554" t="s">
        <v>722</v>
      </c>
      <c r="B55" s="219">
        <v>2016</v>
      </c>
      <c r="C55" s="219" t="s">
        <v>239</v>
      </c>
      <c r="D55" s="219">
        <v>7</v>
      </c>
      <c r="E55" s="219">
        <v>2983.7</v>
      </c>
      <c r="F55" s="169"/>
      <c r="G55" s="312">
        <v>42927</v>
      </c>
      <c r="H55" s="5">
        <v>25</v>
      </c>
      <c r="I55" t="s">
        <v>769</v>
      </c>
      <c r="J55" s="3">
        <v>2983.7</v>
      </c>
      <c r="K55">
        <v>250.92974999999998</v>
      </c>
      <c r="L55">
        <v>2122.3706932264117</v>
      </c>
      <c r="M55" s="10">
        <v>71.132174589483256</v>
      </c>
      <c r="N55">
        <v>2091.220539342215</v>
      </c>
      <c r="O55">
        <v>70.088163667333021</v>
      </c>
      <c r="Q55">
        <v>2016</v>
      </c>
      <c r="R55" s="17" t="s">
        <v>110</v>
      </c>
      <c r="S55">
        <v>7</v>
      </c>
      <c r="T55">
        <f t="shared" si="2"/>
        <v>71.132174589483256</v>
      </c>
    </row>
    <row r="56" spans="1:20" x14ac:dyDescent="0.3">
      <c r="A56" s="554"/>
      <c r="B56" s="219">
        <v>2016</v>
      </c>
      <c r="C56" s="219" t="s">
        <v>239</v>
      </c>
      <c r="D56" s="219">
        <v>8</v>
      </c>
      <c r="E56" s="219">
        <v>3205.9</v>
      </c>
      <c r="F56" s="169"/>
      <c r="G56" s="312">
        <v>42927</v>
      </c>
      <c r="H56" s="5">
        <v>26</v>
      </c>
      <c r="I56" t="s">
        <v>770</v>
      </c>
      <c r="J56" s="3">
        <v>3205.9</v>
      </c>
      <c r="K56">
        <v>276.56655000000001</v>
      </c>
      <c r="L56">
        <v>2338.57117317244</v>
      </c>
      <c r="M56" s="10">
        <v>72.945855241038089</v>
      </c>
      <c r="N56">
        <v>2304.8747701498755</v>
      </c>
      <c r="O56">
        <v>71.894780565515944</v>
      </c>
      <c r="Q56">
        <v>2016</v>
      </c>
      <c r="R56" s="17" t="s">
        <v>110</v>
      </c>
      <c r="S56">
        <v>8</v>
      </c>
      <c r="T56">
        <f t="shared" si="2"/>
        <v>72.945855241038089</v>
      </c>
    </row>
    <row r="57" spans="1:20" x14ac:dyDescent="0.3">
      <c r="A57" s="554"/>
      <c r="B57" s="219">
        <v>2016</v>
      </c>
      <c r="C57" s="219" t="s">
        <v>239</v>
      </c>
      <c r="D57" s="219">
        <v>9</v>
      </c>
      <c r="E57" s="219">
        <v>3083.3</v>
      </c>
      <c r="F57" s="169"/>
      <c r="G57" s="312">
        <v>42927</v>
      </c>
      <c r="H57" s="5">
        <v>19</v>
      </c>
      <c r="I57" t="s">
        <v>764</v>
      </c>
      <c r="J57" s="3">
        <v>3083.3</v>
      </c>
      <c r="K57">
        <v>256.94395000000003</v>
      </c>
      <c r="L57">
        <v>2173.0896958512089</v>
      </c>
      <c r="M57" s="10">
        <v>70.479346669192395</v>
      </c>
      <c r="N57">
        <v>2141.3422111157374</v>
      </c>
      <c r="O57">
        <v>69.449687384157798</v>
      </c>
      <c r="Q57">
        <v>2016</v>
      </c>
      <c r="R57" s="17" t="s">
        <v>110</v>
      </c>
      <c r="S57">
        <v>9</v>
      </c>
      <c r="T57">
        <f t="shared" si="2"/>
        <v>70.479346669192395</v>
      </c>
    </row>
    <row r="58" spans="1:20" x14ac:dyDescent="0.3">
      <c r="A58" s="554"/>
      <c r="B58" s="219">
        <v>2016</v>
      </c>
      <c r="C58" s="219" t="s">
        <v>239</v>
      </c>
      <c r="D58" s="219" t="s">
        <v>713</v>
      </c>
      <c r="E58" s="219">
        <v>3096.1</v>
      </c>
      <c r="F58" s="169"/>
      <c r="G58" s="312">
        <v>42927</v>
      </c>
      <c r="H58" s="5">
        <v>20</v>
      </c>
      <c r="I58" t="s">
        <v>765</v>
      </c>
      <c r="J58" s="3">
        <v>3096.1</v>
      </c>
      <c r="K58">
        <v>249.45535000000001</v>
      </c>
      <c r="L58">
        <v>2109.9367705982982</v>
      </c>
      <c r="M58" s="10">
        <v>68.148211317408936</v>
      </c>
      <c r="N58">
        <v>2078.9330542464613</v>
      </c>
      <c r="O58">
        <v>67.14683163484581</v>
      </c>
      <c r="Q58">
        <v>2016</v>
      </c>
      <c r="R58" s="17" t="s">
        <v>110</v>
      </c>
      <c r="S58" s="17">
        <v>10</v>
      </c>
      <c r="T58" s="17">
        <f>M89</f>
        <v>68.057700253064866</v>
      </c>
    </row>
    <row r="59" spans="1:20" x14ac:dyDescent="0.3">
      <c r="A59" s="554"/>
      <c r="B59" s="219">
        <v>2016</v>
      </c>
      <c r="C59" s="219" t="s">
        <v>239</v>
      </c>
      <c r="D59" s="219" t="s">
        <v>714</v>
      </c>
      <c r="E59" s="219">
        <v>2083.3000000000002</v>
      </c>
      <c r="F59" s="169"/>
      <c r="G59" s="312">
        <v>42927</v>
      </c>
      <c r="H59" s="5">
        <v>27</v>
      </c>
      <c r="I59" t="s">
        <v>771</v>
      </c>
      <c r="J59" s="3">
        <v>2083.3000000000002</v>
      </c>
      <c r="K59">
        <v>167.16444999999999</v>
      </c>
      <c r="L59">
        <v>1415.9604523686205</v>
      </c>
      <c r="M59" s="10">
        <v>67.967189188720795</v>
      </c>
      <c r="N59">
        <v>1393.1298751457118</v>
      </c>
      <c r="O59">
        <v>66.871303947857328</v>
      </c>
      <c r="Q59">
        <v>2016</v>
      </c>
      <c r="R59" s="17" t="s">
        <v>110</v>
      </c>
      <c r="S59" s="17">
        <v>11</v>
      </c>
      <c r="T59" s="17">
        <f>M60</f>
        <v>54.23787099162233</v>
      </c>
    </row>
    <row r="60" spans="1:20" x14ac:dyDescent="0.3">
      <c r="A60" s="554"/>
      <c r="B60" s="219">
        <v>2016</v>
      </c>
      <c r="C60" s="219" t="s">
        <v>239</v>
      </c>
      <c r="D60" s="219">
        <v>11</v>
      </c>
      <c r="E60" s="219">
        <v>2114</v>
      </c>
      <c r="F60" s="169"/>
      <c r="G60" s="312">
        <v>42927</v>
      </c>
      <c r="H60" s="5">
        <v>28</v>
      </c>
      <c r="I60" t="s">
        <v>772</v>
      </c>
      <c r="J60" s="3">
        <v>2114</v>
      </c>
      <c r="K60">
        <v>135.22264999999999</v>
      </c>
      <c r="L60">
        <v>1146.588592762896</v>
      </c>
      <c r="M60" s="10">
        <v>54.23787099162233</v>
      </c>
      <c r="N60">
        <v>1126.9304778101582</v>
      </c>
      <c r="O60">
        <v>53.307969622051004</v>
      </c>
      <c r="Q60">
        <v>2016</v>
      </c>
      <c r="R60" s="17" t="s">
        <v>110</v>
      </c>
      <c r="S60" s="17">
        <v>12</v>
      </c>
      <c r="T60" s="17">
        <f>M91</f>
        <v>53.736415093943798</v>
      </c>
    </row>
    <row r="61" spans="1:20" x14ac:dyDescent="0.3">
      <c r="A61" s="554"/>
      <c r="B61" s="219">
        <v>2016</v>
      </c>
      <c r="C61" s="219" t="s">
        <v>239</v>
      </c>
      <c r="D61" s="219" t="s">
        <v>715</v>
      </c>
      <c r="E61" s="219">
        <v>3053.3</v>
      </c>
      <c r="F61" s="169"/>
      <c r="G61" s="312">
        <v>42927</v>
      </c>
      <c r="H61" s="5">
        <v>29</v>
      </c>
      <c r="I61" t="s">
        <v>773</v>
      </c>
      <c r="J61" s="3">
        <v>3053.3</v>
      </c>
      <c r="K61">
        <v>194.49054999999998</v>
      </c>
      <c r="L61">
        <v>1646.4071514517025</v>
      </c>
      <c r="M61" s="10">
        <v>53.922220268290118</v>
      </c>
      <c r="N61">
        <v>1620.8625436719401</v>
      </c>
      <c r="O61">
        <v>53.085597342938463</v>
      </c>
      <c r="Q61">
        <v>2016</v>
      </c>
      <c r="R61" s="17" t="s">
        <v>110</v>
      </c>
      <c r="S61">
        <v>13</v>
      </c>
      <c r="T61">
        <f>M63</f>
        <v>63.09065403298699</v>
      </c>
    </row>
    <row r="62" spans="1:20" x14ac:dyDescent="0.3">
      <c r="A62" s="554"/>
      <c r="B62" s="219">
        <v>2016</v>
      </c>
      <c r="C62" s="219" t="s">
        <v>239</v>
      </c>
      <c r="D62" s="219" t="s">
        <v>716</v>
      </c>
      <c r="E62" s="219">
        <v>3084.2</v>
      </c>
      <c r="F62" s="169"/>
      <c r="G62" s="312">
        <v>42927</v>
      </c>
      <c r="H62" s="5">
        <v>30</v>
      </c>
      <c r="I62" t="s">
        <v>774</v>
      </c>
      <c r="J62" s="3">
        <v>3084.2</v>
      </c>
      <c r="K62">
        <v>195.10724999999999</v>
      </c>
      <c r="L62">
        <v>1651.6079111402253</v>
      </c>
      <c r="M62" s="10">
        <v>53.550609919597477</v>
      </c>
      <c r="N62">
        <v>1626.0020526644462</v>
      </c>
      <c r="O62">
        <v>52.72038300578582</v>
      </c>
      <c r="R62" s="17"/>
      <c r="S62" s="17"/>
      <c r="T62" s="143"/>
    </row>
    <row r="63" spans="1:20" x14ac:dyDescent="0.3">
      <c r="A63" s="554"/>
      <c r="B63" s="219">
        <v>2016</v>
      </c>
      <c r="C63" s="219" t="s">
        <v>239</v>
      </c>
      <c r="D63" s="219">
        <v>13</v>
      </c>
      <c r="E63" s="219">
        <v>2249.6</v>
      </c>
      <c r="F63" s="169"/>
      <c r="G63" s="312">
        <v>42927</v>
      </c>
      <c r="H63" s="5">
        <v>31</v>
      </c>
      <c r="I63" t="s">
        <v>775</v>
      </c>
      <c r="J63" s="3">
        <v>2249.6</v>
      </c>
      <c r="K63">
        <v>167.55895000000001</v>
      </c>
      <c r="L63">
        <v>1419.2873531260752</v>
      </c>
      <c r="M63" s="10">
        <v>63.09065403298699</v>
      </c>
      <c r="N63">
        <v>1396.4175941298918</v>
      </c>
      <c r="O63">
        <v>62.074039568362899</v>
      </c>
    </row>
    <row r="64" spans="1:20" x14ac:dyDescent="0.3">
      <c r="A64" s="277"/>
      <c r="B64" s="219"/>
      <c r="C64" s="219"/>
      <c r="D64" s="219"/>
      <c r="E64" s="219"/>
      <c r="F64" s="169"/>
    </row>
    <row r="65" spans="1:15" x14ac:dyDescent="0.3">
      <c r="A65" s="277"/>
      <c r="B65" s="219"/>
      <c r="C65" s="219"/>
      <c r="D65" s="219"/>
      <c r="E65" s="219"/>
      <c r="F65" s="169"/>
    </row>
    <row r="66" spans="1:15" x14ac:dyDescent="0.3">
      <c r="A66" s="36" t="s">
        <v>737</v>
      </c>
      <c r="B66" s="219">
        <v>2016</v>
      </c>
      <c r="C66" s="219" t="s">
        <v>175</v>
      </c>
      <c r="D66" s="219" t="s">
        <v>717</v>
      </c>
      <c r="E66" s="219">
        <v>2795.7</v>
      </c>
      <c r="F66" s="169"/>
      <c r="G66" s="312">
        <v>42928</v>
      </c>
      <c r="H66" s="5">
        <v>18</v>
      </c>
      <c r="I66" t="s">
        <v>781</v>
      </c>
      <c r="J66" s="3">
        <v>2795.7</v>
      </c>
      <c r="K66">
        <v>221.1208</v>
      </c>
      <c r="L66">
        <v>1889.4581930595373</v>
      </c>
      <c r="M66" s="10">
        <v>67.584440142344931</v>
      </c>
      <c r="N66">
        <v>1842.7960759367195</v>
      </c>
      <c r="O66">
        <v>65.915372748746989</v>
      </c>
    </row>
    <row r="67" spans="1:15" x14ac:dyDescent="0.3">
      <c r="B67" s="219">
        <v>2016</v>
      </c>
      <c r="C67" s="219" t="s">
        <v>175</v>
      </c>
      <c r="D67" s="219" t="s">
        <v>718</v>
      </c>
      <c r="E67" s="219">
        <v>3303.6</v>
      </c>
      <c r="F67" s="169"/>
      <c r="G67" s="312">
        <v>42928</v>
      </c>
      <c r="H67" s="5">
        <v>17</v>
      </c>
      <c r="I67" t="s">
        <v>780</v>
      </c>
      <c r="J67" s="3">
        <v>3303.6</v>
      </c>
      <c r="K67">
        <v>261.38059999999996</v>
      </c>
      <c r="L67">
        <v>2232.4500450174714</v>
      </c>
      <c r="M67" s="10">
        <v>67.576281784037761</v>
      </c>
      <c r="N67">
        <v>2178.3167572023312</v>
      </c>
      <c r="O67">
        <v>65.93766670306124</v>
      </c>
    </row>
    <row r="68" spans="1:15" x14ac:dyDescent="0.3">
      <c r="B68" s="219">
        <v>2016</v>
      </c>
      <c r="C68" s="219" t="s">
        <v>225</v>
      </c>
      <c r="D68" s="219" t="s">
        <v>717</v>
      </c>
      <c r="E68" s="219">
        <v>2515.8000000000002</v>
      </c>
      <c r="F68" s="169"/>
      <c r="G68" s="312">
        <v>42928</v>
      </c>
      <c r="H68" s="5">
        <v>19</v>
      </c>
      <c r="I68" t="s">
        <v>782</v>
      </c>
      <c r="J68" s="3">
        <v>2515.8000000000002</v>
      </c>
      <c r="K68">
        <v>211.9315</v>
      </c>
      <c r="L68">
        <v>1811.1702973124882</v>
      </c>
      <c r="M68" s="10">
        <v>71.991823567552586</v>
      </c>
      <c r="N68">
        <v>1766.2134750208161</v>
      </c>
      <c r="O68">
        <v>70.204844384323707</v>
      </c>
    </row>
    <row r="69" spans="1:15" x14ac:dyDescent="0.3">
      <c r="B69" s="219">
        <v>2016</v>
      </c>
      <c r="C69" s="219" t="s">
        <v>225</v>
      </c>
      <c r="D69" s="219" t="s">
        <v>718</v>
      </c>
      <c r="E69" s="219">
        <v>2083.1</v>
      </c>
      <c r="F69" s="169"/>
      <c r="G69" s="312">
        <v>42928</v>
      </c>
      <c r="H69" s="5">
        <v>20</v>
      </c>
      <c r="I69" t="s">
        <v>783</v>
      </c>
      <c r="J69" s="3">
        <v>2083.1</v>
      </c>
      <c r="K69">
        <v>178.41990000000001</v>
      </c>
      <c r="L69">
        <v>1525.6694814596146</v>
      </c>
      <c r="M69" s="10">
        <v>73.240338027920643</v>
      </c>
      <c r="N69">
        <v>1486.9315396336387</v>
      </c>
      <c r="O69">
        <v>71.380708541771341</v>
      </c>
    </row>
    <row r="70" spans="1:15" x14ac:dyDescent="0.3">
      <c r="B70" s="219">
        <v>2016</v>
      </c>
      <c r="C70" s="219" t="s">
        <v>225</v>
      </c>
      <c r="D70" s="219">
        <v>17</v>
      </c>
      <c r="E70" s="3">
        <v>2973.9</v>
      </c>
      <c r="F70" s="169"/>
      <c r="G70" s="312">
        <v>42928</v>
      </c>
      <c r="H70" s="5">
        <v>34</v>
      </c>
      <c r="I70" t="s">
        <v>755</v>
      </c>
      <c r="J70" s="3">
        <v>2973.9</v>
      </c>
      <c r="K70">
        <v>175.49</v>
      </c>
      <c r="L70">
        <v>1500.7083086010423</v>
      </c>
      <c r="M70" s="10">
        <v>50.462635213054988</v>
      </c>
      <c r="N70">
        <v>1462.5140799333892</v>
      </c>
      <c r="O70">
        <v>49.178320721389056</v>
      </c>
    </row>
    <row r="71" spans="1:15" x14ac:dyDescent="0.3">
      <c r="B71" s="219">
        <v>2016</v>
      </c>
      <c r="C71" s="219" t="s">
        <v>225</v>
      </c>
      <c r="D71" s="219">
        <v>18</v>
      </c>
      <c r="E71" s="3">
        <v>2688.8</v>
      </c>
      <c r="F71" s="169"/>
      <c r="G71" s="312">
        <v>42928</v>
      </c>
      <c r="H71" s="5">
        <v>35</v>
      </c>
      <c r="I71" t="s">
        <v>756</v>
      </c>
      <c r="J71" s="3">
        <v>2688.8</v>
      </c>
      <c r="K71">
        <v>135.97990000000001</v>
      </c>
      <c r="L71">
        <v>1164.103497597431</v>
      </c>
      <c r="M71" s="10">
        <v>43.294536506896421</v>
      </c>
      <c r="N71">
        <v>1133.2413148209828</v>
      </c>
      <c r="O71">
        <v>42.146731434877367</v>
      </c>
    </row>
    <row r="72" spans="1:15" x14ac:dyDescent="0.3">
      <c r="B72" s="219">
        <v>2016</v>
      </c>
      <c r="C72" s="219" t="s">
        <v>225</v>
      </c>
      <c r="D72" s="219">
        <v>17</v>
      </c>
      <c r="E72" s="219">
        <v>2372.4</v>
      </c>
      <c r="F72" s="169"/>
      <c r="G72" s="312">
        <v>42923</v>
      </c>
      <c r="H72" s="5">
        <v>25</v>
      </c>
      <c r="I72" t="s">
        <v>755</v>
      </c>
      <c r="J72" s="3">
        <v>2372.4</v>
      </c>
      <c r="K72">
        <v>139.7783</v>
      </c>
      <c r="L72">
        <v>1184.5013650862011</v>
      </c>
      <c r="M72" s="10">
        <v>49.928400146948285</v>
      </c>
      <c r="N72">
        <v>1164.896756619484</v>
      </c>
      <c r="O72">
        <v>49.102038299590454</v>
      </c>
    </row>
    <row r="73" spans="1:15" x14ac:dyDescent="0.3">
      <c r="B73" s="219">
        <v>2016</v>
      </c>
      <c r="C73" s="219" t="s">
        <v>225</v>
      </c>
      <c r="D73" s="219">
        <v>18</v>
      </c>
      <c r="E73" s="219">
        <v>2740.3</v>
      </c>
      <c r="F73" s="169"/>
      <c r="G73" s="312">
        <v>42923</v>
      </c>
      <c r="H73" s="5">
        <v>26</v>
      </c>
      <c r="I73" t="s">
        <v>756</v>
      </c>
      <c r="J73" s="3">
        <v>2740.3</v>
      </c>
      <c r="K73">
        <v>139.0162</v>
      </c>
      <c r="L73">
        <v>1178.0483152530699</v>
      </c>
      <c r="M73" s="10">
        <v>42.989757152613571</v>
      </c>
      <c r="N73">
        <v>1158.5455002497918</v>
      </c>
      <c r="O73">
        <v>42.278053506907703</v>
      </c>
    </row>
    <row r="74" spans="1:15" x14ac:dyDescent="0.3">
      <c r="B74" s="219">
        <v>2016</v>
      </c>
      <c r="C74" s="219" t="s">
        <v>225</v>
      </c>
      <c r="D74" s="219" t="s">
        <v>711</v>
      </c>
      <c r="E74" s="219">
        <v>2797.1</v>
      </c>
      <c r="F74" s="169"/>
      <c r="G74" s="312">
        <v>42923</v>
      </c>
      <c r="H74" s="5">
        <v>23</v>
      </c>
      <c r="I74" t="s">
        <v>753</v>
      </c>
      <c r="J74" s="3">
        <v>2797.1</v>
      </c>
      <c r="K74">
        <v>207.8263</v>
      </c>
      <c r="L74">
        <v>1760.6949552251897</v>
      </c>
      <c r="M74" s="10">
        <v>62.947157957355472</v>
      </c>
      <c r="N74">
        <v>1732.0011962531223</v>
      </c>
      <c r="O74">
        <v>61.921318374499386</v>
      </c>
    </row>
    <row r="75" spans="1:15" x14ac:dyDescent="0.3">
      <c r="A75" s="84"/>
      <c r="B75" s="219">
        <v>2016</v>
      </c>
      <c r="C75" s="219" t="s">
        <v>225</v>
      </c>
      <c r="D75" s="219" t="s">
        <v>712</v>
      </c>
      <c r="E75" s="219">
        <v>2863.4</v>
      </c>
      <c r="F75" s="169"/>
      <c r="G75" s="312">
        <v>42923</v>
      </c>
      <c r="H75" s="5">
        <v>24</v>
      </c>
      <c r="I75" t="s">
        <v>754</v>
      </c>
      <c r="J75" s="3">
        <v>2863.4</v>
      </c>
      <c r="K75">
        <v>213.28640000000001</v>
      </c>
      <c r="L75">
        <v>1806.9281233053375</v>
      </c>
      <c r="M75" s="10">
        <v>63.104285929501202</v>
      </c>
      <c r="N75">
        <v>1777.5050604496257</v>
      </c>
      <c r="O75">
        <v>62.076729079053763</v>
      </c>
    </row>
    <row r="76" spans="1:15" x14ac:dyDescent="0.3">
      <c r="B76" s="219">
        <v>2016</v>
      </c>
      <c r="C76" s="219" t="s">
        <v>239</v>
      </c>
      <c r="D76" s="219" t="s">
        <v>713</v>
      </c>
      <c r="E76" s="219">
        <v>3096.1</v>
      </c>
      <c r="F76" s="169"/>
      <c r="G76" s="312">
        <v>42927</v>
      </c>
      <c r="H76" s="5">
        <v>20</v>
      </c>
      <c r="I76" t="s">
        <v>765</v>
      </c>
      <c r="J76" s="3">
        <v>3096.1</v>
      </c>
      <c r="K76">
        <v>249.45535000000001</v>
      </c>
      <c r="L76">
        <v>2109.9367705982982</v>
      </c>
      <c r="M76" s="10">
        <v>68.148211317408936</v>
      </c>
      <c r="N76">
        <v>2078.9330542464613</v>
      </c>
      <c r="O76">
        <v>67.14683163484581</v>
      </c>
    </row>
    <row r="77" spans="1:15" x14ac:dyDescent="0.3">
      <c r="B77" s="219">
        <v>2016</v>
      </c>
      <c r="C77" s="219" t="s">
        <v>239</v>
      </c>
      <c r="D77" s="219" t="s">
        <v>714</v>
      </c>
      <c r="E77" s="219">
        <v>2083.3000000000002</v>
      </c>
      <c r="F77" s="169"/>
      <c r="G77" s="312">
        <v>42927</v>
      </c>
      <c r="H77" s="5">
        <v>27</v>
      </c>
      <c r="I77" t="s">
        <v>771</v>
      </c>
      <c r="J77" s="3">
        <v>2083.3000000000002</v>
      </c>
      <c r="K77">
        <v>167.16444999999999</v>
      </c>
      <c r="L77">
        <v>1415.9604523686205</v>
      </c>
      <c r="M77" s="10">
        <v>67.967189188720795</v>
      </c>
      <c r="N77">
        <v>1393.1298751457118</v>
      </c>
      <c r="O77">
        <v>66.871303947857328</v>
      </c>
    </row>
    <row r="78" spans="1:15" x14ac:dyDescent="0.3">
      <c r="A78" s="3"/>
      <c r="B78" s="219">
        <v>2016</v>
      </c>
      <c r="C78" s="219" t="s">
        <v>239</v>
      </c>
      <c r="D78" s="219" t="s">
        <v>715</v>
      </c>
      <c r="E78" s="219">
        <v>3053.3</v>
      </c>
      <c r="F78" s="169"/>
      <c r="G78" s="312">
        <v>42927</v>
      </c>
      <c r="H78" s="5">
        <v>29</v>
      </c>
      <c r="I78" t="s">
        <v>773</v>
      </c>
      <c r="J78" s="3">
        <v>3053.3</v>
      </c>
      <c r="K78">
        <v>194.49054999999998</v>
      </c>
      <c r="L78">
        <v>1646.4071514517025</v>
      </c>
      <c r="M78" s="10">
        <v>53.922220268290118</v>
      </c>
      <c r="N78">
        <v>1620.8625436719401</v>
      </c>
      <c r="O78">
        <v>53.085597342938463</v>
      </c>
    </row>
    <row r="79" spans="1:15" x14ac:dyDescent="0.3">
      <c r="A79" s="3"/>
      <c r="B79" s="219">
        <v>2016</v>
      </c>
      <c r="C79" s="219" t="s">
        <v>239</v>
      </c>
      <c r="D79" s="219" t="s">
        <v>716</v>
      </c>
      <c r="E79" s="219">
        <v>3084.2</v>
      </c>
      <c r="F79" s="169"/>
      <c r="G79" s="312">
        <v>42927</v>
      </c>
      <c r="H79" s="5">
        <v>30</v>
      </c>
      <c r="I79" t="s">
        <v>774</v>
      </c>
      <c r="J79" s="3">
        <v>3084.2</v>
      </c>
      <c r="K79">
        <v>195.10724999999999</v>
      </c>
      <c r="L79">
        <v>1651.6079111402253</v>
      </c>
      <c r="M79" s="10">
        <v>53.550609919597477</v>
      </c>
      <c r="N79">
        <v>1626.0020526644462</v>
      </c>
      <c r="O79">
        <v>52.72038300578582</v>
      </c>
    </row>
    <row r="80" spans="1:15" x14ac:dyDescent="0.3">
      <c r="B80" s="219"/>
      <c r="C80" s="219"/>
      <c r="D80" s="219"/>
      <c r="E80" s="219"/>
      <c r="F80" s="169"/>
    </row>
    <row r="81" spans="1:13" x14ac:dyDescent="0.3">
      <c r="A81" s="36" t="s">
        <v>738</v>
      </c>
      <c r="B81" s="219">
        <v>2016</v>
      </c>
      <c r="C81" s="219" t="s">
        <v>175</v>
      </c>
      <c r="D81" s="219" t="s">
        <v>717</v>
      </c>
      <c r="E81" s="219"/>
      <c r="F81" s="169"/>
      <c r="L81" s="17" t="s">
        <v>800</v>
      </c>
      <c r="M81" s="10">
        <f>AVERAGE(M66:M67)</f>
        <v>67.580360963191339</v>
      </c>
    </row>
    <row r="82" spans="1:13" x14ac:dyDescent="0.3">
      <c r="A82" s="3"/>
      <c r="B82" s="219">
        <v>2016</v>
      </c>
      <c r="C82" s="219" t="s">
        <v>175</v>
      </c>
      <c r="D82" s="219" t="s">
        <v>718</v>
      </c>
      <c r="E82" s="219"/>
      <c r="F82" s="169"/>
    </row>
    <row r="83" spans="1:13" x14ac:dyDescent="0.3">
      <c r="A83" s="3"/>
      <c r="B83" s="219">
        <v>2016</v>
      </c>
      <c r="C83" s="219" t="s">
        <v>225</v>
      </c>
      <c r="D83" s="219" t="s">
        <v>717</v>
      </c>
      <c r="E83" s="219"/>
      <c r="F83" s="169"/>
      <c r="L83" s="17" t="s">
        <v>800</v>
      </c>
      <c r="M83" s="10">
        <f>AVERAGE(M68:M69)</f>
        <v>72.616080797736615</v>
      </c>
    </row>
    <row r="84" spans="1:13" x14ac:dyDescent="0.3">
      <c r="A84" s="3"/>
      <c r="B84" s="219">
        <v>2016</v>
      </c>
      <c r="C84" s="219" t="s">
        <v>225</v>
      </c>
      <c r="D84" s="219" t="s">
        <v>718</v>
      </c>
      <c r="E84" s="219"/>
      <c r="F84" s="169"/>
    </row>
    <row r="85" spans="1:13" x14ac:dyDescent="0.3">
      <c r="A85" s="3"/>
      <c r="B85" s="219">
        <v>2016</v>
      </c>
      <c r="C85" s="219" t="s">
        <v>225</v>
      </c>
      <c r="D85" s="219">
        <v>17</v>
      </c>
      <c r="E85" s="169"/>
      <c r="F85" s="169"/>
      <c r="L85" s="17" t="s">
        <v>800</v>
      </c>
      <c r="M85" s="10">
        <f>AVERAGE(M70,M72)</f>
        <v>50.195517680001636</v>
      </c>
    </row>
    <row r="86" spans="1:13" x14ac:dyDescent="0.3">
      <c r="A86" s="3"/>
      <c r="B86" s="219">
        <v>2016</v>
      </c>
      <c r="C86" s="219" t="s">
        <v>225</v>
      </c>
      <c r="D86" s="219">
        <v>18</v>
      </c>
      <c r="E86" s="169"/>
      <c r="F86" s="169"/>
      <c r="L86" s="17" t="s">
        <v>800</v>
      </c>
      <c r="M86" s="10">
        <f>AVERAGE(M71,M73)</f>
        <v>43.142146829754992</v>
      </c>
    </row>
    <row r="87" spans="1:13" x14ac:dyDescent="0.3">
      <c r="A87" s="3"/>
      <c r="B87" s="219">
        <v>2016</v>
      </c>
      <c r="C87" s="219" t="s">
        <v>225</v>
      </c>
      <c r="D87" s="219" t="s">
        <v>711</v>
      </c>
      <c r="E87" s="169"/>
      <c r="F87" s="169"/>
      <c r="L87" s="17" t="s">
        <v>800</v>
      </c>
      <c r="M87" s="10">
        <f>AVERAGE(M74:M75)</f>
        <v>63.025721943428337</v>
      </c>
    </row>
    <row r="88" spans="1:13" x14ac:dyDescent="0.3">
      <c r="A88" s="3"/>
      <c r="B88" s="219">
        <v>2016</v>
      </c>
      <c r="C88" s="219" t="s">
        <v>225</v>
      </c>
      <c r="D88" s="219" t="s">
        <v>712</v>
      </c>
      <c r="F88" s="169"/>
    </row>
    <row r="89" spans="1:13" x14ac:dyDescent="0.3">
      <c r="A89" s="3"/>
      <c r="B89" s="219">
        <v>2016</v>
      </c>
      <c r="C89" s="219" t="s">
        <v>239</v>
      </c>
      <c r="D89" s="219" t="s">
        <v>713</v>
      </c>
      <c r="L89" s="17" t="s">
        <v>800</v>
      </c>
      <c r="M89" s="10">
        <f>AVERAGE(M76:M77)</f>
        <v>68.057700253064866</v>
      </c>
    </row>
    <row r="90" spans="1:13" x14ac:dyDescent="0.3">
      <c r="A90" s="3"/>
      <c r="B90" s="219">
        <v>2016</v>
      </c>
      <c r="C90" s="219" t="s">
        <v>239</v>
      </c>
      <c r="D90" s="219" t="s">
        <v>714</v>
      </c>
    </row>
    <row r="91" spans="1:13" x14ac:dyDescent="0.3">
      <c r="A91" s="3"/>
      <c r="B91" s="219">
        <v>2016</v>
      </c>
      <c r="C91" s="219" t="s">
        <v>239</v>
      </c>
      <c r="D91" s="219" t="s">
        <v>715</v>
      </c>
      <c r="L91" s="17" t="s">
        <v>800</v>
      </c>
      <c r="M91" s="10">
        <f>AVERAGE(M78:M79)</f>
        <v>53.736415093943798</v>
      </c>
    </row>
    <row r="92" spans="1:13" x14ac:dyDescent="0.3">
      <c r="A92" s="3"/>
      <c r="B92" s="219">
        <v>2016</v>
      </c>
      <c r="C92" s="219" t="s">
        <v>239</v>
      </c>
      <c r="D92" s="219" t="s">
        <v>716</v>
      </c>
    </row>
    <row r="93" spans="1:13" x14ac:dyDescent="0.3">
      <c r="A93" s="24" t="s">
        <v>739</v>
      </c>
    </row>
    <row r="94" spans="1:13" x14ac:dyDescent="0.3">
      <c r="A94" s="24" t="s">
        <v>740</v>
      </c>
    </row>
    <row r="95" spans="1:13" x14ac:dyDescent="0.3">
      <c r="A95" t="s">
        <v>741</v>
      </c>
    </row>
    <row r="97" spans="1:1" x14ac:dyDescent="0.3">
      <c r="A97" t="s">
        <v>742</v>
      </c>
    </row>
    <row r="98" spans="1:1" x14ac:dyDescent="0.3">
      <c r="A98" t="s">
        <v>743</v>
      </c>
    </row>
  </sheetData>
  <mergeCells count="7">
    <mergeCell ref="A55:A63"/>
    <mergeCell ref="A4:A9"/>
    <mergeCell ref="A12:A13"/>
    <mergeCell ref="A15:A16"/>
    <mergeCell ref="A26:A33"/>
    <mergeCell ref="A34:A45"/>
    <mergeCell ref="A49:A54"/>
  </mergeCells>
  <pageMargins left="0.75" right="0.75" top="1" bottom="1" header="0.5" footer="0.5"/>
  <pageSetup paperSize="9" orientation="portrait" verticalDpi="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CM101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E11" sqref="E11"/>
    </sheetView>
  </sheetViews>
  <sheetFormatPr defaultColWidth="8.81640625" defaultRowHeight="12.5" x14ac:dyDescent="0.25"/>
  <cols>
    <col min="1" max="1" width="8.81640625" customWidth="1"/>
    <col min="2" max="2" width="6.7265625" customWidth="1"/>
    <col min="3" max="3" width="10.26953125" style="3" bestFit="1" customWidth="1"/>
    <col min="4" max="4" width="7.26953125" customWidth="1"/>
    <col min="5" max="5" width="13" customWidth="1"/>
    <col min="6" max="6" width="11" style="2" customWidth="1"/>
    <col min="7" max="7" width="12.81640625" customWidth="1"/>
    <col min="8" max="8" width="6.81640625" style="74" customWidth="1"/>
    <col min="9" max="9" width="10.81640625" style="321" customWidth="1"/>
    <col min="10" max="10" width="6.453125" customWidth="1"/>
    <col min="11" max="12" width="12.81640625" customWidth="1"/>
    <col min="13" max="13" width="6.1796875" customWidth="1"/>
    <col min="14" max="14" width="10" customWidth="1"/>
    <col min="15" max="15" width="9.26953125" customWidth="1"/>
    <col min="16" max="16" width="10.1796875" customWidth="1"/>
    <col min="17" max="17" width="11" customWidth="1"/>
    <col min="19" max="19" width="8" customWidth="1"/>
  </cols>
  <sheetData>
    <row r="1" spans="1:91" ht="15.5" x14ac:dyDescent="0.35">
      <c r="A1" s="77" t="s">
        <v>805</v>
      </c>
      <c r="B1" s="78"/>
    </row>
    <row r="3" spans="1:91" x14ac:dyDescent="0.25">
      <c r="C3"/>
    </row>
    <row r="4" spans="1:91" x14ac:dyDescent="0.25">
      <c r="A4" t="s">
        <v>176</v>
      </c>
      <c r="D4" s="5"/>
      <c r="E4" s="5"/>
      <c r="G4" s="11"/>
    </row>
    <row r="5" spans="1:91" x14ac:dyDescent="0.25">
      <c r="A5" t="s">
        <v>238</v>
      </c>
      <c r="D5" s="5"/>
      <c r="E5" s="5"/>
      <c r="G5" s="11"/>
    </row>
    <row r="6" spans="1:91" x14ac:dyDescent="0.25">
      <c r="A6" t="s">
        <v>237</v>
      </c>
      <c r="D6" s="5"/>
      <c r="E6" s="5"/>
      <c r="G6" s="11"/>
    </row>
    <row r="7" spans="1:91" x14ac:dyDescent="0.25">
      <c r="A7" s="24" t="s">
        <v>761</v>
      </c>
      <c r="D7" s="5"/>
      <c r="E7" s="5"/>
      <c r="G7" s="11"/>
    </row>
    <row r="8" spans="1:91" x14ac:dyDescent="0.25">
      <c r="A8" s="17" t="s">
        <v>807</v>
      </c>
      <c r="B8" s="20"/>
      <c r="C8" s="5"/>
      <c r="E8" s="3"/>
      <c r="G8" s="11"/>
    </row>
    <row r="9" spans="1:91" ht="13" x14ac:dyDescent="0.3">
      <c r="L9" s="351" t="s">
        <v>3093</v>
      </c>
      <c r="M9" s="334"/>
      <c r="N9" s="334"/>
      <c r="O9" s="334"/>
      <c r="P9" s="334"/>
      <c r="Q9" s="334"/>
      <c r="R9" s="334"/>
      <c r="S9" s="334"/>
      <c r="T9" s="334"/>
      <c r="U9" s="334"/>
    </row>
    <row r="10" spans="1:91" ht="13" x14ac:dyDescent="0.3">
      <c r="A10" s="79" t="s">
        <v>235</v>
      </c>
      <c r="B10" s="80" t="s">
        <v>168</v>
      </c>
      <c r="C10" s="80" t="s">
        <v>168</v>
      </c>
      <c r="D10" s="80" t="s">
        <v>129</v>
      </c>
      <c r="E10" s="80" t="s">
        <v>236</v>
      </c>
      <c r="F10" s="102" t="s">
        <v>170</v>
      </c>
      <c r="G10" s="81" t="s">
        <v>172</v>
      </c>
      <c r="H10" s="80" t="s">
        <v>173</v>
      </c>
      <c r="I10" s="322" t="s">
        <v>34</v>
      </c>
      <c r="J10" s="82"/>
      <c r="L10" s="98" t="s">
        <v>899</v>
      </c>
      <c r="M10" s="80"/>
      <c r="N10" s="75"/>
      <c r="O10" s="87"/>
      <c r="P10" s="75"/>
      <c r="Q10" s="76"/>
      <c r="W10" s="334" t="s">
        <v>905</v>
      </c>
      <c r="X10" s="334"/>
      <c r="AI10" s="334" t="s">
        <v>905</v>
      </c>
      <c r="AJ10" s="334"/>
    </row>
    <row r="11" spans="1:91" ht="14.5" x14ac:dyDescent="0.35">
      <c r="A11" s="83"/>
      <c r="B11" s="84" t="s">
        <v>174</v>
      </c>
      <c r="C11" s="84" t="s">
        <v>62</v>
      </c>
      <c r="D11" s="84" t="s">
        <v>15</v>
      </c>
      <c r="E11" s="84" t="s">
        <v>169</v>
      </c>
      <c r="F11" s="109" t="s">
        <v>728</v>
      </c>
      <c r="G11" s="85"/>
      <c r="H11" s="84"/>
      <c r="I11" s="323"/>
      <c r="J11" s="86"/>
      <c r="L11" s="345" t="s">
        <v>171</v>
      </c>
      <c r="M11" s="346" t="s">
        <v>76</v>
      </c>
      <c r="N11" s="346" t="s">
        <v>77</v>
      </c>
      <c r="O11" s="346" t="s">
        <v>78</v>
      </c>
      <c r="P11" s="347" t="s">
        <v>842</v>
      </c>
      <c r="R11" s="346" t="s">
        <v>76</v>
      </c>
      <c r="S11" s="346" t="s">
        <v>78</v>
      </c>
      <c r="T11" s="346" t="s">
        <v>77</v>
      </c>
      <c r="W11" s="345" t="s">
        <v>171</v>
      </c>
      <c r="X11" s="346" t="s">
        <v>78</v>
      </c>
      <c r="Y11" s="346" t="s">
        <v>76</v>
      </c>
      <c r="Z11" s="346" t="s">
        <v>77</v>
      </c>
      <c r="AA11" s="347" t="s">
        <v>842</v>
      </c>
      <c r="AI11" s="345" t="s">
        <v>171</v>
      </c>
      <c r="AJ11" s="346" t="s">
        <v>78</v>
      </c>
      <c r="AK11" s="346" t="s">
        <v>76</v>
      </c>
      <c r="AL11" s="346" t="s">
        <v>77</v>
      </c>
      <c r="AM11" s="347" t="s">
        <v>842</v>
      </c>
    </row>
    <row r="12" spans="1:91" s="219" customFormat="1" x14ac:dyDescent="0.25">
      <c r="A12" s="219" t="s">
        <v>164</v>
      </c>
      <c r="E12" s="219" t="s">
        <v>200</v>
      </c>
      <c r="F12" s="257"/>
      <c r="G12" s="316"/>
      <c r="I12" s="256"/>
      <c r="L12" s="348" t="s">
        <v>843</v>
      </c>
      <c r="M12" s="349">
        <v>0</v>
      </c>
      <c r="N12" s="349">
        <v>0</v>
      </c>
      <c r="O12" s="349">
        <v>0</v>
      </c>
      <c r="P12" s="350" t="s">
        <v>280</v>
      </c>
      <c r="Q12" s="17" t="s">
        <v>800</v>
      </c>
      <c r="R12"/>
      <c r="S12"/>
      <c r="T12"/>
      <c r="U12"/>
      <c r="V12"/>
      <c r="W12" s="348" t="s">
        <v>843</v>
      </c>
      <c r="X12" s="349">
        <v>0</v>
      </c>
      <c r="Y12" s="349">
        <v>0</v>
      </c>
      <c r="Z12" s="349">
        <v>0</v>
      </c>
      <c r="AA12" s="350" t="s">
        <v>280</v>
      </c>
      <c r="AB12"/>
      <c r="AC12"/>
      <c r="AD12"/>
      <c r="AE12"/>
      <c r="AF12"/>
      <c r="AG12"/>
      <c r="AH12"/>
      <c r="AI12" s="389" t="s">
        <v>857</v>
      </c>
      <c r="AJ12" s="390">
        <v>1.8958081007003784</v>
      </c>
      <c r="AK12" s="390">
        <v>17.179433822631836</v>
      </c>
      <c r="AL12" s="390">
        <v>1.8371347188949585</v>
      </c>
      <c r="AM12" s="391" t="s">
        <v>280</v>
      </c>
      <c r="AN12" s="219" t="s">
        <v>111</v>
      </c>
      <c r="AO12" s="219">
        <v>1</v>
      </c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 spans="1:91" s="219" customFormat="1" x14ac:dyDescent="0.25">
      <c r="A13" s="219" t="s">
        <v>177</v>
      </c>
      <c r="B13" s="219">
        <v>2016</v>
      </c>
      <c r="C13" s="219" t="s">
        <v>111</v>
      </c>
      <c r="D13" s="219">
        <v>6</v>
      </c>
      <c r="E13" s="219" t="s">
        <v>27</v>
      </c>
      <c r="F13" s="257">
        <v>3581</v>
      </c>
      <c r="G13" s="316">
        <v>42926</v>
      </c>
      <c r="H13" s="219" t="s">
        <v>675</v>
      </c>
      <c r="I13" s="256" t="s">
        <v>762</v>
      </c>
      <c r="J13" s="219" t="s">
        <v>763</v>
      </c>
      <c r="L13" s="348" t="s">
        <v>844</v>
      </c>
      <c r="M13" s="349">
        <v>17.796354293823242</v>
      </c>
      <c r="N13" s="349">
        <v>1.5581920146942139</v>
      </c>
      <c r="O13" s="349">
        <v>1.9629404544830322</v>
      </c>
      <c r="P13" s="350" t="s">
        <v>280</v>
      </c>
      <c r="Q13"/>
      <c r="R13"/>
      <c r="S13"/>
      <c r="T13"/>
      <c r="U13"/>
      <c r="V13"/>
      <c r="W13" s="348" t="s">
        <v>844</v>
      </c>
      <c r="X13" s="349">
        <v>1.9629404544830322</v>
      </c>
      <c r="Y13" s="349">
        <v>17.796354293823242</v>
      </c>
      <c r="Z13" s="349">
        <v>1.5581920146942139</v>
      </c>
      <c r="AA13" s="350" t="s">
        <v>280</v>
      </c>
      <c r="AB13" s="219" t="s">
        <v>111</v>
      </c>
      <c r="AC13" s="219">
        <v>6</v>
      </c>
      <c r="AD13"/>
      <c r="AE13"/>
      <c r="AF13"/>
      <c r="AG13"/>
      <c r="AH13"/>
      <c r="AI13" s="348" t="s">
        <v>858</v>
      </c>
      <c r="AJ13" s="349">
        <v>1.5006539821624756</v>
      </c>
      <c r="AK13" s="349">
        <v>18.903266906738281</v>
      </c>
      <c r="AL13" s="349">
        <v>1.9080199003219604</v>
      </c>
      <c r="AM13" s="350" t="s">
        <v>280</v>
      </c>
      <c r="AN13" s="219" t="s">
        <v>111</v>
      </c>
      <c r="AO13" s="219">
        <v>2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 spans="1:91" s="219" customFormat="1" x14ac:dyDescent="0.25">
      <c r="A14" s="219" t="s">
        <v>178</v>
      </c>
      <c r="B14" s="219">
        <v>2016</v>
      </c>
      <c r="C14" s="219" t="s">
        <v>111</v>
      </c>
      <c r="D14" s="219">
        <v>7</v>
      </c>
      <c r="E14" s="219" t="s">
        <v>27</v>
      </c>
      <c r="F14" s="257">
        <v>3315.5</v>
      </c>
      <c r="G14" s="316">
        <v>42926</v>
      </c>
      <c r="H14" s="219" t="s">
        <v>675</v>
      </c>
      <c r="I14" s="256" t="s">
        <v>762</v>
      </c>
      <c r="J14" s="219" t="s">
        <v>763</v>
      </c>
      <c r="L14" s="348" t="s">
        <v>845</v>
      </c>
      <c r="M14" s="349">
        <v>16.213146209716797</v>
      </c>
      <c r="N14" s="349">
        <v>1.0369389057159424</v>
      </c>
      <c r="O14" s="349">
        <v>1.2208572626113892</v>
      </c>
      <c r="P14" s="350" t="s">
        <v>280</v>
      </c>
      <c r="Q14"/>
      <c r="R14"/>
      <c r="S14"/>
      <c r="T14"/>
      <c r="U14"/>
      <c r="V14"/>
      <c r="W14" s="348" t="s">
        <v>845</v>
      </c>
      <c r="X14" s="349">
        <v>1.2208572626113892</v>
      </c>
      <c r="Y14" s="349">
        <v>16.213146209716797</v>
      </c>
      <c r="Z14" s="349">
        <v>1.0369389057159424</v>
      </c>
      <c r="AA14" s="350" t="s">
        <v>280</v>
      </c>
      <c r="AB14" s="219" t="s">
        <v>111</v>
      </c>
      <c r="AC14" s="219">
        <v>7</v>
      </c>
      <c r="AD14"/>
      <c r="AE14"/>
      <c r="AF14"/>
      <c r="AG14"/>
      <c r="AH14"/>
      <c r="AI14" s="348" t="s">
        <v>859</v>
      </c>
      <c r="AJ14" s="349">
        <v>0.76707053184509277</v>
      </c>
      <c r="AK14" s="349">
        <v>15.506331443786621</v>
      </c>
      <c r="AL14" s="349">
        <v>0.65258228778839111</v>
      </c>
      <c r="AM14" s="350" t="s">
        <v>280</v>
      </c>
      <c r="AN14" s="219" t="s">
        <v>111</v>
      </c>
      <c r="AO14" s="219">
        <v>3</v>
      </c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</row>
    <row r="15" spans="1:91" s="219" customFormat="1" x14ac:dyDescent="0.25">
      <c r="A15" s="219" t="s">
        <v>179</v>
      </c>
      <c r="B15" s="219">
        <v>2016</v>
      </c>
      <c r="C15" s="219" t="s">
        <v>111</v>
      </c>
      <c r="D15" s="219">
        <v>10</v>
      </c>
      <c r="E15" s="219" t="s">
        <v>27</v>
      </c>
      <c r="F15" s="257">
        <v>3992.1</v>
      </c>
      <c r="G15" s="316">
        <v>42926</v>
      </c>
      <c r="H15" s="219" t="s">
        <v>675</v>
      </c>
      <c r="I15" s="256" t="s">
        <v>762</v>
      </c>
      <c r="J15" s="219" t="s">
        <v>763</v>
      </c>
      <c r="L15" s="348" t="s">
        <v>846</v>
      </c>
      <c r="M15" s="349">
        <v>17.559654235839844</v>
      </c>
      <c r="N15" s="349">
        <v>1.5986756086349487</v>
      </c>
      <c r="O15" s="349">
        <v>1.5248348712921143</v>
      </c>
      <c r="P15" s="350" t="s">
        <v>280</v>
      </c>
      <c r="Q15"/>
      <c r="R15"/>
      <c r="S15"/>
      <c r="T15"/>
      <c r="U15"/>
      <c r="V15"/>
      <c r="W15" s="348" t="s">
        <v>846</v>
      </c>
      <c r="X15" s="349">
        <v>1.5248348712921143</v>
      </c>
      <c r="Y15" s="349">
        <v>17.559654235839844</v>
      </c>
      <c r="Z15" s="349">
        <v>1.5986756086349487</v>
      </c>
      <c r="AA15" s="350" t="s">
        <v>280</v>
      </c>
      <c r="AB15" s="219" t="s">
        <v>111</v>
      </c>
      <c r="AC15" s="219">
        <v>10</v>
      </c>
      <c r="AD15"/>
      <c r="AE15"/>
      <c r="AF15"/>
      <c r="AG15"/>
      <c r="AH15"/>
      <c r="AI15" s="348" t="s">
        <v>860</v>
      </c>
      <c r="AJ15" s="349">
        <v>1.3400105237960815</v>
      </c>
      <c r="AK15" s="349">
        <v>15.687155723571777</v>
      </c>
      <c r="AL15" s="349">
        <v>0.87779200077056885</v>
      </c>
      <c r="AM15" s="350" t="s">
        <v>280</v>
      </c>
      <c r="AN15" s="219" t="s">
        <v>111</v>
      </c>
      <c r="AO15" s="219">
        <v>4</v>
      </c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</row>
    <row r="16" spans="1:91" s="219" customFormat="1" x14ac:dyDescent="0.25">
      <c r="A16" s="219" t="s">
        <v>180</v>
      </c>
      <c r="B16" s="219">
        <v>2016</v>
      </c>
      <c r="C16" s="219" t="s">
        <v>111</v>
      </c>
      <c r="D16" s="219">
        <v>12</v>
      </c>
      <c r="E16" s="219" t="s">
        <v>27</v>
      </c>
      <c r="F16" s="257">
        <v>2697.5</v>
      </c>
      <c r="G16" s="316">
        <v>42926</v>
      </c>
      <c r="H16" s="219" t="s">
        <v>675</v>
      </c>
      <c r="I16" s="256" t="s">
        <v>762</v>
      </c>
      <c r="J16" s="219" t="s">
        <v>763</v>
      </c>
      <c r="L16" s="348" t="s">
        <v>847</v>
      </c>
      <c r="M16" s="349">
        <v>15.905805587768555</v>
      </c>
      <c r="N16" s="349">
        <v>1.1561193466186523</v>
      </c>
      <c r="O16" s="349">
        <v>1.2897419929504395</v>
      </c>
      <c r="P16" s="350" t="s">
        <v>280</v>
      </c>
      <c r="Q16"/>
      <c r="R16"/>
      <c r="S16"/>
      <c r="T16"/>
      <c r="U16"/>
      <c r="V16"/>
      <c r="W16" s="348" t="s">
        <v>847</v>
      </c>
      <c r="X16" s="349">
        <v>1.2897419929504395</v>
      </c>
      <c r="Y16" s="349">
        <v>15.905805587768555</v>
      </c>
      <c r="Z16" s="349">
        <v>1.1561193466186523</v>
      </c>
      <c r="AA16" s="350" t="s">
        <v>280</v>
      </c>
      <c r="AB16" s="219" t="s">
        <v>111</v>
      </c>
      <c r="AC16" s="219">
        <v>12</v>
      </c>
      <c r="AD16"/>
      <c r="AE16"/>
      <c r="AF16"/>
      <c r="AG16"/>
      <c r="AH16"/>
      <c r="AI16" s="363" t="s">
        <v>851</v>
      </c>
      <c r="AJ16" s="364">
        <v>1.246174693107605</v>
      </c>
      <c r="AK16" s="364">
        <v>15.687994003295898</v>
      </c>
      <c r="AL16" s="364">
        <v>1.1014773845672607</v>
      </c>
      <c r="AM16" s="365" t="s">
        <v>280</v>
      </c>
      <c r="AN16" s="366" t="s">
        <v>111</v>
      </c>
      <c r="AO16" s="366" t="s">
        <v>717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 spans="1:91" s="219" customFormat="1" x14ac:dyDescent="0.25">
      <c r="A17" s="219" t="s">
        <v>181</v>
      </c>
      <c r="B17" s="219">
        <v>2016</v>
      </c>
      <c r="C17" s="219" t="s">
        <v>111</v>
      </c>
      <c r="D17" s="219">
        <v>13</v>
      </c>
      <c r="E17" s="219" t="s">
        <v>27</v>
      </c>
      <c r="F17" s="257">
        <v>2601.3000000000002</v>
      </c>
      <c r="G17" s="316">
        <v>42926</v>
      </c>
      <c r="H17" s="219" t="s">
        <v>675</v>
      </c>
      <c r="I17" s="256" t="s">
        <v>762</v>
      </c>
      <c r="J17" s="219" t="s">
        <v>763</v>
      </c>
      <c r="L17" s="348" t="s">
        <v>848</v>
      </c>
      <c r="M17" s="349">
        <v>16.917732238769531</v>
      </c>
      <c r="N17" s="349">
        <v>1.3766199350357056</v>
      </c>
      <c r="O17" s="349">
        <v>1.5639532804489136</v>
      </c>
      <c r="P17" s="350" t="s">
        <v>280</v>
      </c>
      <c r="Q17"/>
      <c r="R17"/>
      <c r="S17"/>
      <c r="T17"/>
      <c r="U17"/>
      <c r="V17"/>
      <c r="W17" s="348" t="s">
        <v>848</v>
      </c>
      <c r="X17" s="349">
        <v>1.5639532804489136</v>
      </c>
      <c r="Y17" s="349">
        <v>16.917732238769531</v>
      </c>
      <c r="Z17" s="349">
        <v>1.3766199350357056</v>
      </c>
      <c r="AA17" s="350" t="s">
        <v>280</v>
      </c>
      <c r="AB17" s="219" t="s">
        <v>111</v>
      </c>
      <c r="AC17" s="219">
        <v>13</v>
      </c>
      <c r="AD17"/>
      <c r="AE17"/>
      <c r="AF17"/>
      <c r="AG17"/>
      <c r="AH17"/>
      <c r="AI17" s="363" t="s">
        <v>852</v>
      </c>
      <c r="AJ17" s="364">
        <v>1.2516299486160278</v>
      </c>
      <c r="AK17" s="364">
        <v>15.725634574890137</v>
      </c>
      <c r="AL17" s="364">
        <v>1.1449830532073975</v>
      </c>
      <c r="AM17" s="365" t="s">
        <v>280</v>
      </c>
      <c r="AN17" s="366" t="s">
        <v>111</v>
      </c>
      <c r="AO17" s="366" t="s">
        <v>718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 spans="1:91" s="219" customFormat="1" x14ac:dyDescent="0.25">
      <c r="A18" s="219" t="s">
        <v>182</v>
      </c>
      <c r="B18" s="219">
        <v>2016</v>
      </c>
      <c r="C18" s="219" t="s">
        <v>111</v>
      </c>
      <c r="D18" s="219">
        <v>14</v>
      </c>
      <c r="E18" s="219" t="s">
        <v>27</v>
      </c>
      <c r="F18" s="257">
        <v>4093.9</v>
      </c>
      <c r="G18" s="316">
        <v>42926</v>
      </c>
      <c r="H18" s="219" t="s">
        <v>675</v>
      </c>
      <c r="I18" s="256" t="s">
        <v>762</v>
      </c>
      <c r="J18" s="219" t="s">
        <v>763</v>
      </c>
      <c r="L18" s="348" t="s">
        <v>849</v>
      </c>
      <c r="M18" s="349">
        <v>10.444699287414551</v>
      </c>
      <c r="N18" s="349">
        <v>0.8196607232093811</v>
      </c>
      <c r="O18" s="349">
        <v>0.79616892337799072</v>
      </c>
      <c r="P18" s="350" t="s">
        <v>280</v>
      </c>
      <c r="Q18"/>
      <c r="R18"/>
      <c r="S18"/>
      <c r="T18"/>
      <c r="U18"/>
      <c r="V18"/>
      <c r="W18" s="348" t="s">
        <v>849</v>
      </c>
      <c r="X18" s="349">
        <v>0.79616892337799072</v>
      </c>
      <c r="Y18" s="349">
        <v>10.444699287414551</v>
      </c>
      <c r="Z18" s="349">
        <v>0.8196607232093811</v>
      </c>
      <c r="AA18" s="350" t="s">
        <v>280</v>
      </c>
      <c r="AB18" s="219" t="s">
        <v>111</v>
      </c>
      <c r="AC18" s="219">
        <v>14</v>
      </c>
      <c r="AD18"/>
      <c r="AE18"/>
      <c r="AF18"/>
      <c r="AG18"/>
      <c r="AH18"/>
      <c r="AI18" s="348" t="s">
        <v>844</v>
      </c>
      <c r="AJ18" s="349">
        <v>1.9629404544830322</v>
      </c>
      <c r="AK18" s="349">
        <v>17.796354293823242</v>
      </c>
      <c r="AL18" s="349">
        <v>1.5581920146942139</v>
      </c>
      <c r="AM18" s="350" t="s">
        <v>280</v>
      </c>
      <c r="AN18" s="219" t="s">
        <v>111</v>
      </c>
      <c r="AO18" s="219">
        <v>6</v>
      </c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 spans="1:91" s="219" customFormat="1" x14ac:dyDescent="0.25">
      <c r="A19" s="219" t="s">
        <v>183</v>
      </c>
      <c r="B19" s="219">
        <v>2016</v>
      </c>
      <c r="C19" s="219" t="s">
        <v>111</v>
      </c>
      <c r="D19" s="219">
        <v>15</v>
      </c>
      <c r="E19" s="219" t="s">
        <v>27</v>
      </c>
      <c r="F19" s="257">
        <v>2585.4</v>
      </c>
      <c r="G19" s="316">
        <v>42926</v>
      </c>
      <c r="H19" s="219" t="s">
        <v>675</v>
      </c>
      <c r="I19" s="256" t="s">
        <v>762</v>
      </c>
      <c r="J19" s="219" t="s">
        <v>763</v>
      </c>
      <c r="L19" s="348" t="s">
        <v>850</v>
      </c>
      <c r="M19" s="349">
        <v>14.620884895324707</v>
      </c>
      <c r="N19" s="349">
        <v>1.0493916273117065</v>
      </c>
      <c r="O19" s="349">
        <v>1.1134974956512451</v>
      </c>
      <c r="P19" s="350" t="s">
        <v>280</v>
      </c>
      <c r="Q19"/>
      <c r="R19"/>
      <c r="S19"/>
      <c r="T19"/>
      <c r="U19"/>
      <c r="V19"/>
      <c r="W19" s="348" t="s">
        <v>850</v>
      </c>
      <c r="X19" s="349">
        <v>1.1134974956512451</v>
      </c>
      <c r="Y19" s="349">
        <v>14.620884895324707</v>
      </c>
      <c r="Z19" s="349">
        <v>1.0493916273117065</v>
      </c>
      <c r="AA19" s="350" t="s">
        <v>280</v>
      </c>
      <c r="AB19" s="219" t="s">
        <v>111</v>
      </c>
      <c r="AC19" s="219">
        <v>15</v>
      </c>
      <c r="AD19"/>
      <c r="AE19"/>
      <c r="AF19"/>
      <c r="AG19"/>
      <c r="AH19"/>
      <c r="AI19" s="348" t="s">
        <v>845</v>
      </c>
      <c r="AJ19" s="349">
        <v>1.2208572626113892</v>
      </c>
      <c r="AK19" s="349">
        <v>16.213146209716797</v>
      </c>
      <c r="AL19" s="349">
        <v>1.0369389057159424</v>
      </c>
      <c r="AM19" s="350" t="s">
        <v>280</v>
      </c>
      <c r="AN19" s="219" t="s">
        <v>111</v>
      </c>
      <c r="AO19" s="219">
        <v>7</v>
      </c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 spans="1:91" s="219" customFormat="1" x14ac:dyDescent="0.25">
      <c r="A20" s="219" t="s">
        <v>184</v>
      </c>
      <c r="B20" s="219">
        <v>2016</v>
      </c>
      <c r="C20" s="219" t="s">
        <v>111</v>
      </c>
      <c r="D20" s="219" t="s">
        <v>717</v>
      </c>
      <c r="E20" s="219" t="s">
        <v>27</v>
      </c>
      <c r="F20" s="257">
        <v>3015</v>
      </c>
      <c r="G20" s="316">
        <v>42926</v>
      </c>
      <c r="H20" s="219" t="s">
        <v>675</v>
      </c>
      <c r="I20" s="256" t="s">
        <v>762</v>
      </c>
      <c r="J20" s="219" t="s">
        <v>763</v>
      </c>
      <c r="L20" s="348" t="s">
        <v>851</v>
      </c>
      <c r="M20" s="349">
        <v>15.687994003295898</v>
      </c>
      <c r="N20" s="349">
        <v>1.1014773845672607</v>
      </c>
      <c r="O20" s="349">
        <v>1.246174693107605</v>
      </c>
      <c r="P20" s="350" t="s">
        <v>280</v>
      </c>
      <c r="Q20" s="17" t="s">
        <v>800</v>
      </c>
      <c r="R20" s="3">
        <f>AVERAGE(M20:M21)</f>
        <v>15.706814289093018</v>
      </c>
      <c r="S20" s="3">
        <f>AVERAGE(O20:O21)</f>
        <v>1.2489023208618164</v>
      </c>
      <c r="T20" s="3">
        <f>AVERAGE(N20:N21)</f>
        <v>1.1232302188873291</v>
      </c>
      <c r="U20"/>
      <c r="V20"/>
      <c r="W20" s="363" t="s">
        <v>851</v>
      </c>
      <c r="X20" s="364">
        <v>1.246174693107605</v>
      </c>
      <c r="Y20" s="364">
        <v>15.687994003295898</v>
      </c>
      <c r="Z20" s="364">
        <v>1.1014773845672607</v>
      </c>
      <c r="AA20" s="365" t="s">
        <v>280</v>
      </c>
      <c r="AB20" s="366" t="s">
        <v>111</v>
      </c>
      <c r="AC20" s="366" t="s">
        <v>717</v>
      </c>
      <c r="AD20"/>
      <c r="AE20"/>
      <c r="AF20"/>
      <c r="AG20"/>
      <c r="AH20"/>
      <c r="AI20" s="348" t="s">
        <v>861</v>
      </c>
      <c r="AJ20" s="349">
        <v>1.3967040777206421</v>
      </c>
      <c r="AK20" s="349">
        <v>16.828649520874023</v>
      </c>
      <c r="AL20" s="349">
        <v>1.3236770629882813</v>
      </c>
      <c r="AM20" s="350" t="s">
        <v>280</v>
      </c>
      <c r="AN20" s="219" t="s">
        <v>111</v>
      </c>
      <c r="AO20" s="219">
        <v>8</v>
      </c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 spans="1:91" s="219" customFormat="1" x14ac:dyDescent="0.25">
      <c r="A21" s="219" t="s">
        <v>185</v>
      </c>
      <c r="B21" s="219">
        <v>2016</v>
      </c>
      <c r="C21" s="219" t="s">
        <v>111</v>
      </c>
      <c r="D21" s="219" t="s">
        <v>718</v>
      </c>
      <c r="E21" s="219" t="s">
        <v>27</v>
      </c>
      <c r="F21" s="257">
        <v>3259.8</v>
      </c>
      <c r="G21" s="316">
        <v>42926</v>
      </c>
      <c r="H21" s="219" t="s">
        <v>675</v>
      </c>
      <c r="I21" s="256" t="s">
        <v>762</v>
      </c>
      <c r="J21" s="219" t="s">
        <v>763</v>
      </c>
      <c r="L21" s="348" t="s">
        <v>852</v>
      </c>
      <c r="M21" s="349">
        <v>15.725634574890137</v>
      </c>
      <c r="N21" s="349">
        <v>1.1449830532073975</v>
      </c>
      <c r="O21" s="349">
        <v>1.2516299486160278</v>
      </c>
      <c r="P21" s="350" t="s">
        <v>280</v>
      </c>
      <c r="Q21"/>
      <c r="R21"/>
      <c r="S21"/>
      <c r="T21"/>
      <c r="U21"/>
      <c r="V21"/>
      <c r="W21" s="363" t="s">
        <v>852</v>
      </c>
      <c r="X21" s="364">
        <v>1.2516299486160278</v>
      </c>
      <c r="Y21" s="364">
        <v>15.725634574890137</v>
      </c>
      <c r="Z21" s="364">
        <v>1.1449830532073975</v>
      </c>
      <c r="AA21" s="365" t="s">
        <v>280</v>
      </c>
      <c r="AB21" s="366" t="s">
        <v>111</v>
      </c>
      <c r="AC21" s="366" t="s">
        <v>718</v>
      </c>
      <c r="AD21">
        <f>AVERAGE(Y13:Y21)/AVERAGE(X13:X21)</f>
        <v>11.768945012232901</v>
      </c>
      <c r="AE21">
        <v>1000</v>
      </c>
      <c r="AF21"/>
      <c r="AG21"/>
      <c r="AH21"/>
      <c r="AI21" s="348" t="s">
        <v>862</v>
      </c>
      <c r="AJ21" s="349">
        <v>1.340276837348938</v>
      </c>
      <c r="AK21" s="349">
        <v>16.612297058105469</v>
      </c>
      <c r="AL21" s="349">
        <v>1.3172858953475952</v>
      </c>
      <c r="AM21" s="350" t="s">
        <v>280</v>
      </c>
      <c r="AN21" s="219" t="s">
        <v>111</v>
      </c>
      <c r="AO21" s="219">
        <v>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 spans="1:91" s="219" customFormat="1" x14ac:dyDescent="0.25">
      <c r="A22" s="219" t="s">
        <v>186</v>
      </c>
      <c r="B22" s="219">
        <v>2016</v>
      </c>
      <c r="C22" s="219" t="s">
        <v>109</v>
      </c>
      <c r="D22" s="219" t="s">
        <v>717</v>
      </c>
      <c r="E22" s="219" t="s">
        <v>27</v>
      </c>
      <c r="F22" s="257">
        <v>2718.2</v>
      </c>
      <c r="G22" s="316">
        <v>42926</v>
      </c>
      <c r="H22" s="219" t="s">
        <v>675</v>
      </c>
      <c r="I22" s="256" t="s">
        <v>762</v>
      </c>
      <c r="J22" s="219" t="s">
        <v>763</v>
      </c>
      <c r="L22" s="348" t="s">
        <v>853</v>
      </c>
      <c r="M22" s="349">
        <v>12.677654266357422</v>
      </c>
      <c r="N22" s="349">
        <v>0.61300480365753174</v>
      </c>
      <c r="O22" s="349">
        <v>0.58427214622497559</v>
      </c>
      <c r="P22" s="350" t="s">
        <v>280</v>
      </c>
      <c r="Q22" s="17" t="s">
        <v>800</v>
      </c>
      <c r="R22" s="3">
        <f>AVERAGE(M22:M23)</f>
        <v>12.637329578399658</v>
      </c>
      <c r="S22" s="3">
        <f>AVERAGE(O22:O23)</f>
        <v>0.58998224139213562</v>
      </c>
      <c r="T22" s="3">
        <f>AVERAGE(N22:N23)</f>
        <v>0.58599114418029785</v>
      </c>
      <c r="U22"/>
      <c r="V22"/>
      <c r="W22" s="367" t="s">
        <v>853</v>
      </c>
      <c r="X22" s="368">
        <v>0.58427214622497559</v>
      </c>
      <c r="Y22" s="368">
        <v>12.677654266357422</v>
      </c>
      <c r="Z22" s="368">
        <v>0.61300480365753174</v>
      </c>
      <c r="AA22" s="369" t="s">
        <v>280</v>
      </c>
      <c r="AB22" s="242" t="s">
        <v>109</v>
      </c>
      <c r="AC22" s="242" t="s">
        <v>717</v>
      </c>
      <c r="AD22"/>
      <c r="AE22"/>
      <c r="AF22"/>
      <c r="AG22"/>
      <c r="AH22"/>
      <c r="AI22" s="348" t="s">
        <v>846</v>
      </c>
      <c r="AJ22" s="349">
        <v>1.5248348712921143</v>
      </c>
      <c r="AK22" s="349">
        <v>17.559654235839844</v>
      </c>
      <c r="AL22" s="349">
        <v>1.5986756086349487</v>
      </c>
      <c r="AM22" s="350" t="s">
        <v>280</v>
      </c>
      <c r="AN22" s="219" t="s">
        <v>111</v>
      </c>
      <c r="AO22" s="219">
        <v>10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 spans="1:91" s="219" customFormat="1" x14ac:dyDescent="0.25">
      <c r="A23" s="219" t="s">
        <v>187</v>
      </c>
      <c r="B23" s="219">
        <v>2016</v>
      </c>
      <c r="C23" s="219" t="s">
        <v>109</v>
      </c>
      <c r="D23" s="219" t="s">
        <v>718</v>
      </c>
      <c r="E23" s="219" t="s">
        <v>27</v>
      </c>
      <c r="F23" s="257">
        <v>2749.7</v>
      </c>
      <c r="G23" s="316">
        <v>42926</v>
      </c>
      <c r="H23" s="219" t="s">
        <v>675</v>
      </c>
      <c r="I23" s="256" t="s">
        <v>762</v>
      </c>
      <c r="J23" s="219" t="s">
        <v>763</v>
      </c>
      <c r="L23" s="348" t="s">
        <v>854</v>
      </c>
      <c r="M23" s="349">
        <v>12.597004890441895</v>
      </c>
      <c r="N23" s="349">
        <v>0.55897748470306396</v>
      </c>
      <c r="O23" s="349">
        <v>0.59569233655929565</v>
      </c>
      <c r="P23" s="350" t="s">
        <v>280</v>
      </c>
      <c r="Q23"/>
      <c r="R23"/>
      <c r="S23"/>
      <c r="T23"/>
      <c r="U23"/>
      <c r="V23"/>
      <c r="W23" s="367" t="s">
        <v>854</v>
      </c>
      <c r="X23" s="368">
        <v>0.59569233655929565</v>
      </c>
      <c r="Y23" s="368">
        <v>12.597004890441895</v>
      </c>
      <c r="Z23" s="368">
        <v>0.55897748470306396</v>
      </c>
      <c r="AA23" s="369" t="s">
        <v>280</v>
      </c>
      <c r="AB23" s="242" t="s">
        <v>109</v>
      </c>
      <c r="AC23" s="242" t="s">
        <v>718</v>
      </c>
      <c r="AD23"/>
      <c r="AE23"/>
      <c r="AF23"/>
      <c r="AG23"/>
      <c r="AH23"/>
      <c r="AI23" s="348" t="s">
        <v>863</v>
      </c>
      <c r="AJ23" s="349">
        <v>1.5179711580276489</v>
      </c>
      <c r="AK23" s="349">
        <v>17.148048400878906</v>
      </c>
      <c r="AL23" s="349">
        <v>1.445207953453064</v>
      </c>
      <c r="AM23" s="350" t="s">
        <v>280</v>
      </c>
      <c r="AN23" s="219" t="s">
        <v>111</v>
      </c>
      <c r="AO23" s="219">
        <v>11</v>
      </c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</row>
    <row r="24" spans="1:91" s="219" customFormat="1" x14ac:dyDescent="0.25">
      <c r="A24" s="255" t="s">
        <v>188</v>
      </c>
      <c r="B24" s="219">
        <v>2016</v>
      </c>
      <c r="C24" s="219" t="s">
        <v>109</v>
      </c>
      <c r="D24" s="219">
        <v>4</v>
      </c>
      <c r="E24" s="219" t="s">
        <v>27</v>
      </c>
      <c r="F24" s="257">
        <v>3299.1</v>
      </c>
      <c r="G24" s="316">
        <v>42926</v>
      </c>
      <c r="H24" s="219" t="s">
        <v>675</v>
      </c>
      <c r="I24" s="256" t="s">
        <v>762</v>
      </c>
      <c r="J24" s="219" t="s">
        <v>763</v>
      </c>
      <c r="L24" s="348" t="s">
        <v>855</v>
      </c>
      <c r="M24" s="349">
        <v>13.06618595123291</v>
      </c>
      <c r="N24" s="349">
        <v>0.54752320051193237</v>
      </c>
      <c r="O24" s="349">
        <v>0.59522348642349243</v>
      </c>
      <c r="P24" s="350" t="s">
        <v>280</v>
      </c>
      <c r="Q24"/>
      <c r="R24"/>
      <c r="S24"/>
      <c r="T24"/>
      <c r="U24"/>
      <c r="V24"/>
      <c r="W24" s="370" t="s">
        <v>901</v>
      </c>
      <c r="X24" s="371"/>
      <c r="Y24" s="371"/>
      <c r="Z24" s="371"/>
      <c r="AA24" s="372"/>
      <c r="AB24" s="373"/>
      <c r="AC24" s="373"/>
      <c r="AD24"/>
      <c r="AE24"/>
      <c r="AF24"/>
      <c r="AG24"/>
      <c r="AH24"/>
      <c r="AI24" s="348" t="s">
        <v>847</v>
      </c>
      <c r="AJ24" s="349">
        <v>1.2897419929504395</v>
      </c>
      <c r="AK24" s="349">
        <v>15.905805587768555</v>
      </c>
      <c r="AL24" s="349">
        <v>1.1561193466186523</v>
      </c>
      <c r="AM24" s="350" t="s">
        <v>280</v>
      </c>
      <c r="AN24" s="219" t="s">
        <v>111</v>
      </c>
      <c r="AO24" s="219">
        <v>12</v>
      </c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</row>
    <row r="25" spans="1:91" s="219" customFormat="1" x14ac:dyDescent="0.25">
      <c r="A25" s="255" t="s">
        <v>189</v>
      </c>
      <c r="B25" s="219">
        <v>2016</v>
      </c>
      <c r="C25" s="219" t="s">
        <v>109</v>
      </c>
      <c r="D25" s="219">
        <v>3</v>
      </c>
      <c r="E25" s="219" t="s">
        <v>27</v>
      </c>
      <c r="F25" s="257">
        <v>3525.6</v>
      </c>
      <c r="G25" s="316">
        <v>42926</v>
      </c>
      <c r="H25" s="219" t="s">
        <v>675</v>
      </c>
      <c r="I25" s="256" t="s">
        <v>762</v>
      </c>
      <c r="J25" s="219" t="s">
        <v>763</v>
      </c>
      <c r="L25" s="348" t="s">
        <v>856</v>
      </c>
      <c r="M25" s="349">
        <v>14.735773086547852</v>
      </c>
      <c r="N25" s="349">
        <v>0.8330426812171936</v>
      </c>
      <c r="O25" s="349">
        <v>1.0680783987045288</v>
      </c>
      <c r="P25" s="350" t="s">
        <v>280</v>
      </c>
      <c r="Q25"/>
      <c r="R25"/>
      <c r="S25"/>
      <c r="T25"/>
      <c r="U25"/>
      <c r="V25"/>
      <c r="W25" s="348" t="s">
        <v>855</v>
      </c>
      <c r="X25" s="349">
        <v>0.59522348642349243</v>
      </c>
      <c r="Y25" s="349">
        <v>13.06618595123291</v>
      </c>
      <c r="Z25" s="349">
        <v>0.54752320051193237</v>
      </c>
      <c r="AA25" s="350" t="s">
        <v>280</v>
      </c>
      <c r="AB25" s="219" t="s">
        <v>109</v>
      </c>
      <c r="AC25" s="219">
        <v>4</v>
      </c>
      <c r="AD25"/>
      <c r="AE25"/>
      <c r="AF25"/>
      <c r="AG25"/>
      <c r="AH25"/>
      <c r="AI25" s="348" t="s">
        <v>848</v>
      </c>
      <c r="AJ25" s="349">
        <v>1.5639532804489136</v>
      </c>
      <c r="AK25" s="349">
        <v>16.917732238769531</v>
      </c>
      <c r="AL25" s="349">
        <v>1.3766199350357056</v>
      </c>
      <c r="AM25" s="350" t="s">
        <v>280</v>
      </c>
      <c r="AN25" s="219" t="s">
        <v>111</v>
      </c>
      <c r="AO25" s="219">
        <v>13</v>
      </c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 spans="1:91" s="219" customFormat="1" x14ac:dyDescent="0.25">
      <c r="A26" s="255" t="s">
        <v>190</v>
      </c>
      <c r="B26" s="219">
        <v>2016</v>
      </c>
      <c r="C26" s="219" t="s">
        <v>111</v>
      </c>
      <c r="D26" s="219">
        <v>1</v>
      </c>
      <c r="E26" s="219" t="s">
        <v>27</v>
      </c>
      <c r="F26" s="257">
        <v>3204.7</v>
      </c>
      <c r="G26" s="316">
        <v>42926</v>
      </c>
      <c r="H26" s="219" t="s">
        <v>675</v>
      </c>
      <c r="I26" s="256" t="s">
        <v>762</v>
      </c>
      <c r="J26" s="219" t="s">
        <v>763</v>
      </c>
      <c r="L26" s="348" t="s">
        <v>857</v>
      </c>
      <c r="M26" s="349">
        <v>17.179433822631836</v>
      </c>
      <c r="N26" s="349">
        <v>1.8371347188949585</v>
      </c>
      <c r="O26" s="349">
        <v>1.8958081007003784</v>
      </c>
      <c r="P26" s="350" t="s">
        <v>280</v>
      </c>
      <c r="Q26"/>
      <c r="R26"/>
      <c r="S26"/>
      <c r="T26"/>
      <c r="U26"/>
      <c r="V26"/>
      <c r="W26" s="348" t="s">
        <v>856</v>
      </c>
      <c r="X26" s="349">
        <v>1.0680783987045288</v>
      </c>
      <c r="Y26" s="349">
        <v>14.735773086547852</v>
      </c>
      <c r="Z26" s="349">
        <v>0.8330426812171936</v>
      </c>
      <c r="AA26" s="350" t="s">
        <v>280</v>
      </c>
      <c r="AB26" s="219" t="s">
        <v>109</v>
      </c>
      <c r="AC26" s="219">
        <v>3</v>
      </c>
      <c r="AD26"/>
      <c r="AE26"/>
      <c r="AF26"/>
      <c r="AG26"/>
      <c r="AH26"/>
      <c r="AI26" s="348" t="s">
        <v>849</v>
      </c>
      <c r="AJ26" s="349">
        <v>0.79616892337799072</v>
      </c>
      <c r="AK26" s="349">
        <v>10.444699287414551</v>
      </c>
      <c r="AL26" s="349">
        <v>0.8196607232093811</v>
      </c>
      <c r="AM26" s="350" t="s">
        <v>280</v>
      </c>
      <c r="AN26" s="219" t="s">
        <v>111</v>
      </c>
      <c r="AO26" s="219">
        <v>14</v>
      </c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 spans="1:91" s="219" customFormat="1" x14ac:dyDescent="0.25">
      <c r="A27" s="255" t="s">
        <v>191</v>
      </c>
      <c r="B27" s="219">
        <v>2016</v>
      </c>
      <c r="C27" s="219" t="s">
        <v>111</v>
      </c>
      <c r="D27" s="219">
        <v>2</v>
      </c>
      <c r="E27" s="219" t="s">
        <v>27</v>
      </c>
      <c r="F27" s="257">
        <v>3379.3</v>
      </c>
      <c r="G27" s="316">
        <v>42926</v>
      </c>
      <c r="H27" s="219" t="s">
        <v>675</v>
      </c>
      <c r="I27" s="256" t="s">
        <v>762</v>
      </c>
      <c r="J27" s="219" t="s">
        <v>763</v>
      </c>
      <c r="L27" s="348" t="s">
        <v>858</v>
      </c>
      <c r="M27" s="349">
        <v>18.903266906738281</v>
      </c>
      <c r="N27" s="349">
        <v>1.9080199003219604</v>
      </c>
      <c r="O27" s="349">
        <v>1.5006539821624756</v>
      </c>
      <c r="P27" s="350" t="s">
        <v>280</v>
      </c>
      <c r="Q27"/>
      <c r="R27"/>
      <c r="S27"/>
      <c r="T27"/>
      <c r="U27"/>
      <c r="V27"/>
      <c r="W27" s="348" t="s">
        <v>857</v>
      </c>
      <c r="X27" s="349">
        <v>1.8958081007003784</v>
      </c>
      <c r="Y27" s="349">
        <v>17.179433822631836</v>
      </c>
      <c r="Z27" s="349">
        <v>1.8371347188949585</v>
      </c>
      <c r="AA27" s="350" t="s">
        <v>280</v>
      </c>
      <c r="AB27" s="219" t="s">
        <v>111</v>
      </c>
      <c r="AC27" s="219">
        <v>1</v>
      </c>
      <c r="AD27"/>
      <c r="AE27"/>
      <c r="AF27"/>
      <c r="AG27"/>
      <c r="AH27"/>
      <c r="AI27" s="348" t="s">
        <v>850</v>
      </c>
      <c r="AJ27" s="349">
        <v>1.1134974956512451</v>
      </c>
      <c r="AK27" s="349">
        <v>14.620884895324707</v>
      </c>
      <c r="AL27" s="349">
        <v>1.0493916273117065</v>
      </c>
      <c r="AM27" s="350" t="s">
        <v>280</v>
      </c>
      <c r="AN27" s="219" t="s">
        <v>111</v>
      </c>
      <c r="AO27" s="219">
        <v>15</v>
      </c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 spans="1:91" s="219" customFormat="1" x14ac:dyDescent="0.25">
      <c r="A28" s="255" t="s">
        <v>192</v>
      </c>
      <c r="B28" s="219">
        <v>2016</v>
      </c>
      <c r="C28" s="219" t="s">
        <v>111</v>
      </c>
      <c r="D28" s="219">
        <v>3</v>
      </c>
      <c r="E28" s="219" t="s">
        <v>27</v>
      </c>
      <c r="F28" s="257">
        <v>2861.2</v>
      </c>
      <c r="G28" s="316">
        <v>42926</v>
      </c>
      <c r="H28" s="219" t="s">
        <v>675</v>
      </c>
      <c r="I28" s="256" t="s">
        <v>762</v>
      </c>
      <c r="J28" s="219" t="s">
        <v>763</v>
      </c>
      <c r="L28" s="348" t="s">
        <v>859</v>
      </c>
      <c r="M28" s="349">
        <v>15.506331443786621</v>
      </c>
      <c r="N28" s="349">
        <v>0.65258228778839111</v>
      </c>
      <c r="O28" s="349">
        <v>0.76707053184509277</v>
      </c>
      <c r="P28" s="350" t="s">
        <v>280</v>
      </c>
      <c r="Q28"/>
      <c r="R28"/>
      <c r="S28"/>
      <c r="T28"/>
      <c r="U28"/>
      <c r="V28"/>
      <c r="W28" s="348" t="s">
        <v>858</v>
      </c>
      <c r="X28" s="349">
        <v>1.5006539821624756</v>
      </c>
      <c r="Y28" s="349">
        <v>18.903266906738281</v>
      </c>
      <c r="Z28" s="349">
        <v>1.9080199003219604</v>
      </c>
      <c r="AA28" s="350" t="s">
        <v>280</v>
      </c>
      <c r="AB28" s="219" t="s">
        <v>111</v>
      </c>
      <c r="AC28" s="219">
        <v>2</v>
      </c>
      <c r="AD28"/>
      <c r="AE28"/>
      <c r="AF28"/>
      <c r="AG28"/>
      <c r="AH28"/>
      <c r="AI28" s="348" t="s">
        <v>864</v>
      </c>
      <c r="AJ28" s="349">
        <v>0.94686996936798096</v>
      </c>
      <c r="AK28" s="349">
        <v>14.302079200744629</v>
      </c>
      <c r="AL28" s="349">
        <v>0.91583043336868286</v>
      </c>
      <c r="AM28" s="350" t="s">
        <v>280</v>
      </c>
      <c r="AN28" s="219" t="s">
        <v>109</v>
      </c>
      <c r="AO28" s="219">
        <v>1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 spans="1:91" s="219" customFormat="1" x14ac:dyDescent="0.25">
      <c r="A29" s="255" t="s">
        <v>193</v>
      </c>
      <c r="B29" s="219">
        <v>2016</v>
      </c>
      <c r="C29" s="219" t="s">
        <v>111</v>
      </c>
      <c r="D29" s="219">
        <v>4</v>
      </c>
      <c r="E29" s="219" t="s">
        <v>27</v>
      </c>
      <c r="F29" s="257">
        <v>3214.5</v>
      </c>
      <c r="G29" s="316">
        <v>42926</v>
      </c>
      <c r="H29" s="219" t="s">
        <v>675</v>
      </c>
      <c r="I29" s="256" t="s">
        <v>762</v>
      </c>
      <c r="J29" s="219" t="s">
        <v>763</v>
      </c>
      <c r="L29" s="348" t="s">
        <v>860</v>
      </c>
      <c r="M29" s="349">
        <v>15.687155723571777</v>
      </c>
      <c r="N29" s="349">
        <v>0.87779200077056885</v>
      </c>
      <c r="O29" s="349">
        <v>1.3400105237960815</v>
      </c>
      <c r="P29" s="350" t="s">
        <v>280</v>
      </c>
      <c r="Q29"/>
      <c r="R29"/>
      <c r="S29"/>
      <c r="T29"/>
      <c r="U29"/>
      <c r="V29"/>
      <c r="W29" s="348" t="s">
        <v>859</v>
      </c>
      <c r="X29" s="349">
        <v>0.76707053184509277</v>
      </c>
      <c r="Y29" s="349">
        <v>15.506331443786621</v>
      </c>
      <c r="Z29" s="349">
        <v>0.65258228778839111</v>
      </c>
      <c r="AA29" s="350" t="s">
        <v>280</v>
      </c>
      <c r="AB29" s="219" t="s">
        <v>111</v>
      </c>
      <c r="AC29" s="219">
        <v>3</v>
      </c>
      <c r="AD29"/>
      <c r="AE29"/>
      <c r="AF29"/>
      <c r="AG29"/>
      <c r="AH29"/>
      <c r="AI29" s="348" t="s">
        <v>865</v>
      </c>
      <c r="AJ29" s="349">
        <v>0.72954195737838745</v>
      </c>
      <c r="AK29" s="349">
        <v>13.531609535217285</v>
      </c>
      <c r="AL29" s="349">
        <v>0.69059950113296509</v>
      </c>
      <c r="AM29" s="350" t="s">
        <v>280</v>
      </c>
      <c r="AN29" s="219" t="s">
        <v>109</v>
      </c>
      <c r="AO29" s="219">
        <v>2</v>
      </c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 spans="1:91" s="219" customFormat="1" x14ac:dyDescent="0.25">
      <c r="A30" s="255" t="s">
        <v>194</v>
      </c>
      <c r="B30" s="219">
        <v>2016</v>
      </c>
      <c r="C30" s="219" t="s">
        <v>111</v>
      </c>
      <c r="D30" s="219">
        <v>8</v>
      </c>
      <c r="E30" s="219" t="s">
        <v>27</v>
      </c>
      <c r="F30" s="257">
        <v>2676.9</v>
      </c>
      <c r="G30" s="316">
        <v>42926</v>
      </c>
      <c r="H30" s="219" t="s">
        <v>675</v>
      </c>
      <c r="I30" s="256" t="s">
        <v>762</v>
      </c>
      <c r="J30" s="219" t="s">
        <v>763</v>
      </c>
      <c r="L30" s="348" t="s">
        <v>861</v>
      </c>
      <c r="M30" s="349">
        <v>16.828649520874023</v>
      </c>
      <c r="N30" s="349">
        <v>1.3236770629882813</v>
      </c>
      <c r="O30" s="349">
        <v>1.3967040777206421</v>
      </c>
      <c r="P30" s="350" t="s">
        <v>280</v>
      </c>
      <c r="Q30"/>
      <c r="R30"/>
      <c r="S30"/>
      <c r="T30"/>
      <c r="U30"/>
      <c r="V30"/>
      <c r="W30" s="348" t="s">
        <v>860</v>
      </c>
      <c r="X30" s="349">
        <v>1.3400105237960815</v>
      </c>
      <c r="Y30" s="349">
        <v>15.687155723571777</v>
      </c>
      <c r="Z30" s="349">
        <v>0.87779200077056885</v>
      </c>
      <c r="AA30" s="350" t="s">
        <v>280</v>
      </c>
      <c r="AB30" s="219" t="s">
        <v>111</v>
      </c>
      <c r="AC30" s="219">
        <v>4</v>
      </c>
      <c r="AD30"/>
      <c r="AE30"/>
      <c r="AF30"/>
      <c r="AG30"/>
      <c r="AH30"/>
      <c r="AI30" s="348" t="s">
        <v>856</v>
      </c>
      <c r="AJ30" s="349">
        <v>1.0680783987045288</v>
      </c>
      <c r="AK30" s="349">
        <v>14.735773086547852</v>
      </c>
      <c r="AL30" s="349">
        <v>0.8330426812171936</v>
      </c>
      <c r="AM30" s="350" t="s">
        <v>280</v>
      </c>
      <c r="AN30" s="219" t="s">
        <v>109</v>
      </c>
      <c r="AO30" s="219">
        <v>3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 spans="1:91" s="219" customFormat="1" x14ac:dyDescent="0.25">
      <c r="A31" s="255" t="s">
        <v>195</v>
      </c>
      <c r="B31" s="219">
        <v>2016</v>
      </c>
      <c r="C31" s="219" t="s">
        <v>111</v>
      </c>
      <c r="D31" s="219">
        <v>9</v>
      </c>
      <c r="E31" s="219" t="s">
        <v>27</v>
      </c>
      <c r="F31" s="257">
        <v>2507.5</v>
      </c>
      <c r="G31" s="316">
        <v>42926</v>
      </c>
      <c r="H31" s="219" t="s">
        <v>675</v>
      </c>
      <c r="I31" s="256" t="s">
        <v>762</v>
      </c>
      <c r="J31" s="219" t="s">
        <v>763</v>
      </c>
      <c r="L31" s="348" t="s">
        <v>862</v>
      </c>
      <c r="M31" s="349">
        <v>16.612297058105469</v>
      </c>
      <c r="N31" s="349">
        <v>1.3172858953475952</v>
      </c>
      <c r="O31" s="349">
        <v>1.340276837348938</v>
      </c>
      <c r="P31" s="350" t="s">
        <v>280</v>
      </c>
      <c r="Q31"/>
      <c r="R31"/>
      <c r="S31"/>
      <c r="T31"/>
      <c r="U31"/>
      <c r="V31"/>
      <c r="W31" s="348" t="s">
        <v>861</v>
      </c>
      <c r="X31" s="349">
        <v>1.3967040777206421</v>
      </c>
      <c r="Y31" s="349">
        <v>16.828649520874023</v>
      </c>
      <c r="Z31" s="349">
        <v>1.3236770629882813</v>
      </c>
      <c r="AA31" s="350" t="s">
        <v>280</v>
      </c>
      <c r="AB31" s="219" t="s">
        <v>111</v>
      </c>
      <c r="AC31" s="219">
        <v>8</v>
      </c>
      <c r="AD31"/>
      <c r="AE31"/>
      <c r="AF31"/>
      <c r="AG31"/>
      <c r="AH31"/>
      <c r="AI31" s="348" t="s">
        <v>855</v>
      </c>
      <c r="AJ31" s="349">
        <v>0.59522348642349243</v>
      </c>
      <c r="AK31" s="349">
        <v>13.06618595123291</v>
      </c>
      <c r="AL31" s="349">
        <v>0.54752320051193237</v>
      </c>
      <c r="AM31" s="350" t="s">
        <v>280</v>
      </c>
      <c r="AN31" s="219" t="s">
        <v>109</v>
      </c>
      <c r="AO31" s="219">
        <v>4</v>
      </c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 spans="1:91" s="219" customFormat="1" x14ac:dyDescent="0.25">
      <c r="A32" s="255" t="s">
        <v>196</v>
      </c>
      <c r="B32" s="219">
        <v>2016</v>
      </c>
      <c r="C32" s="219" t="s">
        <v>111</v>
      </c>
      <c r="D32" s="219">
        <v>11</v>
      </c>
      <c r="E32" s="219" t="s">
        <v>27</v>
      </c>
      <c r="F32" s="257">
        <v>3001.8</v>
      </c>
      <c r="G32" s="316">
        <v>42926</v>
      </c>
      <c r="H32" s="219" t="s">
        <v>675</v>
      </c>
      <c r="I32" s="256" t="s">
        <v>762</v>
      </c>
      <c r="J32" s="219" t="s">
        <v>763</v>
      </c>
      <c r="L32" s="348" t="s">
        <v>863</v>
      </c>
      <c r="M32" s="349">
        <v>17.148048400878906</v>
      </c>
      <c r="N32" s="349">
        <v>1.445207953453064</v>
      </c>
      <c r="O32" s="349">
        <v>1.5179711580276489</v>
      </c>
      <c r="P32" s="350" t="s">
        <v>280</v>
      </c>
      <c r="Q32"/>
      <c r="R32"/>
      <c r="S32"/>
      <c r="T32"/>
      <c r="U32"/>
      <c r="V32"/>
      <c r="W32" s="348" t="s">
        <v>862</v>
      </c>
      <c r="X32" s="349">
        <v>1.340276837348938</v>
      </c>
      <c r="Y32" s="349">
        <v>16.612297058105469</v>
      </c>
      <c r="Z32" s="349">
        <v>1.3172858953475952</v>
      </c>
      <c r="AA32" s="350" t="s">
        <v>280</v>
      </c>
      <c r="AB32" s="219" t="s">
        <v>111</v>
      </c>
      <c r="AC32" s="219">
        <v>9</v>
      </c>
      <c r="AD32"/>
      <c r="AE32"/>
      <c r="AF32"/>
      <c r="AG32"/>
      <c r="AH32"/>
      <c r="AI32" s="367" t="s">
        <v>853</v>
      </c>
      <c r="AJ32" s="368">
        <v>0.58427214622497559</v>
      </c>
      <c r="AK32" s="368">
        <v>12.677654266357422</v>
      </c>
      <c r="AL32" s="368">
        <v>0.61300480365753174</v>
      </c>
      <c r="AM32" s="369" t="s">
        <v>280</v>
      </c>
      <c r="AN32" s="242" t="s">
        <v>109</v>
      </c>
      <c r="AO32" s="242" t="s">
        <v>717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 spans="1:91" s="219" customFormat="1" x14ac:dyDescent="0.25">
      <c r="A33" s="255" t="s">
        <v>197</v>
      </c>
      <c r="B33" s="219">
        <v>2016</v>
      </c>
      <c r="C33" s="219" t="s">
        <v>109</v>
      </c>
      <c r="D33" s="219">
        <v>1</v>
      </c>
      <c r="E33" s="219" t="s">
        <v>27</v>
      </c>
      <c r="F33" s="257">
        <v>2853.8</v>
      </c>
      <c r="G33" s="316">
        <v>42926</v>
      </c>
      <c r="H33" s="219" t="s">
        <v>675</v>
      </c>
      <c r="I33" s="256" t="s">
        <v>762</v>
      </c>
      <c r="J33" s="219" t="s">
        <v>763</v>
      </c>
      <c r="L33" s="348" t="s">
        <v>864</v>
      </c>
      <c r="M33" s="349">
        <v>14.302079200744629</v>
      </c>
      <c r="N33" s="349">
        <v>0.91583043336868286</v>
      </c>
      <c r="O33" s="349">
        <v>0.94686996936798096</v>
      </c>
      <c r="P33" s="350" t="s">
        <v>280</v>
      </c>
      <c r="Q33"/>
      <c r="R33"/>
      <c r="S33"/>
      <c r="T33"/>
      <c r="U33"/>
      <c r="V33"/>
      <c r="W33" s="348" t="s">
        <v>863</v>
      </c>
      <c r="X33" s="349">
        <v>1.5179711580276489</v>
      </c>
      <c r="Y33" s="349">
        <v>17.148048400878906</v>
      </c>
      <c r="Z33" s="349">
        <v>1.445207953453064</v>
      </c>
      <c r="AA33" s="350" t="s">
        <v>280</v>
      </c>
      <c r="AB33" s="219" t="s">
        <v>111</v>
      </c>
      <c r="AC33" s="219">
        <v>11</v>
      </c>
      <c r="AD33">
        <f>AVERAGE(Y31:Y33,Y27:Y30)/AVERAGE(X31:X33,X27:X30)</f>
        <v>12.078212913038525</v>
      </c>
      <c r="AE33">
        <v>1000</v>
      </c>
      <c r="AF33"/>
      <c r="AG33"/>
      <c r="AH33"/>
      <c r="AI33" s="367" t="s">
        <v>854</v>
      </c>
      <c r="AJ33" s="368">
        <v>0.59569233655929565</v>
      </c>
      <c r="AK33" s="368">
        <v>12.597004890441895</v>
      </c>
      <c r="AL33" s="368">
        <v>0.55897748470306396</v>
      </c>
      <c r="AM33" s="369" t="s">
        <v>280</v>
      </c>
      <c r="AN33" s="242" t="s">
        <v>109</v>
      </c>
      <c r="AO33" s="242" t="s">
        <v>718</v>
      </c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 spans="1:91" s="219" customFormat="1" x14ac:dyDescent="0.25">
      <c r="A34" s="255" t="s">
        <v>198</v>
      </c>
      <c r="B34" s="219">
        <v>2016</v>
      </c>
      <c r="C34" s="219" t="s">
        <v>109</v>
      </c>
      <c r="D34" s="219">
        <v>2</v>
      </c>
      <c r="E34" s="219" t="s">
        <v>27</v>
      </c>
      <c r="F34" s="257">
        <v>3873.5</v>
      </c>
      <c r="G34" s="316">
        <v>42926</v>
      </c>
      <c r="H34" s="219" t="s">
        <v>675</v>
      </c>
      <c r="I34" s="256" t="s">
        <v>762</v>
      </c>
      <c r="J34" s="219" t="s">
        <v>763</v>
      </c>
      <c r="L34" s="348" t="s">
        <v>865</v>
      </c>
      <c r="M34" s="349">
        <v>13.531609535217285</v>
      </c>
      <c r="N34" s="349">
        <v>0.69059950113296509</v>
      </c>
      <c r="O34" s="349">
        <v>0.72954195737838745</v>
      </c>
      <c r="P34" s="350" t="s">
        <v>280</v>
      </c>
      <c r="Q34"/>
      <c r="R34"/>
      <c r="S34"/>
      <c r="T34"/>
      <c r="U34"/>
      <c r="V34"/>
      <c r="W34" s="348" t="s">
        <v>864</v>
      </c>
      <c r="X34" s="349">
        <v>0.94686996936798096</v>
      </c>
      <c r="Y34" s="349">
        <v>14.302079200744629</v>
      </c>
      <c r="Z34" s="349">
        <v>0.91583043336868286</v>
      </c>
      <c r="AA34" s="350" t="s">
        <v>280</v>
      </c>
      <c r="AB34" s="219" t="s">
        <v>109</v>
      </c>
      <c r="AC34" s="219">
        <v>1</v>
      </c>
      <c r="AD34"/>
      <c r="AE34"/>
      <c r="AF34"/>
      <c r="AG34"/>
      <c r="AH34"/>
      <c r="AI34" s="348" t="s">
        <v>866</v>
      </c>
      <c r="AJ34" s="349">
        <v>0.72053265571594238</v>
      </c>
      <c r="AK34" s="349">
        <v>12.680932998657227</v>
      </c>
      <c r="AL34" s="349">
        <v>0.72473639249801636</v>
      </c>
      <c r="AM34" s="350" t="s">
        <v>280</v>
      </c>
      <c r="AN34" s="219" t="s">
        <v>109</v>
      </c>
      <c r="AO34" s="219">
        <v>6</v>
      </c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</row>
    <row r="35" spans="1:91" s="219" customFormat="1" x14ac:dyDescent="0.25">
      <c r="A35" s="255" t="s">
        <v>199</v>
      </c>
      <c r="B35" s="219">
        <v>2016</v>
      </c>
      <c r="C35" s="219" t="s">
        <v>109</v>
      </c>
      <c r="D35" s="219">
        <v>6</v>
      </c>
      <c r="E35" s="219" t="s">
        <v>27</v>
      </c>
      <c r="F35" s="257">
        <v>3312.3</v>
      </c>
      <c r="G35" s="316">
        <v>42926</v>
      </c>
      <c r="H35" s="219" t="s">
        <v>675</v>
      </c>
      <c r="I35" s="256" t="s">
        <v>762</v>
      </c>
      <c r="J35" s="219" t="s">
        <v>763</v>
      </c>
      <c r="L35" s="348" t="s">
        <v>866</v>
      </c>
      <c r="M35" s="349">
        <v>12.680932998657227</v>
      </c>
      <c r="N35" s="349">
        <v>0.72473639249801636</v>
      </c>
      <c r="O35" s="349">
        <v>0.72053265571594238</v>
      </c>
      <c r="P35" s="350" t="s">
        <v>280</v>
      </c>
      <c r="Q35"/>
      <c r="R35"/>
      <c r="S35"/>
      <c r="T35"/>
      <c r="U35"/>
      <c r="V35"/>
      <c r="W35" s="348" t="s">
        <v>865</v>
      </c>
      <c r="X35" s="349">
        <v>0.72954195737838745</v>
      </c>
      <c r="Y35" s="349">
        <v>13.531609535217285</v>
      </c>
      <c r="Z35" s="349">
        <v>0.69059950113296509</v>
      </c>
      <c r="AA35" s="350" t="s">
        <v>280</v>
      </c>
      <c r="AB35" s="219" t="s">
        <v>109</v>
      </c>
      <c r="AC35" s="219">
        <v>2</v>
      </c>
      <c r="AD35"/>
      <c r="AE35"/>
      <c r="AF35"/>
      <c r="AG35"/>
      <c r="AH35"/>
      <c r="AI35" s="348" t="s">
        <v>869</v>
      </c>
      <c r="AJ35" s="349">
        <v>0.7311137318611145</v>
      </c>
      <c r="AK35" s="349">
        <v>13.081178665161133</v>
      </c>
      <c r="AL35" s="349">
        <v>0.76703637838363647</v>
      </c>
      <c r="AM35" s="350" t="s">
        <v>280</v>
      </c>
      <c r="AN35" s="219" t="s">
        <v>109</v>
      </c>
      <c r="AO35" s="219">
        <v>7</v>
      </c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 spans="1:91" s="219" customFormat="1" x14ac:dyDescent="0.25">
      <c r="A36" s="255" t="s">
        <v>201</v>
      </c>
      <c r="B36" s="219">
        <v>2016</v>
      </c>
      <c r="C36" s="219" t="s">
        <v>109</v>
      </c>
      <c r="D36" s="219">
        <v>17</v>
      </c>
      <c r="E36" s="219" t="s">
        <v>27</v>
      </c>
      <c r="F36" s="257">
        <v>3006.7</v>
      </c>
      <c r="G36" s="316">
        <v>42926</v>
      </c>
      <c r="H36" s="219" t="s">
        <v>675</v>
      </c>
      <c r="I36" s="256" t="s">
        <v>762</v>
      </c>
      <c r="J36" s="219" t="s">
        <v>763</v>
      </c>
      <c r="L36" s="348" t="s">
        <v>867</v>
      </c>
      <c r="M36" s="349">
        <v>12.420710563659668</v>
      </c>
      <c r="N36" s="349">
        <v>1.1080378293991089</v>
      </c>
      <c r="O36" s="349">
        <v>0.86473464965820313</v>
      </c>
      <c r="P36" s="350" t="s">
        <v>280</v>
      </c>
      <c r="Q36"/>
      <c r="R36"/>
      <c r="S36"/>
      <c r="T36"/>
      <c r="U36"/>
      <c r="V36"/>
      <c r="W36" s="348" t="s">
        <v>866</v>
      </c>
      <c r="X36" s="349">
        <v>0.72053265571594238</v>
      </c>
      <c r="Y36" s="349">
        <v>12.680932998657227</v>
      </c>
      <c r="Z36" s="349">
        <v>0.72473639249801636</v>
      </c>
      <c r="AA36" s="350" t="s">
        <v>280</v>
      </c>
      <c r="AB36" s="219" t="s">
        <v>109</v>
      </c>
      <c r="AC36" s="219">
        <v>6</v>
      </c>
      <c r="AD36">
        <f>AVERAGE(Y34:Y36,Y25:Y26)/AVERAGE(X34:X36,X25:X26)</f>
        <v>16.825722605195519</v>
      </c>
      <c r="AE36">
        <v>2000</v>
      </c>
      <c r="AF36"/>
      <c r="AG36"/>
      <c r="AH36"/>
      <c r="AI36" s="348" t="s">
        <v>870</v>
      </c>
      <c r="AJ36" s="349">
        <v>1.0817877054214478</v>
      </c>
      <c r="AK36" s="349">
        <v>14.204557418823242</v>
      </c>
      <c r="AL36" s="349">
        <v>0.94412720203399658</v>
      </c>
      <c r="AM36" s="350" t="s">
        <v>280</v>
      </c>
      <c r="AN36" s="219" t="s">
        <v>109</v>
      </c>
      <c r="AO36" s="219">
        <v>8</v>
      </c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 spans="1:91" s="219" customFormat="1" x14ac:dyDescent="0.25">
      <c r="A37" s="255" t="s">
        <v>202</v>
      </c>
      <c r="B37" s="219">
        <v>2016</v>
      </c>
      <c r="C37" s="219" t="s">
        <v>109</v>
      </c>
      <c r="D37" s="219">
        <v>18</v>
      </c>
      <c r="E37" s="219" t="s">
        <v>27</v>
      </c>
      <c r="F37" s="257">
        <v>3637.9</v>
      </c>
      <c r="G37" s="316">
        <v>42926</v>
      </c>
      <c r="H37" s="219" t="s">
        <v>675</v>
      </c>
      <c r="I37" s="256" t="s">
        <v>762</v>
      </c>
      <c r="J37" s="219" t="s">
        <v>763</v>
      </c>
      <c r="L37" s="348" t="s">
        <v>868</v>
      </c>
      <c r="M37" s="349">
        <v>16.616935729980469</v>
      </c>
      <c r="N37" s="349">
        <v>1.9009114503860474</v>
      </c>
      <c r="O37" s="349">
        <v>1.5863571166992188</v>
      </c>
      <c r="P37" s="350" t="s">
        <v>280</v>
      </c>
      <c r="Q37"/>
      <c r="R37"/>
      <c r="S37"/>
      <c r="T37"/>
      <c r="U37"/>
      <c r="V37"/>
      <c r="W37" s="370" t="s">
        <v>901</v>
      </c>
      <c r="X37" s="371"/>
      <c r="Y37" s="371"/>
      <c r="Z37" s="371"/>
      <c r="AA37" s="372"/>
      <c r="AB37" s="373"/>
      <c r="AC37" s="373"/>
      <c r="AD37"/>
      <c r="AE37"/>
      <c r="AF37"/>
      <c r="AG37"/>
      <c r="AH37"/>
      <c r="AI37" s="348" t="s">
        <v>871</v>
      </c>
      <c r="AJ37" s="349">
        <v>0.84581220149993896</v>
      </c>
      <c r="AK37" s="349">
        <v>13.625788688659668</v>
      </c>
      <c r="AL37" s="349">
        <v>0.77873039245605469</v>
      </c>
      <c r="AM37" s="350" t="s">
        <v>280</v>
      </c>
      <c r="AN37" s="219" t="s">
        <v>109</v>
      </c>
      <c r="AO37" s="219">
        <v>9</v>
      </c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 spans="1:91" s="219" customFormat="1" x14ac:dyDescent="0.25">
      <c r="A38" s="255" t="s">
        <v>203</v>
      </c>
      <c r="B38" s="219">
        <v>2016</v>
      </c>
      <c r="C38" s="219" t="s">
        <v>109</v>
      </c>
      <c r="D38" s="219">
        <v>7</v>
      </c>
      <c r="E38" s="219" t="s">
        <v>27</v>
      </c>
      <c r="F38" s="257">
        <v>3046.3</v>
      </c>
      <c r="G38" s="316">
        <v>42927</v>
      </c>
      <c r="H38" s="219" t="s">
        <v>675</v>
      </c>
      <c r="I38" s="324">
        <v>0.28000000000000003</v>
      </c>
      <c r="J38" s="219" t="s">
        <v>798</v>
      </c>
      <c r="L38" s="348" t="s">
        <v>869</v>
      </c>
      <c r="M38" s="349">
        <v>13.081178665161133</v>
      </c>
      <c r="N38" s="349">
        <v>0.76703637838363647</v>
      </c>
      <c r="O38" s="349">
        <v>0.7311137318611145</v>
      </c>
      <c r="P38" s="350" t="s">
        <v>280</v>
      </c>
      <c r="Q38"/>
      <c r="R38"/>
      <c r="S38"/>
      <c r="T38"/>
      <c r="U38"/>
      <c r="V38"/>
      <c r="W38" s="348" t="s">
        <v>867</v>
      </c>
      <c r="X38" s="349">
        <v>0.86473464965820313</v>
      </c>
      <c r="Y38" s="349">
        <v>12.420710563659668</v>
      </c>
      <c r="Z38" s="349">
        <v>1.1080378293991089</v>
      </c>
      <c r="AA38" s="350" t="s">
        <v>280</v>
      </c>
      <c r="AB38" s="219" t="s">
        <v>109</v>
      </c>
      <c r="AC38" s="219">
        <v>17</v>
      </c>
      <c r="AD38"/>
      <c r="AE38"/>
      <c r="AF38"/>
      <c r="AG38"/>
      <c r="AH38"/>
      <c r="AI38" s="348" t="s">
        <v>872</v>
      </c>
      <c r="AJ38" s="349">
        <v>0.97243547439575195</v>
      </c>
      <c r="AK38" s="349">
        <v>14.010750770568848</v>
      </c>
      <c r="AL38" s="349">
        <v>0.90020543336868286</v>
      </c>
      <c r="AM38" s="350" t="s">
        <v>280</v>
      </c>
      <c r="AN38" s="219" t="s">
        <v>109</v>
      </c>
      <c r="AO38" s="219">
        <v>10</v>
      </c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</row>
    <row r="39" spans="1:91" s="219" customFormat="1" x14ac:dyDescent="0.25">
      <c r="A39" s="255" t="s">
        <v>204</v>
      </c>
      <c r="B39" s="219">
        <v>2016</v>
      </c>
      <c r="C39" s="219" t="s">
        <v>109</v>
      </c>
      <c r="D39" s="219">
        <v>8</v>
      </c>
      <c r="E39" s="219" t="s">
        <v>27</v>
      </c>
      <c r="F39" s="257">
        <v>3129.1</v>
      </c>
      <c r="G39" s="316">
        <v>42927</v>
      </c>
      <c r="H39" s="219" t="s">
        <v>675</v>
      </c>
      <c r="I39" s="324">
        <v>0.28000000000000003</v>
      </c>
      <c r="J39" s="219" t="s">
        <v>798</v>
      </c>
      <c r="L39" s="348" t="s">
        <v>870</v>
      </c>
      <c r="M39" s="349">
        <v>14.204557418823242</v>
      </c>
      <c r="N39" s="349">
        <v>0.94412720203399658</v>
      </c>
      <c r="O39" s="349">
        <v>1.0817877054214478</v>
      </c>
      <c r="P39" s="350" t="s">
        <v>280</v>
      </c>
      <c r="Q39"/>
      <c r="R39"/>
      <c r="S39"/>
      <c r="T39"/>
      <c r="U39"/>
      <c r="V39"/>
      <c r="W39" s="348" t="s">
        <v>868</v>
      </c>
      <c r="X39" s="349">
        <v>1.5863571166992188</v>
      </c>
      <c r="Y39" s="349">
        <v>16.616935729980469</v>
      </c>
      <c r="Z39" s="349">
        <v>1.9009114503860474</v>
      </c>
      <c r="AA39" s="350" t="s">
        <v>280</v>
      </c>
      <c r="AB39" s="219" t="s">
        <v>109</v>
      </c>
      <c r="AC39" s="219">
        <v>18</v>
      </c>
      <c r="AD39"/>
      <c r="AE39"/>
      <c r="AF39"/>
      <c r="AG39"/>
      <c r="AH39"/>
      <c r="AI39" s="348" t="s">
        <v>873</v>
      </c>
      <c r="AJ39" s="349">
        <v>1.2336673736572266</v>
      </c>
      <c r="AK39" s="349">
        <v>14.762297630310059</v>
      </c>
      <c r="AL39" s="349">
        <v>1.0595983266830444</v>
      </c>
      <c r="AM39" s="350" t="s">
        <v>280</v>
      </c>
      <c r="AN39" s="219" t="s">
        <v>109</v>
      </c>
      <c r="AO39" s="219">
        <v>11</v>
      </c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 spans="1:91" s="219" customFormat="1" x14ac:dyDescent="0.25">
      <c r="A40" s="255" t="s">
        <v>205</v>
      </c>
      <c r="B40" s="219">
        <v>2016</v>
      </c>
      <c r="C40" s="219" t="s">
        <v>109</v>
      </c>
      <c r="D40" s="219">
        <v>9</v>
      </c>
      <c r="E40" s="219" t="s">
        <v>27</v>
      </c>
      <c r="F40" s="257">
        <v>2536.9</v>
      </c>
      <c r="G40" s="316">
        <v>42927</v>
      </c>
      <c r="H40" s="219" t="s">
        <v>675</v>
      </c>
      <c r="I40" s="324">
        <v>0.28000000000000003</v>
      </c>
      <c r="J40" s="219" t="s">
        <v>798</v>
      </c>
      <c r="L40" s="348" t="s">
        <v>871</v>
      </c>
      <c r="M40" s="349">
        <v>13.625788688659668</v>
      </c>
      <c r="N40" s="349">
        <v>0.77873039245605469</v>
      </c>
      <c r="O40" s="349">
        <v>0.84581220149993896</v>
      </c>
      <c r="P40" s="350" t="s">
        <v>280</v>
      </c>
      <c r="Q40"/>
      <c r="R40"/>
      <c r="S40"/>
      <c r="T40"/>
      <c r="U40"/>
      <c r="V40"/>
      <c r="W40" s="348" t="s">
        <v>869</v>
      </c>
      <c r="X40" s="349">
        <v>0.7311137318611145</v>
      </c>
      <c r="Y40" s="349">
        <v>13.081178665161133</v>
      </c>
      <c r="Z40" s="349">
        <v>0.76703637838363647</v>
      </c>
      <c r="AA40" s="350" t="s">
        <v>280</v>
      </c>
      <c r="AB40" s="219" t="s">
        <v>109</v>
      </c>
      <c r="AC40" s="219">
        <v>7</v>
      </c>
      <c r="AD40"/>
      <c r="AE40"/>
      <c r="AF40"/>
      <c r="AG40"/>
      <c r="AH40"/>
      <c r="AI40" s="348" t="s">
        <v>876</v>
      </c>
      <c r="AJ40" s="349">
        <v>0.87225109338760376</v>
      </c>
      <c r="AK40" s="349">
        <v>13.743739128112793</v>
      </c>
      <c r="AL40" s="349">
        <v>0.82539564371109009</v>
      </c>
      <c r="AM40" s="350" t="s">
        <v>280</v>
      </c>
      <c r="AN40" s="219" t="s">
        <v>109</v>
      </c>
      <c r="AO40" s="219">
        <v>12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 spans="1:91" s="219" customFormat="1" x14ac:dyDescent="0.25">
      <c r="A41" s="255" t="s">
        <v>206</v>
      </c>
      <c r="B41" s="219">
        <v>2016</v>
      </c>
      <c r="C41" s="219" t="s">
        <v>109</v>
      </c>
      <c r="D41" s="219">
        <v>10</v>
      </c>
      <c r="E41" s="219" t="s">
        <v>27</v>
      </c>
      <c r="F41" s="257">
        <v>2937.2</v>
      </c>
      <c r="G41" s="316">
        <v>42927</v>
      </c>
      <c r="H41" s="219" t="s">
        <v>675</v>
      </c>
      <c r="I41" s="324">
        <v>0.28000000000000003</v>
      </c>
      <c r="J41" s="219" t="s">
        <v>798</v>
      </c>
      <c r="L41" s="348" t="s">
        <v>872</v>
      </c>
      <c r="M41" s="349">
        <v>14.010750770568848</v>
      </c>
      <c r="N41" s="349">
        <v>0.90020543336868286</v>
      </c>
      <c r="O41" s="349">
        <v>0.97243547439575195</v>
      </c>
      <c r="P41" s="350" t="s">
        <v>280</v>
      </c>
      <c r="Q41"/>
      <c r="R41"/>
      <c r="S41"/>
      <c r="T41"/>
      <c r="U41"/>
      <c r="V41"/>
      <c r="W41" s="348" t="s">
        <v>870</v>
      </c>
      <c r="X41" s="349">
        <v>1.0817877054214478</v>
      </c>
      <c r="Y41" s="349">
        <v>14.204557418823242</v>
      </c>
      <c r="Z41" s="349">
        <v>0.94412720203399658</v>
      </c>
      <c r="AA41" s="350" t="s">
        <v>280</v>
      </c>
      <c r="AB41" s="219" t="s">
        <v>109</v>
      </c>
      <c r="AC41" s="219">
        <v>8</v>
      </c>
      <c r="AD41"/>
      <c r="AE41"/>
      <c r="AF41"/>
      <c r="AG41"/>
      <c r="AH41"/>
      <c r="AI41" s="348" t="s">
        <v>877</v>
      </c>
      <c r="AJ41" s="349">
        <v>0.72510433197021484</v>
      </c>
      <c r="AK41" s="349">
        <v>13.271342277526855</v>
      </c>
      <c r="AL41" s="349">
        <v>0.67302054166793823</v>
      </c>
      <c r="AM41" s="350" t="s">
        <v>280</v>
      </c>
      <c r="AN41" s="219" t="s">
        <v>109</v>
      </c>
      <c r="AO41" s="219">
        <v>13</v>
      </c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 spans="1:91" s="219" customFormat="1" x14ac:dyDescent="0.25">
      <c r="A42" s="255" t="s">
        <v>207</v>
      </c>
      <c r="B42" s="219">
        <v>2016</v>
      </c>
      <c r="C42" s="219" t="s">
        <v>109</v>
      </c>
      <c r="D42" s="219">
        <v>11</v>
      </c>
      <c r="E42" s="219" t="s">
        <v>27</v>
      </c>
      <c r="F42" s="257">
        <v>2859.7</v>
      </c>
      <c r="G42" s="316">
        <v>42927</v>
      </c>
      <c r="H42" s="219" t="s">
        <v>675</v>
      </c>
      <c r="I42" s="324">
        <v>0.28000000000000003</v>
      </c>
      <c r="J42" s="219" t="s">
        <v>798</v>
      </c>
      <c r="L42" s="348" t="s">
        <v>873</v>
      </c>
      <c r="M42" s="349">
        <v>14.762297630310059</v>
      </c>
      <c r="N42" s="349">
        <v>1.0595983266830444</v>
      </c>
      <c r="O42" s="349">
        <v>1.2336673736572266</v>
      </c>
      <c r="P42" s="350" t="s">
        <v>280</v>
      </c>
      <c r="Q42"/>
      <c r="R42"/>
      <c r="S42"/>
      <c r="T42"/>
      <c r="U42"/>
      <c r="V42"/>
      <c r="W42" s="348" t="s">
        <v>871</v>
      </c>
      <c r="X42" s="349">
        <v>0.84581220149993896</v>
      </c>
      <c r="Y42" s="349">
        <v>13.625788688659668</v>
      </c>
      <c r="Z42" s="349">
        <v>0.77873039245605469</v>
      </c>
      <c r="AA42" s="350" t="s">
        <v>280</v>
      </c>
      <c r="AB42" s="219" t="s">
        <v>109</v>
      </c>
      <c r="AC42" s="219">
        <v>9</v>
      </c>
      <c r="AD42"/>
      <c r="AE42"/>
      <c r="AF42"/>
      <c r="AG42"/>
      <c r="AH42"/>
      <c r="AI42" s="348" t="s">
        <v>878</v>
      </c>
      <c r="AJ42" s="349">
        <v>0.72930639982223511</v>
      </c>
      <c r="AK42" s="349">
        <v>13.242328643798828</v>
      </c>
      <c r="AL42" s="349">
        <v>0.73736715316772461</v>
      </c>
      <c r="AM42" s="350" t="s">
        <v>280</v>
      </c>
      <c r="AN42" s="219" t="s">
        <v>109</v>
      </c>
      <c r="AO42" s="219">
        <v>14</v>
      </c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 spans="1:91" s="353" customFormat="1" x14ac:dyDescent="0.25">
      <c r="A43" s="352" t="s">
        <v>208</v>
      </c>
      <c r="B43" s="353">
        <v>2016</v>
      </c>
      <c r="C43" s="353" t="s">
        <v>796</v>
      </c>
      <c r="E43" s="353" t="s">
        <v>241</v>
      </c>
      <c r="F43" s="354">
        <v>4143.5</v>
      </c>
      <c r="G43" s="355">
        <v>42927</v>
      </c>
      <c r="H43" s="353" t="s">
        <v>675</v>
      </c>
      <c r="I43" s="356">
        <v>0.28000000000000003</v>
      </c>
      <c r="J43" s="353" t="s">
        <v>798</v>
      </c>
      <c r="L43" s="357" t="s">
        <v>874</v>
      </c>
      <c r="M43" s="358">
        <v>3.1761651039123535</v>
      </c>
      <c r="N43" s="358">
        <v>0.70014911890029907</v>
      </c>
      <c r="O43" s="358">
        <v>0.26687914133071899</v>
      </c>
      <c r="P43" s="359">
        <v>0.88965033292770301</v>
      </c>
      <c r="Q43" s="360"/>
      <c r="R43" s="360"/>
      <c r="S43" s="360"/>
      <c r="T43" s="360"/>
      <c r="U43" s="360"/>
      <c r="V43" s="360"/>
      <c r="W43" s="348" t="s">
        <v>872</v>
      </c>
      <c r="X43" s="349">
        <v>0.97243547439575195</v>
      </c>
      <c r="Y43" s="349">
        <v>14.010750770568848</v>
      </c>
      <c r="Z43" s="349">
        <v>0.90020543336868286</v>
      </c>
      <c r="AA43" s="350" t="s">
        <v>280</v>
      </c>
      <c r="AB43" s="219" t="s">
        <v>109</v>
      </c>
      <c r="AC43" s="219">
        <v>10</v>
      </c>
      <c r="AD43"/>
      <c r="AE43"/>
      <c r="AF43"/>
      <c r="AG43"/>
      <c r="AH43"/>
      <c r="AI43" s="348" t="s">
        <v>879</v>
      </c>
      <c r="AJ43" s="349">
        <v>0.6531527042388916</v>
      </c>
      <c r="AK43" s="349">
        <v>12.697575569152832</v>
      </c>
      <c r="AL43" s="349">
        <v>0.76225507259368896</v>
      </c>
      <c r="AM43" s="350" t="s">
        <v>280</v>
      </c>
      <c r="AN43" s="219" t="s">
        <v>109</v>
      </c>
      <c r="AO43" s="219">
        <v>15</v>
      </c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 spans="1:91" s="353" customFormat="1" x14ac:dyDescent="0.25">
      <c r="A44" s="352" t="s">
        <v>209</v>
      </c>
      <c r="B44" s="353">
        <v>2016</v>
      </c>
      <c r="C44" s="353" t="s">
        <v>797</v>
      </c>
      <c r="E44" s="353" t="s">
        <v>241</v>
      </c>
      <c r="F44" s="354">
        <v>2912.2</v>
      </c>
      <c r="G44" s="355">
        <v>42927</v>
      </c>
      <c r="H44" s="353" t="s">
        <v>675</v>
      </c>
      <c r="I44" s="356">
        <v>0.28000000000000003</v>
      </c>
      <c r="J44" s="353" t="s">
        <v>798</v>
      </c>
      <c r="L44" s="357" t="s">
        <v>875</v>
      </c>
      <c r="M44" s="358">
        <v>3.2470822334289551</v>
      </c>
      <c r="N44" s="358">
        <v>0.63590770959854126</v>
      </c>
      <c r="O44" s="358">
        <v>0.25823551416397095</v>
      </c>
      <c r="P44" s="359">
        <v>0.98648762702941895</v>
      </c>
      <c r="Q44" s="360"/>
      <c r="R44" s="360"/>
      <c r="S44" s="360"/>
      <c r="T44" s="360"/>
      <c r="U44" s="360"/>
      <c r="V44" s="360"/>
      <c r="W44" s="348" t="s">
        <v>873</v>
      </c>
      <c r="X44" s="349">
        <v>1.2336673736572266</v>
      </c>
      <c r="Y44" s="349">
        <v>14.762297630310059</v>
      </c>
      <c r="Z44" s="349">
        <v>1.0595983266830444</v>
      </c>
      <c r="AA44" s="350" t="s">
        <v>280</v>
      </c>
      <c r="AB44" s="219" t="s">
        <v>109</v>
      </c>
      <c r="AC44" s="219">
        <v>11</v>
      </c>
      <c r="AD44"/>
      <c r="AE44"/>
      <c r="AF44"/>
      <c r="AG44"/>
      <c r="AH44"/>
      <c r="AI44" s="367" t="s">
        <v>880</v>
      </c>
      <c r="AJ44" s="368">
        <v>0.64945542812347412</v>
      </c>
      <c r="AK44" s="368">
        <v>12.235356330871582</v>
      </c>
      <c r="AL44" s="368">
        <v>0.79330039024353027</v>
      </c>
      <c r="AM44" s="369" t="s">
        <v>280</v>
      </c>
      <c r="AN44" s="242" t="s">
        <v>109</v>
      </c>
      <c r="AO44" s="242" t="s">
        <v>711</v>
      </c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 spans="1:91" s="219" customFormat="1" x14ac:dyDescent="0.25">
      <c r="A45" s="255" t="s">
        <v>210</v>
      </c>
      <c r="B45" s="219">
        <v>2016</v>
      </c>
      <c r="C45" s="219" t="s">
        <v>109</v>
      </c>
      <c r="D45" s="219">
        <v>12</v>
      </c>
      <c r="E45" s="219" t="s">
        <v>27</v>
      </c>
      <c r="F45" s="257">
        <v>3265.5</v>
      </c>
      <c r="G45" s="316">
        <v>42927</v>
      </c>
      <c r="H45" s="219" t="s">
        <v>675</v>
      </c>
      <c r="I45" s="324">
        <v>0.28000000000000003</v>
      </c>
      <c r="J45" s="219" t="s">
        <v>798</v>
      </c>
      <c r="L45" s="348" t="s">
        <v>876</v>
      </c>
      <c r="M45" s="349">
        <v>13.743739128112793</v>
      </c>
      <c r="N45" s="349">
        <v>0.82539564371109009</v>
      </c>
      <c r="O45" s="349">
        <v>0.87225109338760376</v>
      </c>
      <c r="P45" s="350" t="s">
        <v>280</v>
      </c>
      <c r="Q45"/>
      <c r="R45"/>
      <c r="S45"/>
      <c r="T45"/>
      <c r="U45"/>
      <c r="V45"/>
      <c r="W45" s="374" t="s">
        <v>874</v>
      </c>
      <c r="X45" s="375">
        <v>0.26687914133071899</v>
      </c>
      <c r="Y45" s="375">
        <v>3.1761651039123535</v>
      </c>
      <c r="Z45" s="375">
        <v>0.70014911890029907</v>
      </c>
      <c r="AA45" s="376">
        <v>0.88965033292770301</v>
      </c>
      <c r="AB45" s="377" t="s">
        <v>796</v>
      </c>
      <c r="AC45" s="377"/>
      <c r="AD45"/>
      <c r="AE45"/>
      <c r="AF45"/>
      <c r="AG45"/>
      <c r="AH45"/>
      <c r="AI45" s="367" t="s">
        <v>881</v>
      </c>
      <c r="AJ45" s="368">
        <v>0.6686515212059021</v>
      </c>
      <c r="AK45" s="368">
        <v>12.274404525756836</v>
      </c>
      <c r="AL45" s="368">
        <v>0.84399133920669556</v>
      </c>
      <c r="AM45" s="369" t="s">
        <v>280</v>
      </c>
      <c r="AN45" s="242" t="s">
        <v>109</v>
      </c>
      <c r="AO45" s="242" t="s">
        <v>712</v>
      </c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 spans="1:91" s="219" customFormat="1" x14ac:dyDescent="0.25">
      <c r="A46" s="255" t="s">
        <v>211</v>
      </c>
      <c r="B46" s="219">
        <v>2016</v>
      </c>
      <c r="C46" s="219" t="s">
        <v>109</v>
      </c>
      <c r="D46" s="219">
        <v>13</v>
      </c>
      <c r="E46" s="219" t="s">
        <v>27</v>
      </c>
      <c r="F46" s="257">
        <v>2973.9</v>
      </c>
      <c r="G46" s="316">
        <v>42927</v>
      </c>
      <c r="H46" s="219" t="s">
        <v>675</v>
      </c>
      <c r="I46" s="324">
        <v>0.28000000000000003</v>
      </c>
      <c r="J46" s="219" t="s">
        <v>798</v>
      </c>
      <c r="L46" s="348" t="s">
        <v>877</v>
      </c>
      <c r="M46" s="349">
        <v>13.271342277526855</v>
      </c>
      <c r="N46" s="349">
        <v>0.67302054166793823</v>
      </c>
      <c r="O46" s="349">
        <v>0.72510433197021484</v>
      </c>
      <c r="P46" s="350" t="s">
        <v>280</v>
      </c>
      <c r="Q46"/>
      <c r="R46"/>
      <c r="S46"/>
      <c r="T46"/>
      <c r="U46"/>
      <c r="V46"/>
      <c r="W46" s="374" t="s">
        <v>875</v>
      </c>
      <c r="X46" s="375">
        <v>0.25823551416397095</v>
      </c>
      <c r="Y46" s="375">
        <v>3.2470822334289551</v>
      </c>
      <c r="Z46" s="375">
        <v>0.63590770959854126</v>
      </c>
      <c r="AA46" s="376">
        <v>0.98648762702941895</v>
      </c>
      <c r="AB46" s="377" t="s">
        <v>797</v>
      </c>
      <c r="AC46" s="377"/>
      <c r="AD46"/>
      <c r="AE46"/>
      <c r="AF46"/>
      <c r="AG46"/>
      <c r="AH46"/>
      <c r="AI46" s="348" t="s">
        <v>867</v>
      </c>
      <c r="AJ46" s="349">
        <v>0.86473464965820313</v>
      </c>
      <c r="AK46" s="349">
        <v>12.420710563659668</v>
      </c>
      <c r="AL46" s="349">
        <v>1.1080378293991089</v>
      </c>
      <c r="AM46" s="350" t="s">
        <v>280</v>
      </c>
      <c r="AN46" s="219" t="s">
        <v>109</v>
      </c>
      <c r="AO46" s="219">
        <v>17</v>
      </c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 spans="1:91" s="219" customFormat="1" x14ac:dyDescent="0.25">
      <c r="A47" s="255" t="s">
        <v>212</v>
      </c>
      <c r="B47" s="219">
        <v>2016</v>
      </c>
      <c r="C47" s="219" t="s">
        <v>109</v>
      </c>
      <c r="D47" s="219">
        <v>14</v>
      </c>
      <c r="E47" s="219" t="s">
        <v>27</v>
      </c>
      <c r="F47" s="257">
        <v>3187.2</v>
      </c>
      <c r="G47" s="316">
        <v>42927</v>
      </c>
      <c r="H47" s="219" t="s">
        <v>675</v>
      </c>
      <c r="I47" s="324">
        <v>0.28000000000000003</v>
      </c>
      <c r="J47" s="219" t="s">
        <v>798</v>
      </c>
      <c r="L47" s="348" t="s">
        <v>878</v>
      </c>
      <c r="M47" s="349">
        <v>13.242328643798828</v>
      </c>
      <c r="N47" s="349">
        <v>0.73736715316772461</v>
      </c>
      <c r="O47" s="349">
        <v>0.72930639982223511</v>
      </c>
      <c r="P47" s="350" t="s">
        <v>280</v>
      </c>
      <c r="Q47"/>
      <c r="R47"/>
      <c r="S47"/>
      <c r="T47"/>
      <c r="U47"/>
      <c r="V47"/>
      <c r="W47" s="348" t="s">
        <v>876</v>
      </c>
      <c r="X47" s="349">
        <v>0.87225109338760376</v>
      </c>
      <c r="Y47" s="349">
        <v>13.743739128112793</v>
      </c>
      <c r="Z47" s="349">
        <v>0.82539564371109009</v>
      </c>
      <c r="AA47" s="350" t="s">
        <v>280</v>
      </c>
      <c r="AB47" s="219" t="s">
        <v>109</v>
      </c>
      <c r="AC47" s="219">
        <v>12</v>
      </c>
      <c r="AD47"/>
      <c r="AE47"/>
      <c r="AF47"/>
      <c r="AG47"/>
      <c r="AH47"/>
      <c r="AI47" s="348" t="s">
        <v>868</v>
      </c>
      <c r="AJ47" s="349">
        <v>1.5863571166992188</v>
      </c>
      <c r="AK47" s="349">
        <v>16.616935729980469</v>
      </c>
      <c r="AL47" s="349">
        <v>1.9009114503860474</v>
      </c>
      <c r="AM47" s="350" t="s">
        <v>280</v>
      </c>
      <c r="AN47" s="219" t="s">
        <v>109</v>
      </c>
      <c r="AO47" s="219">
        <v>18</v>
      </c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 spans="1:91" s="219" customFormat="1" x14ac:dyDescent="0.25">
      <c r="A48" s="255" t="s">
        <v>213</v>
      </c>
      <c r="B48" s="219">
        <v>2016</v>
      </c>
      <c r="C48" s="219" t="s">
        <v>109</v>
      </c>
      <c r="D48" s="219">
        <v>15</v>
      </c>
      <c r="E48" s="219" t="s">
        <v>27</v>
      </c>
      <c r="F48" s="257">
        <v>3973.1</v>
      </c>
      <c r="G48" s="316">
        <v>42929</v>
      </c>
      <c r="H48" s="219" t="s">
        <v>675</v>
      </c>
      <c r="I48" s="256" t="s">
        <v>802</v>
      </c>
      <c r="J48" s="219" t="s">
        <v>803</v>
      </c>
      <c r="L48" s="348" t="s">
        <v>879</v>
      </c>
      <c r="M48" s="349">
        <v>12.697575569152832</v>
      </c>
      <c r="N48" s="349">
        <v>0.76225507259368896</v>
      </c>
      <c r="O48" s="349">
        <v>0.6531527042388916</v>
      </c>
      <c r="P48" s="350" t="s">
        <v>280</v>
      </c>
      <c r="Q48"/>
      <c r="R48"/>
      <c r="S48"/>
      <c r="T48"/>
      <c r="U48"/>
      <c r="V48"/>
      <c r="W48" s="348" t="s">
        <v>877</v>
      </c>
      <c r="X48" s="349">
        <v>0.72510433197021484</v>
      </c>
      <c r="Y48" s="349">
        <v>13.271342277526855</v>
      </c>
      <c r="Z48" s="349">
        <v>0.67302054166793823</v>
      </c>
      <c r="AA48" s="350" t="s">
        <v>280</v>
      </c>
      <c r="AB48" s="219" t="s">
        <v>109</v>
      </c>
      <c r="AC48" s="219">
        <v>13</v>
      </c>
      <c r="AD48"/>
      <c r="AE48"/>
      <c r="AF48"/>
      <c r="AG48"/>
      <c r="AH48"/>
      <c r="AI48" s="348" t="s">
        <v>882</v>
      </c>
      <c r="AJ48" s="349">
        <v>0.60060226917266846</v>
      </c>
      <c r="AK48" s="349">
        <v>12.980376243591309</v>
      </c>
      <c r="AL48" s="349">
        <v>0.58470714092254639</v>
      </c>
      <c r="AM48" s="350" t="s">
        <v>280</v>
      </c>
      <c r="AN48" s="219" t="s">
        <v>110</v>
      </c>
      <c r="AO48" s="219">
        <v>1</v>
      </c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 spans="1:91" s="219" customFormat="1" x14ac:dyDescent="0.25">
      <c r="A49" s="255" t="s">
        <v>214</v>
      </c>
      <c r="B49" s="219">
        <v>2016</v>
      </c>
      <c r="C49" s="219" t="s">
        <v>109</v>
      </c>
      <c r="D49" s="219" t="s">
        <v>711</v>
      </c>
      <c r="E49" s="219" t="s">
        <v>27</v>
      </c>
      <c r="F49" s="257">
        <v>2790.8</v>
      </c>
      <c r="G49" s="316">
        <v>42929</v>
      </c>
      <c r="H49" s="219" t="s">
        <v>675</v>
      </c>
      <c r="I49" s="256" t="s">
        <v>802</v>
      </c>
      <c r="J49" s="219" t="s">
        <v>803</v>
      </c>
      <c r="L49" s="348" t="s">
        <v>880</v>
      </c>
      <c r="M49" s="349">
        <v>12.235356330871582</v>
      </c>
      <c r="N49" s="349">
        <v>0.79330039024353027</v>
      </c>
      <c r="O49" s="349">
        <v>0.64945542812347412</v>
      </c>
      <c r="P49" s="350" t="s">
        <v>280</v>
      </c>
      <c r="Q49" s="17" t="s">
        <v>800</v>
      </c>
      <c r="R49" s="3">
        <f>AVERAGE(M49:M50)</f>
        <v>12.254880428314209</v>
      </c>
      <c r="S49" s="3">
        <f>AVERAGE(O49:O50)</f>
        <v>0.65905347466468811</v>
      </c>
      <c r="T49" s="3">
        <f>AVERAGE(N49:N50)</f>
        <v>0.81864586472511292</v>
      </c>
      <c r="U49"/>
      <c r="V49"/>
      <c r="W49" s="348" t="s">
        <v>878</v>
      </c>
      <c r="X49" s="349">
        <v>0.72930639982223511</v>
      </c>
      <c r="Y49" s="349">
        <v>13.242328643798828</v>
      </c>
      <c r="Z49" s="349">
        <v>0.73736715316772461</v>
      </c>
      <c r="AA49" s="350" t="s">
        <v>280</v>
      </c>
      <c r="AB49" s="219" t="s">
        <v>109</v>
      </c>
      <c r="AC49" s="219">
        <v>14</v>
      </c>
      <c r="AD49">
        <f>AVERAGE(Y47:Y49,Y38:Y44)/AVERAGE(X47:X49,X38:X44)</f>
        <v>14.413131394120226</v>
      </c>
      <c r="AE49">
        <v>2000</v>
      </c>
      <c r="AF49"/>
      <c r="AG49"/>
      <c r="AH49"/>
      <c r="AI49" s="348" t="s">
        <v>883</v>
      </c>
      <c r="AJ49" s="349">
        <v>0.52493429183959961</v>
      </c>
      <c r="AK49" s="349">
        <v>13.032732009887695</v>
      </c>
      <c r="AL49" s="349">
        <v>0.47273567318916321</v>
      </c>
      <c r="AM49" s="350" t="s">
        <v>280</v>
      </c>
      <c r="AN49" s="219" t="s">
        <v>110</v>
      </c>
      <c r="AO49" s="219">
        <v>2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 spans="1:91" s="219" customFormat="1" x14ac:dyDescent="0.25">
      <c r="A50" s="255" t="s">
        <v>215</v>
      </c>
      <c r="B50" s="219">
        <v>2016</v>
      </c>
      <c r="C50" s="219" t="s">
        <v>109</v>
      </c>
      <c r="D50" s="219" t="s">
        <v>712</v>
      </c>
      <c r="E50" s="219" t="s">
        <v>27</v>
      </c>
      <c r="F50" s="257">
        <v>3929.7</v>
      </c>
      <c r="G50" s="316">
        <v>42929</v>
      </c>
      <c r="H50" s="219" t="s">
        <v>675</v>
      </c>
      <c r="I50" s="256" t="s">
        <v>802</v>
      </c>
      <c r="J50" s="219" t="s">
        <v>803</v>
      </c>
      <c r="L50" s="348" t="s">
        <v>881</v>
      </c>
      <c r="M50" s="349">
        <v>12.274404525756836</v>
      </c>
      <c r="N50" s="349">
        <v>0.84399133920669556</v>
      </c>
      <c r="O50" s="349">
        <v>0.6686515212059021</v>
      </c>
      <c r="P50" s="350" t="s">
        <v>280</v>
      </c>
      <c r="Q50"/>
      <c r="R50"/>
      <c r="S50"/>
      <c r="T50"/>
      <c r="U50"/>
      <c r="V50"/>
      <c r="W50" s="370" t="s">
        <v>901</v>
      </c>
      <c r="X50" s="371"/>
      <c r="Y50" s="371"/>
      <c r="Z50" s="371"/>
      <c r="AA50" s="372"/>
      <c r="AB50" s="373"/>
      <c r="AC50" s="373"/>
      <c r="AD50"/>
      <c r="AE50"/>
      <c r="AF50"/>
      <c r="AG50"/>
      <c r="AH50"/>
      <c r="AI50" s="348" t="s">
        <v>884</v>
      </c>
      <c r="AJ50" s="349">
        <v>0.49015811085700989</v>
      </c>
      <c r="AK50" s="349">
        <v>12.301823616027832</v>
      </c>
      <c r="AL50" s="349">
        <v>0.45526343584060669</v>
      </c>
      <c r="AM50" s="350" t="s">
        <v>280</v>
      </c>
      <c r="AN50" s="219" t="s">
        <v>110</v>
      </c>
      <c r="AO50" s="219">
        <v>3</v>
      </c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 spans="1:91" s="219" customFormat="1" x14ac:dyDescent="0.25">
      <c r="A51" s="255" t="s">
        <v>216</v>
      </c>
      <c r="B51" s="219">
        <v>2016</v>
      </c>
      <c r="C51" s="219" t="s">
        <v>110</v>
      </c>
      <c r="D51" s="219">
        <v>1</v>
      </c>
      <c r="E51" s="219" t="s">
        <v>27</v>
      </c>
      <c r="F51" s="257">
        <v>3208.2</v>
      </c>
      <c r="G51" s="316">
        <v>42929</v>
      </c>
      <c r="H51" s="219" t="s">
        <v>675</v>
      </c>
      <c r="I51" s="256" t="s">
        <v>802</v>
      </c>
      <c r="J51" s="219" t="s">
        <v>803</v>
      </c>
      <c r="L51" s="348" t="s">
        <v>882</v>
      </c>
      <c r="M51" s="349">
        <v>12.980376243591309</v>
      </c>
      <c r="N51" s="349">
        <v>0.58470714092254639</v>
      </c>
      <c r="O51" s="349">
        <v>0.60060226917266846</v>
      </c>
      <c r="P51" s="350" t="s">
        <v>280</v>
      </c>
      <c r="Q51"/>
      <c r="R51"/>
      <c r="S51"/>
      <c r="T51"/>
      <c r="U51"/>
      <c r="V51"/>
      <c r="W51" s="348" t="s">
        <v>879</v>
      </c>
      <c r="X51" s="349">
        <v>0.6531527042388916</v>
      </c>
      <c r="Y51" s="349">
        <v>12.697575569152832</v>
      </c>
      <c r="Z51" s="349">
        <v>0.76225507259368896</v>
      </c>
      <c r="AA51" s="350" t="s">
        <v>280</v>
      </c>
      <c r="AB51" s="219" t="s">
        <v>109</v>
      </c>
      <c r="AC51" s="219">
        <v>15</v>
      </c>
      <c r="AD51"/>
      <c r="AE51"/>
      <c r="AF51"/>
      <c r="AG51"/>
      <c r="AH51"/>
      <c r="AI51" s="348" t="s">
        <v>885</v>
      </c>
      <c r="AJ51" s="349">
        <v>0.61628139019012451</v>
      </c>
      <c r="AK51" s="349">
        <v>12.628866195678711</v>
      </c>
      <c r="AL51" s="349">
        <v>0.63665103912353516</v>
      </c>
      <c r="AM51" s="350" t="s">
        <v>280</v>
      </c>
      <c r="AN51" s="219" t="s">
        <v>110</v>
      </c>
      <c r="AO51" s="219">
        <v>4</v>
      </c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 spans="1:91" s="219" customFormat="1" x14ac:dyDescent="0.25">
      <c r="A52" s="255" t="s">
        <v>217</v>
      </c>
      <c r="B52" s="219">
        <v>2016</v>
      </c>
      <c r="C52" s="219" t="s">
        <v>110</v>
      </c>
      <c r="D52" s="219">
        <v>2</v>
      </c>
      <c r="E52" s="219" t="s">
        <v>27</v>
      </c>
      <c r="F52" s="257">
        <v>2784.3</v>
      </c>
      <c r="G52" s="316">
        <v>42929</v>
      </c>
      <c r="H52" s="219" t="s">
        <v>675</v>
      </c>
      <c r="I52" s="256" t="s">
        <v>802</v>
      </c>
      <c r="J52" s="219" t="s">
        <v>803</v>
      </c>
      <c r="L52" s="348" t="s">
        <v>883</v>
      </c>
      <c r="M52" s="349">
        <v>13.032732009887695</v>
      </c>
      <c r="N52" s="349">
        <v>0.47273567318916321</v>
      </c>
      <c r="O52" s="349">
        <v>0.52493429183959961</v>
      </c>
      <c r="P52" s="350" t="s">
        <v>280</v>
      </c>
      <c r="Q52"/>
      <c r="R52"/>
      <c r="S52"/>
      <c r="T52"/>
      <c r="U52"/>
      <c r="V52"/>
      <c r="W52" s="367" t="s">
        <v>880</v>
      </c>
      <c r="X52" s="368">
        <v>0.64945542812347412</v>
      </c>
      <c r="Y52" s="368">
        <v>12.235356330871582</v>
      </c>
      <c r="Z52" s="368">
        <v>0.79330039024353027</v>
      </c>
      <c r="AA52" s="369" t="s">
        <v>280</v>
      </c>
      <c r="AB52" s="242" t="s">
        <v>109</v>
      </c>
      <c r="AC52" s="242" t="s">
        <v>711</v>
      </c>
      <c r="AD52"/>
      <c r="AE52"/>
      <c r="AF52"/>
      <c r="AG52"/>
      <c r="AH52"/>
      <c r="AI52" s="348" t="s">
        <v>886</v>
      </c>
      <c r="AJ52" s="349">
        <v>0.67587047815322876</v>
      </c>
      <c r="AK52" s="349">
        <v>13.008883476257324</v>
      </c>
      <c r="AL52" s="349">
        <v>0.68393796682357788</v>
      </c>
      <c r="AM52" s="350" t="s">
        <v>280</v>
      </c>
      <c r="AN52" s="219" t="s">
        <v>110</v>
      </c>
      <c r="AO52" s="219">
        <v>5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 spans="1:91" s="219" customFormat="1" x14ac:dyDescent="0.25">
      <c r="A53" s="255" t="s">
        <v>218</v>
      </c>
      <c r="B53" s="219">
        <v>2016</v>
      </c>
      <c r="C53" s="219" t="s">
        <v>110</v>
      </c>
      <c r="D53" s="219">
        <v>3</v>
      </c>
      <c r="E53" s="219" t="s">
        <v>27</v>
      </c>
      <c r="F53" s="257">
        <v>3175</v>
      </c>
      <c r="G53" s="316">
        <v>42929</v>
      </c>
      <c r="H53" s="219" t="s">
        <v>675</v>
      </c>
      <c r="I53" s="256" t="s">
        <v>802</v>
      </c>
      <c r="J53" s="219" t="s">
        <v>803</v>
      </c>
      <c r="L53" s="348" t="s">
        <v>884</v>
      </c>
      <c r="M53" s="349">
        <v>12.301823616027832</v>
      </c>
      <c r="N53" s="349">
        <v>0.45526343584060669</v>
      </c>
      <c r="O53" s="349">
        <v>0.49015811085700989</v>
      </c>
      <c r="P53" s="350" t="s">
        <v>280</v>
      </c>
      <c r="Q53"/>
      <c r="R53"/>
      <c r="S53"/>
      <c r="T53"/>
      <c r="U53"/>
      <c r="V53"/>
      <c r="W53" s="367" t="s">
        <v>881</v>
      </c>
      <c r="X53" s="368">
        <v>0.6686515212059021</v>
      </c>
      <c r="Y53" s="368">
        <v>12.274404525756836</v>
      </c>
      <c r="Z53" s="368">
        <v>0.84399133920669556</v>
      </c>
      <c r="AA53" s="369" t="s">
        <v>280</v>
      </c>
      <c r="AB53" s="242" t="s">
        <v>109</v>
      </c>
      <c r="AC53" s="242" t="s">
        <v>712</v>
      </c>
      <c r="AD53">
        <f>AVERAGE(Y51:Y53)/AVERAGE(X51:X53)</f>
        <v>18.87490385065739</v>
      </c>
      <c r="AE53">
        <v>2000</v>
      </c>
      <c r="AF53"/>
      <c r="AG53"/>
      <c r="AH53"/>
      <c r="AI53" s="348" t="s">
        <v>887</v>
      </c>
      <c r="AJ53" s="349">
        <v>0.96280694007873535</v>
      </c>
      <c r="AK53" s="349">
        <v>14.258779525756836</v>
      </c>
      <c r="AL53" s="349">
        <v>0.87733948230743408</v>
      </c>
      <c r="AM53" s="350" t="s">
        <v>280</v>
      </c>
      <c r="AN53" s="219" t="s">
        <v>110</v>
      </c>
      <c r="AO53" s="219">
        <v>6</v>
      </c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 spans="1:91" s="219" customFormat="1" x14ac:dyDescent="0.25">
      <c r="A54" s="255" t="s">
        <v>219</v>
      </c>
      <c r="B54" s="219">
        <v>2016</v>
      </c>
      <c r="C54" s="219" t="s">
        <v>110</v>
      </c>
      <c r="D54" s="219">
        <v>4</v>
      </c>
      <c r="E54" s="219" t="s">
        <v>27</v>
      </c>
      <c r="F54" s="257">
        <v>3414.6</v>
      </c>
      <c r="G54" s="316">
        <v>42929</v>
      </c>
      <c r="H54" s="219" t="s">
        <v>675</v>
      </c>
      <c r="I54" s="256" t="s">
        <v>802</v>
      </c>
      <c r="J54" s="219" t="s">
        <v>803</v>
      </c>
      <c r="L54" s="348" t="s">
        <v>885</v>
      </c>
      <c r="M54" s="349">
        <v>12.628866195678711</v>
      </c>
      <c r="N54" s="349">
        <v>0.63665103912353516</v>
      </c>
      <c r="O54" s="349">
        <v>0.61628139019012451</v>
      </c>
      <c r="P54" s="350" t="s">
        <v>280</v>
      </c>
      <c r="Q54"/>
      <c r="R54"/>
      <c r="S54"/>
      <c r="T54"/>
      <c r="U54"/>
      <c r="V54"/>
      <c r="W54" s="348" t="s">
        <v>882</v>
      </c>
      <c r="X54" s="349">
        <v>0.60060226917266846</v>
      </c>
      <c r="Y54" s="349">
        <v>12.980376243591309</v>
      </c>
      <c r="Z54" s="349">
        <v>0.58470714092254639</v>
      </c>
      <c r="AA54" s="350" t="s">
        <v>280</v>
      </c>
      <c r="AB54" s="219" t="s">
        <v>110</v>
      </c>
      <c r="AC54" s="219">
        <v>1</v>
      </c>
      <c r="AD54"/>
      <c r="AE54"/>
      <c r="AF54"/>
      <c r="AG54"/>
      <c r="AH54"/>
      <c r="AI54" s="348" t="s">
        <v>888</v>
      </c>
      <c r="AJ54" s="349">
        <v>0.65928089618682861</v>
      </c>
      <c r="AK54" s="349">
        <v>13.006121635437012</v>
      </c>
      <c r="AL54" s="349">
        <v>0.69733041524887085</v>
      </c>
      <c r="AM54" s="350" t="s">
        <v>280</v>
      </c>
      <c r="AN54" s="219" t="s">
        <v>110</v>
      </c>
      <c r="AO54" s="219">
        <v>7</v>
      </c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 spans="1:91" s="219" customFormat="1" x14ac:dyDescent="0.25">
      <c r="A55" s="255" t="s">
        <v>220</v>
      </c>
      <c r="B55" s="219">
        <v>2016</v>
      </c>
      <c r="C55" s="219" t="s">
        <v>110</v>
      </c>
      <c r="D55" s="219">
        <v>5</v>
      </c>
      <c r="E55" s="219" t="s">
        <v>27</v>
      </c>
      <c r="F55" s="257">
        <v>3576.5</v>
      </c>
      <c r="G55" s="316">
        <v>42929</v>
      </c>
      <c r="H55" s="219" t="s">
        <v>675</v>
      </c>
      <c r="I55" s="256" t="s">
        <v>802</v>
      </c>
      <c r="J55" s="219" t="s">
        <v>803</v>
      </c>
      <c r="L55" s="348" t="s">
        <v>886</v>
      </c>
      <c r="M55" s="349">
        <v>13.008883476257324</v>
      </c>
      <c r="N55" s="349">
        <v>0.68393796682357788</v>
      </c>
      <c r="O55" s="349">
        <v>0.67587047815322876</v>
      </c>
      <c r="P55" s="350" t="s">
        <v>280</v>
      </c>
      <c r="Q55"/>
      <c r="R55"/>
      <c r="S55"/>
      <c r="T55"/>
      <c r="U55"/>
      <c r="V55"/>
      <c r="W55" s="348" t="s">
        <v>883</v>
      </c>
      <c r="X55" s="349">
        <v>0.52493429183959961</v>
      </c>
      <c r="Y55" s="349">
        <v>13.032732009887695</v>
      </c>
      <c r="Z55" s="349">
        <v>0.47273567318916321</v>
      </c>
      <c r="AA55" s="350" t="s">
        <v>280</v>
      </c>
      <c r="AB55" s="219" t="s">
        <v>110</v>
      </c>
      <c r="AC55" s="219">
        <v>2</v>
      </c>
      <c r="AD55"/>
      <c r="AE55"/>
      <c r="AF55"/>
      <c r="AG55"/>
      <c r="AH55"/>
      <c r="AI55" s="348" t="s">
        <v>889</v>
      </c>
      <c r="AJ55" s="349">
        <v>0.61065512895584106</v>
      </c>
      <c r="AK55" s="349">
        <v>13.050162315368652</v>
      </c>
      <c r="AL55" s="349">
        <v>0.63674092292785645</v>
      </c>
      <c r="AM55" s="350" t="s">
        <v>280</v>
      </c>
      <c r="AN55" s="219" t="s">
        <v>110</v>
      </c>
      <c r="AO55" s="219">
        <v>8</v>
      </c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</row>
    <row r="56" spans="1:91" s="219" customFormat="1" x14ac:dyDescent="0.25">
      <c r="A56" s="255" t="s">
        <v>221</v>
      </c>
      <c r="B56" s="219">
        <v>2016</v>
      </c>
      <c r="C56" s="219" t="s">
        <v>110</v>
      </c>
      <c r="D56" s="219">
        <v>6</v>
      </c>
      <c r="E56" s="219" t="s">
        <v>27</v>
      </c>
      <c r="F56" s="257">
        <v>2964.2</v>
      </c>
      <c r="G56" s="316">
        <v>42929</v>
      </c>
      <c r="H56" s="219" t="s">
        <v>675</v>
      </c>
      <c r="I56" s="256" t="s">
        <v>802</v>
      </c>
      <c r="J56" s="219" t="s">
        <v>803</v>
      </c>
      <c r="L56" s="348" t="s">
        <v>887</v>
      </c>
      <c r="M56" s="349">
        <v>14.258779525756836</v>
      </c>
      <c r="N56" s="349">
        <v>0.87733948230743408</v>
      </c>
      <c r="O56" s="349">
        <v>0.96280694007873535</v>
      </c>
      <c r="P56" s="350" t="s">
        <v>280</v>
      </c>
      <c r="Q56"/>
      <c r="R56"/>
      <c r="S56"/>
      <c r="T56"/>
      <c r="U56"/>
      <c r="V56"/>
      <c r="W56" s="348" t="s">
        <v>884</v>
      </c>
      <c r="X56" s="349">
        <v>0.49015811085700989</v>
      </c>
      <c r="Y56" s="349">
        <v>12.301823616027832</v>
      </c>
      <c r="Z56" s="349">
        <v>0.45526343584060669</v>
      </c>
      <c r="AA56" s="350" t="s">
        <v>280</v>
      </c>
      <c r="AB56" s="219" t="s">
        <v>110</v>
      </c>
      <c r="AC56" s="219">
        <v>3</v>
      </c>
      <c r="AD56"/>
      <c r="AE56"/>
      <c r="AF56"/>
      <c r="AG56"/>
      <c r="AH56"/>
      <c r="AI56" s="348" t="s">
        <v>890</v>
      </c>
      <c r="AJ56" s="349">
        <v>0.65892082452774048</v>
      </c>
      <c r="AK56" s="349">
        <v>13.106785774230957</v>
      </c>
      <c r="AL56" s="349">
        <v>0.69391769170761108</v>
      </c>
      <c r="AM56" s="350" t="s">
        <v>280</v>
      </c>
      <c r="AN56" s="219" t="s">
        <v>110</v>
      </c>
      <c r="AO56" s="219">
        <v>9</v>
      </c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</row>
    <row r="57" spans="1:91" s="219" customFormat="1" x14ac:dyDescent="0.25">
      <c r="A57" s="255" t="s">
        <v>222</v>
      </c>
      <c r="B57" s="219">
        <v>2016</v>
      </c>
      <c r="C57" s="219" t="s">
        <v>110</v>
      </c>
      <c r="D57" s="219">
        <v>7</v>
      </c>
      <c r="E57" s="219" t="s">
        <v>27</v>
      </c>
      <c r="F57" s="257">
        <v>3716.1</v>
      </c>
      <c r="G57" s="316">
        <v>42929</v>
      </c>
      <c r="H57" s="219" t="s">
        <v>675</v>
      </c>
      <c r="I57" s="256" t="s">
        <v>802</v>
      </c>
      <c r="J57" s="219" t="s">
        <v>803</v>
      </c>
      <c r="L57" s="348" t="s">
        <v>888</v>
      </c>
      <c r="M57" s="349">
        <v>13.006121635437012</v>
      </c>
      <c r="N57" s="349">
        <v>0.69733041524887085</v>
      </c>
      <c r="O57" s="349">
        <v>0.65928089618682861</v>
      </c>
      <c r="P57" s="350" t="s">
        <v>280</v>
      </c>
      <c r="Q57"/>
      <c r="R57"/>
      <c r="S57"/>
      <c r="T57"/>
      <c r="U57"/>
      <c r="V57"/>
      <c r="W57" s="348" t="s">
        <v>885</v>
      </c>
      <c r="X57" s="349">
        <v>0.61628139019012451</v>
      </c>
      <c r="Y57" s="349">
        <v>12.628866195678711</v>
      </c>
      <c r="Z57" s="349">
        <v>0.63665103912353516</v>
      </c>
      <c r="AA57" s="350" t="s">
        <v>280</v>
      </c>
      <c r="AB57" s="219" t="s">
        <v>110</v>
      </c>
      <c r="AC57" s="219">
        <v>4</v>
      </c>
      <c r="AD57"/>
      <c r="AE57"/>
      <c r="AF57"/>
      <c r="AG57"/>
      <c r="AH57"/>
      <c r="AI57" s="367" t="s">
        <v>891</v>
      </c>
      <c r="AJ57" s="368">
        <v>0.56372594833374023</v>
      </c>
      <c r="AK57" s="368">
        <v>12.306897163391113</v>
      </c>
      <c r="AL57" s="368">
        <v>0.62759441137313843</v>
      </c>
      <c r="AM57" s="369" t="s">
        <v>280</v>
      </c>
      <c r="AN57" s="242" t="s">
        <v>110</v>
      </c>
      <c r="AO57" s="242" t="s">
        <v>713</v>
      </c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 spans="1:91" s="219" customFormat="1" x14ac:dyDescent="0.25">
      <c r="A58" s="255" t="s">
        <v>223</v>
      </c>
      <c r="B58" s="219">
        <v>2016</v>
      </c>
      <c r="C58" s="219" t="s">
        <v>110</v>
      </c>
      <c r="D58" s="219">
        <v>8</v>
      </c>
      <c r="E58" s="219" t="s">
        <v>27</v>
      </c>
      <c r="F58" s="257">
        <v>3368.5</v>
      </c>
      <c r="G58" s="316">
        <v>42930</v>
      </c>
      <c r="H58" s="219" t="s">
        <v>675</v>
      </c>
      <c r="I58" s="324">
        <v>0.31</v>
      </c>
      <c r="J58" s="219" t="s">
        <v>763</v>
      </c>
      <c r="L58" s="348" t="s">
        <v>889</v>
      </c>
      <c r="M58" s="349">
        <v>13.050162315368652</v>
      </c>
      <c r="N58" s="349">
        <v>0.63674092292785645</v>
      </c>
      <c r="O58" s="349">
        <v>0.61065512895584106</v>
      </c>
      <c r="P58" s="350" t="s">
        <v>280</v>
      </c>
      <c r="Q58"/>
      <c r="R58"/>
      <c r="S58"/>
      <c r="T58"/>
      <c r="U58"/>
      <c r="V58"/>
      <c r="W58" s="348" t="s">
        <v>886</v>
      </c>
      <c r="X58" s="349">
        <v>0.67587047815322876</v>
      </c>
      <c r="Y58" s="349">
        <v>13.008883476257324</v>
      </c>
      <c r="Z58" s="349">
        <v>0.68393796682357788</v>
      </c>
      <c r="AA58" s="350" t="s">
        <v>280</v>
      </c>
      <c r="AB58" s="219" t="s">
        <v>110</v>
      </c>
      <c r="AC58" s="219">
        <v>5</v>
      </c>
      <c r="AD58"/>
      <c r="AE58"/>
      <c r="AF58"/>
      <c r="AG58"/>
      <c r="AH58"/>
      <c r="AI58" s="367" t="s">
        <v>892</v>
      </c>
      <c r="AJ58" s="368">
        <v>0.5700376033782959</v>
      </c>
      <c r="AK58" s="368">
        <v>12.26313304901123</v>
      </c>
      <c r="AL58" s="368">
        <v>0.62375873327255249</v>
      </c>
      <c r="AM58" s="369" t="s">
        <v>280</v>
      </c>
      <c r="AN58" s="242" t="s">
        <v>110</v>
      </c>
      <c r="AO58" s="242" t="s">
        <v>714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 spans="1:91" s="219" customFormat="1" x14ac:dyDescent="0.25">
      <c r="A59" s="255" t="s">
        <v>224</v>
      </c>
      <c r="B59" s="219">
        <v>2016</v>
      </c>
      <c r="C59" s="219" t="s">
        <v>110</v>
      </c>
      <c r="D59" s="219">
        <v>9</v>
      </c>
      <c r="E59" s="219" t="s">
        <v>27</v>
      </c>
      <c r="F59" s="257">
        <v>3494.3</v>
      </c>
      <c r="G59" s="316">
        <v>42930</v>
      </c>
      <c r="H59" s="219" t="s">
        <v>675</v>
      </c>
      <c r="I59" s="324">
        <v>0.31</v>
      </c>
      <c r="J59" s="219" t="s">
        <v>763</v>
      </c>
      <c r="L59" s="348" t="s">
        <v>890</v>
      </c>
      <c r="M59" s="349">
        <v>13.106785774230957</v>
      </c>
      <c r="N59" s="349">
        <v>0.69391769170761108</v>
      </c>
      <c r="O59" s="349">
        <v>0.65892082452774048</v>
      </c>
      <c r="P59" s="350" t="s">
        <v>280</v>
      </c>
      <c r="Q59"/>
      <c r="R59"/>
      <c r="S59"/>
      <c r="T59"/>
      <c r="U59"/>
      <c r="V59"/>
      <c r="W59" s="348" t="s">
        <v>887</v>
      </c>
      <c r="X59" s="349">
        <v>0.96280694007873535</v>
      </c>
      <c r="Y59" s="349">
        <v>14.258779525756836</v>
      </c>
      <c r="Z59" s="349">
        <v>0.87733948230743408</v>
      </c>
      <c r="AA59" s="350" t="s">
        <v>280</v>
      </c>
      <c r="AB59" s="219" t="s">
        <v>110</v>
      </c>
      <c r="AC59" s="219">
        <v>6</v>
      </c>
      <c r="AD59"/>
      <c r="AE59"/>
      <c r="AF59"/>
      <c r="AG59"/>
      <c r="AH59"/>
      <c r="AI59" s="348" t="s">
        <v>893</v>
      </c>
      <c r="AJ59" s="349">
        <v>0.88784945011138916</v>
      </c>
      <c r="AK59" s="349">
        <v>12.907769203186035</v>
      </c>
      <c r="AL59" s="349">
        <v>1.0392343997955322</v>
      </c>
      <c r="AM59" s="350" t="s">
        <v>280</v>
      </c>
      <c r="AN59" s="219" t="s">
        <v>110</v>
      </c>
      <c r="AO59" s="219">
        <v>11</v>
      </c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 spans="1:91" s="219" customFormat="1" x14ac:dyDescent="0.25">
      <c r="A60" s="277" t="s">
        <v>227</v>
      </c>
      <c r="B60" s="219">
        <v>2016</v>
      </c>
      <c r="C60" s="219" t="s">
        <v>110</v>
      </c>
      <c r="D60" s="219" t="s">
        <v>713</v>
      </c>
      <c r="E60" s="219" t="s">
        <v>27</v>
      </c>
      <c r="F60" s="257">
        <v>3240.3</v>
      </c>
      <c r="G60" s="316">
        <v>42930</v>
      </c>
      <c r="H60" s="219" t="s">
        <v>675</v>
      </c>
      <c r="I60" s="324">
        <v>0.31</v>
      </c>
      <c r="J60" s="219" t="s">
        <v>763</v>
      </c>
      <c r="L60" s="348" t="s">
        <v>891</v>
      </c>
      <c r="M60" s="349">
        <v>12.306897163391113</v>
      </c>
      <c r="N60" s="349">
        <v>0.62759441137313843</v>
      </c>
      <c r="O60" s="349">
        <v>0.56372594833374023</v>
      </c>
      <c r="P60" s="350" t="s">
        <v>280</v>
      </c>
      <c r="Q60" s="17" t="s">
        <v>800</v>
      </c>
      <c r="R60" s="3">
        <f>AVERAGE(M60:M61)</f>
        <v>12.285015106201172</v>
      </c>
      <c r="S60" s="3">
        <f>AVERAGE(O60:O61)</f>
        <v>0.56688177585601807</v>
      </c>
      <c r="T60" s="3">
        <f>AVERAGE(N60:N61)</f>
        <v>0.62567657232284546</v>
      </c>
      <c r="U60"/>
      <c r="V60"/>
      <c r="W60" s="348" t="s">
        <v>888</v>
      </c>
      <c r="X60" s="349">
        <v>0.65928089618682861</v>
      </c>
      <c r="Y60" s="349">
        <v>13.006121635437012</v>
      </c>
      <c r="Z60" s="349">
        <v>0.69733041524887085</v>
      </c>
      <c r="AA60" s="350" t="s">
        <v>280</v>
      </c>
      <c r="AB60" s="219" t="s">
        <v>110</v>
      </c>
      <c r="AC60" s="219">
        <v>7</v>
      </c>
      <c r="AD60"/>
      <c r="AE60"/>
      <c r="AF60"/>
      <c r="AG60"/>
      <c r="AH60"/>
      <c r="AI60" s="367" t="s">
        <v>894</v>
      </c>
      <c r="AJ60" s="368">
        <v>1.0242087841033936</v>
      </c>
      <c r="AK60" s="368">
        <v>13.801863670349121</v>
      </c>
      <c r="AL60" s="368">
        <v>1.1698708534240723</v>
      </c>
      <c r="AM60" s="369" t="s">
        <v>280</v>
      </c>
      <c r="AN60" s="242" t="s">
        <v>110</v>
      </c>
      <c r="AO60" s="242" t="s">
        <v>715</v>
      </c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 spans="1:91" s="219" customFormat="1" x14ac:dyDescent="0.25">
      <c r="A61" s="277" t="s">
        <v>228</v>
      </c>
      <c r="B61" s="219">
        <v>2016</v>
      </c>
      <c r="C61" s="219" t="s">
        <v>110</v>
      </c>
      <c r="D61" s="219" t="s">
        <v>714</v>
      </c>
      <c r="E61" s="219" t="s">
        <v>27</v>
      </c>
      <c r="F61" s="257">
        <v>3052.4</v>
      </c>
      <c r="G61" s="316">
        <v>42930</v>
      </c>
      <c r="H61" s="219" t="s">
        <v>675</v>
      </c>
      <c r="I61" s="324">
        <v>0.31</v>
      </c>
      <c r="J61" s="219" t="s">
        <v>763</v>
      </c>
      <c r="L61" s="348" t="s">
        <v>892</v>
      </c>
      <c r="M61" s="349">
        <v>12.26313304901123</v>
      </c>
      <c r="N61" s="349">
        <v>0.62375873327255249</v>
      </c>
      <c r="O61" s="349">
        <v>0.5700376033782959</v>
      </c>
      <c r="P61" s="350" t="s">
        <v>280</v>
      </c>
      <c r="Q61"/>
      <c r="R61"/>
      <c r="S61"/>
      <c r="T61"/>
      <c r="U61"/>
      <c r="V61"/>
      <c r="W61" s="348" t="s">
        <v>889</v>
      </c>
      <c r="X61" s="349">
        <v>0.61065512895584106</v>
      </c>
      <c r="Y61" s="349">
        <v>13.050162315368652</v>
      </c>
      <c r="Z61" s="349">
        <v>0.63674092292785645</v>
      </c>
      <c r="AA61" s="350" t="s">
        <v>280</v>
      </c>
      <c r="AB61" s="219" t="s">
        <v>110</v>
      </c>
      <c r="AC61" s="219">
        <v>8</v>
      </c>
      <c r="AD61"/>
      <c r="AE61"/>
      <c r="AF61"/>
      <c r="AG61"/>
      <c r="AH61"/>
      <c r="AI61" s="367" t="s">
        <v>895</v>
      </c>
      <c r="AJ61" s="368">
        <v>1.0313628911972046</v>
      </c>
      <c r="AK61" s="368">
        <v>13.84058952331543</v>
      </c>
      <c r="AL61" s="368">
        <v>1.2553178071975708</v>
      </c>
      <c r="AM61" s="369" t="s">
        <v>280</v>
      </c>
      <c r="AN61" s="242" t="s">
        <v>110</v>
      </c>
      <c r="AO61" s="242" t="s">
        <v>716</v>
      </c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 spans="1:91" s="219" customFormat="1" x14ac:dyDescent="0.25">
      <c r="A62" s="277" t="s">
        <v>229</v>
      </c>
      <c r="B62" s="219">
        <v>2016</v>
      </c>
      <c r="C62" s="219" t="s">
        <v>110</v>
      </c>
      <c r="D62" s="219">
        <v>11</v>
      </c>
      <c r="E62" s="219" t="s">
        <v>27</v>
      </c>
      <c r="F62" s="257">
        <v>2823.1</v>
      </c>
      <c r="G62" s="316">
        <v>42930</v>
      </c>
      <c r="H62" s="219" t="s">
        <v>675</v>
      </c>
      <c r="I62" s="324">
        <v>0.31</v>
      </c>
      <c r="J62" s="219" t="s">
        <v>763</v>
      </c>
      <c r="L62" s="348" t="s">
        <v>893</v>
      </c>
      <c r="M62" s="349">
        <v>12.907769203186035</v>
      </c>
      <c r="N62" s="349">
        <v>1.0392343997955322</v>
      </c>
      <c r="O62" s="349">
        <v>0.88784945011138916</v>
      </c>
      <c r="P62" s="350" t="s">
        <v>280</v>
      </c>
      <c r="Q62"/>
      <c r="R62"/>
      <c r="S62"/>
      <c r="T62"/>
      <c r="U62"/>
      <c r="V62"/>
      <c r="W62" s="348" t="s">
        <v>890</v>
      </c>
      <c r="X62" s="349">
        <v>0.65892082452774048</v>
      </c>
      <c r="Y62" s="349">
        <v>13.106785774230957</v>
      </c>
      <c r="Z62" s="349">
        <v>0.69391769170761108</v>
      </c>
      <c r="AA62" s="350" t="s">
        <v>280</v>
      </c>
      <c r="AB62" s="219" t="s">
        <v>110</v>
      </c>
      <c r="AC62" s="219">
        <v>9</v>
      </c>
      <c r="AD62">
        <f>AVERAGE(Y54:Y62)/AVERAGE(X54:X62)</f>
        <v>20.238696737179517</v>
      </c>
      <c r="AE62">
        <v>3800</v>
      </c>
      <c r="AF62"/>
      <c r="AG62"/>
      <c r="AH62"/>
      <c r="AI62" s="348" t="s">
        <v>896</v>
      </c>
      <c r="AJ62" s="349">
        <v>0.83917605876922607</v>
      </c>
      <c r="AK62" s="349">
        <v>13.673782348632813</v>
      </c>
      <c r="AL62" s="349">
        <v>0.98986846208572388</v>
      </c>
      <c r="AM62" s="350" t="s">
        <v>280</v>
      </c>
      <c r="AN62" s="219" t="s">
        <v>110</v>
      </c>
      <c r="AO62" s="219">
        <v>13</v>
      </c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</row>
    <row r="63" spans="1:91" s="219" customFormat="1" x14ac:dyDescent="0.25">
      <c r="A63" s="277" t="s">
        <v>230</v>
      </c>
      <c r="B63" s="219">
        <v>2016</v>
      </c>
      <c r="C63" s="219" t="s">
        <v>110</v>
      </c>
      <c r="D63" s="219" t="s">
        <v>715</v>
      </c>
      <c r="E63" s="219" t="s">
        <v>27</v>
      </c>
      <c r="F63" s="257">
        <v>2984</v>
      </c>
      <c r="G63" s="316">
        <v>42930</v>
      </c>
      <c r="H63" s="219" t="s">
        <v>675</v>
      </c>
      <c r="I63" s="324">
        <v>0.31</v>
      </c>
      <c r="J63" s="219" t="s">
        <v>763</v>
      </c>
      <c r="L63" s="348" t="s">
        <v>894</v>
      </c>
      <c r="M63" s="349">
        <v>13.801863670349121</v>
      </c>
      <c r="N63" s="349">
        <v>1.1698708534240723</v>
      </c>
      <c r="O63" s="349">
        <v>1.0242087841033936</v>
      </c>
      <c r="P63" s="350" t="s">
        <v>280</v>
      </c>
      <c r="Q63" s="17" t="s">
        <v>800</v>
      </c>
      <c r="R63" s="3">
        <f>AVERAGE(M63:M64)</f>
        <v>13.821226596832275</v>
      </c>
      <c r="S63" s="3">
        <f>AVERAGE(O63:O64)</f>
        <v>1.0277858376502991</v>
      </c>
      <c r="T63" s="3">
        <f>AVERAGE(N63:N64)</f>
        <v>1.2125943303108215</v>
      </c>
      <c r="U63"/>
      <c r="V63"/>
      <c r="W63" s="370" t="s">
        <v>901</v>
      </c>
      <c r="X63" s="371"/>
      <c r="Y63" s="371"/>
      <c r="Z63" s="371"/>
      <c r="AA63" s="372"/>
      <c r="AB63" s="373"/>
      <c r="AC63" s="373"/>
      <c r="AD63"/>
      <c r="AE63"/>
      <c r="AF63"/>
      <c r="AG63"/>
      <c r="AH63"/>
      <c r="AI63" s="374" t="s">
        <v>874</v>
      </c>
      <c r="AJ63" s="375">
        <v>0.26687914133071899</v>
      </c>
      <c r="AK63" s="375">
        <v>3.1761651039123535</v>
      </c>
      <c r="AL63" s="375">
        <v>0.70014911890029907</v>
      </c>
      <c r="AM63" s="376">
        <v>0.88965033292770301</v>
      </c>
      <c r="AN63" s="377" t="s">
        <v>796</v>
      </c>
      <c r="AO63" s="377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 spans="1:91" s="219" customFormat="1" x14ac:dyDescent="0.25">
      <c r="A64" s="277" t="s">
        <v>231</v>
      </c>
      <c r="B64" s="219">
        <v>2016</v>
      </c>
      <c r="C64" s="219" t="s">
        <v>110</v>
      </c>
      <c r="D64" s="219" t="s">
        <v>716</v>
      </c>
      <c r="E64" s="219" t="s">
        <v>27</v>
      </c>
      <c r="F64" s="257">
        <v>3543.1</v>
      </c>
      <c r="G64" s="316">
        <v>42930</v>
      </c>
      <c r="H64" s="219" t="s">
        <v>675</v>
      </c>
      <c r="I64" s="324">
        <v>0.31</v>
      </c>
      <c r="J64" s="219" t="s">
        <v>763</v>
      </c>
      <c r="L64" s="348" t="s">
        <v>895</v>
      </c>
      <c r="M64" s="349">
        <v>13.84058952331543</v>
      </c>
      <c r="N64" s="349">
        <v>1.2553178071975708</v>
      </c>
      <c r="O64" s="349">
        <v>1.0313628911972046</v>
      </c>
      <c r="P64" s="350" t="s">
        <v>280</v>
      </c>
      <c r="Q64"/>
      <c r="R64"/>
      <c r="S64"/>
      <c r="T64"/>
      <c r="U64"/>
      <c r="V64"/>
      <c r="W64" s="367" t="s">
        <v>891</v>
      </c>
      <c r="X64" s="368">
        <v>0.56372594833374023</v>
      </c>
      <c r="Y64" s="368">
        <v>12.306897163391113</v>
      </c>
      <c r="Z64" s="368">
        <v>0.62759441137313843</v>
      </c>
      <c r="AA64" s="369" t="s">
        <v>280</v>
      </c>
      <c r="AB64" s="242" t="s">
        <v>110</v>
      </c>
      <c r="AC64" s="242" t="s">
        <v>713</v>
      </c>
      <c r="AD64"/>
      <c r="AE64"/>
      <c r="AF64"/>
      <c r="AG64"/>
      <c r="AH64"/>
      <c r="AI64" s="374" t="s">
        <v>875</v>
      </c>
      <c r="AJ64" s="375">
        <v>0.25823551416397095</v>
      </c>
      <c r="AK64" s="375">
        <v>3.2470822334289551</v>
      </c>
      <c r="AL64" s="375">
        <v>0.63590770959854126</v>
      </c>
      <c r="AM64" s="376">
        <v>0.98648762702941895</v>
      </c>
      <c r="AN64" s="377" t="s">
        <v>797</v>
      </c>
      <c r="AO64" s="377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 spans="1:91" s="219" customFormat="1" x14ac:dyDescent="0.25">
      <c r="A65" s="277" t="s">
        <v>232</v>
      </c>
      <c r="B65" s="219">
        <v>2016</v>
      </c>
      <c r="C65" s="219" t="s">
        <v>110</v>
      </c>
      <c r="D65" s="219">
        <v>13</v>
      </c>
      <c r="E65" s="219" t="s">
        <v>27</v>
      </c>
      <c r="F65" s="257">
        <v>3288</v>
      </c>
      <c r="G65" s="316">
        <v>42930</v>
      </c>
      <c r="H65" s="219" t="s">
        <v>675</v>
      </c>
      <c r="I65" s="324">
        <v>0.31</v>
      </c>
      <c r="J65" s="219" t="s">
        <v>763</v>
      </c>
      <c r="L65" s="348" t="s">
        <v>896</v>
      </c>
      <c r="M65" s="349">
        <v>13.673782348632813</v>
      </c>
      <c r="N65" s="349">
        <v>0.98986846208572388</v>
      </c>
      <c r="O65" s="349">
        <v>0.83917605876922607</v>
      </c>
      <c r="P65" s="350" t="s">
        <v>280</v>
      </c>
      <c r="Q65"/>
      <c r="R65"/>
      <c r="S65"/>
      <c r="T65"/>
      <c r="U65"/>
      <c r="V65"/>
      <c r="W65" s="367" t="s">
        <v>892</v>
      </c>
      <c r="X65" s="368">
        <v>0.5700376033782959</v>
      </c>
      <c r="Y65" s="368">
        <v>12.26313304901123</v>
      </c>
      <c r="Z65" s="368">
        <v>0.62375873327255249</v>
      </c>
      <c r="AA65" s="369" t="s">
        <v>280</v>
      </c>
      <c r="AB65" s="242" t="s">
        <v>110</v>
      </c>
      <c r="AC65" s="242" t="s">
        <v>714</v>
      </c>
      <c r="AD65"/>
      <c r="AE65"/>
      <c r="AF65"/>
      <c r="AG65"/>
      <c r="AH65"/>
      <c r="AI65" s="374" t="s">
        <v>897</v>
      </c>
      <c r="AJ65" s="375">
        <v>0.24366627633571625</v>
      </c>
      <c r="AK65" s="375">
        <v>3.0546546936035099</v>
      </c>
      <c r="AL65" s="375">
        <v>0.643351113796234</v>
      </c>
      <c r="AM65" s="376">
        <v>0.9316369891166687</v>
      </c>
      <c r="AN65" s="377" t="s">
        <v>799</v>
      </c>
      <c r="AO65" s="377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 spans="1:91" s="353" customFormat="1" x14ac:dyDescent="0.25">
      <c r="A66" s="361" t="s">
        <v>233</v>
      </c>
      <c r="B66" s="353">
        <v>2016</v>
      </c>
      <c r="C66" s="353" t="s">
        <v>799</v>
      </c>
      <c r="E66" s="353" t="s">
        <v>241</v>
      </c>
      <c r="F66" s="354">
        <v>3296.2</v>
      </c>
      <c r="G66" s="355">
        <v>42927</v>
      </c>
      <c r="H66" s="353" t="s">
        <v>675</v>
      </c>
      <c r="I66" s="356">
        <v>0.28000000000000003</v>
      </c>
      <c r="J66" s="353" t="s">
        <v>798</v>
      </c>
      <c r="L66" s="357" t="s">
        <v>897</v>
      </c>
      <c r="M66" s="358">
        <v>3.0546546936035099</v>
      </c>
      <c r="N66" s="358">
        <v>0.643351113796234</v>
      </c>
      <c r="O66" s="358">
        <v>0.24366627633571625</v>
      </c>
      <c r="P66" s="359">
        <v>0.9316369891166687</v>
      </c>
      <c r="Q66" s="360"/>
      <c r="R66" s="360"/>
      <c r="S66" s="360"/>
      <c r="T66" s="360"/>
      <c r="U66" s="360"/>
      <c r="V66" s="360"/>
      <c r="W66" s="348" t="s">
        <v>893</v>
      </c>
      <c r="X66" s="349">
        <v>0.88784945011138916</v>
      </c>
      <c r="Y66" s="349">
        <v>12.907769203186035</v>
      </c>
      <c r="Z66" s="349">
        <v>1.0392343997955322</v>
      </c>
      <c r="AA66" s="350" t="s">
        <v>280</v>
      </c>
      <c r="AB66" s="219" t="s">
        <v>110</v>
      </c>
      <c r="AC66" s="219">
        <v>11</v>
      </c>
      <c r="AD66"/>
      <c r="AE66"/>
      <c r="AF66"/>
      <c r="AG66"/>
      <c r="AH66"/>
      <c r="AI66" s="378" t="s">
        <v>898</v>
      </c>
      <c r="AJ66" s="379">
        <v>10.297399520874023</v>
      </c>
      <c r="AK66" s="379">
        <v>71.064872741699219</v>
      </c>
      <c r="AL66" s="379">
        <v>6.6451473236083984</v>
      </c>
      <c r="AM66" s="380" t="s">
        <v>280</v>
      </c>
      <c r="AN66" s="381" t="s">
        <v>804</v>
      </c>
      <c r="AO66" s="381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 spans="1:91" s="353" customFormat="1" ht="14.5" x14ac:dyDescent="0.35">
      <c r="A67" s="361" t="s">
        <v>234</v>
      </c>
      <c r="B67" s="353">
        <v>2016</v>
      </c>
      <c r="C67" s="353" t="s">
        <v>804</v>
      </c>
      <c r="E67" s="353" t="s">
        <v>241</v>
      </c>
      <c r="F67" s="354">
        <v>648.1</v>
      </c>
      <c r="G67" s="355">
        <v>42930</v>
      </c>
      <c r="H67" s="353" t="s">
        <v>675</v>
      </c>
      <c r="I67" s="356">
        <v>0.31</v>
      </c>
      <c r="J67" s="353" t="s">
        <v>763</v>
      </c>
      <c r="L67" s="357" t="s">
        <v>898</v>
      </c>
      <c r="M67" s="358">
        <v>71.064872741699219</v>
      </c>
      <c r="N67" s="358">
        <v>6.6451473236083984</v>
      </c>
      <c r="O67" s="358">
        <v>10.297399520874023</v>
      </c>
      <c r="P67" s="359" t="s">
        <v>280</v>
      </c>
      <c r="Q67" s="360"/>
      <c r="R67" s="360"/>
      <c r="S67" s="360"/>
      <c r="T67" s="360"/>
      <c r="U67" s="360"/>
      <c r="V67" s="360"/>
      <c r="W67" s="367" t="s">
        <v>894</v>
      </c>
      <c r="X67" s="368">
        <v>1.0242087841033936</v>
      </c>
      <c r="Y67" s="368">
        <v>13.801863670349121</v>
      </c>
      <c r="Z67" s="368">
        <v>1.1698708534240723</v>
      </c>
      <c r="AA67" s="369" t="s">
        <v>280</v>
      </c>
      <c r="AB67" s="242" t="s">
        <v>110</v>
      </c>
      <c r="AC67" s="242" t="s">
        <v>715</v>
      </c>
      <c r="AD67"/>
      <c r="AE67"/>
      <c r="AF67"/>
      <c r="AG67"/>
      <c r="AH67"/>
      <c r="AI67" s="392" t="s">
        <v>171</v>
      </c>
      <c r="AJ67" s="393" t="s">
        <v>78</v>
      </c>
      <c r="AK67" s="393" t="s">
        <v>76</v>
      </c>
      <c r="AL67" s="393" t="s">
        <v>77</v>
      </c>
      <c r="AM67" s="394" t="s">
        <v>842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</row>
    <row r="68" spans="1:91" s="219" customFormat="1" x14ac:dyDescent="0.25">
      <c r="A68" s="277"/>
      <c r="E68" s="17" t="s">
        <v>63</v>
      </c>
      <c r="F68" s="257">
        <f>COUNT(F13:F67)</f>
        <v>55</v>
      </c>
      <c r="G68" s="316" t="s">
        <v>808</v>
      </c>
      <c r="I68" s="256"/>
      <c r="L68"/>
      <c r="M68"/>
      <c r="N68"/>
      <c r="O68"/>
      <c r="P68"/>
      <c r="Q68"/>
      <c r="R68"/>
      <c r="S68"/>
      <c r="T68"/>
      <c r="U68"/>
      <c r="V68"/>
      <c r="W68" s="367" t="s">
        <v>895</v>
      </c>
      <c r="X68" s="368">
        <v>1.0313628911972046</v>
      </c>
      <c r="Y68" s="368">
        <v>13.84058952331543</v>
      </c>
      <c r="Z68" s="368">
        <v>1.2553178071975708</v>
      </c>
      <c r="AA68" s="369" t="s">
        <v>280</v>
      </c>
      <c r="AB68" s="242" t="s">
        <v>110</v>
      </c>
      <c r="AC68" s="242" t="s">
        <v>716</v>
      </c>
      <c r="AD68"/>
      <c r="AE68"/>
      <c r="AF68"/>
      <c r="AG68"/>
      <c r="AH68"/>
      <c r="AI68" s="348" t="s">
        <v>843</v>
      </c>
      <c r="AJ68" s="349">
        <v>0</v>
      </c>
      <c r="AK68" s="349">
        <v>0</v>
      </c>
      <c r="AL68" s="349">
        <v>0</v>
      </c>
      <c r="AM68" s="350" t="s">
        <v>280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</row>
    <row r="69" spans="1:91" s="219" customFormat="1" x14ac:dyDescent="0.25">
      <c r="A69" s="277"/>
      <c r="F69" s="257"/>
      <c r="G69" s="316"/>
      <c r="I69" s="256"/>
      <c r="L69" t="s">
        <v>281</v>
      </c>
      <c r="M69"/>
      <c r="N69"/>
      <c r="O69"/>
      <c r="P69"/>
      <c r="Q69"/>
      <c r="R69"/>
      <c r="S69"/>
      <c r="T69"/>
      <c r="U69"/>
      <c r="V69"/>
      <c r="W69" s="348" t="s">
        <v>896</v>
      </c>
      <c r="X69" s="349">
        <v>0.83917605876922607</v>
      </c>
      <c r="Y69" s="349">
        <v>13.673782348632813</v>
      </c>
      <c r="Z69" s="349">
        <v>0.98986846208572388</v>
      </c>
      <c r="AA69" s="350" t="s">
        <v>280</v>
      </c>
      <c r="AB69" s="219" t="s">
        <v>110</v>
      </c>
      <c r="AC69" s="219">
        <v>13</v>
      </c>
      <c r="AD69">
        <f>AVERAGE(Y64:Y69)/AVERAGE(X64:X69)</f>
        <v>16.026902660463485</v>
      </c>
      <c r="AE69">
        <v>3800</v>
      </c>
      <c r="AF69"/>
      <c r="AG69"/>
      <c r="AH69"/>
      <c r="AI69" s="348" t="s">
        <v>901</v>
      </c>
      <c r="AJ69" s="349"/>
      <c r="AK69" s="349"/>
      <c r="AL69" s="349"/>
      <c r="AM69" s="350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</row>
    <row r="70" spans="1:91" s="219" customFormat="1" x14ac:dyDescent="0.25">
      <c r="A70" s="277"/>
      <c r="F70" s="257"/>
      <c r="G70" s="316"/>
      <c r="I70" s="256"/>
      <c r="L70" t="s">
        <v>282</v>
      </c>
      <c r="M70"/>
      <c r="N70"/>
      <c r="O70"/>
      <c r="P70"/>
      <c r="Q70"/>
      <c r="R70"/>
      <c r="S70"/>
      <c r="T70"/>
      <c r="U70"/>
      <c r="V70"/>
      <c r="W70" s="374" t="s">
        <v>897</v>
      </c>
      <c r="X70" s="375">
        <v>0.24366627633571625</v>
      </c>
      <c r="Y70" s="375">
        <v>3.0546546936035099</v>
      </c>
      <c r="Z70" s="375">
        <v>0.643351113796234</v>
      </c>
      <c r="AA70" s="376">
        <v>0.9316369891166687</v>
      </c>
      <c r="AB70" s="377" t="s">
        <v>799</v>
      </c>
      <c r="AC70" s="377"/>
      <c r="AD70"/>
      <c r="AE70"/>
      <c r="AF70"/>
      <c r="AG70"/>
      <c r="AH70"/>
      <c r="AI70" s="348" t="s">
        <v>901</v>
      </c>
      <c r="AJ70" s="349"/>
      <c r="AK70" s="349"/>
      <c r="AL70" s="349"/>
      <c r="AM70" s="35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</row>
    <row r="71" spans="1:91" s="219" customFormat="1" x14ac:dyDescent="0.25">
      <c r="A71" s="24" t="s">
        <v>3198</v>
      </c>
      <c r="B71" s="169"/>
      <c r="C71" s="169"/>
      <c r="D71" s="169"/>
      <c r="E71" s="169"/>
      <c r="F71" s="171"/>
      <c r="G71" s="169"/>
      <c r="I71" s="256"/>
      <c r="L71"/>
      <c r="M71"/>
      <c r="N71"/>
      <c r="O71"/>
      <c r="P71"/>
      <c r="Q71"/>
      <c r="R71"/>
      <c r="S71"/>
      <c r="T71"/>
      <c r="U71"/>
      <c r="V71"/>
      <c r="W71" s="378" t="s">
        <v>898</v>
      </c>
      <c r="X71" s="379">
        <v>10.297399520874023</v>
      </c>
      <c r="Y71" s="379">
        <v>71.064872741699219</v>
      </c>
      <c r="Z71" s="379">
        <v>6.6451473236083984</v>
      </c>
      <c r="AA71" s="380" t="s">
        <v>280</v>
      </c>
      <c r="AB71" s="381" t="s">
        <v>804</v>
      </c>
      <c r="AC71" s="381"/>
      <c r="AD71"/>
      <c r="AE71"/>
      <c r="AF71"/>
      <c r="AG71"/>
      <c r="AH71"/>
      <c r="AI71" s="348" t="s">
        <v>901</v>
      </c>
      <c r="AJ71" s="349"/>
      <c r="AK71" s="349"/>
      <c r="AL71" s="349"/>
      <c r="AM71" s="350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</row>
    <row r="72" spans="1:91" s="219" customFormat="1" ht="14.5" x14ac:dyDescent="0.35">
      <c r="A72" s="24" t="s">
        <v>376</v>
      </c>
      <c r="B72" s="169"/>
      <c r="C72" s="169"/>
      <c r="D72" s="169"/>
      <c r="E72" s="169"/>
      <c r="F72" s="171"/>
      <c r="G72" s="169"/>
      <c r="I72" s="256"/>
      <c r="L72" s="317"/>
      <c r="M72" s="318"/>
      <c r="N72" s="319"/>
      <c r="O72" s="318"/>
      <c r="P72" s="319"/>
      <c r="Q72" s="320"/>
      <c r="W72" s="382" t="s">
        <v>902</v>
      </c>
      <c r="X72" s="383">
        <v>10.42</v>
      </c>
      <c r="Y72" s="383">
        <v>71.05</v>
      </c>
      <c r="Z72" s="383"/>
      <c r="AA72" s="383"/>
      <c r="AB72" s="384" t="s">
        <v>903</v>
      </c>
      <c r="AC72" s="385"/>
      <c r="AD72" s="386"/>
      <c r="AE72"/>
      <c r="AF72"/>
      <c r="AG72"/>
      <c r="AH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</row>
    <row r="73" spans="1:91" s="219" customFormat="1" x14ac:dyDescent="0.25">
      <c r="A73" s="169" t="s">
        <v>240</v>
      </c>
      <c r="B73" s="169"/>
      <c r="C73" s="169"/>
      <c r="D73" s="169"/>
      <c r="E73" s="169"/>
      <c r="F73" s="171"/>
      <c r="G73" s="169"/>
      <c r="I73" s="256"/>
      <c r="J73" s="255"/>
      <c r="L73" s="317"/>
      <c r="M73" s="318"/>
      <c r="N73" s="319"/>
      <c r="O73" s="318"/>
      <c r="P73" s="319"/>
      <c r="Q73" s="320"/>
      <c r="W73" s="378"/>
      <c r="X73" s="387"/>
      <c r="Y73" s="387"/>
      <c r="Z73" s="387"/>
      <c r="AA73" s="387"/>
      <c r="AB73" s="381"/>
      <c r="AC73" s="381"/>
      <c r="AD73"/>
      <c r="AE73"/>
      <c r="AF73"/>
      <c r="AG73"/>
      <c r="AH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 spans="1:91" s="219" customFormat="1" ht="13" x14ac:dyDescent="0.25">
      <c r="A74" s="277"/>
      <c r="F74" s="257"/>
      <c r="G74" s="316"/>
      <c r="I74" s="256"/>
      <c r="J74" s="255"/>
      <c r="L74" s="317"/>
      <c r="M74" s="318"/>
      <c r="N74" s="319"/>
      <c r="O74" s="318"/>
      <c r="P74" s="319"/>
      <c r="Q74" s="320"/>
      <c r="W74" s="388" t="s">
        <v>904</v>
      </c>
      <c r="X74"/>
      <c r="Y74"/>
      <c r="Z74"/>
      <c r="AA74"/>
      <c r="AB74"/>
      <c r="AC74"/>
      <c r="AD74"/>
      <c r="AE74"/>
      <c r="AF74"/>
      <c r="AG74"/>
      <c r="AH74"/>
      <c r="AI74" s="348" t="s">
        <v>901</v>
      </c>
      <c r="AJ74" s="349"/>
      <c r="AK74" s="349"/>
      <c r="AL74" s="349"/>
      <c r="AM74" s="350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</row>
    <row r="75" spans="1:91" s="219" customFormat="1" x14ac:dyDescent="0.25">
      <c r="A75" s="277"/>
      <c r="F75" s="257"/>
      <c r="G75" s="316"/>
      <c r="I75" s="256"/>
      <c r="L75" s="317"/>
      <c r="M75" s="318"/>
      <c r="N75" s="319"/>
      <c r="O75" s="318"/>
      <c r="P75" s="319"/>
      <c r="Q75" s="320"/>
      <c r="W75" t="s">
        <v>281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</row>
    <row r="76" spans="1:91" s="219" customFormat="1" x14ac:dyDescent="0.25">
      <c r="A76" s="277"/>
      <c r="F76" s="257"/>
      <c r="G76" s="316"/>
      <c r="I76" s="256"/>
      <c r="L76" s="317"/>
      <c r="M76" s="318"/>
      <c r="N76" s="319"/>
      <c r="O76" s="318"/>
      <c r="P76" s="319"/>
      <c r="Q76" s="320"/>
      <c r="W76" t="s">
        <v>282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</row>
    <row r="77" spans="1:91" s="219" customFormat="1" x14ac:dyDescent="0.25">
      <c r="A77" s="277"/>
      <c r="F77" s="257"/>
      <c r="G77" s="316"/>
      <c r="I77" s="256"/>
      <c r="L77" s="317"/>
      <c r="M77" s="318"/>
      <c r="N77" s="319"/>
      <c r="O77" s="318"/>
      <c r="P77" s="319"/>
      <c r="Q77" s="320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</row>
    <row r="78" spans="1:91" s="219" customFormat="1" ht="13" x14ac:dyDescent="0.3">
      <c r="A78" s="277"/>
      <c r="F78" s="257"/>
      <c r="G78" s="316"/>
      <c r="I78" s="256"/>
      <c r="K78" s="351" t="s">
        <v>3094</v>
      </c>
      <c r="L78" s="442"/>
      <c r="M78" s="443"/>
      <c r="N78" s="444"/>
      <c r="O78" s="443"/>
      <c r="P78" s="444"/>
      <c r="Q78" s="444"/>
      <c r="R78" s="445"/>
      <c r="S78" s="445"/>
      <c r="T78" s="169"/>
      <c r="U78" s="169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</row>
    <row r="79" spans="1:91" s="219" customFormat="1" ht="14.5" x14ac:dyDescent="0.35">
      <c r="A79" s="277"/>
      <c r="F79" s="257"/>
      <c r="G79" s="316"/>
      <c r="I79" s="256"/>
      <c r="K79"/>
      <c r="L79" s="386"/>
      <c r="M79" s="386"/>
      <c r="N79" s="386"/>
      <c r="O79" s="79" t="s">
        <v>235</v>
      </c>
      <c r="P79" s="80" t="s">
        <v>168</v>
      </c>
      <c r="Q79" s="80" t="s">
        <v>168</v>
      </c>
      <c r="R79" s="80" t="s">
        <v>129</v>
      </c>
      <c r="S79" s="102" t="s">
        <v>170</v>
      </c>
      <c r="T79"/>
      <c r="U79" s="16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</row>
    <row r="80" spans="1:91" s="219" customFormat="1" ht="14.5" x14ac:dyDescent="0.35">
      <c r="A80" s="277"/>
      <c r="F80" s="257"/>
      <c r="G80" s="316"/>
      <c r="I80" s="256"/>
      <c r="K80" s="345" t="s">
        <v>171</v>
      </c>
      <c r="L80" s="346" t="s">
        <v>78</v>
      </c>
      <c r="M80" s="346" t="s">
        <v>76</v>
      </c>
      <c r="N80" s="347" t="s">
        <v>77</v>
      </c>
      <c r="O80" s="83"/>
      <c r="P80" s="84" t="s">
        <v>174</v>
      </c>
      <c r="Q80" s="84" t="s">
        <v>62</v>
      </c>
      <c r="R80" s="84" t="s">
        <v>15</v>
      </c>
      <c r="S80" s="109" t="s">
        <v>728</v>
      </c>
      <c r="T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</row>
    <row r="81" spans="1:91" s="219" customFormat="1" ht="14.5" x14ac:dyDescent="0.35">
      <c r="A81" s="277"/>
      <c r="F81" s="257"/>
      <c r="G81" s="316"/>
      <c r="I81" s="256"/>
      <c r="K81" s="446" t="s">
        <v>3095</v>
      </c>
      <c r="L81" s="447">
        <v>0.80695700645446777</v>
      </c>
      <c r="M81" s="447">
        <v>10.966717720031738</v>
      </c>
      <c r="N81" s="448">
        <v>0.88091164827346802</v>
      </c>
      <c r="O81" s="280" t="s">
        <v>3096</v>
      </c>
      <c r="P81" s="386">
        <v>2016</v>
      </c>
      <c r="Q81" s="386" t="s">
        <v>111</v>
      </c>
      <c r="R81" s="386">
        <v>14</v>
      </c>
      <c r="S81" s="386">
        <v>2636.7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</row>
    <row r="82" spans="1:91" s="219" customFormat="1" x14ac:dyDescent="0.25">
      <c r="A82" s="277"/>
      <c r="F82" s="257"/>
      <c r="G82" s="316"/>
      <c r="I82" s="256"/>
      <c r="L82" s="317"/>
      <c r="M82" s="318"/>
      <c r="N82" s="319"/>
      <c r="O82" s="318"/>
      <c r="P82" s="319"/>
      <c r="Q82" s="320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</row>
    <row r="83" spans="1:91" s="219" customFormat="1" x14ac:dyDescent="0.25">
      <c r="A83" s="277"/>
      <c r="F83" s="257"/>
      <c r="G83" s="316"/>
      <c r="I83" s="256"/>
      <c r="K83" s="357" t="s">
        <v>867</v>
      </c>
      <c r="L83" s="449">
        <v>0.2750873863697052</v>
      </c>
      <c r="M83" s="449">
        <v>3.3084630775451598</v>
      </c>
      <c r="N83" s="450">
        <v>0.73437005281448364</v>
      </c>
      <c r="O83" s="352" t="s">
        <v>201</v>
      </c>
      <c r="P83" s="451" t="s">
        <v>3097</v>
      </c>
      <c r="Q83" s="360"/>
      <c r="R83" s="360"/>
      <c r="S83" s="360">
        <v>4242.8999999999996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</row>
    <row r="84" spans="1:91" s="219" customFormat="1" x14ac:dyDescent="0.25">
      <c r="A84" s="255"/>
      <c r="F84" s="257"/>
      <c r="G84" s="316"/>
      <c r="I84" s="256"/>
      <c r="K84" s="357" t="s">
        <v>868</v>
      </c>
      <c r="L84" s="449">
        <v>0.25917458534240723</v>
      </c>
      <c r="M84" s="449">
        <v>3.2106030178070002</v>
      </c>
      <c r="N84" s="450">
        <v>0.67670279741287231</v>
      </c>
      <c r="O84" s="352" t="s">
        <v>202</v>
      </c>
      <c r="P84" s="451" t="s">
        <v>3098</v>
      </c>
      <c r="Q84" s="360"/>
      <c r="R84" s="360"/>
      <c r="S84" s="360">
        <v>3469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</row>
    <row r="85" spans="1:91" s="219" customFormat="1" x14ac:dyDescent="0.25">
      <c r="A85" s="255"/>
      <c r="F85" s="257"/>
      <c r="G85" s="316"/>
      <c r="I85" s="256"/>
      <c r="K85" s="357" t="s">
        <v>3099</v>
      </c>
      <c r="L85" s="449">
        <v>0.2723446786403656</v>
      </c>
      <c r="M85" s="449">
        <v>3.2086973190307617</v>
      </c>
      <c r="N85" s="450">
        <v>0.74493204832076998</v>
      </c>
      <c r="O85" s="361" t="s">
        <v>3100</v>
      </c>
      <c r="P85" s="451" t="s">
        <v>3101</v>
      </c>
      <c r="Q85" s="360"/>
      <c r="R85" s="360"/>
      <c r="S85" s="360">
        <v>4921.7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</row>
    <row r="86" spans="1:91" s="219" customFormat="1" x14ac:dyDescent="0.25">
      <c r="A86" s="255"/>
      <c r="F86" s="257"/>
      <c r="G86" s="316"/>
      <c r="I86" s="256"/>
      <c r="K86" s="357" t="s">
        <v>3102</v>
      </c>
      <c r="L86" s="449">
        <v>10.378957748413086</v>
      </c>
      <c r="M86" s="449">
        <v>71.105172729492097</v>
      </c>
      <c r="N86" s="450">
        <v>6.8631825447082502</v>
      </c>
      <c r="O86" s="361" t="s">
        <v>3103</v>
      </c>
      <c r="P86" s="452" t="s">
        <v>3104</v>
      </c>
      <c r="Q86" s="360"/>
      <c r="R86" s="360"/>
      <c r="S86" s="360">
        <v>621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</row>
    <row r="87" spans="1:91" s="219" customFormat="1" x14ac:dyDescent="0.25">
      <c r="A87" s="255"/>
      <c r="F87" s="257"/>
      <c r="G87" s="316"/>
      <c r="I87" s="256"/>
      <c r="L87" s="317"/>
      <c r="M87" s="318"/>
      <c r="N87" s="319"/>
      <c r="O87" s="318"/>
      <c r="P87" s="319"/>
      <c r="Q87" s="320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</row>
    <row r="88" spans="1:91" s="219" customFormat="1" x14ac:dyDescent="0.25">
      <c r="A88" s="255"/>
      <c r="F88" s="257"/>
      <c r="G88" s="316"/>
      <c r="I88" s="256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</row>
    <row r="89" spans="1:91" s="219" customFormat="1" x14ac:dyDescent="0.25">
      <c r="A89" s="255"/>
      <c r="C89" s="277"/>
      <c r="F89" s="257"/>
      <c r="G89" s="316"/>
      <c r="I89" s="256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</row>
    <row r="90" spans="1:91" s="219" customFormat="1" x14ac:dyDescent="0.25">
      <c r="A90" s="255"/>
      <c r="C90" s="277"/>
      <c r="F90" s="257"/>
      <c r="G90" s="316"/>
      <c r="I90" s="256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</row>
    <row r="91" spans="1:91" x14ac:dyDescent="0.25">
      <c r="A91" s="169"/>
      <c r="B91" s="169"/>
      <c r="C91" s="170"/>
      <c r="D91" s="169"/>
      <c r="E91" s="169"/>
      <c r="F91" s="171"/>
      <c r="G91" s="169"/>
      <c r="H91" s="172"/>
      <c r="I91" s="325"/>
      <c r="J91" s="169"/>
    </row>
    <row r="92" spans="1:91" x14ac:dyDescent="0.25">
      <c r="A92" s="169"/>
      <c r="B92" s="169"/>
      <c r="C92" s="170"/>
      <c r="D92" s="169"/>
      <c r="E92" s="169"/>
      <c r="F92" s="171"/>
      <c r="G92" s="169"/>
      <c r="H92" s="172"/>
      <c r="I92" s="325"/>
      <c r="J92" s="169"/>
    </row>
    <row r="93" spans="1:91" x14ac:dyDescent="0.25">
      <c r="A93" s="169"/>
      <c r="B93" s="169"/>
      <c r="C93" s="170"/>
      <c r="D93" s="169"/>
      <c r="E93" s="169"/>
      <c r="F93" s="171"/>
      <c r="G93" s="169"/>
      <c r="H93" s="172"/>
      <c r="I93" s="325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</row>
    <row r="94" spans="1:91" x14ac:dyDescent="0.25">
      <c r="B94" s="169"/>
      <c r="C94" s="169"/>
      <c r="D94" s="169"/>
      <c r="E94" s="169"/>
      <c r="F94" s="171"/>
      <c r="G94" s="169"/>
      <c r="H94" s="172"/>
      <c r="I94" s="325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9"/>
      <c r="U94" s="169"/>
    </row>
    <row r="95" spans="1:91" x14ac:dyDescent="0.25">
      <c r="A95" s="169"/>
      <c r="B95" s="169"/>
      <c r="C95" s="169"/>
      <c r="D95" s="169"/>
      <c r="E95" s="169"/>
      <c r="F95" s="171"/>
      <c r="G95" s="169"/>
      <c r="H95" s="172"/>
      <c r="I95" s="325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9"/>
      <c r="U95" s="169"/>
    </row>
    <row r="96" spans="1:91" x14ac:dyDescent="0.25">
      <c r="H96" s="172"/>
      <c r="I96" s="325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9"/>
      <c r="U96" s="169"/>
    </row>
    <row r="97" spans="1:21" x14ac:dyDescent="0.25">
      <c r="H97" s="172"/>
      <c r="I97" s="325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9"/>
      <c r="U97" s="169"/>
    </row>
    <row r="98" spans="1:21" x14ac:dyDescent="0.25">
      <c r="H98" s="172"/>
      <c r="I98" s="325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9"/>
      <c r="U98" s="169"/>
    </row>
    <row r="99" spans="1:21" x14ac:dyDescent="0.25">
      <c r="A99" s="180"/>
      <c r="B99" s="169"/>
      <c r="C99" s="169"/>
      <c r="D99" s="169"/>
      <c r="E99" s="169"/>
      <c r="F99" s="171"/>
      <c r="G99" s="169"/>
      <c r="H99" s="172"/>
      <c r="I99" s="325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9"/>
      <c r="U99" s="169"/>
    </row>
    <row r="100" spans="1:21" x14ac:dyDescent="0.25">
      <c r="A100" s="180"/>
      <c r="B100" s="169"/>
      <c r="C100" s="169"/>
      <c r="D100" s="169"/>
      <c r="E100" s="169"/>
      <c r="F100" s="171"/>
      <c r="G100" s="169"/>
      <c r="H100" s="172"/>
      <c r="I100" s="325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9"/>
      <c r="U100" s="169"/>
    </row>
    <row r="101" spans="1:21" x14ac:dyDescent="0.25">
      <c r="A101" s="169"/>
      <c r="B101" s="169"/>
      <c r="C101" s="170"/>
      <c r="D101" s="169"/>
      <c r="E101" s="169"/>
      <c r="F101" s="171"/>
      <c r="G101" s="169"/>
      <c r="H101" s="172"/>
      <c r="I101" s="325"/>
      <c r="J101" s="169"/>
      <c r="K101" s="169"/>
      <c r="L101" s="169"/>
      <c r="M101" s="169"/>
      <c r="N101" s="169"/>
      <c r="O101" s="169"/>
      <c r="P101" s="169"/>
      <c r="Q101" s="169"/>
      <c r="R101" s="169"/>
      <c r="S101" s="169"/>
      <c r="T101" s="169"/>
      <c r="U101" s="169"/>
    </row>
  </sheetData>
  <sortState xmlns:xlrd2="http://schemas.microsoft.com/office/spreadsheetml/2017/richdata2" ref="AI12:AO62">
    <sortCondition ref="AN12:AN62"/>
    <sortCondition ref="AO12:AO62"/>
  </sortState>
  <phoneticPr fontId="0" type="noConversion"/>
  <printOptions gridLines="1"/>
  <pageMargins left="0.47" right="0.75" top="0.56000000000000005" bottom="0.27" header="0.39" footer="0.4"/>
  <pageSetup paperSize="9" scale="90" orientation="portrait"/>
  <headerFooter alignWithMargins="0">
    <oddHeader>&amp;F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rgb="FF008000"/>
    <pageSetUpPr fitToPage="1"/>
  </sheetPr>
  <dimension ref="A1:AV6640"/>
  <sheetViews>
    <sheetView zoomScaleNormal="100" zoomScaleSheetLayoutView="80" zoomScalePageLayoutView="110" workbookViewId="0">
      <selection activeCell="T10" sqref="T10"/>
    </sheetView>
  </sheetViews>
  <sheetFormatPr defaultColWidth="8.81640625" defaultRowHeight="12.5" x14ac:dyDescent="0.25"/>
  <cols>
    <col min="1" max="1" width="30.1796875" bestFit="1" customWidth="1"/>
    <col min="2" max="2" width="11.453125" customWidth="1"/>
    <col min="3" max="3" width="8.81640625" customWidth="1"/>
    <col min="4" max="4" width="10.1796875" style="63" customWidth="1"/>
    <col min="5" max="5" width="11.453125" style="3" bestFit="1" customWidth="1"/>
    <col min="6" max="6" width="5.453125" style="5" bestFit="1" customWidth="1"/>
    <col min="7" max="7" width="23.81640625" style="5" bestFit="1" customWidth="1"/>
    <col min="8" max="8" width="25" style="5" bestFit="1" customWidth="1"/>
    <col min="9" max="9" width="9.453125" bestFit="1" customWidth="1"/>
    <col min="10" max="10" width="9.7265625" style="5" customWidth="1"/>
    <col min="11" max="11" width="9.453125" style="5" bestFit="1" customWidth="1"/>
    <col min="12" max="12" width="6.81640625" style="3" bestFit="1" customWidth="1"/>
    <col min="13" max="13" width="6.453125" style="3" bestFit="1" customWidth="1"/>
    <col min="14" max="14" width="6.81640625" style="3" bestFit="1" customWidth="1"/>
    <col min="15" max="15" width="84" style="3" bestFit="1" customWidth="1"/>
    <col min="16" max="16" width="23.453125" style="257" customWidth="1"/>
    <col min="17" max="17" width="15" style="2" customWidth="1"/>
    <col min="18" max="18" width="5.453125" bestFit="1" customWidth="1"/>
    <col min="19" max="19" width="4.453125" bestFit="1" customWidth="1"/>
    <col min="20" max="21" width="10.7265625" style="89" bestFit="1" customWidth="1"/>
    <col min="22" max="22" width="12.1796875" style="4" customWidth="1"/>
    <col min="23" max="23" width="11.81640625" bestFit="1" customWidth="1"/>
    <col min="24" max="24" width="12" bestFit="1" customWidth="1"/>
    <col min="25" max="25" width="24.7265625" style="14" bestFit="1" customWidth="1"/>
    <col min="26" max="26" width="31.453125" bestFit="1" customWidth="1"/>
    <col min="28" max="29" width="8.81640625" style="17"/>
    <col min="30" max="30" width="9.7265625" bestFit="1" customWidth="1"/>
    <col min="34" max="34" width="8.81640625" style="219"/>
    <col min="35" max="36" width="40.26953125" style="17" bestFit="1" customWidth="1"/>
    <col min="37" max="37" width="8.81640625" style="17"/>
    <col min="38" max="38" width="15.453125" bestFit="1" customWidth="1"/>
  </cols>
  <sheetData>
    <row r="1" spans="1:47" s="10" customFormat="1" ht="27" customHeight="1" x14ac:dyDescent="0.3">
      <c r="A1" s="10" t="s">
        <v>59</v>
      </c>
      <c r="B1" s="10" t="s">
        <v>54</v>
      </c>
      <c r="C1" s="10" t="s">
        <v>55</v>
      </c>
      <c r="D1" s="245" t="s">
        <v>29</v>
      </c>
      <c r="E1" s="36" t="s">
        <v>56</v>
      </c>
      <c r="F1" s="34" t="s">
        <v>131</v>
      </c>
      <c r="G1" s="10" t="s">
        <v>32</v>
      </c>
      <c r="H1" s="34" t="s">
        <v>57</v>
      </c>
      <c r="I1" s="93" t="s">
        <v>57</v>
      </c>
      <c r="J1" s="93" t="s">
        <v>66</v>
      </c>
      <c r="K1" s="93" t="s">
        <v>28</v>
      </c>
      <c r="L1" s="248" t="s">
        <v>76</v>
      </c>
      <c r="M1" s="248" t="s">
        <v>77</v>
      </c>
      <c r="N1" s="248" t="s">
        <v>78</v>
      </c>
      <c r="O1" s="248" t="s">
        <v>1267</v>
      </c>
      <c r="P1" s="428" t="s">
        <v>65</v>
      </c>
      <c r="Q1" s="93" t="s">
        <v>70</v>
      </c>
      <c r="R1" s="93" t="s">
        <v>31</v>
      </c>
      <c r="S1" s="93" t="s">
        <v>30</v>
      </c>
      <c r="T1" s="249" t="s">
        <v>32</v>
      </c>
      <c r="U1" s="249" t="s">
        <v>32</v>
      </c>
      <c r="V1" s="250" t="s">
        <v>33</v>
      </c>
      <c r="W1" s="10" t="s">
        <v>32</v>
      </c>
      <c r="X1" s="10" t="s">
        <v>32</v>
      </c>
      <c r="Y1" s="36" t="s">
        <v>29</v>
      </c>
      <c r="Z1" s="10" t="s">
        <v>34</v>
      </c>
      <c r="AB1" s="414" t="s">
        <v>157</v>
      </c>
      <c r="AC1" s="414" t="s">
        <v>157</v>
      </c>
      <c r="AD1" s="3" t="s">
        <v>810</v>
      </c>
      <c r="AE1" s="3" t="s">
        <v>811</v>
      </c>
      <c r="AF1" t="s">
        <v>306</v>
      </c>
      <c r="AG1" s="3" t="s">
        <v>307</v>
      </c>
      <c r="AH1" s="277" t="s">
        <v>308</v>
      </c>
      <c r="AI1" s="416" t="s">
        <v>812</v>
      </c>
      <c r="AJ1" s="416" t="s">
        <v>812</v>
      </c>
      <c r="AK1" s="18" t="s">
        <v>813</v>
      </c>
      <c r="AL1" s="10" t="s">
        <v>3204</v>
      </c>
      <c r="AM1" s="93" t="s">
        <v>1262</v>
      </c>
      <c r="AN1" s="10" t="s">
        <v>308</v>
      </c>
      <c r="AO1" s="10" t="s">
        <v>307</v>
      </c>
      <c r="AP1" s="145" t="s">
        <v>349</v>
      </c>
      <c r="AQ1" s="20"/>
    </row>
    <row r="2" spans="1:47" ht="29.15" customHeight="1" x14ac:dyDescent="0.35">
      <c r="A2" s="221" t="s">
        <v>666</v>
      </c>
      <c r="D2" s="63" t="s">
        <v>75</v>
      </c>
      <c r="E2" s="3" t="s">
        <v>15</v>
      </c>
      <c r="G2" t="s">
        <v>3</v>
      </c>
      <c r="H2" s="7" t="s">
        <v>69</v>
      </c>
      <c r="I2" s="6"/>
      <c r="J2" s="6" t="s">
        <v>35</v>
      </c>
      <c r="K2" s="2" t="s">
        <v>27</v>
      </c>
      <c r="L2" s="99" t="s">
        <v>283</v>
      </c>
      <c r="M2" s="99"/>
      <c r="N2" s="99" t="s">
        <v>284</v>
      </c>
      <c r="O2" s="99"/>
      <c r="P2" s="257" t="s">
        <v>122</v>
      </c>
      <c r="Q2" s="6" t="s">
        <v>355</v>
      </c>
      <c r="R2" s="2"/>
      <c r="S2" s="2"/>
      <c r="T2" s="89" t="s">
        <v>2</v>
      </c>
      <c r="U2" s="89" t="s">
        <v>2</v>
      </c>
      <c r="V2" s="4" t="s">
        <v>2</v>
      </c>
      <c r="W2" t="s">
        <v>3</v>
      </c>
      <c r="X2" t="s">
        <v>3</v>
      </c>
      <c r="Y2" s="3" t="s">
        <v>1</v>
      </c>
      <c r="AB2" s="414" t="s">
        <v>106</v>
      </c>
      <c r="AC2" s="414" t="s">
        <v>158</v>
      </c>
      <c r="AD2" s="3" t="s">
        <v>814</v>
      </c>
      <c r="AE2" s="3" t="s">
        <v>814</v>
      </c>
      <c r="AF2" t="s">
        <v>157</v>
      </c>
      <c r="AG2" s="3" t="s">
        <v>157</v>
      </c>
      <c r="AH2" s="277" t="s">
        <v>157</v>
      </c>
      <c r="AI2" s="417" t="s">
        <v>815</v>
      </c>
      <c r="AJ2" s="417" t="s">
        <v>3235</v>
      </c>
      <c r="AL2" s="470" t="s">
        <v>3205</v>
      </c>
      <c r="AM2" s="93" t="s">
        <v>1263</v>
      </c>
      <c r="AN2" s="555" t="s">
        <v>1294</v>
      </c>
      <c r="AO2" s="555"/>
      <c r="AP2" s="19">
        <v>1</v>
      </c>
      <c r="AQ2" s="144" t="s">
        <v>134</v>
      </c>
    </row>
    <row r="3" spans="1:47" ht="19" customHeight="1" x14ac:dyDescent="0.25">
      <c r="A3" s="143"/>
      <c r="E3" s="44" t="s">
        <v>25</v>
      </c>
      <c r="F3" s="7"/>
      <c r="G3" t="s">
        <v>15</v>
      </c>
      <c r="H3" s="7" t="s">
        <v>25</v>
      </c>
      <c r="I3" s="8" t="s">
        <v>25</v>
      </c>
      <c r="J3" s="9"/>
      <c r="K3" s="9"/>
      <c r="L3" s="99" t="s">
        <v>22</v>
      </c>
      <c r="M3" s="99"/>
      <c r="N3" s="99" t="s">
        <v>22</v>
      </c>
      <c r="O3" s="99"/>
      <c r="R3" s="6" t="s">
        <v>35</v>
      </c>
      <c r="S3" s="2"/>
      <c r="T3" s="89" t="s">
        <v>39</v>
      </c>
      <c r="U3" s="89" t="s">
        <v>40</v>
      </c>
      <c r="V3" s="4" t="s">
        <v>41</v>
      </c>
      <c r="W3" t="s">
        <v>123</v>
      </c>
      <c r="X3" t="s">
        <v>123</v>
      </c>
      <c r="Y3" s="44" t="s">
        <v>38</v>
      </c>
      <c r="AB3" s="414" t="s">
        <v>22</v>
      </c>
      <c r="AC3" s="414" t="s">
        <v>22</v>
      </c>
      <c r="AD3" s="326" t="s">
        <v>22</v>
      </c>
      <c r="AE3" s="326" t="s">
        <v>22</v>
      </c>
      <c r="AF3" s="326" t="s">
        <v>22</v>
      </c>
      <c r="AG3" s="326" t="s">
        <v>22</v>
      </c>
      <c r="AH3" s="396" t="s">
        <v>22</v>
      </c>
      <c r="AI3" s="417" t="s">
        <v>816</v>
      </c>
      <c r="AJ3" s="417" t="s">
        <v>816</v>
      </c>
      <c r="AP3" s="19">
        <v>2</v>
      </c>
      <c r="AQ3" s="20" t="s">
        <v>350</v>
      </c>
    </row>
    <row r="4" spans="1:47" s="10" customFormat="1" ht="18" customHeight="1" x14ac:dyDescent="0.3">
      <c r="A4" s="244" t="s">
        <v>379</v>
      </c>
      <c r="B4" s="237"/>
      <c r="D4" s="245" t="s">
        <v>46</v>
      </c>
      <c r="E4" s="36" t="s">
        <v>53</v>
      </c>
      <c r="F4" s="34" t="s">
        <v>132</v>
      </c>
      <c r="G4" s="10" t="s">
        <v>49</v>
      </c>
      <c r="H4" s="34" t="s">
        <v>43</v>
      </c>
      <c r="I4" s="93" t="s">
        <v>44</v>
      </c>
      <c r="J4" s="93"/>
      <c r="K4" s="246"/>
      <c r="L4" s="247" t="s">
        <v>159</v>
      </c>
      <c r="M4" s="248"/>
      <c r="N4" s="247" t="s">
        <v>159</v>
      </c>
      <c r="O4" s="247"/>
      <c r="P4" s="428"/>
      <c r="Q4" s="93"/>
      <c r="R4" s="93" t="s">
        <v>48</v>
      </c>
      <c r="T4" s="249"/>
      <c r="U4" s="249"/>
      <c r="V4" s="250"/>
      <c r="W4" s="10" t="s">
        <v>49</v>
      </c>
      <c r="X4" s="10" t="s">
        <v>49</v>
      </c>
      <c r="Y4" s="36" t="s">
        <v>47</v>
      </c>
      <c r="AB4" s="414" t="s">
        <v>159</v>
      </c>
      <c r="AC4" s="414" t="s">
        <v>159</v>
      </c>
      <c r="AD4" s="3" t="s">
        <v>817</v>
      </c>
      <c r="AE4" s="3" t="s">
        <v>817</v>
      </c>
      <c r="AF4" s="327" t="s">
        <v>159</v>
      </c>
      <c r="AG4" s="327" t="s">
        <v>159</v>
      </c>
      <c r="AH4" s="396" t="s">
        <v>159</v>
      </c>
      <c r="AI4" s="416" t="s">
        <v>45</v>
      </c>
      <c r="AJ4" s="416" t="s">
        <v>45</v>
      </c>
      <c r="AK4" s="17"/>
      <c r="AP4" s="19">
        <v>3</v>
      </c>
      <c r="AQ4" s="20" t="s">
        <v>351</v>
      </c>
    </row>
    <row r="5" spans="1:47" ht="13" customHeight="1" x14ac:dyDescent="0.25">
      <c r="A5" s="37"/>
      <c r="B5" s="37"/>
      <c r="C5" s="37"/>
      <c r="D5" s="62"/>
      <c r="F5" s="38"/>
      <c r="G5" s="37"/>
      <c r="H5" s="38"/>
      <c r="I5" s="40"/>
      <c r="J5" s="40"/>
      <c r="K5" s="40"/>
      <c r="L5" s="100"/>
      <c r="M5" s="100"/>
      <c r="N5" s="100"/>
      <c r="O5" s="100"/>
      <c r="R5" s="39"/>
      <c r="S5" s="40"/>
      <c r="T5" s="91"/>
      <c r="U5" s="91"/>
      <c r="V5" s="41"/>
      <c r="W5" t="s">
        <v>130</v>
      </c>
      <c r="X5" t="s">
        <v>124</v>
      </c>
      <c r="Z5" s="37"/>
      <c r="AA5" s="37"/>
      <c r="AB5" s="414"/>
      <c r="AC5" s="414"/>
      <c r="AD5" s="3"/>
      <c r="AE5" s="3"/>
      <c r="AG5" s="3"/>
      <c r="AI5" s="418"/>
      <c r="AJ5" s="418"/>
      <c r="AP5" s="419">
        <v>4</v>
      </c>
      <c r="AQ5" s="20" t="s">
        <v>352</v>
      </c>
    </row>
    <row r="6" spans="1:47" s="153" customFormat="1" ht="13" x14ac:dyDescent="0.3">
      <c r="A6" s="242" t="s">
        <v>668</v>
      </c>
      <c r="B6" s="542" t="s">
        <v>3297</v>
      </c>
      <c r="C6" s="239"/>
      <c r="E6" s="175"/>
      <c r="F6" s="177"/>
      <c r="G6" s="406" t="s">
        <v>954</v>
      </c>
      <c r="H6" s="263" t="s">
        <v>163</v>
      </c>
      <c r="I6" s="176"/>
      <c r="K6" s="176"/>
      <c r="L6" s="191"/>
      <c r="M6" s="191"/>
      <c r="N6" s="191"/>
      <c r="O6" s="191"/>
      <c r="P6" s="257" t="s">
        <v>825</v>
      </c>
      <c r="Q6" s="192"/>
      <c r="R6" s="176"/>
      <c r="S6" s="176"/>
      <c r="T6" s="193"/>
      <c r="U6" s="193"/>
      <c r="V6" s="194"/>
      <c r="W6" s="260">
        <v>0</v>
      </c>
      <c r="X6" s="195"/>
      <c r="Y6" s="195"/>
      <c r="Z6" s="176"/>
      <c r="AA6" s="176"/>
      <c r="AB6" s="414"/>
      <c r="AC6" s="414"/>
      <c r="AD6" s="3"/>
      <c r="AE6" s="3"/>
      <c r="AF6"/>
      <c r="AG6" s="3"/>
      <c r="AH6" s="219"/>
      <c r="AI6" t="s">
        <v>1266</v>
      </c>
      <c r="AJ6" s="17" t="s">
        <v>3236</v>
      </c>
      <c r="AK6" s="17"/>
      <c r="AL6" s="10" t="s">
        <v>3206</v>
      </c>
      <c r="AM6" s="176"/>
      <c r="AN6" s="176"/>
      <c r="AO6" s="176"/>
      <c r="AP6" s="419">
        <v>5</v>
      </c>
      <c r="AQ6" s="20" t="s">
        <v>354</v>
      </c>
      <c r="AR6" s="176"/>
      <c r="AS6" s="176"/>
      <c r="AT6" s="176"/>
      <c r="AU6" s="176"/>
    </row>
    <row r="7" spans="1:47" ht="13" x14ac:dyDescent="0.3">
      <c r="A7" s="241">
        <v>2016</v>
      </c>
      <c r="B7" s="255" t="s">
        <v>111</v>
      </c>
      <c r="C7" s="256" t="s">
        <v>1297</v>
      </c>
      <c r="D7" s="278">
        <v>7</v>
      </c>
      <c r="E7" s="255">
        <f>mass_filt_1!S8</f>
        <v>530.17142857142858</v>
      </c>
      <c r="F7" s="257">
        <v>0.5</v>
      </c>
      <c r="G7" s="238">
        <f>U7-T7</f>
        <v>17</v>
      </c>
      <c r="H7" s="277">
        <f>E7/F7/G7</f>
        <v>62.373109243697478</v>
      </c>
      <c r="I7" s="277">
        <f>0.001*365.25*E7/F7/G7</f>
        <v>22.781778151260507</v>
      </c>
      <c r="J7" s="173"/>
      <c r="K7" s="255">
        <v>1</v>
      </c>
      <c r="L7" s="362">
        <f>CHN!M26</f>
        <v>17.179433822631836</v>
      </c>
      <c r="M7" s="362">
        <f>CHN!N26</f>
        <v>1.8371347188949585</v>
      </c>
      <c r="N7" s="362">
        <f>CHN!O26</f>
        <v>1.8958081007003784</v>
      </c>
      <c r="O7" s="362"/>
      <c r="P7" s="257" t="s">
        <v>825</v>
      </c>
      <c r="Q7" s="169"/>
      <c r="R7" s="277">
        <f>sal_pH!E3</f>
        <v>36.92</v>
      </c>
      <c r="S7" s="277">
        <f>sal_pH!F3</f>
        <v>8.33</v>
      </c>
      <c r="T7" s="258">
        <f>logs!E3</f>
        <v>42453</v>
      </c>
      <c r="U7" s="258">
        <f>logs!E4</f>
        <v>42470</v>
      </c>
      <c r="V7" s="259">
        <f>AVERAGE(T7:U7)</f>
        <v>42461.5</v>
      </c>
      <c r="W7" s="238">
        <f t="shared" ref="W7:W27" si="0">G7+W6</f>
        <v>17</v>
      </c>
      <c r="X7" s="238">
        <v>0</v>
      </c>
      <c r="Y7" s="198"/>
      <c r="Z7" s="198"/>
      <c r="AA7" s="169"/>
      <c r="AB7" s="18">
        <f>BSi_results!T14</f>
        <v>4.2735492084299702</v>
      </c>
      <c r="AC7" s="18">
        <f>BSi_results!U14</f>
        <v>9.1419569930422533</v>
      </c>
      <c r="AD7" s="169"/>
      <c r="AE7" s="169"/>
      <c r="AF7" s="328">
        <f>PIC!T4</f>
        <v>51.619814824470502</v>
      </c>
      <c r="AG7" s="328">
        <f>AF7*12.01/100.0869</f>
        <v>6.1941570379529267</v>
      </c>
      <c r="AH7" s="277">
        <f>L7-AG7</f>
        <v>10.985276784678909</v>
      </c>
      <c r="AI7" s="17">
        <f>AF7+(AC7*1.11)+(AH7*2.79)+3.7</f>
        <v>96.116309316001562</v>
      </c>
      <c r="AJ7" s="17">
        <f>AF7+(AC7*1.11)+(AH7*2.2)+3.7</f>
        <v>89.634996013041004</v>
      </c>
      <c r="AK7" s="17">
        <v>1</v>
      </c>
      <c r="AL7">
        <f>E7/E31</f>
        <v>2.0320867327383234</v>
      </c>
      <c r="AM7" s="29">
        <f>(AH7/12.01)/(N7/14.01)</f>
        <v>6.7594561820663914</v>
      </c>
      <c r="AN7" s="17">
        <f>(report!AC6)*1000</f>
        <v>208.37979903309511</v>
      </c>
      <c r="AO7" s="17">
        <f>(report!AD6)*1000</f>
        <v>117.49701205055163</v>
      </c>
      <c r="AP7" s="419">
        <v>6</v>
      </c>
      <c r="AQ7" s="20" t="s">
        <v>353</v>
      </c>
      <c r="AR7" s="169"/>
      <c r="AS7" s="169"/>
      <c r="AT7" s="169"/>
      <c r="AU7" s="169"/>
    </row>
    <row r="8" spans="1:47" x14ac:dyDescent="0.25">
      <c r="A8" s="241">
        <v>2016</v>
      </c>
      <c r="B8" s="255" t="s">
        <v>111</v>
      </c>
      <c r="C8" s="219">
        <v>2</v>
      </c>
      <c r="D8" s="241">
        <v>2</v>
      </c>
      <c r="E8" s="255">
        <f>mass_filt_1!S9</f>
        <v>211.89999999999995</v>
      </c>
      <c r="F8" s="257">
        <v>0.5</v>
      </c>
      <c r="G8" s="238">
        <f>U8-T8</f>
        <v>17</v>
      </c>
      <c r="H8" s="277">
        <f t="shared" ref="H8:H27" si="1">E8/F8/G8</f>
        <v>24.929411764705875</v>
      </c>
      <c r="I8" s="277">
        <f t="shared" ref="I8:I27" si="2">0.001*365.25*E8/F8/G8</f>
        <v>9.1054676470588216</v>
      </c>
      <c r="J8" s="173"/>
      <c r="K8" s="255">
        <v>1</v>
      </c>
      <c r="L8" s="362">
        <f>CHN!M27</f>
        <v>18.903266906738281</v>
      </c>
      <c r="M8" s="362">
        <f>CHN!N27</f>
        <v>1.9080199003219604</v>
      </c>
      <c r="N8" s="362">
        <f>CHN!O27</f>
        <v>1.5006539821624756</v>
      </c>
      <c r="O8" s="362"/>
      <c r="Q8" s="169"/>
      <c r="R8" s="277">
        <f>sal_pH!E4</f>
        <v>36.15</v>
      </c>
      <c r="S8" s="277">
        <f>sal_pH!F4</f>
        <v>8.44</v>
      </c>
      <c r="T8" s="261">
        <f>logs!E4</f>
        <v>42470</v>
      </c>
      <c r="U8" s="261">
        <f>logs!E5</f>
        <v>42487</v>
      </c>
      <c r="V8" s="259">
        <f t="shared" ref="V8:V27" si="3">AVERAGE(T8:U8)</f>
        <v>42478.5</v>
      </c>
      <c r="W8" s="238">
        <f t="shared" si="0"/>
        <v>34</v>
      </c>
      <c r="X8" s="238">
        <f t="shared" ref="X8:X27" si="4">G8+X7</f>
        <v>17</v>
      </c>
      <c r="Y8" s="199"/>
      <c r="Z8" s="169"/>
      <c r="AA8" s="169"/>
      <c r="AB8" s="18">
        <f>BSi_results!T15</f>
        <v>1.2346026068987441</v>
      </c>
      <c r="AC8" s="18">
        <f>BSi_results!U15</f>
        <v>2.6410562708631375</v>
      </c>
      <c r="AD8" s="169"/>
      <c r="AE8" s="169"/>
      <c r="AF8" s="328">
        <f>PIC!T5</f>
        <v>62.503012838930125</v>
      </c>
      <c r="AG8" s="328">
        <f t="shared" ref="AG8:AG20" si="5">AF8*12.01/100.0869</f>
        <v>7.5000942600435305</v>
      </c>
      <c r="AH8" s="277">
        <f t="shared" ref="AH8:AH20" si="6">L8-AG8</f>
        <v>11.403172646694751</v>
      </c>
      <c r="AI8" s="17">
        <f t="shared" ref="AI8:AI18" si="7">AF8+(AC8*1.11)+(AH8*2.79)+3.7</f>
        <v>100.94943698386656</v>
      </c>
      <c r="AJ8" s="17">
        <f t="shared" ref="AJ8:AJ20" si="8">AF8+(AC8*1.11)+(AH8*2.2)+3.7</f>
        <v>94.221565122316662</v>
      </c>
      <c r="AK8" s="17">
        <v>1</v>
      </c>
      <c r="AL8">
        <f t="shared" ref="AL8:AL27" si="9">E8/E32</f>
        <v>0.81098961180973195</v>
      </c>
      <c r="AM8" s="29">
        <f t="shared" ref="AM8:AM20" si="10">(AH8/12.01)/(N8/14.01)</f>
        <v>8.8642146184220572</v>
      </c>
      <c r="AN8" s="17">
        <f>(report!AC7)*1000</f>
        <v>86.45397136411755</v>
      </c>
      <c r="AO8" s="17">
        <f>(report!AD7)*1000</f>
        <v>56.862502610089869</v>
      </c>
      <c r="AP8" s="169"/>
      <c r="AQ8" s="169"/>
      <c r="AR8" s="169"/>
      <c r="AS8" s="169"/>
      <c r="AT8" s="169"/>
      <c r="AU8" s="169"/>
    </row>
    <row r="9" spans="1:47" ht="13" x14ac:dyDescent="0.3">
      <c r="A9" s="241">
        <v>2016</v>
      </c>
      <c r="B9" s="255" t="s">
        <v>111</v>
      </c>
      <c r="C9" s="219">
        <v>3</v>
      </c>
      <c r="D9" s="278">
        <v>1</v>
      </c>
      <c r="E9" s="255">
        <f>mass_filt_1!S10</f>
        <v>175.27142857142857</v>
      </c>
      <c r="F9" s="257">
        <v>0.5</v>
      </c>
      <c r="G9" s="238">
        <f t="shared" ref="G9:G27" si="11">U9-T9</f>
        <v>17</v>
      </c>
      <c r="H9" s="277">
        <f t="shared" si="1"/>
        <v>20.620168067226892</v>
      </c>
      <c r="I9" s="277">
        <f t="shared" si="2"/>
        <v>7.531516386554622</v>
      </c>
      <c r="J9" s="173"/>
      <c r="K9" s="255">
        <v>1</v>
      </c>
      <c r="L9" s="362">
        <f>CHN!M28</f>
        <v>15.506331443786621</v>
      </c>
      <c r="M9" s="362">
        <f>CHN!N28</f>
        <v>0.65258228778839111</v>
      </c>
      <c r="N9" s="424">
        <f>CHN!O28</f>
        <v>0.76707053184509277</v>
      </c>
      <c r="O9" s="424" t="s">
        <v>1268</v>
      </c>
      <c r="Q9" s="169"/>
      <c r="R9" s="277">
        <f>sal_pH!E5</f>
        <v>34.619999999999997</v>
      </c>
      <c r="S9" s="277">
        <f>sal_pH!F5</f>
        <v>7.99</v>
      </c>
      <c r="T9" s="261">
        <f>logs!E5</f>
        <v>42487</v>
      </c>
      <c r="U9" s="261">
        <f>logs!E6</f>
        <v>42504</v>
      </c>
      <c r="V9" s="259">
        <f t="shared" si="3"/>
        <v>42495.5</v>
      </c>
      <c r="W9" s="238">
        <f t="shared" si="0"/>
        <v>51</v>
      </c>
      <c r="X9" s="238">
        <f t="shared" si="4"/>
        <v>34</v>
      </c>
      <c r="Y9" s="199"/>
      <c r="Z9" s="169"/>
      <c r="AA9" s="169"/>
      <c r="AB9" s="18">
        <f>BSi_results!T16</f>
        <v>0.75642819466422351</v>
      </c>
      <c r="AC9" s="18">
        <f>BSi_results!U16</f>
        <v>1.6181477471474974</v>
      </c>
      <c r="AD9" s="169"/>
      <c r="AE9" s="169"/>
      <c r="AF9" s="328">
        <f>PIC!T6</f>
        <v>84.946569207024396</v>
      </c>
      <c r="AG9" s="328">
        <f t="shared" si="5"/>
        <v>10.193225049195879</v>
      </c>
      <c r="AH9" s="277">
        <f t="shared" si="6"/>
        <v>5.3131063945907417</v>
      </c>
      <c r="AI9" s="420">
        <f t="shared" si="7"/>
        <v>105.26628004726629</v>
      </c>
      <c r="AJ9" s="17">
        <f t="shared" si="8"/>
        <v>102.13154727445776</v>
      </c>
      <c r="AK9" s="17">
        <v>1</v>
      </c>
      <c r="AL9">
        <f t="shared" si="9"/>
        <v>0.53443394171712333</v>
      </c>
      <c r="AM9" s="29">
        <f t="shared" si="10"/>
        <v>8.0799438287655718</v>
      </c>
      <c r="AN9" s="17">
        <f>(report!AC8)*1000</f>
        <v>33.318690986151807</v>
      </c>
      <c r="AO9" s="17">
        <f>(report!AD8)*1000</f>
        <v>63.92209949197153</v>
      </c>
      <c r="AP9" s="169"/>
      <c r="AQ9" s="10" t="s">
        <v>1265</v>
      </c>
      <c r="AR9" s="169"/>
      <c r="AS9" s="169"/>
      <c r="AT9" s="169"/>
      <c r="AU9" s="169"/>
    </row>
    <row r="10" spans="1:47" x14ac:dyDescent="0.25">
      <c r="A10" s="241">
        <v>2016</v>
      </c>
      <c r="B10" s="255" t="s">
        <v>111</v>
      </c>
      <c r="C10" s="219">
        <v>4</v>
      </c>
      <c r="D10" s="278">
        <v>1</v>
      </c>
      <c r="E10" s="255">
        <f>mass_filt_1!S11</f>
        <v>223.42857142857139</v>
      </c>
      <c r="F10" s="257">
        <v>0.5</v>
      </c>
      <c r="G10" s="238">
        <f t="shared" si="11"/>
        <v>17</v>
      </c>
      <c r="H10" s="277">
        <f t="shared" si="1"/>
        <v>26.285714285714281</v>
      </c>
      <c r="I10" s="277">
        <f t="shared" si="2"/>
        <v>9.6008571428571425</v>
      </c>
      <c r="J10" s="173"/>
      <c r="K10" s="255">
        <v>1</v>
      </c>
      <c r="L10" s="362">
        <f>CHN!M29</f>
        <v>15.687155723571777</v>
      </c>
      <c r="M10" s="362">
        <f>CHN!N29</f>
        <v>0.87779200077056885</v>
      </c>
      <c r="N10" s="362">
        <f>CHN!O29</f>
        <v>1.3400105237960815</v>
      </c>
      <c r="O10" s="362"/>
      <c r="P10" s="257" t="s">
        <v>1269</v>
      </c>
      <c r="Q10" s="169"/>
      <c r="R10" s="277">
        <f>sal_pH!E6</f>
        <v>35.79</v>
      </c>
      <c r="S10" s="277">
        <f>sal_pH!F6</f>
        <v>8.33</v>
      </c>
      <c r="T10" s="261">
        <f>logs!E6</f>
        <v>42504</v>
      </c>
      <c r="U10" s="261">
        <f>logs!E7</f>
        <v>42521</v>
      </c>
      <c r="V10" s="259">
        <f t="shared" si="3"/>
        <v>42512.5</v>
      </c>
      <c r="W10" s="238">
        <f t="shared" si="0"/>
        <v>68</v>
      </c>
      <c r="X10" s="238">
        <f t="shared" si="4"/>
        <v>51</v>
      </c>
      <c r="Y10" s="199"/>
      <c r="Z10" s="169"/>
      <c r="AA10" s="169"/>
      <c r="AB10" s="18">
        <f>BSi_results!T17</f>
        <v>1.7973557446373152</v>
      </c>
      <c r="AC10" s="18">
        <f>BSi_results!U17</f>
        <v>3.8448952187702479</v>
      </c>
      <c r="AD10" s="169"/>
      <c r="AE10" s="169"/>
      <c r="AF10" s="328">
        <f>PIC!T7</f>
        <v>78.156285393439944</v>
      </c>
      <c r="AG10" s="328">
        <f t="shared" si="5"/>
        <v>9.378420028747156</v>
      </c>
      <c r="AH10" s="277">
        <f t="shared" si="6"/>
        <v>6.3087356948246214</v>
      </c>
      <c r="AI10" s="17">
        <f t="shared" si="7"/>
        <v>103.72549167483561</v>
      </c>
      <c r="AJ10" s="17">
        <f t="shared" si="8"/>
        <v>100.00333761488908</v>
      </c>
      <c r="AK10" s="17">
        <v>1</v>
      </c>
      <c r="AL10">
        <f t="shared" si="9"/>
        <v>0.56709815439283495</v>
      </c>
      <c r="AM10" s="422">
        <f t="shared" si="10"/>
        <v>5.4919838535244185</v>
      </c>
      <c r="AN10" s="17">
        <f>(report!AC9)*1000</f>
        <v>50.432364827689248</v>
      </c>
      <c r="AO10" s="17">
        <f>(report!AD9)*1000</f>
        <v>74.971582782440976</v>
      </c>
      <c r="AP10" s="169"/>
      <c r="AQ10" s="169"/>
      <c r="AR10" s="169"/>
      <c r="AS10" s="169"/>
      <c r="AT10" s="169"/>
      <c r="AU10" s="169"/>
    </row>
    <row r="11" spans="1:47" ht="13" customHeight="1" x14ac:dyDescent="0.25">
      <c r="A11" s="241">
        <v>2016</v>
      </c>
      <c r="B11" s="255" t="s">
        <v>111</v>
      </c>
      <c r="C11" s="219">
        <v>5</v>
      </c>
      <c r="D11" s="278">
        <v>6</v>
      </c>
      <c r="E11" s="255">
        <f>mass_filt_1!S12</f>
        <v>340.01428571428579</v>
      </c>
      <c r="F11" s="257">
        <v>0.5</v>
      </c>
      <c r="G11" s="238">
        <f t="shared" si="11"/>
        <v>17</v>
      </c>
      <c r="H11" s="277">
        <f t="shared" si="1"/>
        <v>40.001680672268918</v>
      </c>
      <c r="I11" s="277">
        <f t="shared" si="2"/>
        <v>14.610613865546224</v>
      </c>
      <c r="J11" s="173"/>
      <c r="K11" s="255">
        <v>1</v>
      </c>
      <c r="L11" s="362">
        <f>CHN!R20</f>
        <v>15.706814289093018</v>
      </c>
      <c r="M11" s="362">
        <f>CHN!S20</f>
        <v>1.2489023208618164</v>
      </c>
      <c r="N11" s="362">
        <f>CHN!T20</f>
        <v>1.1232302188873291</v>
      </c>
      <c r="O11" s="362"/>
      <c r="P11" s="257" t="s">
        <v>1269</v>
      </c>
      <c r="Q11" s="169"/>
      <c r="R11" s="277">
        <f>sal_pH!E7</f>
        <v>37.15</v>
      </c>
      <c r="S11" s="277">
        <f>sal_pH!F7</f>
        <v>8.39</v>
      </c>
      <c r="T11" s="261">
        <f>logs!E7</f>
        <v>42521</v>
      </c>
      <c r="U11" s="261">
        <f>logs!E8</f>
        <v>42538</v>
      </c>
      <c r="V11" s="259">
        <f t="shared" si="3"/>
        <v>42529.5</v>
      </c>
      <c r="W11" s="238">
        <f t="shared" si="0"/>
        <v>85</v>
      </c>
      <c r="X11" s="238">
        <f t="shared" si="4"/>
        <v>68</v>
      </c>
      <c r="Y11" s="199"/>
      <c r="Z11" s="169"/>
      <c r="AA11" s="169"/>
      <c r="AB11" s="18">
        <f>AVERAGE(BSi_results!T18:T19)</f>
        <v>4.1786102977837167</v>
      </c>
      <c r="AC11" s="18">
        <f>AVERAGE(BSi_results!U18:U19)</f>
        <v>8.9388641080036884</v>
      </c>
      <c r="AD11" s="169"/>
      <c r="AE11" s="169"/>
      <c r="AF11" s="328">
        <f>PIC!T8</f>
        <v>67.580360963191339</v>
      </c>
      <c r="AG11" s="328">
        <f t="shared" si="5"/>
        <v>8.1093543227727896</v>
      </c>
      <c r="AH11" s="277">
        <f t="shared" si="6"/>
        <v>7.597459966320228</v>
      </c>
      <c r="AI11" s="17">
        <f t="shared" si="7"/>
        <v>102.39941342910888</v>
      </c>
      <c r="AJ11" s="17">
        <f t="shared" si="8"/>
        <v>97.916912048979938</v>
      </c>
      <c r="AK11" s="17">
        <v>1</v>
      </c>
      <c r="AL11">
        <f t="shared" si="9"/>
        <v>0.63528626718270409</v>
      </c>
      <c r="AM11" s="29">
        <f t="shared" si="10"/>
        <v>7.8903227680697308</v>
      </c>
      <c r="AN11" s="17">
        <f>(report!AC10)*1000</f>
        <v>92.425939989051344</v>
      </c>
      <c r="AO11" s="17">
        <f>(report!AD10)*1000</f>
        <v>98.653326152315842</v>
      </c>
      <c r="AP11" s="169"/>
      <c r="AQ11" s="169"/>
      <c r="AR11" s="169"/>
      <c r="AS11" s="169"/>
      <c r="AT11" s="169"/>
      <c r="AU11" s="169"/>
    </row>
    <row r="12" spans="1:47" x14ac:dyDescent="0.25">
      <c r="A12" s="241">
        <v>2016</v>
      </c>
      <c r="B12" s="255" t="s">
        <v>111</v>
      </c>
      <c r="C12" s="219">
        <v>6</v>
      </c>
      <c r="D12" s="278">
        <v>1</v>
      </c>
      <c r="E12" s="255">
        <f>mass_filt_1!S13</f>
        <v>66.357142857142861</v>
      </c>
      <c r="F12" s="257">
        <v>0.5</v>
      </c>
      <c r="G12" s="238">
        <f t="shared" si="11"/>
        <v>17</v>
      </c>
      <c r="H12" s="277">
        <f t="shared" si="1"/>
        <v>7.8067226890756309</v>
      </c>
      <c r="I12" s="277">
        <f t="shared" si="2"/>
        <v>2.8514054621848746</v>
      </c>
      <c r="J12" s="173"/>
      <c r="K12" s="255">
        <v>1</v>
      </c>
      <c r="L12" s="362">
        <f>CHN!M13</f>
        <v>17.796354293823242</v>
      </c>
      <c r="M12" s="362">
        <f>CHN!N13</f>
        <v>1.5581920146942139</v>
      </c>
      <c r="N12" s="362">
        <f>CHN!O13</f>
        <v>1.9629404544830322</v>
      </c>
      <c r="O12" s="362"/>
      <c r="Q12" s="169"/>
      <c r="R12" s="277">
        <f>sal_pH!E8</f>
        <v>37.35</v>
      </c>
      <c r="S12" s="277">
        <f>sal_pH!F8</f>
        <v>8.5</v>
      </c>
      <c r="T12" s="261">
        <f>logs!E8</f>
        <v>42538</v>
      </c>
      <c r="U12" s="261">
        <f>logs!E9</f>
        <v>42555</v>
      </c>
      <c r="V12" s="259">
        <f t="shared" si="3"/>
        <v>42546.5</v>
      </c>
      <c r="W12" s="238">
        <f t="shared" si="0"/>
        <v>102</v>
      </c>
      <c r="X12" s="238">
        <f t="shared" si="4"/>
        <v>85</v>
      </c>
      <c r="Y12" s="199"/>
      <c r="Z12" s="169"/>
      <c r="AA12" s="169"/>
      <c r="AB12" s="18">
        <f>BSi_results!T20</f>
        <v>3.4394797833128559</v>
      </c>
      <c r="AC12" s="18">
        <f>BSi_results!U20</f>
        <v>7.3577194795040786</v>
      </c>
      <c r="AD12" s="169"/>
      <c r="AE12" s="169"/>
      <c r="AF12" s="328">
        <f>PIC!T9</f>
        <v>59.446226910085166</v>
      </c>
      <c r="AG12" s="328">
        <f t="shared" si="5"/>
        <v>7.1332930202666169</v>
      </c>
      <c r="AH12" s="277">
        <f t="shared" si="6"/>
        <v>10.663061273556625</v>
      </c>
      <c r="AI12" s="17">
        <f t="shared" si="7"/>
        <v>101.06323648555768</v>
      </c>
      <c r="AJ12" s="17">
        <f t="shared" si="8"/>
        <v>94.772030334159268</v>
      </c>
      <c r="AK12" s="17">
        <v>1</v>
      </c>
      <c r="AL12">
        <f t="shared" si="9"/>
        <v>0.17224117472560072</v>
      </c>
      <c r="AM12" s="29">
        <f t="shared" si="10"/>
        <v>6.3367986412757586</v>
      </c>
      <c r="AN12" s="17">
        <f>(report!AC11)*1000</f>
        <v>25.316162497111879</v>
      </c>
      <c r="AO12" s="17">
        <f>(report!AD11)*1000</f>
        <v>16.935812390802226</v>
      </c>
      <c r="AP12" s="169"/>
      <c r="AQ12" s="169"/>
      <c r="AR12" s="169"/>
      <c r="AS12" s="169"/>
      <c r="AT12" s="169"/>
      <c r="AU12" s="169"/>
    </row>
    <row r="13" spans="1:47" ht="13" customHeight="1" x14ac:dyDescent="0.25">
      <c r="A13" s="241">
        <v>2016</v>
      </c>
      <c r="B13" s="255" t="s">
        <v>111</v>
      </c>
      <c r="C13" s="219">
        <v>7</v>
      </c>
      <c r="D13" s="278" t="s">
        <v>676</v>
      </c>
      <c r="E13" s="255">
        <f>mass_filt_1!S14</f>
        <v>14.12857142857143</v>
      </c>
      <c r="F13" s="257">
        <v>0.5</v>
      </c>
      <c r="G13" s="238">
        <f t="shared" si="11"/>
        <v>17</v>
      </c>
      <c r="H13" s="277">
        <f t="shared" si="1"/>
        <v>1.6621848739495799</v>
      </c>
      <c r="I13" s="277">
        <f t="shared" si="2"/>
        <v>0.60711302521008403</v>
      </c>
      <c r="J13" s="169"/>
      <c r="K13" s="255">
        <v>1</v>
      </c>
      <c r="L13" s="362">
        <f>CHN!M14</f>
        <v>16.213146209716797</v>
      </c>
      <c r="M13" s="362">
        <f>CHN!N14</f>
        <v>1.0369389057159424</v>
      </c>
      <c r="N13" s="362">
        <f>CHN!O14</f>
        <v>1.2208572626113892</v>
      </c>
      <c r="O13" s="362"/>
      <c r="P13" s="257" t="s">
        <v>1270</v>
      </c>
      <c r="Q13" s="169"/>
      <c r="R13" s="277">
        <f>sal_pH!E9</f>
        <v>37.72</v>
      </c>
      <c r="S13" s="277">
        <f>sal_pH!F9</f>
        <v>8.61</v>
      </c>
      <c r="T13" s="261">
        <f>logs!E9</f>
        <v>42555</v>
      </c>
      <c r="U13" s="261">
        <f>logs!E10</f>
        <v>42572</v>
      </c>
      <c r="V13" s="259">
        <f t="shared" si="3"/>
        <v>42563.5</v>
      </c>
      <c r="W13" s="238">
        <f t="shared" si="0"/>
        <v>119</v>
      </c>
      <c r="X13" s="238">
        <f t="shared" si="4"/>
        <v>102</v>
      </c>
      <c r="Y13" s="199"/>
      <c r="Z13" s="169"/>
      <c r="AA13" s="169"/>
      <c r="AB13" s="18">
        <f>BSi_results!T21</f>
        <v>1.7535571260306242</v>
      </c>
      <c r="AC13" s="18">
        <f>BSi_results!U21</f>
        <v>3.751201413427562</v>
      </c>
      <c r="AD13" s="169"/>
      <c r="AE13" s="169"/>
      <c r="AF13" s="328" t="s">
        <v>900</v>
      </c>
      <c r="AG13" s="328" t="s">
        <v>900</v>
      </c>
      <c r="AH13" s="328" t="s">
        <v>900</v>
      </c>
      <c r="AI13" s="17" t="s">
        <v>900</v>
      </c>
      <c r="AL13">
        <f t="shared" si="9"/>
        <v>5.3049401920291818E-2</v>
      </c>
      <c r="AM13" s="29"/>
      <c r="AN13" s="17"/>
      <c r="AO13" s="17"/>
      <c r="AP13" s="169"/>
      <c r="AQ13" s="169"/>
      <c r="AR13" s="169"/>
      <c r="AS13" s="169"/>
      <c r="AT13" s="169"/>
      <c r="AU13" s="169"/>
    </row>
    <row r="14" spans="1:47" x14ac:dyDescent="0.25">
      <c r="A14" s="241">
        <v>2016</v>
      </c>
      <c r="B14" s="255" t="s">
        <v>111</v>
      </c>
      <c r="C14" s="219">
        <v>8</v>
      </c>
      <c r="D14" s="278">
        <v>4</v>
      </c>
      <c r="E14" s="255">
        <f>mass_filt_1!S15</f>
        <v>179.90000000000003</v>
      </c>
      <c r="F14" s="257">
        <v>0.5</v>
      </c>
      <c r="G14" s="238">
        <f t="shared" si="11"/>
        <v>17</v>
      </c>
      <c r="H14" s="277">
        <f t="shared" si="1"/>
        <v>21.164705882352944</v>
      </c>
      <c r="I14" s="277">
        <f t="shared" si="2"/>
        <v>7.7304088235294142</v>
      </c>
      <c r="J14" s="169"/>
      <c r="K14" s="255">
        <v>1</v>
      </c>
      <c r="L14" s="362">
        <f>CHN!M30</f>
        <v>16.828649520874023</v>
      </c>
      <c r="M14" s="362">
        <f>CHN!N30</f>
        <v>1.3236770629882813</v>
      </c>
      <c r="N14" s="362">
        <f>CHN!O30</f>
        <v>1.3967040777206421</v>
      </c>
      <c r="O14" s="362"/>
      <c r="P14" s="257" t="s">
        <v>1271</v>
      </c>
      <c r="Q14" s="169"/>
      <c r="R14" s="277">
        <f>sal_pH!E10</f>
        <v>37.97</v>
      </c>
      <c r="S14" s="277">
        <f>sal_pH!F10</f>
        <v>8.58</v>
      </c>
      <c r="T14" s="261">
        <f>logs!E10</f>
        <v>42572</v>
      </c>
      <c r="U14" s="261">
        <f>logs!E11</f>
        <v>42589</v>
      </c>
      <c r="V14" s="259">
        <f t="shared" si="3"/>
        <v>42580.5</v>
      </c>
      <c r="W14" s="238">
        <f t="shared" si="0"/>
        <v>136</v>
      </c>
      <c r="X14" s="238">
        <f t="shared" si="4"/>
        <v>119</v>
      </c>
      <c r="Y14" s="199"/>
      <c r="Z14" s="169"/>
      <c r="AA14" s="169"/>
      <c r="AB14" s="18">
        <f>BSi_results!T22</f>
        <v>4.1045175470137716</v>
      </c>
      <c r="AC14" s="18">
        <f>BSi_results!U22</f>
        <v>8.7803652331811151</v>
      </c>
      <c r="AD14" s="169"/>
      <c r="AE14" s="169"/>
      <c r="AF14" s="328">
        <f>PIC!T11</f>
        <v>61.61044446726104</v>
      </c>
      <c r="AG14" s="328">
        <f t="shared" si="5"/>
        <v>7.3929898723190055</v>
      </c>
      <c r="AH14" s="277">
        <f t="shared" si="6"/>
        <v>9.435659648555017</v>
      </c>
      <c r="AI14" s="17">
        <f t="shared" si="7"/>
        <v>101.38214029556057</v>
      </c>
      <c r="AJ14" s="17">
        <f t="shared" si="8"/>
        <v>95.815101102913118</v>
      </c>
      <c r="AK14" s="17">
        <v>1</v>
      </c>
      <c r="AL14">
        <f t="shared" si="9"/>
        <v>0.50749576851777223</v>
      </c>
      <c r="AM14" s="29">
        <f t="shared" si="10"/>
        <v>7.8806673141816228</v>
      </c>
      <c r="AN14" s="17">
        <f>(report!AC13)*1000</f>
        <v>60.733977188184973</v>
      </c>
      <c r="AO14" s="17">
        <f>(report!AD13)*1000</f>
        <v>47.586040084295121</v>
      </c>
      <c r="AP14" s="169"/>
      <c r="AQ14" s="169"/>
      <c r="AR14" s="169"/>
      <c r="AS14" s="169"/>
      <c r="AT14" s="169"/>
      <c r="AU14" s="169"/>
    </row>
    <row r="15" spans="1:47" x14ac:dyDescent="0.25">
      <c r="A15" s="241">
        <v>2016</v>
      </c>
      <c r="B15" s="255" t="s">
        <v>111</v>
      </c>
      <c r="C15" s="219">
        <v>9</v>
      </c>
      <c r="D15" s="278">
        <v>1</v>
      </c>
      <c r="E15" s="255">
        <f>mass_filt_1!S16</f>
        <v>124.47142857142856</v>
      </c>
      <c r="F15" s="257">
        <v>0.5</v>
      </c>
      <c r="G15" s="238">
        <f t="shared" si="11"/>
        <v>17</v>
      </c>
      <c r="H15" s="277">
        <f t="shared" si="1"/>
        <v>14.643697478991596</v>
      </c>
      <c r="I15" s="277">
        <f t="shared" si="2"/>
        <v>5.3486105042016803</v>
      </c>
      <c r="J15" s="173"/>
      <c r="K15" s="255">
        <v>1</v>
      </c>
      <c r="L15" s="362">
        <f>CHN!M31</f>
        <v>16.612297058105469</v>
      </c>
      <c r="M15" s="362">
        <f>CHN!N31</f>
        <v>1.3172858953475952</v>
      </c>
      <c r="N15" s="362">
        <f>CHN!O31</f>
        <v>1.340276837348938</v>
      </c>
      <c r="O15" s="362"/>
      <c r="P15" s="257" t="s">
        <v>1272</v>
      </c>
      <c r="Q15" s="169"/>
      <c r="R15" s="277">
        <f>sal_pH!E11</f>
        <v>38.25</v>
      </c>
      <c r="S15" s="277">
        <f>sal_pH!F11</f>
        <v>8.58</v>
      </c>
      <c r="T15" s="261">
        <f>logs!E11</f>
        <v>42589</v>
      </c>
      <c r="U15" s="261">
        <f>logs!E12</f>
        <v>42606</v>
      </c>
      <c r="V15" s="259">
        <f t="shared" si="3"/>
        <v>42597.5</v>
      </c>
      <c r="W15" s="238">
        <f t="shared" si="0"/>
        <v>153</v>
      </c>
      <c r="X15" s="238">
        <f t="shared" si="4"/>
        <v>136</v>
      </c>
      <c r="Y15" s="199"/>
      <c r="Z15" s="170"/>
      <c r="AA15" s="169"/>
      <c r="AB15" s="18">
        <f>BSi_results!T23</f>
        <v>4.6360487197724041</v>
      </c>
      <c r="AC15" s="18">
        <f>BSi_results!U23</f>
        <v>9.9174142958748206</v>
      </c>
      <c r="AD15" s="169"/>
      <c r="AE15" s="169"/>
      <c r="AF15" s="328">
        <f>PIC!T12</f>
        <v>61.212728676716452</v>
      </c>
      <c r="AG15" s="328">
        <f t="shared" si="5"/>
        <v>7.34526567819929</v>
      </c>
      <c r="AH15" s="277">
        <f t="shared" si="6"/>
        <v>9.2670313799061788</v>
      </c>
      <c r="AI15" s="17">
        <f t="shared" si="7"/>
        <v>101.77607609507575</v>
      </c>
      <c r="AJ15" s="17">
        <f t="shared" si="8"/>
        <v>96.308527580931113</v>
      </c>
      <c r="AK15" s="17">
        <v>1</v>
      </c>
      <c r="AL15">
        <f t="shared" si="9"/>
        <v>0.52276954460910763</v>
      </c>
      <c r="AM15" s="29">
        <f t="shared" si="10"/>
        <v>8.0656848590038521</v>
      </c>
      <c r="AN15" s="17">
        <f>(report!AC14)*1000</f>
        <v>41.270392490701738</v>
      </c>
      <c r="AO15" s="17">
        <f>(report!AD14)*1000</f>
        <v>32.711877737359536</v>
      </c>
      <c r="AP15" s="169"/>
      <c r="AQ15" s="169"/>
      <c r="AR15" s="169"/>
      <c r="AS15" s="169"/>
      <c r="AT15" s="169"/>
      <c r="AU15" s="169"/>
    </row>
    <row r="16" spans="1:47" x14ac:dyDescent="0.25">
      <c r="A16" s="241">
        <v>2016</v>
      </c>
      <c r="B16" s="255" t="s">
        <v>111</v>
      </c>
      <c r="C16" s="219">
        <v>10</v>
      </c>
      <c r="D16" s="278" t="s">
        <v>676</v>
      </c>
      <c r="E16" s="255">
        <f>mass_filt_1!S17</f>
        <v>60.557142857142843</v>
      </c>
      <c r="F16" s="257">
        <v>0.5</v>
      </c>
      <c r="G16" s="238">
        <f t="shared" si="11"/>
        <v>17</v>
      </c>
      <c r="H16" s="277">
        <f t="shared" si="1"/>
        <v>7.1243697478991583</v>
      </c>
      <c r="I16" s="277">
        <f t="shared" si="2"/>
        <v>2.6021760504201676</v>
      </c>
      <c r="J16" s="173"/>
      <c r="K16" s="255">
        <v>1</v>
      </c>
      <c r="L16" s="362">
        <f>CHN!M15</f>
        <v>17.559654235839844</v>
      </c>
      <c r="M16" s="362">
        <f>CHN!N15</f>
        <v>1.5986756086349487</v>
      </c>
      <c r="N16" s="362">
        <f>CHN!O15</f>
        <v>1.5248348712921143</v>
      </c>
      <c r="O16" s="362"/>
      <c r="Q16" s="169"/>
      <c r="R16" s="277">
        <f>sal_pH!E12</f>
        <v>37.880000000000003</v>
      </c>
      <c r="S16" s="277">
        <f>sal_pH!F12</f>
        <v>8.59</v>
      </c>
      <c r="T16" s="261">
        <f>logs!E12</f>
        <v>42606</v>
      </c>
      <c r="U16" s="261">
        <f>logs!E13</f>
        <v>42623</v>
      </c>
      <c r="V16" s="259">
        <f t="shared" si="3"/>
        <v>42614.5</v>
      </c>
      <c r="W16" s="238">
        <f t="shared" si="0"/>
        <v>170</v>
      </c>
      <c r="X16" s="238">
        <f t="shared" si="4"/>
        <v>153</v>
      </c>
      <c r="Y16" s="199"/>
      <c r="Z16" s="169"/>
      <c r="AA16" s="169"/>
      <c r="AB16" s="18">
        <f>BSi_results!T24</f>
        <v>4.2417019784438219</v>
      </c>
      <c r="AC16" s="18">
        <f>BSi_results!U24</f>
        <v>9.0738295437767622</v>
      </c>
      <c r="AD16" s="169"/>
      <c r="AE16" s="169"/>
      <c r="AF16" s="328">
        <f>PIC!T13</f>
        <v>58.196963020415659</v>
      </c>
      <c r="AG16" s="328">
        <f t="shared" si="5"/>
        <v>6.9833866957133459</v>
      </c>
      <c r="AH16" s="277">
        <f t="shared" si="6"/>
        <v>10.576267540126498</v>
      </c>
      <c r="AI16" s="17">
        <f t="shared" si="7"/>
        <v>101.47670025096079</v>
      </c>
      <c r="AJ16" s="17">
        <f t="shared" si="8"/>
        <v>95.236702402286156</v>
      </c>
      <c r="AK16" s="17">
        <v>1</v>
      </c>
      <c r="AL16">
        <f t="shared" si="9"/>
        <v>0.17402192208218728</v>
      </c>
      <c r="AM16" s="29">
        <f t="shared" si="10"/>
        <v>8.0910473167486341</v>
      </c>
      <c r="AN16" s="17">
        <f>(report!AC15)*1000</f>
        <v>22.91532897231756</v>
      </c>
      <c r="AO16" s="17">
        <f>(report!AD15)*1000</f>
        <v>15.130725737225729</v>
      </c>
      <c r="AP16" s="169"/>
      <c r="AQ16" s="169"/>
      <c r="AR16" s="169"/>
      <c r="AS16" s="169"/>
      <c r="AT16" s="169"/>
      <c r="AU16" s="169"/>
    </row>
    <row r="17" spans="1:48" x14ac:dyDescent="0.25">
      <c r="A17" s="241">
        <v>2016</v>
      </c>
      <c r="B17" s="255" t="s">
        <v>111</v>
      </c>
      <c r="C17" s="219">
        <v>11</v>
      </c>
      <c r="D17" s="278">
        <v>1</v>
      </c>
      <c r="E17" s="255">
        <f>mass_filt_1!S18</f>
        <v>147.34285714285713</v>
      </c>
      <c r="F17" s="257">
        <v>0.5</v>
      </c>
      <c r="G17" s="238">
        <f t="shared" si="11"/>
        <v>17</v>
      </c>
      <c r="H17" s="277">
        <f t="shared" si="1"/>
        <v>17.334453781512604</v>
      </c>
      <c r="I17" s="277">
        <f t="shared" si="2"/>
        <v>6.3314092436974789</v>
      </c>
      <c r="J17" s="173"/>
      <c r="K17" s="255">
        <v>1</v>
      </c>
      <c r="L17" s="362">
        <f>CHN!M32</f>
        <v>17.148048400878906</v>
      </c>
      <c r="M17" s="362">
        <f>CHN!N32</f>
        <v>1.445207953453064</v>
      </c>
      <c r="N17" s="362">
        <f>CHN!O32</f>
        <v>1.5179711580276489</v>
      </c>
      <c r="O17" s="362"/>
      <c r="Q17" s="169"/>
      <c r="R17" s="277">
        <f>sal_pH!E13</f>
        <v>38.200000000000003</v>
      </c>
      <c r="S17" s="277">
        <f>sal_pH!F13</f>
        <v>8.6</v>
      </c>
      <c r="T17" s="261">
        <f>logs!E13</f>
        <v>42623</v>
      </c>
      <c r="U17" s="261">
        <f>logs!E14</f>
        <v>42640</v>
      </c>
      <c r="V17" s="259">
        <f t="shared" si="3"/>
        <v>42631.5</v>
      </c>
      <c r="W17" s="238">
        <f t="shared" si="0"/>
        <v>187</v>
      </c>
      <c r="X17" s="238">
        <f t="shared" si="4"/>
        <v>170</v>
      </c>
      <c r="Y17" s="199"/>
      <c r="Z17" s="169"/>
      <c r="AA17" s="169"/>
      <c r="AB17" s="18">
        <f>BSi_results!T25</f>
        <v>4.1981018125844249</v>
      </c>
      <c r="AC17" s="18">
        <f>BSi_results!U25</f>
        <v>8.9805602676467817</v>
      </c>
      <c r="AD17" s="169"/>
      <c r="AE17" s="169"/>
      <c r="AF17" s="328">
        <f>PIC!T14</f>
        <v>59.510515679078843</v>
      </c>
      <c r="AG17" s="328">
        <f t="shared" si="5"/>
        <v>7.1410073976288295</v>
      </c>
      <c r="AH17" s="277">
        <f t="shared" si="6"/>
        <v>10.007041003250077</v>
      </c>
      <c r="AI17" s="17">
        <f t="shared" si="7"/>
        <v>101.0985819752345</v>
      </c>
      <c r="AJ17" s="17">
        <f t="shared" si="8"/>
        <v>95.194427783316954</v>
      </c>
      <c r="AK17" s="17">
        <v>1</v>
      </c>
      <c r="AL17">
        <f t="shared" si="9"/>
        <v>0.47674956087639808</v>
      </c>
      <c r="AM17" s="29">
        <f t="shared" si="10"/>
        <v>7.690193848003104</v>
      </c>
      <c r="AN17" s="17">
        <f>(report!AC16)*1000</f>
        <v>52.754930816017676</v>
      </c>
      <c r="AO17" s="17">
        <f>(report!AD16)*1000</f>
        <v>37.645828681647998</v>
      </c>
      <c r="AP17" s="169"/>
      <c r="AQ17" s="169"/>
      <c r="AR17" s="169"/>
      <c r="AS17" s="169"/>
      <c r="AT17" s="169"/>
      <c r="AU17" s="169"/>
    </row>
    <row r="18" spans="1:48" x14ac:dyDescent="0.25">
      <c r="A18" s="241">
        <v>2016</v>
      </c>
      <c r="B18" s="255" t="s">
        <v>111</v>
      </c>
      <c r="C18" s="219">
        <v>12</v>
      </c>
      <c r="D18" s="278" t="s">
        <v>676</v>
      </c>
      <c r="E18" s="255">
        <f>mass_filt_1!S19</f>
        <v>17.842857142857156</v>
      </c>
      <c r="F18" s="257">
        <v>0.5</v>
      </c>
      <c r="G18" s="238">
        <f t="shared" si="11"/>
        <v>17</v>
      </c>
      <c r="H18" s="277">
        <f>E18/F18/G18</f>
        <v>2.0991596638655476</v>
      </c>
      <c r="I18" s="277">
        <f t="shared" si="2"/>
        <v>0.76671806722689129</v>
      </c>
      <c r="J18" s="173"/>
      <c r="K18" s="255">
        <v>1</v>
      </c>
      <c r="L18" s="362">
        <f>CHN!M16</f>
        <v>15.905805587768555</v>
      </c>
      <c r="M18" s="362">
        <f>CHN!N16</f>
        <v>1.1561193466186523</v>
      </c>
      <c r="N18" s="362">
        <f>CHN!O16</f>
        <v>1.2897419929504395</v>
      </c>
      <c r="O18" s="362"/>
      <c r="P18" s="257" t="s">
        <v>1270</v>
      </c>
      <c r="Q18" s="169"/>
      <c r="R18" s="277">
        <f>sal_pH!E14</f>
        <v>38.299999999999997</v>
      </c>
      <c r="S18" s="277">
        <f>sal_pH!F14</f>
        <v>8.65</v>
      </c>
      <c r="T18" s="261">
        <f>logs!E14</f>
        <v>42640</v>
      </c>
      <c r="U18" s="261">
        <f>logs!E15</f>
        <v>42657</v>
      </c>
      <c r="V18" s="259">
        <f t="shared" si="3"/>
        <v>42648.5</v>
      </c>
      <c r="W18" s="238">
        <f t="shared" si="0"/>
        <v>204</v>
      </c>
      <c r="X18" s="238">
        <f t="shared" si="4"/>
        <v>187</v>
      </c>
      <c r="Y18" s="199"/>
      <c r="Z18" s="169"/>
      <c r="AA18" s="169"/>
      <c r="AB18" s="18">
        <f>BSi_results!T26</f>
        <v>4.2072196112429276</v>
      </c>
      <c r="AC18" s="18">
        <f>BSi_results!U26</f>
        <v>9.000065020989231</v>
      </c>
      <c r="AD18" s="169"/>
      <c r="AE18" s="169"/>
      <c r="AF18" s="328">
        <f>PIC!T15</f>
        <v>64.532317190825353</v>
      </c>
      <c r="AG18" s="328">
        <f t="shared" si="5"/>
        <v>7.7436021043894101</v>
      </c>
      <c r="AH18" s="277">
        <f t="shared" si="6"/>
        <v>8.1622034833791446</v>
      </c>
      <c r="AI18" s="17">
        <f t="shared" si="7"/>
        <v>100.99493708275121</v>
      </c>
      <c r="AJ18" s="17">
        <f t="shared" si="8"/>
        <v>96.179237027557519</v>
      </c>
      <c r="AK18" s="17">
        <v>1</v>
      </c>
      <c r="AL18">
        <f t="shared" si="9"/>
        <v>4.9022686239108285E-2</v>
      </c>
      <c r="AM18" s="29">
        <f t="shared" si="10"/>
        <v>7.3824362447622267</v>
      </c>
      <c r="AN18" s="17">
        <f>(report!AC17)*1000</f>
        <v>5.2107484422057091</v>
      </c>
      <c r="AO18" s="17">
        <f>(report!AD17)*1000</f>
        <v>4.9435134378447438</v>
      </c>
      <c r="AP18" s="169"/>
      <c r="AQ18" s="169"/>
      <c r="AR18" s="169"/>
      <c r="AS18" s="169"/>
      <c r="AT18" s="169"/>
      <c r="AU18" s="169"/>
    </row>
    <row r="19" spans="1:48" x14ac:dyDescent="0.25">
      <c r="A19" s="241">
        <v>2016</v>
      </c>
      <c r="B19" s="255" t="s">
        <v>111</v>
      </c>
      <c r="C19" s="219">
        <v>13</v>
      </c>
      <c r="D19" s="278" t="s">
        <v>676</v>
      </c>
      <c r="E19" s="255">
        <f>mass_filt_1!S20</f>
        <v>14.399999999999997</v>
      </c>
      <c r="F19" s="257">
        <v>0.5</v>
      </c>
      <c r="G19" s="238">
        <f t="shared" si="11"/>
        <v>17</v>
      </c>
      <c r="H19" s="277">
        <f t="shared" si="1"/>
        <v>1.6941176470588231</v>
      </c>
      <c r="I19" s="277">
        <f t="shared" si="2"/>
        <v>0.61877647058823515</v>
      </c>
      <c r="J19" s="173"/>
      <c r="K19" s="255">
        <v>1</v>
      </c>
      <c r="L19" s="362">
        <f>CHN!M17</f>
        <v>16.917732238769531</v>
      </c>
      <c r="M19" s="362">
        <f>CHN!N17</f>
        <v>1.3766199350357056</v>
      </c>
      <c r="N19" s="362">
        <f>CHN!O17</f>
        <v>1.5639532804489136</v>
      </c>
      <c r="O19" s="362"/>
      <c r="P19" s="257" t="s">
        <v>1270</v>
      </c>
      <c r="Q19" s="169"/>
      <c r="R19" s="277">
        <f>sal_pH!E15</f>
        <v>38.24</v>
      </c>
      <c r="S19" s="277">
        <f>sal_pH!F15</f>
        <v>8.6</v>
      </c>
      <c r="T19" s="261">
        <f>logs!E15</f>
        <v>42657</v>
      </c>
      <c r="U19" s="261">
        <f>logs!E16</f>
        <v>42674</v>
      </c>
      <c r="V19" s="259">
        <f t="shared" si="3"/>
        <v>42665.5</v>
      </c>
      <c r="W19" s="238">
        <f t="shared" si="0"/>
        <v>221</v>
      </c>
      <c r="X19" s="238">
        <f t="shared" si="4"/>
        <v>204</v>
      </c>
      <c r="Y19" s="199"/>
      <c r="Z19" s="169"/>
      <c r="AA19" s="169"/>
      <c r="AB19" s="18">
        <f>BSi_results!T27</f>
        <v>3.889708083832335</v>
      </c>
      <c r="AC19" s="18">
        <f>BSi_results!U27</f>
        <v>8.3208458083832326</v>
      </c>
      <c r="AD19" s="169"/>
      <c r="AE19" s="169"/>
      <c r="AF19" s="328" t="s">
        <v>900</v>
      </c>
      <c r="AG19" s="328" t="s">
        <v>900</v>
      </c>
      <c r="AH19" s="328" t="s">
        <v>900</v>
      </c>
      <c r="AI19" s="17" t="s">
        <v>900</v>
      </c>
      <c r="AL19">
        <f t="shared" si="9"/>
        <v>2.7800761211318876E-2</v>
      </c>
      <c r="AM19" s="29"/>
      <c r="AN19" s="17"/>
      <c r="AO19" s="17"/>
      <c r="AP19" s="169"/>
      <c r="AQ19" s="169"/>
      <c r="AR19" s="169"/>
      <c r="AS19" s="169"/>
      <c r="AT19" s="169"/>
      <c r="AU19" s="169"/>
    </row>
    <row r="20" spans="1:48" ht="13" x14ac:dyDescent="0.3">
      <c r="A20" s="241">
        <v>2016</v>
      </c>
      <c r="B20" s="255" t="s">
        <v>111</v>
      </c>
      <c r="C20" s="219">
        <v>14</v>
      </c>
      <c r="D20" s="278" t="s">
        <v>676</v>
      </c>
      <c r="E20" s="255">
        <f>mass_filt_1!S21</f>
        <v>30.885714285714283</v>
      </c>
      <c r="F20" s="257">
        <v>0.5</v>
      </c>
      <c r="G20" s="238">
        <f t="shared" si="11"/>
        <v>17</v>
      </c>
      <c r="H20" s="277">
        <f t="shared" si="1"/>
        <v>3.6336134453781508</v>
      </c>
      <c r="I20" s="277">
        <f t="shared" si="2"/>
        <v>1.3271773109243696</v>
      </c>
      <c r="J20" s="173"/>
      <c r="K20" s="255">
        <v>1</v>
      </c>
      <c r="L20" s="362">
        <f>CHN!M18</f>
        <v>10.444699287414551</v>
      </c>
      <c r="M20" s="424">
        <f>CHN!N18</f>
        <v>0.8196607232093811</v>
      </c>
      <c r="N20" s="424">
        <f>CHN!O18</f>
        <v>0.79616892337799072</v>
      </c>
      <c r="O20" s="424" t="s">
        <v>1268</v>
      </c>
      <c r="P20" s="257" t="s">
        <v>1270</v>
      </c>
      <c r="Q20" s="169"/>
      <c r="R20" s="277">
        <f>sal_pH!E16</f>
        <v>38.33</v>
      </c>
      <c r="S20" s="277">
        <f>sal_pH!F16</f>
        <v>8.4700000000000006</v>
      </c>
      <c r="T20" s="261">
        <f>logs!E16</f>
        <v>42674</v>
      </c>
      <c r="U20" s="261">
        <f>logs!E17</f>
        <v>42691</v>
      </c>
      <c r="V20" s="259">
        <f t="shared" si="3"/>
        <v>42682.5</v>
      </c>
      <c r="W20" s="238">
        <f t="shared" si="0"/>
        <v>238</v>
      </c>
      <c r="X20" s="238">
        <f t="shared" si="4"/>
        <v>221</v>
      </c>
      <c r="Y20" s="199"/>
      <c r="Z20" s="169"/>
      <c r="AA20" s="169"/>
      <c r="AB20" s="18">
        <f>BSi_results!T28</f>
        <v>2.5490511049723756</v>
      </c>
      <c r="AC20" s="18">
        <f>BSi_results!U28</f>
        <v>5.4529185082872935</v>
      </c>
      <c r="AD20" s="169"/>
      <c r="AE20" s="169"/>
      <c r="AF20" s="421">
        <f>PIC!T17</f>
        <v>39.286833962453755</v>
      </c>
      <c r="AG20" s="421">
        <f t="shared" si="5"/>
        <v>4.714252073838531</v>
      </c>
      <c r="AH20" s="423">
        <f t="shared" si="6"/>
        <v>5.7304472135760198</v>
      </c>
      <c r="AI20" s="420">
        <f>AF20+(AC20*1.11)+(AH20*2.79)+3.7</f>
        <v>65.02752123252975</v>
      </c>
      <c r="AJ20" s="17">
        <f t="shared" si="8"/>
        <v>61.646557376519901</v>
      </c>
      <c r="AK20" s="17">
        <v>1</v>
      </c>
      <c r="AL20">
        <f t="shared" si="9"/>
        <v>4.2609381158849026E-2</v>
      </c>
      <c r="AM20" s="422">
        <f t="shared" si="10"/>
        <v>8.3961158494577415</v>
      </c>
      <c r="AN20" s="17">
        <f>(report!AC19)*1000</f>
        <v>6.332489195093979</v>
      </c>
      <c r="AO20" s="17">
        <f>(report!AD19)*1000</f>
        <v>5.209532381662493</v>
      </c>
      <c r="AP20" s="17"/>
      <c r="AQ20" s="10" t="s">
        <v>1283</v>
      </c>
      <c r="AR20" s="169"/>
      <c r="AS20" s="169"/>
      <c r="AT20" s="169"/>
      <c r="AU20" s="169"/>
    </row>
    <row r="21" spans="1:48" x14ac:dyDescent="0.25">
      <c r="A21" s="241">
        <v>2016</v>
      </c>
      <c r="B21" s="255" t="s">
        <v>111</v>
      </c>
      <c r="C21" s="219">
        <v>15</v>
      </c>
      <c r="D21" s="278" t="s">
        <v>676</v>
      </c>
      <c r="E21" s="255">
        <f>mass_filt_1!S22</f>
        <v>13.671428571428573</v>
      </c>
      <c r="F21" s="257">
        <v>0.5</v>
      </c>
      <c r="G21" s="238">
        <f t="shared" si="11"/>
        <v>17</v>
      </c>
      <c r="H21" s="277">
        <f t="shared" si="1"/>
        <v>1.6084033613445379</v>
      </c>
      <c r="I21" s="277">
        <f t="shared" si="2"/>
        <v>0.58746932773109251</v>
      </c>
      <c r="J21" s="173"/>
      <c r="K21" s="255">
        <v>1</v>
      </c>
      <c r="L21" s="362">
        <f>CHN!M19</f>
        <v>14.620884895324707</v>
      </c>
      <c r="M21" s="362">
        <f>CHN!N19</f>
        <v>1.0493916273117065</v>
      </c>
      <c r="N21" s="362">
        <f>CHN!O19</f>
        <v>1.1134974956512451</v>
      </c>
      <c r="O21" s="362"/>
      <c r="P21" s="257" t="s">
        <v>1270</v>
      </c>
      <c r="Q21" s="169"/>
      <c r="R21" s="277">
        <f>sal_pH!E17</f>
        <v>38.090000000000003</v>
      </c>
      <c r="S21" s="277">
        <f>sal_pH!F17</f>
        <v>8.5399999999999991</v>
      </c>
      <c r="T21" s="261">
        <f>logs!E17</f>
        <v>42691</v>
      </c>
      <c r="U21" s="261">
        <f>logs!E18</f>
        <v>42708</v>
      </c>
      <c r="V21" s="259">
        <f t="shared" si="3"/>
        <v>42699.5</v>
      </c>
      <c r="W21" s="238">
        <f t="shared" si="0"/>
        <v>255</v>
      </c>
      <c r="X21" s="238">
        <f t="shared" si="4"/>
        <v>238</v>
      </c>
      <c r="Y21" s="199"/>
      <c r="Z21" s="169"/>
      <c r="AA21" s="169"/>
      <c r="AB21" s="18">
        <f>BSi_results!T29</f>
        <v>3.4687657891237857</v>
      </c>
      <c r="AC21" s="18">
        <f>BSi_results!U29</f>
        <v>7.4203679696848805</v>
      </c>
      <c r="AD21" s="169"/>
      <c r="AE21" s="169"/>
      <c r="AF21" s="328" t="s">
        <v>900</v>
      </c>
      <c r="AG21" s="328" t="s">
        <v>900</v>
      </c>
      <c r="AH21" s="328" t="s">
        <v>900</v>
      </c>
      <c r="AI21" s="17" t="s">
        <v>900</v>
      </c>
      <c r="AJ21" s="17" t="s">
        <v>900</v>
      </c>
      <c r="AL21">
        <f t="shared" si="9"/>
        <v>1.1292568380808535E-2</v>
      </c>
      <c r="AM21" s="169"/>
      <c r="AN21" s="17"/>
      <c r="AO21" s="17"/>
      <c r="AP21" s="169"/>
      <c r="AQ21" s="169"/>
      <c r="AR21" s="169"/>
      <c r="AS21" s="169"/>
      <c r="AT21" s="169"/>
      <c r="AU21" s="169"/>
    </row>
    <row r="22" spans="1:48" x14ac:dyDescent="0.25">
      <c r="A22" s="241">
        <v>2016</v>
      </c>
      <c r="B22" s="255" t="s">
        <v>111</v>
      </c>
      <c r="C22" s="219">
        <v>16</v>
      </c>
      <c r="D22" s="278" t="s">
        <v>676</v>
      </c>
      <c r="E22" s="255">
        <f>mass_filt_1!S23</f>
        <v>7.1857142857142877</v>
      </c>
      <c r="F22" s="257">
        <v>0.5</v>
      </c>
      <c r="G22" s="238">
        <f t="shared" si="11"/>
        <v>17</v>
      </c>
      <c r="H22" s="277">
        <f t="shared" si="1"/>
        <v>0.84537815126050442</v>
      </c>
      <c r="I22" s="277">
        <f>0.001*365.25*E22/F22/G22</f>
        <v>0.30877436974789924</v>
      </c>
      <c r="J22" s="173"/>
      <c r="K22" s="255" t="s">
        <v>244</v>
      </c>
      <c r="L22" s="362" t="s">
        <v>900</v>
      </c>
      <c r="M22" s="362" t="s">
        <v>900</v>
      </c>
      <c r="N22" s="362" t="s">
        <v>900</v>
      </c>
      <c r="O22" s="362"/>
      <c r="P22" s="257" t="s">
        <v>1270</v>
      </c>
      <c r="Q22" s="169"/>
      <c r="R22" s="277">
        <f>sal_pH!E18</f>
        <v>38.130000000000003</v>
      </c>
      <c r="S22" s="277">
        <f>sal_pH!F18</f>
        <v>8.57</v>
      </c>
      <c r="T22" s="261">
        <f>logs!E18</f>
        <v>42708</v>
      </c>
      <c r="U22" s="261">
        <f>logs!E19</f>
        <v>42725</v>
      </c>
      <c r="V22" s="259">
        <f t="shared" si="3"/>
        <v>42716.5</v>
      </c>
      <c r="W22" s="238">
        <f t="shared" si="0"/>
        <v>272</v>
      </c>
      <c r="X22" s="238">
        <f t="shared" si="4"/>
        <v>255</v>
      </c>
      <c r="Y22" s="199"/>
      <c r="Z22" s="169"/>
      <c r="AA22" s="169"/>
      <c r="AB22" s="18" t="str">
        <f>BSi_results!T30</f>
        <v>NaN</v>
      </c>
      <c r="AC22" s="18" t="str">
        <f>BSi_results!U30</f>
        <v>NaN</v>
      </c>
      <c r="AD22" s="169"/>
      <c r="AE22" s="169"/>
      <c r="AF22" s="328" t="s">
        <v>900</v>
      </c>
      <c r="AG22" s="328" t="s">
        <v>900</v>
      </c>
      <c r="AH22" s="277" t="s">
        <v>900</v>
      </c>
      <c r="AI22" s="17" t="s">
        <v>900</v>
      </c>
      <c r="AJ22" s="17" t="s">
        <v>900</v>
      </c>
      <c r="AL22">
        <f t="shared" si="9"/>
        <v>5.2621667991798156E-3</v>
      </c>
      <c r="AM22" s="169"/>
      <c r="AN22" s="17"/>
      <c r="AO22" s="17"/>
      <c r="AP22" s="169"/>
      <c r="AQ22" s="169"/>
      <c r="AR22" s="169"/>
      <c r="AS22" s="169"/>
      <c r="AT22" s="169"/>
      <c r="AU22" s="169"/>
    </row>
    <row r="23" spans="1:48" x14ac:dyDescent="0.25">
      <c r="A23" s="241">
        <v>2016</v>
      </c>
      <c r="B23" s="255" t="s">
        <v>111</v>
      </c>
      <c r="C23" s="219">
        <v>17</v>
      </c>
      <c r="D23" s="278" t="s">
        <v>676</v>
      </c>
      <c r="E23" s="255">
        <f>mass_filt_1!S24</f>
        <v>5.3857142857142906</v>
      </c>
      <c r="F23" s="257">
        <v>0.5</v>
      </c>
      <c r="G23" s="238">
        <f t="shared" si="11"/>
        <v>17</v>
      </c>
      <c r="H23" s="277">
        <f t="shared" si="1"/>
        <v>0.63361344537815179</v>
      </c>
      <c r="I23" s="277">
        <f t="shared" si="2"/>
        <v>0.23142731092436997</v>
      </c>
      <c r="J23" s="173"/>
      <c r="K23" s="255" t="s">
        <v>244</v>
      </c>
      <c r="L23" s="362" t="s">
        <v>900</v>
      </c>
      <c r="M23" s="362" t="s">
        <v>900</v>
      </c>
      <c r="N23" s="362" t="s">
        <v>900</v>
      </c>
      <c r="O23" s="362"/>
      <c r="P23" s="257" t="s">
        <v>1270</v>
      </c>
      <c r="Q23" s="169"/>
      <c r="R23" s="277">
        <f>sal_pH!E19</f>
        <v>38.270000000000003</v>
      </c>
      <c r="S23" s="277">
        <f>sal_pH!F19</f>
        <v>8.6300000000000008</v>
      </c>
      <c r="T23" s="261">
        <f>logs!E19</f>
        <v>42725</v>
      </c>
      <c r="U23" s="261">
        <f>logs!E20</f>
        <v>42742</v>
      </c>
      <c r="V23" s="259">
        <f t="shared" si="3"/>
        <v>42733.5</v>
      </c>
      <c r="W23" s="238">
        <f t="shared" si="0"/>
        <v>289</v>
      </c>
      <c r="X23" s="238">
        <f t="shared" si="4"/>
        <v>272</v>
      </c>
      <c r="Y23" s="199"/>
      <c r="Z23" s="169"/>
      <c r="AA23" s="169"/>
      <c r="AB23" s="18" t="str">
        <f>BSi_results!T31</f>
        <v>NaN</v>
      </c>
      <c r="AC23" s="18" t="str">
        <f>BSi_results!U31</f>
        <v>NaN</v>
      </c>
      <c r="AD23" s="169"/>
      <c r="AE23" s="169"/>
      <c r="AF23" s="328" t="s">
        <v>900</v>
      </c>
      <c r="AG23" s="328" t="s">
        <v>900</v>
      </c>
      <c r="AH23" s="277" t="s">
        <v>900</v>
      </c>
      <c r="AI23" s="17" t="s">
        <v>900</v>
      </c>
      <c r="AJ23" s="17" t="s">
        <v>900</v>
      </c>
      <c r="AL23">
        <f t="shared" si="9"/>
        <v>3.3999494967714042E-3</v>
      </c>
      <c r="AM23" s="169"/>
      <c r="AN23" s="17"/>
      <c r="AO23" s="17"/>
      <c r="AP23" s="169"/>
      <c r="AQ23" s="169"/>
      <c r="AR23" s="169"/>
      <c r="AS23" s="169"/>
      <c r="AT23" s="169"/>
      <c r="AU23" s="169"/>
    </row>
    <row r="24" spans="1:48" x14ac:dyDescent="0.25">
      <c r="A24" s="241">
        <v>2016</v>
      </c>
      <c r="B24" s="255" t="s">
        <v>111</v>
      </c>
      <c r="C24" s="219">
        <v>18</v>
      </c>
      <c r="D24" s="278" t="s">
        <v>676</v>
      </c>
      <c r="E24" s="255">
        <f>mass_filt_1!S25</f>
        <v>2.9285714285714346</v>
      </c>
      <c r="F24" s="257">
        <v>0.5</v>
      </c>
      <c r="G24" s="238">
        <f t="shared" si="11"/>
        <v>17</v>
      </c>
      <c r="H24" s="277">
        <f t="shared" si="1"/>
        <v>0.34453781512605114</v>
      </c>
      <c r="I24" s="277">
        <f t="shared" si="2"/>
        <v>0.12584243697479019</v>
      </c>
      <c r="J24" s="173"/>
      <c r="K24" s="255" t="s">
        <v>244</v>
      </c>
      <c r="L24" s="362" t="s">
        <v>900</v>
      </c>
      <c r="M24" s="362" t="s">
        <v>900</v>
      </c>
      <c r="N24" s="362" t="s">
        <v>900</v>
      </c>
      <c r="O24" s="362"/>
      <c r="P24" s="257" t="s">
        <v>1273</v>
      </c>
      <c r="Q24" s="169"/>
      <c r="R24" s="277">
        <f>sal_pH!E20</f>
        <v>38.18</v>
      </c>
      <c r="S24" s="277">
        <f>sal_pH!F20</f>
        <v>8.66</v>
      </c>
      <c r="T24" s="261">
        <f>logs!E20</f>
        <v>42742</v>
      </c>
      <c r="U24" s="261">
        <f>logs!E21</f>
        <v>42759</v>
      </c>
      <c r="V24" s="259">
        <f t="shared" si="3"/>
        <v>42750.5</v>
      </c>
      <c r="W24" s="238">
        <f t="shared" si="0"/>
        <v>306</v>
      </c>
      <c r="X24" s="238">
        <f t="shared" si="4"/>
        <v>289</v>
      </c>
      <c r="Y24" s="199"/>
      <c r="Z24" s="169"/>
      <c r="AA24" s="169"/>
      <c r="AB24" s="18" t="str">
        <f>BSi_results!T32</f>
        <v>NaN</v>
      </c>
      <c r="AC24" s="18" t="str">
        <f>BSi_results!U32</f>
        <v>NaN</v>
      </c>
      <c r="AD24" s="169"/>
      <c r="AE24" s="169"/>
      <c r="AF24" s="328" t="s">
        <v>900</v>
      </c>
      <c r="AG24" s="328" t="s">
        <v>900</v>
      </c>
      <c r="AH24" s="277" t="s">
        <v>900</v>
      </c>
      <c r="AI24" s="17" t="s">
        <v>900</v>
      </c>
      <c r="AJ24" s="17" t="s">
        <v>900</v>
      </c>
      <c r="AL24">
        <f t="shared" si="9"/>
        <v>4.1035290349700831E-3</v>
      </c>
      <c r="AM24" s="169"/>
      <c r="AN24" s="17"/>
      <c r="AO24" s="17"/>
      <c r="AP24" s="169"/>
      <c r="AQ24" s="169"/>
      <c r="AR24" s="169"/>
      <c r="AS24" s="169"/>
      <c r="AT24" s="169"/>
      <c r="AU24" s="169"/>
    </row>
    <row r="25" spans="1:48" x14ac:dyDescent="0.25">
      <c r="A25" s="241">
        <v>2016</v>
      </c>
      <c r="B25" s="255" t="s">
        <v>111</v>
      </c>
      <c r="C25" s="219">
        <v>19</v>
      </c>
      <c r="D25" s="278" t="s">
        <v>676</v>
      </c>
      <c r="E25" s="255">
        <f>mass_filt_1!S26</f>
        <v>3.8285714285714385</v>
      </c>
      <c r="F25" s="257">
        <v>0.5</v>
      </c>
      <c r="G25" s="238">
        <f t="shared" si="11"/>
        <v>17</v>
      </c>
      <c r="H25" s="277">
        <f t="shared" si="1"/>
        <v>0.45042016806722807</v>
      </c>
      <c r="I25" s="277">
        <f t="shared" si="2"/>
        <v>0.16451596638655505</v>
      </c>
      <c r="J25" s="173"/>
      <c r="K25" s="255" t="s">
        <v>244</v>
      </c>
      <c r="L25" s="362" t="s">
        <v>900</v>
      </c>
      <c r="M25" s="362" t="s">
        <v>900</v>
      </c>
      <c r="N25" s="362" t="s">
        <v>900</v>
      </c>
      <c r="O25" s="362"/>
      <c r="P25" s="257" t="s">
        <v>1270</v>
      </c>
      <c r="Q25" s="169"/>
      <c r="R25" s="277">
        <f>sal_pH!E21</f>
        <v>37.950000000000003</v>
      </c>
      <c r="S25" s="277">
        <f>sal_pH!F21</f>
        <v>8.6300000000000008</v>
      </c>
      <c r="T25" s="261">
        <f>logs!E21</f>
        <v>42759</v>
      </c>
      <c r="U25" s="261">
        <f>logs!E22</f>
        <v>42776</v>
      </c>
      <c r="V25" s="259">
        <f t="shared" si="3"/>
        <v>42767.5</v>
      </c>
      <c r="W25" s="238">
        <f t="shared" si="0"/>
        <v>323</v>
      </c>
      <c r="X25" s="238">
        <f t="shared" si="4"/>
        <v>306</v>
      </c>
      <c r="Y25" s="199"/>
      <c r="Z25" s="169"/>
      <c r="AA25" s="169"/>
      <c r="AB25" s="18" t="str">
        <f>BSi_results!T33</f>
        <v>NaN</v>
      </c>
      <c r="AC25" s="18" t="str">
        <f>BSi_results!U33</f>
        <v>NaN</v>
      </c>
      <c r="AD25" s="169"/>
      <c r="AE25" s="169"/>
      <c r="AF25" s="328" t="s">
        <v>900</v>
      </c>
      <c r="AG25" s="328" t="s">
        <v>900</v>
      </c>
      <c r="AH25" s="277" t="s">
        <v>900</v>
      </c>
      <c r="AI25" s="17" t="s">
        <v>900</v>
      </c>
      <c r="AJ25" s="17" t="s">
        <v>900</v>
      </c>
      <c r="AL25">
        <f t="shared" si="9"/>
        <v>0.5877192982456152</v>
      </c>
      <c r="AM25" s="169"/>
      <c r="AN25" s="17"/>
      <c r="AO25" s="17"/>
      <c r="AP25" s="169"/>
      <c r="AQ25" s="169"/>
      <c r="AR25" s="169"/>
      <c r="AS25" s="169"/>
      <c r="AT25" s="169"/>
      <c r="AU25" s="169"/>
    </row>
    <row r="26" spans="1:48" x14ac:dyDescent="0.25">
      <c r="A26" s="241">
        <v>2016</v>
      </c>
      <c r="B26" s="255" t="s">
        <v>111</v>
      </c>
      <c r="C26" s="219">
        <v>20</v>
      </c>
      <c r="D26" s="278" t="s">
        <v>676</v>
      </c>
      <c r="E26" s="255">
        <f>mass_filt_1!S27</f>
        <v>2.2142857142857104</v>
      </c>
      <c r="F26" s="257">
        <v>0.5</v>
      </c>
      <c r="G26" s="238">
        <f t="shared" si="11"/>
        <v>17</v>
      </c>
      <c r="H26" s="277">
        <f t="shared" si="1"/>
        <v>0.26050420168067179</v>
      </c>
      <c r="I26" s="277">
        <f t="shared" si="2"/>
        <v>9.514915966386539E-2</v>
      </c>
      <c r="J26" s="173"/>
      <c r="K26" s="255" t="s">
        <v>244</v>
      </c>
      <c r="L26" s="362" t="s">
        <v>900</v>
      </c>
      <c r="M26" s="362" t="s">
        <v>900</v>
      </c>
      <c r="N26" s="362" t="s">
        <v>900</v>
      </c>
      <c r="O26" s="362"/>
      <c r="P26" s="257" t="s">
        <v>1270</v>
      </c>
      <c r="Q26" s="169"/>
      <c r="R26" s="277">
        <f>sal_pH!E22</f>
        <v>38.11</v>
      </c>
      <c r="S26" s="277">
        <f>sal_pH!F22</f>
        <v>8.65</v>
      </c>
      <c r="T26" s="261">
        <f>logs!E22</f>
        <v>42776</v>
      </c>
      <c r="U26" s="261">
        <f>logs!E23</f>
        <v>42793</v>
      </c>
      <c r="V26" s="259">
        <f t="shared" si="3"/>
        <v>42784.5</v>
      </c>
      <c r="W26" s="238">
        <f t="shared" si="0"/>
        <v>340</v>
      </c>
      <c r="X26" s="238">
        <f t="shared" si="4"/>
        <v>323</v>
      </c>
      <c r="Y26" s="198"/>
      <c r="Z26" s="198"/>
      <c r="AA26" s="169"/>
      <c r="AB26" s="18" t="str">
        <f>BSi_results!T34</f>
        <v>NaN</v>
      </c>
      <c r="AC26" s="18" t="str">
        <f>BSi_results!U34</f>
        <v>NaN</v>
      </c>
      <c r="AD26" s="169"/>
      <c r="AE26" s="169"/>
      <c r="AF26" s="328" t="s">
        <v>900</v>
      </c>
      <c r="AG26" s="328" t="s">
        <v>900</v>
      </c>
      <c r="AH26" s="277" t="s">
        <v>900</v>
      </c>
      <c r="AI26" s="17" t="s">
        <v>900</v>
      </c>
      <c r="AJ26" s="17" t="s">
        <v>900</v>
      </c>
      <c r="AL26">
        <f t="shared" si="9"/>
        <v>0.9872611464968134</v>
      </c>
      <c r="AM26" s="169"/>
      <c r="AN26" s="17"/>
      <c r="AO26" s="17"/>
      <c r="AP26" s="169"/>
      <c r="AQ26" s="169"/>
      <c r="AR26" s="169"/>
      <c r="AS26" s="169"/>
      <c r="AT26" s="169"/>
      <c r="AU26" s="169"/>
    </row>
    <row r="27" spans="1:48" x14ac:dyDescent="0.25">
      <c r="A27" s="241">
        <v>2016</v>
      </c>
      <c r="B27" s="255" t="s">
        <v>111</v>
      </c>
      <c r="C27" s="219">
        <v>21</v>
      </c>
      <c r="D27" s="278" t="s">
        <v>676</v>
      </c>
      <c r="E27" s="255">
        <f>mass_filt_1!S28</f>
        <v>1.5285714285714289</v>
      </c>
      <c r="F27" s="257">
        <v>0.5</v>
      </c>
      <c r="G27" s="238">
        <f t="shared" si="11"/>
        <v>17</v>
      </c>
      <c r="H27" s="277">
        <f t="shared" si="1"/>
        <v>0.17983193277310927</v>
      </c>
      <c r="I27" s="277">
        <f t="shared" si="2"/>
        <v>6.5683613445378167E-2</v>
      </c>
      <c r="J27" s="173"/>
      <c r="K27" s="255" t="s">
        <v>244</v>
      </c>
      <c r="L27" s="362" t="s">
        <v>900</v>
      </c>
      <c r="M27" s="362" t="s">
        <v>900</v>
      </c>
      <c r="N27" s="362" t="s">
        <v>900</v>
      </c>
      <c r="O27" s="362"/>
      <c r="P27" s="257" t="s">
        <v>1273</v>
      </c>
      <c r="Q27" s="169"/>
      <c r="R27" s="277">
        <f>sal_pH!E23</f>
        <v>38.35</v>
      </c>
      <c r="S27" s="277">
        <f>sal_pH!F23</f>
        <v>8.6199999999999992</v>
      </c>
      <c r="T27" s="261">
        <f>logs!E23</f>
        <v>42793</v>
      </c>
      <c r="U27" s="261">
        <f>logs!E24</f>
        <v>42810</v>
      </c>
      <c r="V27" s="259">
        <f t="shared" si="3"/>
        <v>42801.5</v>
      </c>
      <c r="W27" s="238">
        <f t="shared" si="0"/>
        <v>357</v>
      </c>
      <c r="X27" s="238">
        <f t="shared" si="4"/>
        <v>340</v>
      </c>
      <c r="Y27" s="199"/>
      <c r="Z27" s="169"/>
      <c r="AA27" s="169"/>
      <c r="AB27" s="18" t="str">
        <f>BSi_results!T35</f>
        <v>NaN</v>
      </c>
      <c r="AC27" s="18" t="str">
        <f>BSi_results!U35</f>
        <v>NaN</v>
      </c>
      <c r="AD27" s="169"/>
      <c r="AE27" s="169"/>
      <c r="AF27" s="328" t="s">
        <v>900</v>
      </c>
      <c r="AG27" s="328" t="s">
        <v>900</v>
      </c>
      <c r="AH27" s="277" t="s">
        <v>900</v>
      </c>
      <c r="AI27" s="17" t="s">
        <v>900</v>
      </c>
      <c r="AJ27" s="17" t="s">
        <v>900</v>
      </c>
      <c r="AL27">
        <f t="shared" si="9"/>
        <v>1.0094339622641491</v>
      </c>
      <c r="AM27" s="169"/>
      <c r="AN27" s="17"/>
      <c r="AO27" s="17"/>
      <c r="AP27" s="169"/>
      <c r="AQ27" s="169"/>
      <c r="AR27" s="169"/>
      <c r="AS27" s="169"/>
      <c r="AT27" s="169"/>
      <c r="AU27" s="169"/>
    </row>
    <row r="28" spans="1:48" ht="15.5" x14ac:dyDescent="0.35">
      <c r="A28" s="34" t="s">
        <v>1291</v>
      </c>
      <c r="B28" s="173"/>
      <c r="C28" s="169"/>
      <c r="D28" s="182"/>
      <c r="E28" s="170"/>
      <c r="F28" s="173"/>
      <c r="G28" s="173"/>
      <c r="H28" s="173"/>
      <c r="I28" s="169"/>
      <c r="J28" s="173"/>
      <c r="K28" s="173"/>
      <c r="L28" s="170"/>
      <c r="M28" s="170"/>
      <c r="N28" s="170"/>
      <c r="O28" s="170"/>
      <c r="Q28" s="171"/>
      <c r="R28" s="170"/>
      <c r="S28" s="173"/>
      <c r="T28" s="197"/>
      <c r="U28" s="197"/>
      <c r="V28" s="181"/>
      <c r="W28" s="173"/>
      <c r="X28" s="173"/>
      <c r="Y28" s="199"/>
      <c r="Z28" s="169"/>
      <c r="AA28" s="169"/>
      <c r="AD28" s="169"/>
      <c r="AE28" s="169"/>
      <c r="AF28" s="169"/>
      <c r="AG28" s="169"/>
      <c r="AK28" s="10" t="s">
        <v>800</v>
      </c>
      <c r="AL28" s="471">
        <f>AVERAGE(AL7:AL27)</f>
        <v>0.43876797761426944</v>
      </c>
      <c r="AM28" s="169"/>
      <c r="AN28" s="169"/>
      <c r="AO28" s="169"/>
      <c r="AP28" s="169"/>
      <c r="AQ28" s="169"/>
      <c r="AR28" s="169"/>
      <c r="AS28" s="169"/>
      <c r="AT28" s="169"/>
      <c r="AU28" s="169"/>
    </row>
    <row r="29" spans="1:48" x14ac:dyDescent="0.25">
      <c r="A29" s="173"/>
      <c r="B29" s="169"/>
      <c r="C29" s="169"/>
      <c r="D29" s="183"/>
      <c r="E29" s="170"/>
      <c r="F29" s="173"/>
      <c r="G29" s="173"/>
      <c r="H29" s="173"/>
      <c r="I29" s="169"/>
      <c r="J29" s="173"/>
      <c r="K29" s="173"/>
      <c r="L29" s="170"/>
      <c r="M29" s="170"/>
      <c r="N29" s="170"/>
      <c r="O29" s="170"/>
      <c r="Q29" s="171"/>
      <c r="R29" s="169"/>
      <c r="S29" s="169"/>
      <c r="T29" s="197"/>
      <c r="U29" s="197"/>
      <c r="V29" s="181"/>
      <c r="W29" s="173"/>
      <c r="X29" s="173"/>
      <c r="Y29" s="199"/>
      <c r="Z29" s="169"/>
      <c r="AA29" s="169"/>
      <c r="AD29" s="169"/>
      <c r="AE29" s="169"/>
      <c r="AF29" s="169"/>
      <c r="AG29" s="169"/>
      <c r="AM29" s="169"/>
      <c r="AN29" s="169"/>
      <c r="AO29" s="169"/>
      <c r="AP29" s="169"/>
      <c r="AQ29" s="169"/>
      <c r="AR29" s="169"/>
      <c r="AS29" s="17" t="s">
        <v>3231</v>
      </c>
      <c r="AT29" s="17" t="s">
        <v>3232</v>
      </c>
      <c r="AU29" s="17"/>
    </row>
    <row r="30" spans="1:48" s="153" customFormat="1" ht="13" x14ac:dyDescent="0.3">
      <c r="A30" s="263" t="s">
        <v>668</v>
      </c>
      <c r="B30" s="542" t="s">
        <v>3298</v>
      </c>
      <c r="C30" s="176"/>
      <c r="E30" s="175"/>
      <c r="F30" s="177"/>
      <c r="G30" s="406" t="s">
        <v>955</v>
      </c>
      <c r="H30" s="177"/>
      <c r="I30" s="176"/>
      <c r="J30" s="177"/>
      <c r="K30" s="177"/>
      <c r="L30" s="175"/>
      <c r="M30" s="175"/>
      <c r="N30" s="175"/>
      <c r="O30" s="175"/>
      <c r="P30" s="429"/>
      <c r="Q30" s="192"/>
      <c r="R30" s="176"/>
      <c r="S30" s="176"/>
      <c r="T30" s="193"/>
      <c r="U30" s="193"/>
      <c r="V30" s="194"/>
      <c r="W30" s="260">
        <v>0</v>
      </c>
      <c r="X30" s="177"/>
      <c r="Y30" s="201"/>
      <c r="Z30" s="176"/>
      <c r="AA30" s="176"/>
      <c r="AB30" s="415"/>
      <c r="AC30" s="415"/>
      <c r="AD30" s="176"/>
      <c r="AE30" s="176"/>
      <c r="AF30" s="176"/>
      <c r="AG30" s="176"/>
      <c r="AH30" s="242"/>
      <c r="AI30" s="415"/>
      <c r="AJ30" s="17"/>
      <c r="AK30" s="415"/>
      <c r="AL30" s="475" t="s">
        <v>3207</v>
      </c>
      <c r="AM30" s="176"/>
      <c r="AN30" s="176"/>
      <c r="AO30" s="176"/>
      <c r="AP30" s="176"/>
      <c r="AQ30" s="415" t="s">
        <v>3230</v>
      </c>
      <c r="AR30" s="415" t="s">
        <v>3229</v>
      </c>
      <c r="AS30" s="176"/>
      <c r="AT30" s="176"/>
      <c r="AU30" s="415" t="s">
        <v>3233</v>
      </c>
      <c r="AV30" s="415" t="s">
        <v>3234</v>
      </c>
    </row>
    <row r="31" spans="1:48" ht="13" x14ac:dyDescent="0.3">
      <c r="A31" s="241">
        <v>2016</v>
      </c>
      <c r="B31" s="238" t="s">
        <v>109</v>
      </c>
      <c r="C31" s="418" t="s">
        <v>1295</v>
      </c>
      <c r="D31" s="241">
        <v>3</v>
      </c>
      <c r="E31" s="255">
        <f>mass_filt_1!S34</f>
        <v>260.89999999999998</v>
      </c>
      <c r="F31" s="271">
        <v>0.5</v>
      </c>
      <c r="G31" s="238">
        <f>U31-T31</f>
        <v>17</v>
      </c>
      <c r="H31" s="277">
        <f t="shared" ref="H31:H45" si="12">E31/F31/G31</f>
        <v>30.694117647058821</v>
      </c>
      <c r="I31" s="277">
        <f t="shared" ref="I31:I45" si="13">0.001*365.25*E31/F31/G31</f>
        <v>11.211026470588235</v>
      </c>
      <c r="J31" s="255"/>
      <c r="K31" s="255">
        <v>1</v>
      </c>
      <c r="L31" s="395">
        <f>CHN!M33</f>
        <v>14.302079200744629</v>
      </c>
      <c r="M31" s="395">
        <f>CHN!N33</f>
        <v>0.91583043336868286</v>
      </c>
      <c r="N31" s="395">
        <f>CHN!O33</f>
        <v>0.94686996936798096</v>
      </c>
      <c r="O31" s="395"/>
      <c r="P31" s="257" t="s">
        <v>825</v>
      </c>
      <c r="Q31" s="171"/>
      <c r="R31" s="277">
        <f>sal_pH!E24</f>
        <v>38.04</v>
      </c>
      <c r="S31" s="277">
        <f>sal_pH!F24</f>
        <v>8.5500000000000007</v>
      </c>
      <c r="T31" s="261">
        <f>logs!L4</f>
        <v>42453</v>
      </c>
      <c r="U31" s="261">
        <f>logs!L5</f>
        <v>42470</v>
      </c>
      <c r="V31" s="259">
        <f t="shared" ref="V31:V45" si="14">AVERAGE(T31:U31)</f>
        <v>42461.5</v>
      </c>
      <c r="W31" s="238">
        <f t="shared" ref="W31:W51" si="15">G31+W30</f>
        <v>17</v>
      </c>
      <c r="X31" s="238">
        <v>0</v>
      </c>
      <c r="Y31" s="202"/>
      <c r="Z31" s="169"/>
      <c r="AA31" s="169"/>
      <c r="AB31" s="18">
        <f>BSi_results!T36</f>
        <v>1.6202174824972513</v>
      </c>
      <c r="AC31" s="18">
        <f>BSi_results!U36</f>
        <v>3.4659618555806286</v>
      </c>
      <c r="AD31" s="169"/>
      <c r="AE31" s="169"/>
      <c r="AF31" s="328">
        <f>PIC!T26</f>
        <v>67.435070394701427</v>
      </c>
      <c r="AG31" s="328">
        <f>AF31*12.01/100.0869</f>
        <v>8.0919200758577201</v>
      </c>
      <c r="AH31" s="277">
        <f>L31-AG31</f>
        <v>6.2101591248869088</v>
      </c>
      <c r="AI31" s="432">
        <f>AF31+(AC31*1.11)+(AH31*2.79)+3.7</f>
        <v>92.308632012830401</v>
      </c>
      <c r="AJ31" s="17">
        <f t="shared" ref="AJ31:AJ48" si="16">AF31+(AC31*1.11)+(AH31*2.2)+3.7</f>
        <v>88.644638129147125</v>
      </c>
      <c r="AK31" s="17">
        <v>1</v>
      </c>
      <c r="AL31">
        <f>E31/$E$55</f>
        <v>0.57810768889873687</v>
      </c>
      <c r="AM31" s="29">
        <f t="shared" ref="AM31:AM48" si="17">(AH31/12.01)/(N31/14.01)</f>
        <v>7.6508117018497446</v>
      </c>
      <c r="AN31" s="17">
        <f>(report!AC27)*1000</f>
        <v>57.970240079660449</v>
      </c>
      <c r="AO31" s="17">
        <f>(report!AD27)*1000</f>
        <v>75.535995144317454</v>
      </c>
      <c r="AP31" s="169"/>
      <c r="AQ31" s="17">
        <v>21</v>
      </c>
      <c r="AR31" s="17">
        <f>H31/H55</f>
        <v>0.91817103530975841</v>
      </c>
      <c r="AS31" s="18">
        <f>L31/L55</f>
        <v>1.1018231623144108</v>
      </c>
      <c r="AT31" s="18">
        <f>N31/N55</f>
        <v>1.5765341191139643</v>
      </c>
      <c r="AU31" s="18">
        <f>AG31/AG55</f>
        <v>0.91480869449466784</v>
      </c>
      <c r="AV31" s="18">
        <f>AB31/AB55</f>
        <v>0.39862909653127609</v>
      </c>
    </row>
    <row r="32" spans="1:48" x14ac:dyDescent="0.25">
      <c r="A32" s="241">
        <v>2016</v>
      </c>
      <c r="B32" s="238" t="s">
        <v>109</v>
      </c>
      <c r="C32" s="269">
        <v>2</v>
      </c>
      <c r="D32" s="278">
        <v>2</v>
      </c>
      <c r="E32" s="255">
        <f>mass_filt_1!S35</f>
        <v>261.28571428571428</v>
      </c>
      <c r="F32" s="271">
        <v>0.5</v>
      </c>
      <c r="G32" s="238">
        <f t="shared" ref="G32:G45" si="18">U32-T32</f>
        <v>17</v>
      </c>
      <c r="H32" s="277">
        <f t="shared" si="12"/>
        <v>30.739495798319325</v>
      </c>
      <c r="I32" s="277">
        <f t="shared" si="13"/>
        <v>11.227600840336136</v>
      </c>
      <c r="J32" s="255"/>
      <c r="K32" s="255">
        <v>1</v>
      </c>
      <c r="L32" s="395">
        <f>CHN!M34</f>
        <v>13.531609535217285</v>
      </c>
      <c r="M32" s="395">
        <f>CHN!N34</f>
        <v>0.69059950113296509</v>
      </c>
      <c r="N32" s="395">
        <f>CHN!O34</f>
        <v>0.72954195737838745</v>
      </c>
      <c r="O32" s="395"/>
      <c r="Q32" s="169"/>
      <c r="R32" s="277">
        <f>sal_pH!E25</f>
        <v>37.17</v>
      </c>
      <c r="S32" s="277">
        <f>sal_pH!F25</f>
        <v>8.51</v>
      </c>
      <c r="T32" s="261">
        <f>logs!L5</f>
        <v>42470</v>
      </c>
      <c r="U32" s="261">
        <f>logs!L6</f>
        <v>42487</v>
      </c>
      <c r="V32" s="259">
        <f t="shared" si="14"/>
        <v>42478.5</v>
      </c>
      <c r="W32" s="238">
        <f t="shared" si="15"/>
        <v>34</v>
      </c>
      <c r="X32" s="238">
        <f t="shared" ref="X32:X51" si="19">G32+X31</f>
        <v>17</v>
      </c>
      <c r="Y32" s="199"/>
      <c r="Z32" s="169"/>
      <c r="AA32" s="169"/>
      <c r="AB32" s="18">
        <f>BSi_results!T37</f>
        <v>4.0355532687258933</v>
      </c>
      <c r="AC32" s="18">
        <f>BSi_results!U37</f>
        <v>8.6328371633228524</v>
      </c>
      <c r="AD32" s="169"/>
      <c r="AE32" s="169"/>
      <c r="AF32" s="328">
        <f>PIC!T27</f>
        <v>74.531460296199441</v>
      </c>
      <c r="AG32" s="328">
        <f t="shared" ref="AG32:AG48" si="20">AF32*12.01/100.0869</f>
        <v>8.9434565178595324</v>
      </c>
      <c r="AH32" s="277">
        <f t="shared" ref="AH32:AH48" si="21">L32-AG32</f>
        <v>4.5881530173577527</v>
      </c>
      <c r="AI32" s="17">
        <f t="shared" ref="AI32:AI48" si="22">AF32+(AC32*1.11)+(AH32*2.79)+3.7</f>
        <v>100.61485646591593</v>
      </c>
      <c r="AJ32" s="17">
        <f t="shared" si="16"/>
        <v>97.90784618567487</v>
      </c>
      <c r="AK32" s="17">
        <v>1</v>
      </c>
      <c r="AL32">
        <f>SUM(E32:E33)/$E$56</f>
        <v>1.0626288128606762</v>
      </c>
      <c r="AM32" s="29">
        <f t="shared" si="17"/>
        <v>7.3363956930866587</v>
      </c>
      <c r="AN32" s="17">
        <f>(report!AC28)*1000</f>
        <v>42.892548437366088</v>
      </c>
      <c r="AO32" s="17">
        <f>(report!AD28)*1000</f>
        <v>83.608293018675596</v>
      </c>
      <c r="AP32" s="169"/>
      <c r="AQ32" s="17">
        <v>22</v>
      </c>
      <c r="AR32" s="17">
        <f>H32/H57</f>
        <v>0.58436579218289608</v>
      </c>
      <c r="AS32" s="18">
        <f>L32/L57</f>
        <v>1.0999677736874056</v>
      </c>
      <c r="AT32" s="18">
        <f>N32/N57</f>
        <v>1.488380873883389</v>
      </c>
      <c r="AU32" s="18">
        <f>AG32/AG57</f>
        <v>0.97516279675288686</v>
      </c>
      <c r="AV32" s="18">
        <f>AB32/AB57</f>
        <v>0.86925514440633955</v>
      </c>
    </row>
    <row r="33" spans="1:48" x14ac:dyDescent="0.25">
      <c r="A33" s="241">
        <v>2016</v>
      </c>
      <c r="B33" s="238" t="s">
        <v>109</v>
      </c>
      <c r="C33" s="269">
        <v>3</v>
      </c>
      <c r="D33" s="278">
        <v>3</v>
      </c>
      <c r="E33" s="255">
        <f>mass_filt_1!S36</f>
        <v>327.95714285714286</v>
      </c>
      <c r="F33" s="271">
        <v>0.5</v>
      </c>
      <c r="G33" s="238">
        <f t="shared" si="18"/>
        <v>17</v>
      </c>
      <c r="H33" s="277">
        <f t="shared" si="12"/>
        <v>38.583193277310926</v>
      </c>
      <c r="I33" s="277">
        <f t="shared" si="13"/>
        <v>14.092511344537815</v>
      </c>
      <c r="J33" s="255"/>
      <c r="K33" s="255">
        <v>1</v>
      </c>
      <c r="L33" s="395">
        <f>CHN!M25</f>
        <v>14.735773086547852</v>
      </c>
      <c r="M33" s="395">
        <f>CHN!N25</f>
        <v>0.8330426812171936</v>
      </c>
      <c r="N33" s="395">
        <f>CHN!O25</f>
        <v>1.0680783987045288</v>
      </c>
      <c r="O33" s="395"/>
      <c r="Q33" s="169"/>
      <c r="R33" s="277">
        <f>sal_pH!E26</f>
        <v>36.270000000000003</v>
      </c>
      <c r="S33" s="277">
        <f>sal_pH!F26</f>
        <v>8.4499999999999993</v>
      </c>
      <c r="T33" s="261">
        <f>logs!L6</f>
        <v>42487</v>
      </c>
      <c r="U33" s="261">
        <f>logs!L7</f>
        <v>42504</v>
      </c>
      <c r="V33" s="259">
        <f t="shared" si="14"/>
        <v>42495.5</v>
      </c>
      <c r="W33" s="238">
        <f t="shared" si="15"/>
        <v>51</v>
      </c>
      <c r="X33" s="238">
        <f t="shared" si="19"/>
        <v>34</v>
      </c>
      <c r="Y33" s="199"/>
      <c r="Z33" s="169"/>
      <c r="AA33" s="169"/>
      <c r="AB33" s="18">
        <f>BSi_results!T38</f>
        <v>3.173122252162814</v>
      </c>
      <c r="AC33" s="18">
        <f>BSi_results!U38</f>
        <v>6.7879286626010504</v>
      </c>
      <c r="AD33" s="169"/>
      <c r="AE33" s="169"/>
      <c r="AF33" s="328">
        <f>PIC!T28</f>
        <v>75.636119052799245</v>
      </c>
      <c r="AG33" s="328">
        <f t="shared" si="20"/>
        <v>9.0760108448170431</v>
      </c>
      <c r="AH33" s="277">
        <f t="shared" si="21"/>
        <v>5.6597622417308084</v>
      </c>
      <c r="AI33" s="17">
        <f t="shared" si="22"/>
        <v>102.66145652271537</v>
      </c>
      <c r="AJ33" s="17">
        <f t="shared" si="16"/>
        <v>99.32219680009419</v>
      </c>
      <c r="AK33" s="17">
        <v>1</v>
      </c>
      <c r="AL33">
        <f>E34/$E$57</f>
        <v>0.55479782739891381</v>
      </c>
      <c r="AM33" s="29">
        <f t="shared" si="17"/>
        <v>6.1814474790655281</v>
      </c>
      <c r="AN33" s="17">
        <f>(report!AC29)*1000</f>
        <v>66.411543379665446</v>
      </c>
      <c r="AO33" s="17">
        <f>(report!AD29)*1000</f>
        <v>106.49774004473974</v>
      </c>
      <c r="AP33" s="169"/>
      <c r="AQ33" s="17">
        <v>23</v>
      </c>
      <c r="AR33" s="17">
        <f>H33/H56</f>
        <v>0.93933217351243892</v>
      </c>
      <c r="AS33" s="18">
        <f>L33/L56</f>
        <v>1.1306741422572097</v>
      </c>
      <c r="AT33" s="18">
        <f>N33/N56</f>
        <v>2.0346897036608418</v>
      </c>
      <c r="AU33" s="18">
        <f>AG33/AG56</f>
        <v>0.97102973278722582</v>
      </c>
      <c r="AV33" s="18">
        <f>AB33/AB56</f>
        <v>0.91747202440151332</v>
      </c>
    </row>
    <row r="34" spans="1:48" x14ac:dyDescent="0.25">
      <c r="A34" s="241">
        <v>2016</v>
      </c>
      <c r="B34" s="238" t="s">
        <v>109</v>
      </c>
      <c r="C34" s="269">
        <v>4</v>
      </c>
      <c r="D34" s="278">
        <v>2</v>
      </c>
      <c r="E34" s="255">
        <f>mass_filt_1!S37</f>
        <v>393.98571428571432</v>
      </c>
      <c r="F34" s="271">
        <v>0.5</v>
      </c>
      <c r="G34" s="238">
        <f t="shared" si="18"/>
        <v>17</v>
      </c>
      <c r="H34" s="277">
        <f t="shared" si="12"/>
        <v>46.351260504201683</v>
      </c>
      <c r="I34" s="277">
        <f t="shared" si="13"/>
        <v>16.929797899159666</v>
      </c>
      <c r="J34" s="255"/>
      <c r="K34" s="255">
        <v>1</v>
      </c>
      <c r="L34" s="395">
        <f>CHN!M24</f>
        <v>13.06618595123291</v>
      </c>
      <c r="M34" s="395">
        <f>CHN!N24</f>
        <v>0.54752320051193237</v>
      </c>
      <c r="N34" s="395">
        <f>CHN!O24</f>
        <v>0.59522348642349243</v>
      </c>
      <c r="O34" s="395"/>
      <c r="Q34" s="169"/>
      <c r="R34" s="277">
        <f>sal_pH!E27</f>
        <v>37.07</v>
      </c>
      <c r="S34" s="277">
        <f>sal_pH!F27</f>
        <v>8.5299999999999994</v>
      </c>
      <c r="T34" s="261">
        <f>logs!L7</f>
        <v>42504</v>
      </c>
      <c r="U34" s="261">
        <f>logs!L8</f>
        <v>42521</v>
      </c>
      <c r="V34" s="259">
        <f t="shared" si="14"/>
        <v>42512.5</v>
      </c>
      <c r="W34" s="238">
        <f t="shared" si="15"/>
        <v>68</v>
      </c>
      <c r="X34" s="238">
        <f t="shared" si="19"/>
        <v>51</v>
      </c>
      <c r="Y34" s="199"/>
      <c r="Z34" s="169"/>
      <c r="AA34" s="169"/>
      <c r="AB34" s="18">
        <f>BSi_results!T39</f>
        <v>4.7190671992481201</v>
      </c>
      <c r="AC34" s="18">
        <f>BSi_results!U39</f>
        <v>10.095007048872183</v>
      </c>
      <c r="AD34" s="169"/>
      <c r="AE34" s="169"/>
      <c r="AF34" s="328">
        <f>PIC!T29</f>
        <v>77.46318843664055</v>
      </c>
      <c r="AG34" s="328">
        <f t="shared" si="20"/>
        <v>9.2952513578105922</v>
      </c>
      <c r="AH34" s="277">
        <f t="shared" si="21"/>
        <v>3.770934593422318</v>
      </c>
      <c r="AI34" s="17">
        <f t="shared" si="22"/>
        <v>102.88955377653694</v>
      </c>
      <c r="AJ34" s="17">
        <f t="shared" si="16"/>
        <v>100.66470236641779</v>
      </c>
      <c r="AK34" s="17">
        <v>1</v>
      </c>
      <c r="AL34">
        <f>SUM(E35:E36)/$E$58</f>
        <v>1.4337880237655489</v>
      </c>
      <c r="AM34" s="29">
        <f t="shared" si="17"/>
        <v>7.390334030549143</v>
      </c>
      <c r="AN34" s="17">
        <f>(report!AC30)*1000</f>
        <v>53.156669906402712</v>
      </c>
      <c r="AO34" s="17">
        <f>(report!AD30)*1000</f>
        <v>131.02974763498983</v>
      </c>
      <c r="AP34" s="169"/>
      <c r="AQ34" s="17">
        <v>25</v>
      </c>
      <c r="AR34" s="17">
        <f>AVERAGE(H34:H35)/H57</f>
        <v>1.0390784195392098</v>
      </c>
      <c r="AS34" s="18">
        <f>AVERAGE(L34:L35)/L57</f>
        <v>1.0447034655961049</v>
      </c>
      <c r="AT34" s="18">
        <f>AVERAGE(N34:N35)/N57</f>
        <v>1.2049322498596551</v>
      </c>
      <c r="AU34" s="18">
        <f>AVERAGE(AG34:AG35)/AG57</f>
        <v>0.98181170300166243</v>
      </c>
      <c r="AV34" s="18">
        <f>AVERAGE(AB34:AB35)/AB57</f>
        <v>1.1051709616917484</v>
      </c>
    </row>
    <row r="35" spans="1:48" ht="13" customHeight="1" x14ac:dyDescent="0.25">
      <c r="A35" s="241">
        <v>2016</v>
      </c>
      <c r="B35" s="238" t="s">
        <v>109</v>
      </c>
      <c r="C35" s="269">
        <v>5</v>
      </c>
      <c r="D35" s="278">
        <v>3</v>
      </c>
      <c r="E35" s="255">
        <f>mass_filt_1!S38</f>
        <v>535.21428571428567</v>
      </c>
      <c r="F35" s="271">
        <v>0.5</v>
      </c>
      <c r="G35" s="238">
        <f t="shared" si="18"/>
        <v>17</v>
      </c>
      <c r="H35" s="277">
        <f t="shared" si="12"/>
        <v>62.966386554621842</v>
      </c>
      <c r="I35" s="277">
        <f t="shared" si="13"/>
        <v>22.99847268907563</v>
      </c>
      <c r="J35" s="255"/>
      <c r="K35" s="255">
        <v>1</v>
      </c>
      <c r="L35" s="395">
        <f>CHN!R22</f>
        <v>12.637329578399658</v>
      </c>
      <c r="M35" s="395">
        <f>CHN!S22</f>
        <v>0.58998224139213562</v>
      </c>
      <c r="N35" s="395">
        <f>CHN!T22</f>
        <v>0.58599114418029785</v>
      </c>
      <c r="O35" s="395"/>
      <c r="Q35" s="169"/>
      <c r="R35" s="277">
        <f>sal_pH!E28</f>
        <v>37.82</v>
      </c>
      <c r="S35" s="277">
        <f>sal_pH!F28</f>
        <v>8.5399999999999991</v>
      </c>
      <c r="T35" s="261">
        <f>logs!L8</f>
        <v>42521</v>
      </c>
      <c r="U35" s="261">
        <f>logs!L9</f>
        <v>42538</v>
      </c>
      <c r="V35" s="259">
        <f t="shared" si="14"/>
        <v>42529.5</v>
      </c>
      <c r="W35" s="238">
        <f t="shared" si="15"/>
        <v>85</v>
      </c>
      <c r="X35" s="238">
        <f t="shared" si="19"/>
        <v>68</v>
      </c>
      <c r="Y35" s="199"/>
      <c r="Z35" s="169"/>
      <c r="AA35" s="169"/>
      <c r="AB35" s="18">
        <f>AVERAGE(BSi_results!T40:T41)</f>
        <v>5.5425373840690799</v>
      </c>
      <c r="AC35" s="18">
        <f>AVERAGE(BSi_results!U40:U41)</f>
        <v>11.85657071586725</v>
      </c>
      <c r="AD35" s="169"/>
      <c r="AE35" s="169"/>
      <c r="AF35" s="328">
        <f>PIC!T30</f>
        <v>72.616080797736615</v>
      </c>
      <c r="AG35" s="328">
        <f t="shared" si="20"/>
        <v>8.7136191687505224</v>
      </c>
      <c r="AH35" s="277">
        <f t="shared" si="21"/>
        <v>3.9237104096491358</v>
      </c>
      <c r="AI35" s="17">
        <f t="shared" si="22"/>
        <v>100.42402633527036</v>
      </c>
      <c r="AJ35" s="17">
        <f t="shared" si="16"/>
        <v>98.109037193577365</v>
      </c>
      <c r="AK35" s="17">
        <v>1</v>
      </c>
      <c r="AL35">
        <f>SUM(E37:E38)/$E$59</f>
        <v>1.1485318603483363</v>
      </c>
      <c r="AM35" s="29">
        <f t="shared" si="17"/>
        <v>7.8108989939927689</v>
      </c>
      <c r="AN35" s="17">
        <f>(report!AC31)*1000</f>
        <v>75.13684154550991</v>
      </c>
      <c r="AO35" s="17">
        <f>(report!AD31)*1000</f>
        <v>166.86089298544113</v>
      </c>
      <c r="AP35" s="169"/>
      <c r="AQ35" s="17">
        <v>26</v>
      </c>
      <c r="AR35" s="17">
        <f>AR34</f>
        <v>1.0390784195392098</v>
      </c>
      <c r="AS35" s="18">
        <f>AS34</f>
        <v>1.0447034655961049</v>
      </c>
      <c r="AT35" s="18">
        <f>AT34</f>
        <v>1.2049322498596551</v>
      </c>
      <c r="AU35" s="18">
        <f>AU34</f>
        <v>0.98181170300166243</v>
      </c>
      <c r="AV35" s="18">
        <f>AV34</f>
        <v>1.1051709616917484</v>
      </c>
    </row>
    <row r="36" spans="1:48" x14ac:dyDescent="0.25">
      <c r="A36" s="241">
        <v>2016</v>
      </c>
      <c r="B36" s="238" t="s">
        <v>109</v>
      </c>
      <c r="C36" s="269">
        <v>6</v>
      </c>
      <c r="D36" s="278">
        <v>3</v>
      </c>
      <c r="E36" s="255">
        <f>mass_filt_1!S39</f>
        <v>385.25714285714287</v>
      </c>
      <c r="F36" s="271">
        <v>0.5</v>
      </c>
      <c r="G36" s="238">
        <f t="shared" si="18"/>
        <v>17</v>
      </c>
      <c r="H36" s="277">
        <f t="shared" si="12"/>
        <v>45.324369747899162</v>
      </c>
      <c r="I36" s="277">
        <f t="shared" si="13"/>
        <v>16.554726050420168</v>
      </c>
      <c r="J36" s="255"/>
      <c r="K36" s="255">
        <v>1</v>
      </c>
      <c r="L36" s="395">
        <f>CHN!M35</f>
        <v>12.680932998657227</v>
      </c>
      <c r="M36" s="395">
        <f>CHN!N35</f>
        <v>0.72473639249801636</v>
      </c>
      <c r="N36" s="395">
        <f>CHN!O35</f>
        <v>0.72053265571594238</v>
      </c>
      <c r="O36" s="395"/>
      <c r="Q36" s="169"/>
      <c r="R36" s="277">
        <f>sal_pH!E29</f>
        <v>38.28</v>
      </c>
      <c r="S36" s="277">
        <f>sal_pH!F29</f>
        <v>8.5500000000000007</v>
      </c>
      <c r="T36" s="261">
        <f>logs!L9</f>
        <v>42538</v>
      </c>
      <c r="U36" s="261">
        <f>logs!L10</f>
        <v>42555</v>
      </c>
      <c r="V36" s="259">
        <f t="shared" si="14"/>
        <v>42546.5</v>
      </c>
      <c r="W36" s="238">
        <f t="shared" si="15"/>
        <v>102</v>
      </c>
      <c r="X36" s="238">
        <f t="shared" si="19"/>
        <v>85</v>
      </c>
      <c r="Y36" s="199"/>
      <c r="Z36" s="169"/>
      <c r="AA36" s="169"/>
      <c r="AB36" s="18">
        <f>BSi_results!T42</f>
        <v>6.7522031505424298</v>
      </c>
      <c r="AC36" s="18">
        <f>BSi_results!U42</f>
        <v>14.444282211324122</v>
      </c>
      <c r="AD36" s="169"/>
      <c r="AE36" s="169"/>
      <c r="AF36" s="328">
        <f>PIC!T31</f>
        <v>67.129541325547407</v>
      </c>
      <c r="AG36" s="328">
        <f t="shared" si="20"/>
        <v>8.05525789408828</v>
      </c>
      <c r="AH36" s="277">
        <f t="shared" si="21"/>
        <v>4.6256751045689466</v>
      </c>
      <c r="AI36" s="17">
        <f t="shared" si="22"/>
        <v>99.768328121864542</v>
      </c>
      <c r="AJ36" s="17">
        <f t="shared" si="16"/>
        <v>97.039179810168861</v>
      </c>
      <c r="AK36" s="17">
        <v>1</v>
      </c>
      <c r="AL36">
        <f>E39/$E$60</f>
        <v>0.54536827983377523</v>
      </c>
      <c r="AM36" s="29">
        <f t="shared" si="17"/>
        <v>7.4888750601129734</v>
      </c>
      <c r="AN36" s="17">
        <f>(report!AC32)*1000</f>
        <v>63.760852751363522</v>
      </c>
      <c r="AO36" s="17">
        <f>(report!AD32)*1000</f>
        <v>111.03462756212819</v>
      </c>
      <c r="AP36" s="169"/>
      <c r="AQ36" s="17">
        <v>1</v>
      </c>
      <c r="AR36" s="17">
        <f>H36/H58</f>
        <v>0.95310374978892975</v>
      </c>
      <c r="AS36" s="18">
        <f>L36/L58</f>
        <v>1.0041228406550329</v>
      </c>
      <c r="AT36" s="18">
        <f>N36/N58</f>
        <v>1.1691617939228314</v>
      </c>
      <c r="AU36" s="18">
        <f>AG36/AG58</f>
        <v>0.93872291984285605</v>
      </c>
      <c r="AV36" s="18">
        <f>AB36/AB58</f>
        <v>1.2304318981699107</v>
      </c>
    </row>
    <row r="37" spans="1:48" x14ac:dyDescent="0.25">
      <c r="A37" s="241">
        <v>2016</v>
      </c>
      <c r="B37" s="238" t="s">
        <v>109</v>
      </c>
      <c r="C37" s="269">
        <v>7</v>
      </c>
      <c r="D37" s="278">
        <v>2</v>
      </c>
      <c r="E37" s="255">
        <f>mass_filt_1!S40</f>
        <v>266.32857142857137</v>
      </c>
      <c r="F37" s="271">
        <v>0.5</v>
      </c>
      <c r="G37" s="238">
        <f t="shared" si="18"/>
        <v>17</v>
      </c>
      <c r="H37" s="277">
        <f t="shared" si="12"/>
        <v>31.332773109243689</v>
      </c>
      <c r="I37" s="277">
        <f t="shared" si="13"/>
        <v>11.444295378151258</v>
      </c>
      <c r="J37" s="255"/>
      <c r="K37" s="255">
        <v>1</v>
      </c>
      <c r="L37" s="395">
        <f>CHN!M38</f>
        <v>13.081178665161133</v>
      </c>
      <c r="M37" s="395">
        <f>CHN!N38</f>
        <v>0.76703637838363647</v>
      </c>
      <c r="N37" s="395">
        <f>CHN!O38</f>
        <v>0.7311137318611145</v>
      </c>
      <c r="O37" s="395"/>
      <c r="P37" s="257" t="s">
        <v>826</v>
      </c>
      <c r="Q37" s="169"/>
      <c r="R37" s="277">
        <f>sal_pH!E30</f>
        <v>38.21</v>
      </c>
      <c r="S37" s="277">
        <f>sal_pH!F30</f>
        <v>8.48</v>
      </c>
      <c r="T37" s="261">
        <f>logs!L10</f>
        <v>42555</v>
      </c>
      <c r="U37" s="261">
        <f>logs!L11</f>
        <v>42572</v>
      </c>
      <c r="V37" s="259">
        <f t="shared" si="14"/>
        <v>42563.5</v>
      </c>
      <c r="W37" s="238">
        <f t="shared" si="15"/>
        <v>119</v>
      </c>
      <c r="X37" s="238">
        <f t="shared" si="19"/>
        <v>102</v>
      </c>
      <c r="Y37" s="199"/>
      <c r="Z37" s="169"/>
      <c r="AA37" s="169"/>
      <c r="AB37" s="18">
        <f>BSi_results!T43</f>
        <v>5.6432789776817858</v>
      </c>
      <c r="AC37" s="18">
        <f>BSi_results!U43</f>
        <v>12.072076673866091</v>
      </c>
      <c r="AD37" s="169"/>
      <c r="AE37" s="169"/>
      <c r="AF37" s="328">
        <f>PIC!T32</f>
        <v>66.516592817359253</v>
      </c>
      <c r="AG37" s="328">
        <f t="shared" si="20"/>
        <v>7.9817066942475448</v>
      </c>
      <c r="AH37" s="277">
        <f t="shared" si="21"/>
        <v>5.0994719709135881</v>
      </c>
      <c r="AI37" s="17">
        <f>AF37+(AC37*1.11)+(AH37*2.79)+3.7</f>
        <v>97.844124724199531</v>
      </c>
      <c r="AJ37" s="17">
        <f t="shared" si="16"/>
        <v>94.835436261360513</v>
      </c>
      <c r="AK37" s="17">
        <v>1</v>
      </c>
      <c r="AL37">
        <f>SUM(E40:E41)/$E$61</f>
        <v>1.5226445077136996</v>
      </c>
      <c r="AM37" s="29">
        <f t="shared" si="17"/>
        <v>8.1364581686247881</v>
      </c>
      <c r="AN37" s="17">
        <f>(report!AC33)*1000</f>
        <v>48.592725651738768</v>
      </c>
      <c r="AO37" s="17">
        <f>(report!AD33)*1000</f>
        <v>76.057459642577967</v>
      </c>
      <c r="AP37" s="169"/>
      <c r="AQ37" s="17">
        <v>2</v>
      </c>
      <c r="AR37" s="17">
        <f>H37/H59</f>
        <v>0.78255333637009517</v>
      </c>
      <c r="AS37" s="18">
        <f>L37/L59</f>
        <v>1.0055573707794181</v>
      </c>
      <c r="AT37" s="18">
        <f>N37/N59</f>
        <v>1.0817364502424107</v>
      </c>
      <c r="AU37" s="18">
        <f>AG37/AG59</f>
        <v>0.9277750116784178</v>
      </c>
      <c r="AV37" s="18">
        <f>AB37/AB59</f>
        <v>1.157331606588293</v>
      </c>
    </row>
    <row r="38" spans="1:48" x14ac:dyDescent="0.25">
      <c r="A38" s="241">
        <v>2016</v>
      </c>
      <c r="B38" s="238" t="s">
        <v>109</v>
      </c>
      <c r="C38" s="269">
        <v>8</v>
      </c>
      <c r="D38" s="278">
        <v>2</v>
      </c>
      <c r="E38" s="255">
        <f>mass_filt_1!S41</f>
        <v>354.48571428571432</v>
      </c>
      <c r="F38" s="271">
        <v>0.5</v>
      </c>
      <c r="G38" s="238">
        <f t="shared" si="18"/>
        <v>17</v>
      </c>
      <c r="H38" s="277">
        <f t="shared" si="12"/>
        <v>41.70420168067227</v>
      </c>
      <c r="I38" s="277">
        <f t="shared" si="13"/>
        <v>15.232459663865548</v>
      </c>
      <c r="J38" s="255"/>
      <c r="K38" s="255">
        <v>1</v>
      </c>
      <c r="L38" s="395">
        <f>CHN!M39</f>
        <v>14.204557418823242</v>
      </c>
      <c r="M38" s="395">
        <f>CHN!N39</f>
        <v>0.94412720203399658</v>
      </c>
      <c r="N38" s="395">
        <f>CHN!O39</f>
        <v>1.0817877054214478</v>
      </c>
      <c r="O38" s="395"/>
      <c r="Q38" s="169"/>
      <c r="R38" s="277">
        <f>sal_pH!E31</f>
        <v>38.18</v>
      </c>
      <c r="S38" s="277">
        <f>sal_pH!F31</f>
        <v>8.52</v>
      </c>
      <c r="T38" s="261">
        <f>logs!L11</f>
        <v>42572</v>
      </c>
      <c r="U38" s="261">
        <f>logs!L12</f>
        <v>42589</v>
      </c>
      <c r="V38" s="259">
        <f t="shared" si="14"/>
        <v>42580.5</v>
      </c>
      <c r="W38" s="238">
        <f t="shared" si="15"/>
        <v>136</v>
      </c>
      <c r="X38" s="238">
        <f t="shared" si="19"/>
        <v>119</v>
      </c>
      <c r="Y38" s="199"/>
      <c r="Z38" s="169"/>
      <c r="AA38" s="169"/>
      <c r="AB38" s="18">
        <f>BSi_results!T44</f>
        <v>5.3411537441763572</v>
      </c>
      <c r="AC38" s="18">
        <f>BSi_results!U44</f>
        <v>11.425771751070036</v>
      </c>
      <c r="AD38" s="169"/>
      <c r="AE38" s="169"/>
      <c r="AF38" s="328">
        <f>PIC!T33</f>
        <v>63.980839053770922</v>
      </c>
      <c r="AG38" s="328">
        <f t="shared" si="20"/>
        <v>7.6774270862199625</v>
      </c>
      <c r="AH38" s="277">
        <f t="shared" si="21"/>
        <v>6.5271303326032797</v>
      </c>
      <c r="AI38" s="17">
        <f t="shared" si="22"/>
        <v>98.574139325421811</v>
      </c>
      <c r="AJ38" s="17">
        <f t="shared" si="16"/>
        <v>94.723132429185867</v>
      </c>
      <c r="AK38" s="17">
        <v>1</v>
      </c>
      <c r="AL38">
        <f>E42/$E$62</f>
        <v>0.73894254473737642</v>
      </c>
      <c r="AM38" s="29">
        <f t="shared" si="17"/>
        <v>7.0384231201973062</v>
      </c>
      <c r="AN38" s="17">
        <f>(report!AC34)*1000</f>
        <v>82.784554131700901</v>
      </c>
      <c r="AO38" s="17">
        <f>(report!AD34)*1000</f>
        <v>97.373937063375834</v>
      </c>
      <c r="AP38" s="169"/>
      <c r="AQ38" s="17">
        <v>3</v>
      </c>
      <c r="AR38" s="17">
        <f>H38/H59</f>
        <v>1.0415855006537331</v>
      </c>
      <c r="AS38" s="18">
        <f>L38/L59</f>
        <v>1.0919121110392107</v>
      </c>
      <c r="AT38" s="18">
        <f>N38/N59</f>
        <v>1.6005843432862474</v>
      </c>
      <c r="AU38" s="18">
        <f>AG38/AG59</f>
        <v>0.89240625813918384</v>
      </c>
      <c r="AV38" s="18">
        <f>AB38/AB59</f>
        <v>1.0953713378745642</v>
      </c>
    </row>
    <row r="39" spans="1:48" x14ac:dyDescent="0.25">
      <c r="A39" s="241">
        <v>2016</v>
      </c>
      <c r="B39" s="238" t="s">
        <v>109</v>
      </c>
      <c r="C39" s="269">
        <v>9</v>
      </c>
      <c r="D39" s="278">
        <v>1</v>
      </c>
      <c r="E39" s="255">
        <f>mass_filt_1!S42</f>
        <v>238.10000000000005</v>
      </c>
      <c r="F39" s="271">
        <v>0.5</v>
      </c>
      <c r="G39" s="238">
        <f t="shared" si="18"/>
        <v>17</v>
      </c>
      <c r="H39" s="277">
        <f t="shared" si="12"/>
        <v>28.01176470588236</v>
      </c>
      <c r="I39" s="277">
        <f t="shared" si="13"/>
        <v>10.231297058823532</v>
      </c>
      <c r="J39" s="255"/>
      <c r="K39" s="255">
        <v>1</v>
      </c>
      <c r="L39" s="395">
        <f>CHN!M40</f>
        <v>13.625788688659668</v>
      </c>
      <c r="M39" s="395">
        <f>CHN!N40</f>
        <v>0.77873039245605469</v>
      </c>
      <c r="N39" s="395">
        <f>CHN!O40</f>
        <v>0.84581220149993896</v>
      </c>
      <c r="O39" s="395"/>
      <c r="Q39" s="169"/>
      <c r="R39" s="277">
        <f>sal_pH!E32</f>
        <v>38.25</v>
      </c>
      <c r="S39" s="277">
        <f>sal_pH!F32</f>
        <v>8.6</v>
      </c>
      <c r="T39" s="261">
        <f>logs!L12</f>
        <v>42589</v>
      </c>
      <c r="U39" s="261">
        <f>logs!L13</f>
        <v>42606</v>
      </c>
      <c r="V39" s="259">
        <f t="shared" si="14"/>
        <v>42597.5</v>
      </c>
      <c r="W39" s="238">
        <f t="shared" si="15"/>
        <v>153</v>
      </c>
      <c r="X39" s="238">
        <f t="shared" si="19"/>
        <v>136</v>
      </c>
      <c r="Y39" s="199"/>
      <c r="Z39" s="169"/>
      <c r="AA39" s="169"/>
      <c r="AB39" s="18">
        <f>BSi_results!T45</f>
        <v>5.5311882387134288</v>
      </c>
      <c r="AC39" s="18">
        <f>BSi_results!U45</f>
        <v>11.832292675838021</v>
      </c>
      <c r="AD39" s="169"/>
      <c r="AE39" s="169"/>
      <c r="AF39" s="328">
        <f>PIC!T34</f>
        <v>66.26752157070365</v>
      </c>
      <c r="AG39" s="328">
        <f t="shared" si="20"/>
        <v>7.951819209748237</v>
      </c>
      <c r="AH39" s="277">
        <f t="shared" si="21"/>
        <v>5.673969478911431</v>
      </c>
      <c r="AI39" s="17">
        <f t="shared" si="22"/>
        <v>98.931741287046762</v>
      </c>
      <c r="AJ39" s="17">
        <f t="shared" si="16"/>
        <v>95.584099294489008</v>
      </c>
      <c r="AK39" s="17">
        <v>1</v>
      </c>
      <c r="AL39">
        <f>SUM(E43:E44)/$E$63</f>
        <v>2.2129575458499731</v>
      </c>
      <c r="AM39" s="29">
        <f t="shared" si="17"/>
        <v>7.8254293941828328</v>
      </c>
      <c r="AN39" s="17">
        <f>(report!AC35)*1000</f>
        <v>48.336442332590359</v>
      </c>
      <c r="AO39" s="17">
        <f>(report!AD35)*1000</f>
        <v>67.741402575348545</v>
      </c>
      <c r="AP39" s="169"/>
      <c r="AQ39" s="17">
        <v>5</v>
      </c>
      <c r="AR39" s="17">
        <f>H39/H60</f>
        <v>0.86617315032423137</v>
      </c>
      <c r="AS39" s="18">
        <f>L39/L60</f>
        <v>0.95560694125652601</v>
      </c>
      <c r="AT39" s="18">
        <f>N39/N60</f>
        <v>0.87848577559149199</v>
      </c>
      <c r="AU39" s="18">
        <f>AG39/AG60</f>
        <v>0.97777132182977056</v>
      </c>
      <c r="AV39" s="18">
        <f>AB39/AB60</f>
        <v>1.2328946692026939</v>
      </c>
    </row>
    <row r="40" spans="1:48" x14ac:dyDescent="0.25">
      <c r="A40" s="241">
        <v>2016</v>
      </c>
      <c r="B40" s="238" t="s">
        <v>109</v>
      </c>
      <c r="C40" s="269">
        <v>10</v>
      </c>
      <c r="D40" s="278">
        <v>1</v>
      </c>
      <c r="E40" s="255">
        <f>mass_filt_1!S43</f>
        <v>347.98571428571421</v>
      </c>
      <c r="F40" s="271">
        <v>0.5</v>
      </c>
      <c r="G40" s="238">
        <f t="shared" si="18"/>
        <v>17</v>
      </c>
      <c r="H40" s="277">
        <f t="shared" si="12"/>
        <v>40.939495798319321</v>
      </c>
      <c r="I40" s="277">
        <f t="shared" si="13"/>
        <v>14.953150840336132</v>
      </c>
      <c r="J40" s="255"/>
      <c r="K40" s="255">
        <v>1</v>
      </c>
      <c r="L40" s="395">
        <f>CHN!M41</f>
        <v>14.010750770568848</v>
      </c>
      <c r="M40" s="395">
        <f>CHN!N41</f>
        <v>0.90020543336868286</v>
      </c>
      <c r="N40" s="395">
        <f>CHN!O41</f>
        <v>0.97243547439575195</v>
      </c>
      <c r="O40" s="395"/>
      <c r="Q40" s="169"/>
      <c r="R40" s="277">
        <f>sal_pH!E33</f>
        <v>38.229999999999997</v>
      </c>
      <c r="S40" s="277">
        <f>sal_pH!F33</f>
        <v>8.49</v>
      </c>
      <c r="T40" s="261">
        <f>logs!L13</f>
        <v>42606</v>
      </c>
      <c r="U40" s="261">
        <f>logs!L14</f>
        <v>42623</v>
      </c>
      <c r="V40" s="259">
        <f t="shared" si="14"/>
        <v>42614.5</v>
      </c>
      <c r="W40" s="238">
        <f t="shared" si="15"/>
        <v>170</v>
      </c>
      <c r="X40" s="238">
        <f t="shared" si="19"/>
        <v>153</v>
      </c>
      <c r="Y40" s="199"/>
      <c r="Z40" s="169"/>
      <c r="AA40" s="169"/>
      <c r="AB40" s="18">
        <f>BSi_results!T46</f>
        <v>5.9981946343945811</v>
      </c>
      <c r="AC40" s="18">
        <f>BSi_results!U46</f>
        <v>12.831310629432908</v>
      </c>
      <c r="AD40" s="169"/>
      <c r="AE40" s="169"/>
      <c r="AF40" s="328">
        <f>PIC!T35</f>
        <v>63.699475945192432</v>
      </c>
      <c r="AG40" s="328">
        <f t="shared" si="20"/>
        <v>7.6436647163790772</v>
      </c>
      <c r="AH40" s="277">
        <f t="shared" si="21"/>
        <v>6.3670860541897705</v>
      </c>
      <c r="AI40" s="17">
        <f t="shared" si="22"/>
        <v>99.406400835052423</v>
      </c>
      <c r="AJ40" s="17">
        <f t="shared" si="16"/>
        <v>95.649820063080469</v>
      </c>
      <c r="AK40" s="17">
        <v>1</v>
      </c>
      <c r="AL40">
        <f>SUM(E45:E46)/$E$64</f>
        <v>1.7012641509433961</v>
      </c>
      <c r="AM40" s="29">
        <f t="shared" si="17"/>
        <v>7.6379190985877274</v>
      </c>
      <c r="AN40" s="17">
        <f>(report!AC36)*1000</f>
        <v>79.273936870691287</v>
      </c>
      <c r="AO40" s="17">
        <f>(report!AD36)*1000</f>
        <v>95.168086159010343</v>
      </c>
      <c r="AP40" s="169"/>
      <c r="AQ40" s="17">
        <v>6</v>
      </c>
      <c r="AR40" s="17">
        <f>H40/H61</f>
        <v>1.2807992958157903</v>
      </c>
      <c r="AS40" s="18">
        <f>L40/L61</f>
        <v>1.0772427909942486</v>
      </c>
      <c r="AT40" s="18">
        <f>N40/N61</f>
        <v>1.4749941641266378</v>
      </c>
      <c r="AU40" s="18">
        <f>AG40/AG61</f>
        <v>0.89550862619923699</v>
      </c>
      <c r="AV40" s="18">
        <f>AB40/AB61</f>
        <v>1.3134659399412458</v>
      </c>
    </row>
    <row r="41" spans="1:48" x14ac:dyDescent="0.25">
      <c r="A41" s="241">
        <v>2016</v>
      </c>
      <c r="B41" s="238" t="s">
        <v>109</v>
      </c>
      <c r="C41" s="269">
        <v>11</v>
      </c>
      <c r="D41" s="278">
        <v>3</v>
      </c>
      <c r="E41" s="255">
        <f>mass_filt_1!S44</f>
        <v>309.05714285714294</v>
      </c>
      <c r="F41" s="271">
        <v>0.5</v>
      </c>
      <c r="G41" s="238">
        <f t="shared" si="18"/>
        <v>17</v>
      </c>
      <c r="H41" s="277">
        <f t="shared" si="12"/>
        <v>36.359663865546224</v>
      </c>
      <c r="I41" s="277">
        <f t="shared" si="13"/>
        <v>13.28036722689076</v>
      </c>
      <c r="J41" s="255"/>
      <c r="K41" s="255">
        <v>1</v>
      </c>
      <c r="L41" s="395">
        <f>CHN!M42</f>
        <v>14.762297630310059</v>
      </c>
      <c r="M41" s="395">
        <f>CHN!N42</f>
        <v>1.0595983266830444</v>
      </c>
      <c r="N41" s="395">
        <f>CHN!O42</f>
        <v>1.2336673736572266</v>
      </c>
      <c r="O41" s="395"/>
      <c r="P41" s="257" t="s">
        <v>1274</v>
      </c>
      <c r="Q41" s="169"/>
      <c r="R41" s="277">
        <f>sal_pH!E34</f>
        <v>38.049999999999997</v>
      </c>
      <c r="S41" s="277">
        <f>sal_pH!F34</f>
        <v>8.36</v>
      </c>
      <c r="T41" s="261">
        <f>logs!L14</f>
        <v>42623</v>
      </c>
      <c r="U41" s="261">
        <f>logs!L15</f>
        <v>42640</v>
      </c>
      <c r="V41" s="259">
        <f t="shared" si="14"/>
        <v>42631.5</v>
      </c>
      <c r="W41" s="238">
        <f t="shared" si="15"/>
        <v>187</v>
      </c>
      <c r="X41" s="238">
        <f t="shared" si="19"/>
        <v>170</v>
      </c>
      <c r="Y41" s="199"/>
      <c r="Z41" s="169"/>
      <c r="AA41" s="169"/>
      <c r="AB41" s="18">
        <f>BSi_results!T47</f>
        <v>5.369221874188522</v>
      </c>
      <c r="AC41" s="18">
        <f>BSi_results!U47</f>
        <v>11.485814966891715</v>
      </c>
      <c r="AD41" s="169"/>
      <c r="AE41" s="169"/>
      <c r="AF41" s="328">
        <f>PIC!T36</f>
        <v>60.370264743393101</v>
      </c>
      <c r="AG41" s="328">
        <f t="shared" si="20"/>
        <v>7.2441736088154505</v>
      </c>
      <c r="AH41" s="277">
        <f t="shared" si="21"/>
        <v>7.5181240214946081</v>
      </c>
      <c r="AI41" s="17">
        <f t="shared" si="22"/>
        <v>97.795085376612874</v>
      </c>
      <c r="AJ41" s="17">
        <f t="shared" si="16"/>
        <v>93.359392203931051</v>
      </c>
      <c r="AK41" s="17">
        <v>1</v>
      </c>
      <c r="AL41">
        <f>E47/$E$65</f>
        <v>0.9186211238784826</v>
      </c>
      <c r="AM41" s="29">
        <f t="shared" si="17"/>
        <v>7.1089675909004946</v>
      </c>
      <c r="AN41" s="17">
        <f>(report!AC37)*1000</f>
        <v>83.133595222945175</v>
      </c>
      <c r="AO41" s="17">
        <f>(report!AD37)*1000</f>
        <v>80.104317885445198</v>
      </c>
      <c r="AP41" s="169"/>
      <c r="AQ41" s="17">
        <v>7</v>
      </c>
      <c r="AR41" s="17">
        <f>H41/H61</f>
        <v>1.1375184517294972</v>
      </c>
      <c r="AS41" s="18">
        <f>L41/L61</f>
        <v>1.1350268776579866</v>
      </c>
      <c r="AT41" s="18">
        <f>N41/N61</f>
        <v>1.8712317932956257</v>
      </c>
      <c r="AU41" s="18">
        <f>AG41/AG61</f>
        <v>0.8487054570143665</v>
      </c>
      <c r="AV41" s="18">
        <f>AB41/AB61</f>
        <v>1.1757354480121729</v>
      </c>
    </row>
    <row r="42" spans="1:48" x14ac:dyDescent="0.25">
      <c r="A42" s="241">
        <v>2016</v>
      </c>
      <c r="B42" s="238" t="s">
        <v>109</v>
      </c>
      <c r="C42" s="269">
        <v>12</v>
      </c>
      <c r="D42" s="278">
        <v>2</v>
      </c>
      <c r="E42" s="255">
        <f>mass_filt_1!S45</f>
        <v>363.97142857142859</v>
      </c>
      <c r="F42" s="271">
        <v>0.5</v>
      </c>
      <c r="G42" s="238">
        <f t="shared" si="18"/>
        <v>17</v>
      </c>
      <c r="H42" s="277">
        <f t="shared" si="12"/>
        <v>42.820168067226895</v>
      </c>
      <c r="I42" s="277">
        <f t="shared" si="13"/>
        <v>15.640066386554622</v>
      </c>
      <c r="J42" s="255"/>
      <c r="K42" s="255">
        <v>1</v>
      </c>
      <c r="L42" s="395">
        <f>CHN!M45</f>
        <v>13.743739128112793</v>
      </c>
      <c r="M42" s="395">
        <f>CHN!N45</f>
        <v>0.82539564371109009</v>
      </c>
      <c r="N42" s="395">
        <f>CHN!O45</f>
        <v>0.87225109338760376</v>
      </c>
      <c r="O42" s="395"/>
      <c r="Q42" s="169"/>
      <c r="R42" s="277">
        <f>sal_pH!E35</f>
        <v>38</v>
      </c>
      <c r="S42" s="277">
        <f>sal_pH!F35</f>
        <v>8.57</v>
      </c>
      <c r="T42" s="261">
        <f>logs!L15</f>
        <v>42640</v>
      </c>
      <c r="U42" s="261">
        <f>logs!L16</f>
        <v>42657</v>
      </c>
      <c r="V42" s="259">
        <f t="shared" si="14"/>
        <v>42648.5</v>
      </c>
      <c r="W42" s="238">
        <f t="shared" si="15"/>
        <v>204</v>
      </c>
      <c r="X42" s="238">
        <f t="shared" si="19"/>
        <v>187</v>
      </c>
      <c r="Y42" s="199"/>
      <c r="Z42" s="169"/>
      <c r="AA42" s="169"/>
      <c r="AB42" s="18">
        <f>BSi_results!T48</f>
        <v>5.1729584077233355</v>
      </c>
      <c r="AC42" s="18">
        <f>BSi_results!U48</f>
        <v>11.065969053759176</v>
      </c>
      <c r="AD42" s="169"/>
      <c r="AE42" s="169"/>
      <c r="AF42" s="328">
        <f>PIC!T37</f>
        <v>67.529827446221233</v>
      </c>
      <c r="AG42" s="328">
        <f t="shared" si="20"/>
        <v>8.1032905168320433</v>
      </c>
      <c r="AH42" s="277">
        <f t="shared" si="21"/>
        <v>5.6404486112807497</v>
      </c>
      <c r="AI42" s="17">
        <f t="shared" si="22"/>
        <v>99.249904721367216</v>
      </c>
      <c r="AJ42" s="17">
        <f t="shared" si="16"/>
        <v>95.922040040711579</v>
      </c>
      <c r="AK42" s="17">
        <v>1</v>
      </c>
      <c r="AL42">
        <f>SUM(E48:E49)/$E$66</f>
        <v>0.5233310149380781</v>
      </c>
      <c r="AM42" s="29">
        <f t="shared" si="17"/>
        <v>7.5434019932484775</v>
      </c>
      <c r="AN42" s="17">
        <f>(report!AC38)*1000</f>
        <v>73.452948151857413</v>
      </c>
      <c r="AO42" s="17">
        <f>(report!AD38)*1000</f>
        <v>105.52539686327366</v>
      </c>
      <c r="AP42" s="169"/>
      <c r="AQ42" s="17">
        <v>8</v>
      </c>
      <c r="AR42" s="17">
        <f>H42/H62</f>
        <v>1.1736146298770098</v>
      </c>
      <c r="AS42" s="18">
        <f>L42/L62</f>
        <v>1.053146987446075</v>
      </c>
      <c r="AT42" s="18">
        <f>N42/N62</f>
        <v>1.4283857647753906</v>
      </c>
      <c r="AU42" s="18">
        <f>AG42/AG62</f>
        <v>0.92575276858540567</v>
      </c>
      <c r="AV42" s="18">
        <f>AB42/AB62</f>
        <v>1.2221106944078002</v>
      </c>
    </row>
    <row r="43" spans="1:48" x14ac:dyDescent="0.25">
      <c r="A43" s="241">
        <v>2016</v>
      </c>
      <c r="B43" s="238" t="s">
        <v>109</v>
      </c>
      <c r="C43" s="269">
        <v>13</v>
      </c>
      <c r="D43" s="278">
        <v>2</v>
      </c>
      <c r="E43" s="255">
        <f>mass_filt_1!S46</f>
        <v>517.97142857142853</v>
      </c>
      <c r="F43" s="271">
        <v>0.5</v>
      </c>
      <c r="G43" s="238">
        <f t="shared" si="18"/>
        <v>17</v>
      </c>
      <c r="H43" s="277">
        <f t="shared" si="12"/>
        <v>60.937815126050417</v>
      </c>
      <c r="I43" s="277">
        <f t="shared" si="13"/>
        <v>22.257536974789918</v>
      </c>
      <c r="J43" s="255"/>
      <c r="K43" s="255">
        <v>1</v>
      </c>
      <c r="L43" s="395">
        <f>CHN!M46</f>
        <v>13.271342277526855</v>
      </c>
      <c r="M43" s="395">
        <f>CHN!N46</f>
        <v>0.67302054166793823</v>
      </c>
      <c r="N43" s="395">
        <f>CHN!O46</f>
        <v>0.72510433197021484</v>
      </c>
      <c r="O43" s="395"/>
      <c r="Q43" s="169"/>
      <c r="R43" s="277">
        <f>sal_pH!E36</f>
        <v>38.08</v>
      </c>
      <c r="S43" s="277">
        <f>sal_pH!F36</f>
        <v>8.52</v>
      </c>
      <c r="T43" s="261">
        <f>logs!L16</f>
        <v>42657</v>
      </c>
      <c r="U43" s="261">
        <f>logs!L17</f>
        <v>42674</v>
      </c>
      <c r="V43" s="259">
        <f t="shared" si="14"/>
        <v>42665.5</v>
      </c>
      <c r="W43" s="238">
        <f t="shared" si="15"/>
        <v>221</v>
      </c>
      <c r="X43" s="238">
        <f t="shared" si="19"/>
        <v>204</v>
      </c>
      <c r="Y43" s="199"/>
      <c r="Z43" s="169"/>
      <c r="AA43" s="169"/>
      <c r="AB43" s="18">
        <f>BSi_results!T49</f>
        <v>5.0736257992051152</v>
      </c>
      <c r="AC43" s="18">
        <f>BSi_results!U49</f>
        <v>10.853477190254019</v>
      </c>
      <c r="AD43" s="169"/>
      <c r="AE43" s="169"/>
      <c r="AF43" s="328">
        <f>PIC!T38</f>
        <v>70.302414428743546</v>
      </c>
      <c r="AG43" s="328">
        <f t="shared" si="20"/>
        <v>8.4359890983656207</v>
      </c>
      <c r="AH43" s="277">
        <f t="shared" si="21"/>
        <v>4.8353531791612347</v>
      </c>
      <c r="AI43" s="17">
        <f t="shared" si="22"/>
        <v>99.540409479785353</v>
      </c>
      <c r="AJ43" s="17">
        <f t="shared" si="16"/>
        <v>96.687551104080228</v>
      </c>
      <c r="AK43" s="17">
        <v>1</v>
      </c>
      <c r="AL43">
        <f>SUM(E50:E51)/$E$67</f>
        <v>4.0384497266752698E-3</v>
      </c>
      <c r="AM43" s="29">
        <f t="shared" si="17"/>
        <v>7.7789831191778624</v>
      </c>
      <c r="AN43" s="17">
        <f>(report!AC39)*1000</f>
        <v>89.611200808783664</v>
      </c>
      <c r="AO43" s="17">
        <f>(report!AD39)*1000</f>
        <v>156.33999939700038</v>
      </c>
      <c r="AP43" s="169"/>
      <c r="AQ43" s="17">
        <v>9</v>
      </c>
      <c r="AR43" s="17">
        <f>H43/H62</f>
        <v>1.6701828734626194</v>
      </c>
      <c r="AS43" s="18">
        <f>L43/L62</f>
        <v>1.0169484453000044</v>
      </c>
      <c r="AT43" s="18">
        <f>N43/N62</f>
        <v>1.1874203582144154</v>
      </c>
      <c r="AU43" s="18">
        <f>AG43/AG62</f>
        <v>0.96376160367769081</v>
      </c>
      <c r="AV43" s="18">
        <f>AB43/AB62</f>
        <v>1.1986433796518388</v>
      </c>
    </row>
    <row r="44" spans="1:48" x14ac:dyDescent="0.25">
      <c r="A44" s="241">
        <v>2016</v>
      </c>
      <c r="B44" s="238" t="s">
        <v>109</v>
      </c>
      <c r="C44" s="269">
        <v>14</v>
      </c>
      <c r="D44" s="278">
        <v>4</v>
      </c>
      <c r="E44" s="255">
        <f>mass_filt_1!S47</f>
        <v>724.85714285714289</v>
      </c>
      <c r="F44" s="271">
        <v>0.5</v>
      </c>
      <c r="G44" s="238">
        <f t="shared" si="18"/>
        <v>17</v>
      </c>
      <c r="H44" s="277">
        <f t="shared" si="12"/>
        <v>85.277310924369758</v>
      </c>
      <c r="I44" s="277">
        <f t="shared" si="13"/>
        <v>31.147537815126057</v>
      </c>
      <c r="J44" s="255"/>
      <c r="K44" s="255">
        <v>1</v>
      </c>
      <c r="L44" s="395">
        <f>CHN!M47</f>
        <v>13.242328643798828</v>
      </c>
      <c r="M44" s="395">
        <f>CHN!N47</f>
        <v>0.73736715316772461</v>
      </c>
      <c r="N44" s="395">
        <f>CHN!O47</f>
        <v>0.72930639982223511</v>
      </c>
      <c r="O44" s="395"/>
      <c r="Q44" s="169"/>
      <c r="R44" s="277">
        <f>sal_pH!E37</f>
        <v>38.28</v>
      </c>
      <c r="S44" s="277">
        <f>sal_pH!F37</f>
        <v>8.5</v>
      </c>
      <c r="T44" s="261">
        <f>logs!L17</f>
        <v>42674</v>
      </c>
      <c r="U44" s="261">
        <f>logs!L18</f>
        <v>42691</v>
      </c>
      <c r="V44" s="259">
        <f t="shared" si="14"/>
        <v>42682.5</v>
      </c>
      <c r="W44" s="238">
        <f t="shared" si="15"/>
        <v>238</v>
      </c>
      <c r="X44" s="238">
        <f t="shared" si="19"/>
        <v>221</v>
      </c>
      <c r="Y44" s="199"/>
      <c r="Z44" s="169"/>
      <c r="AA44" s="169"/>
      <c r="AB44" s="18">
        <f>BSi_results!T50</f>
        <v>5.5341526452030418</v>
      </c>
      <c r="AC44" s="18">
        <f>BSi_results!U50</f>
        <v>11.838634120692447</v>
      </c>
      <c r="AD44" s="169"/>
      <c r="AE44" s="169"/>
      <c r="AF44" s="328">
        <f>PIC!T39</f>
        <v>67.950138217984005</v>
      </c>
      <c r="AG44" s="328">
        <f t="shared" si="20"/>
        <v>8.1537260120753849</v>
      </c>
      <c r="AH44" s="277">
        <f t="shared" si="21"/>
        <v>5.0886026317234432</v>
      </c>
      <c r="AI44" s="17">
        <f t="shared" si="22"/>
        <v>98.988223434461034</v>
      </c>
      <c r="AJ44" s="17">
        <f t="shared" si="16"/>
        <v>95.985947881744195</v>
      </c>
      <c r="AK44" s="17">
        <v>1</v>
      </c>
      <c r="AM44" s="29">
        <f t="shared" si="17"/>
        <v>8.1392360054616528</v>
      </c>
      <c r="AN44" s="17">
        <f>(report!AC40)*1000</f>
        <v>131.97122639280263</v>
      </c>
      <c r="AO44" s="17">
        <f>(report!AD40)*1000</f>
        <v>211.4641875897544</v>
      </c>
      <c r="AP44" s="169"/>
      <c r="AQ44" s="17">
        <v>11</v>
      </c>
      <c r="AR44" s="17">
        <f>H44/H63</f>
        <v>2.0498832148024677</v>
      </c>
      <c r="AS44" s="18">
        <f>L44/L63</f>
        <v>1.0103414270975848</v>
      </c>
      <c r="AT44" s="18">
        <f>N44/N63</f>
        <v>1.1068194731058032</v>
      </c>
      <c r="AU44" s="18">
        <f>AG44/AG63</f>
        <v>0.96411418989055486</v>
      </c>
      <c r="AV44" s="18">
        <f>AB44/AB63</f>
        <v>1.1514332034678012</v>
      </c>
    </row>
    <row r="45" spans="1:48" x14ac:dyDescent="0.25">
      <c r="A45" s="241">
        <v>2016</v>
      </c>
      <c r="B45" s="238" t="s">
        <v>109</v>
      </c>
      <c r="C45" s="269">
        <v>15</v>
      </c>
      <c r="D45" s="278">
        <v>17</v>
      </c>
      <c r="E45" s="255">
        <f>mass_filt_1!S50</f>
        <v>1210.6571428571428</v>
      </c>
      <c r="F45" s="271">
        <v>0.5</v>
      </c>
      <c r="G45" s="238">
        <f t="shared" si="18"/>
        <v>17</v>
      </c>
      <c r="H45" s="277">
        <f t="shared" si="12"/>
        <v>142.43025210084033</v>
      </c>
      <c r="I45" s="277">
        <f t="shared" si="13"/>
        <v>52.022649579831935</v>
      </c>
      <c r="J45" s="255"/>
      <c r="K45" s="255">
        <v>1</v>
      </c>
      <c r="L45" s="395">
        <f>CHN!M48</f>
        <v>12.697575569152832</v>
      </c>
      <c r="M45" s="395">
        <f>CHN!N48</f>
        <v>0.76225507259368896</v>
      </c>
      <c r="N45" s="395">
        <f>CHN!O48</f>
        <v>0.6531527042388916</v>
      </c>
      <c r="O45" s="395"/>
      <c r="Q45" s="169"/>
      <c r="R45" s="277">
        <f>sal_pH!E38</f>
        <v>37.79</v>
      </c>
      <c r="S45" s="277">
        <f>sal_pH!F38</f>
        <v>8.51</v>
      </c>
      <c r="T45" s="261">
        <f>logs!L18</f>
        <v>42691</v>
      </c>
      <c r="U45" s="261">
        <f>logs!L19</f>
        <v>42708</v>
      </c>
      <c r="V45" s="259">
        <f t="shared" si="14"/>
        <v>42699.5</v>
      </c>
      <c r="W45" s="238">
        <f t="shared" si="15"/>
        <v>255</v>
      </c>
      <c r="X45" s="238">
        <f t="shared" si="19"/>
        <v>238</v>
      </c>
      <c r="Y45" s="199"/>
      <c r="Z45" s="169"/>
      <c r="AA45" s="169"/>
      <c r="AB45" s="18">
        <f>BSi_results!T51</f>
        <v>7.093779127948534</v>
      </c>
      <c r="AC45" s="18">
        <f>BSi_results!U51</f>
        <v>15.174979985704073</v>
      </c>
      <c r="AD45" s="169"/>
      <c r="AE45" s="169"/>
      <c r="AF45" s="328">
        <f>PIC!T40</f>
        <v>67.596772424485593</v>
      </c>
      <c r="AG45" s="328">
        <f t="shared" si="20"/>
        <v>8.1113236279480319</v>
      </c>
      <c r="AH45" s="277">
        <f t="shared" si="21"/>
        <v>4.5862519412048002</v>
      </c>
      <c r="AI45" s="17">
        <f t="shared" si="22"/>
        <v>100.93664312457851</v>
      </c>
      <c r="AJ45" s="17">
        <f t="shared" si="16"/>
        <v>98.230754479267674</v>
      </c>
      <c r="AK45" s="17">
        <v>1</v>
      </c>
      <c r="AM45" s="29">
        <f t="shared" si="17"/>
        <v>8.1910260509617459</v>
      </c>
      <c r="AN45" s="17">
        <f>(report!AC41)*1000</f>
        <v>198.65859918577962</v>
      </c>
      <c r="AO45" s="17">
        <f>(report!AD41)*1000</f>
        <v>351.35099644075899</v>
      </c>
      <c r="AP45" s="169"/>
      <c r="AQ45" s="17">
        <v>12</v>
      </c>
      <c r="AR45" s="17">
        <f>H45/H64</f>
        <v>1.2697791342952276</v>
      </c>
      <c r="AS45" s="18">
        <f>L45/L64</f>
        <v>1.0335824139722392</v>
      </c>
      <c r="AT45" s="18">
        <f>N45/N64</f>
        <v>1.043914273174781</v>
      </c>
      <c r="AU45" s="18">
        <f>AG45/AG64</f>
        <v>0.99322739635830526</v>
      </c>
      <c r="AV45" s="18">
        <f>AB45/AB64</f>
        <v>1.0417526853696211</v>
      </c>
    </row>
    <row r="46" spans="1:48" x14ac:dyDescent="0.25">
      <c r="A46" s="241">
        <v>2016</v>
      </c>
      <c r="B46" s="238" t="s">
        <v>109</v>
      </c>
      <c r="C46" s="269">
        <v>16</v>
      </c>
      <c r="D46" s="278">
        <v>26</v>
      </c>
      <c r="E46" s="255">
        <f>mass_filt_1!S53</f>
        <v>1365.542857142857</v>
      </c>
      <c r="F46" s="271">
        <v>0.5</v>
      </c>
      <c r="G46" s="238">
        <f t="shared" ref="G46:G51" si="23">U46-T46</f>
        <v>17</v>
      </c>
      <c r="H46" s="277">
        <f t="shared" ref="H46:H51" si="24">E46/F46/G46</f>
        <v>160.65210084033612</v>
      </c>
      <c r="I46" s="277">
        <f t="shared" ref="I46:I51" si="25">0.001*365.25*E46/F46/G46</f>
        <v>58.678179831932766</v>
      </c>
      <c r="J46" s="255"/>
      <c r="K46" s="255">
        <v>1</v>
      </c>
      <c r="L46" s="395">
        <f>CHN!R49</f>
        <v>12.254880428314209</v>
      </c>
      <c r="M46" s="395">
        <f>CHN!S49</f>
        <v>0.65905347466468811</v>
      </c>
      <c r="N46" s="395">
        <f>CHN!T49</f>
        <v>0.81864586472511292</v>
      </c>
      <c r="O46" s="395"/>
      <c r="P46" s="257" t="s">
        <v>1293</v>
      </c>
      <c r="Q46" s="169"/>
      <c r="R46" s="277">
        <f>sal_pH!E39</f>
        <v>37.36</v>
      </c>
      <c r="S46" s="277">
        <f>sal_pH!F39</f>
        <v>8.42</v>
      </c>
      <c r="T46" s="261">
        <f>logs!L19</f>
        <v>42708</v>
      </c>
      <c r="U46" s="261">
        <f>logs!L20</f>
        <v>42725</v>
      </c>
      <c r="V46" s="259">
        <f t="shared" ref="V46:V51" si="26">AVERAGE(T46:U46)</f>
        <v>42716.5</v>
      </c>
      <c r="W46" s="238">
        <f t="shared" si="15"/>
        <v>272</v>
      </c>
      <c r="X46" s="238">
        <f t="shared" si="19"/>
        <v>255</v>
      </c>
      <c r="Y46" s="199"/>
      <c r="Z46" s="169"/>
      <c r="AA46" s="169"/>
      <c r="AB46" s="18">
        <f>AVERAGE(BSi_results!T52:T53)</f>
        <v>9.0522385974647506</v>
      </c>
      <c r="AC46" s="18">
        <f>AVERAGE(BSi_results!U52:U53)</f>
        <v>19.364507558620755</v>
      </c>
      <c r="AD46" s="169"/>
      <c r="AE46" s="169"/>
      <c r="AF46" s="328">
        <f>PIC!T41</f>
        <v>63.025721943428337</v>
      </c>
      <c r="AG46" s="328">
        <f t="shared" si="20"/>
        <v>7.5628171173307823</v>
      </c>
      <c r="AH46" s="277">
        <f t="shared" si="21"/>
        <v>4.6920633109834267</v>
      </c>
      <c r="AI46" s="17">
        <f t="shared" si="22"/>
        <v>101.31118197114112</v>
      </c>
      <c r="AJ46" s="17">
        <f t="shared" si="16"/>
        <v>98.542864617660911</v>
      </c>
      <c r="AK46" s="17">
        <v>1</v>
      </c>
      <c r="AM46" s="29">
        <f t="shared" si="17"/>
        <v>6.6859468371012012</v>
      </c>
      <c r="AN46" s="17">
        <f>(report!AC42)*1000</f>
        <v>229.24374250183132</v>
      </c>
      <c r="AO46" s="17">
        <f>(report!AD42)*1000</f>
        <v>369.50236706640709</v>
      </c>
      <c r="AP46" s="169"/>
      <c r="AQ46" s="17">
        <v>13</v>
      </c>
      <c r="AR46" s="17">
        <f>H46/H64</f>
        <v>1.4322286348501665</v>
      </c>
      <c r="AS46" s="18">
        <f>L46/L64</f>
        <v>0.99754703778331122</v>
      </c>
      <c r="AT46" s="18">
        <f>N46/N64</f>
        <v>1.3084170015921524</v>
      </c>
      <c r="AU46" s="18">
        <f>AG46/AG64</f>
        <v>0.9260630569219106</v>
      </c>
      <c r="AV46" s="18">
        <f>AB46/AB64</f>
        <v>1.3293610778437888</v>
      </c>
    </row>
    <row r="47" spans="1:48" x14ac:dyDescent="0.25">
      <c r="A47" s="241">
        <v>2016</v>
      </c>
      <c r="B47" s="238" t="s">
        <v>109</v>
      </c>
      <c r="C47" s="270">
        <v>17</v>
      </c>
      <c r="D47" s="437">
        <v>36</v>
      </c>
      <c r="E47" s="255">
        <f>mass_filt_1!S56</f>
        <v>1584.0571428571427</v>
      </c>
      <c r="F47" s="271">
        <v>0.5</v>
      </c>
      <c r="G47" s="238">
        <f t="shared" si="23"/>
        <v>17</v>
      </c>
      <c r="H47" s="277">
        <f t="shared" si="24"/>
        <v>186.3596638655462</v>
      </c>
      <c r="I47" s="277">
        <f t="shared" si="25"/>
        <v>68.067867226890755</v>
      </c>
      <c r="J47" s="255"/>
      <c r="K47" s="255">
        <v>1</v>
      </c>
      <c r="L47" s="395">
        <f>CHN!M36</f>
        <v>12.420710563659668</v>
      </c>
      <c r="M47" s="395">
        <f>CHN!N36</f>
        <v>1.1080378293991089</v>
      </c>
      <c r="N47" s="395">
        <f>CHN!O36</f>
        <v>0.86473464965820313</v>
      </c>
      <c r="O47" s="395"/>
      <c r="Q47" s="169"/>
      <c r="R47" s="277">
        <f>sal_pH!E40</f>
        <v>37.35</v>
      </c>
      <c r="S47" s="277">
        <f>sal_pH!F40</f>
        <v>8.42</v>
      </c>
      <c r="T47" s="261">
        <f>logs!L20</f>
        <v>42725</v>
      </c>
      <c r="U47" s="261">
        <f>logs!L21</f>
        <v>42742</v>
      </c>
      <c r="V47" s="259">
        <f t="shared" si="26"/>
        <v>42733.5</v>
      </c>
      <c r="W47" s="238">
        <f t="shared" si="15"/>
        <v>289</v>
      </c>
      <c r="X47" s="238">
        <f t="shared" si="19"/>
        <v>272</v>
      </c>
      <c r="Y47" s="199"/>
      <c r="Z47" s="169"/>
      <c r="AA47" s="169"/>
      <c r="AB47" s="18">
        <f>BSi_results!T54</f>
        <v>12.526804529392866</v>
      </c>
      <c r="AC47" s="18">
        <f>BSi_results!U54</f>
        <v>26.797283167362668</v>
      </c>
      <c r="AD47" s="169"/>
      <c r="AE47" s="169"/>
      <c r="AF47" s="328">
        <f>PIC!T42</f>
        <v>50.195517680001636</v>
      </c>
      <c r="AG47" s="328">
        <f t="shared" si="20"/>
        <v>6.0232474713156234</v>
      </c>
      <c r="AH47" s="277">
        <f t="shared" si="21"/>
        <v>6.3974630923440445</v>
      </c>
      <c r="AI47" s="17">
        <f t="shared" si="22"/>
        <v>101.48942402341409</v>
      </c>
      <c r="AJ47" s="17">
        <f t="shared" si="16"/>
        <v>97.714920798931104</v>
      </c>
      <c r="AK47" s="17">
        <v>1</v>
      </c>
      <c r="AM47" s="29">
        <f t="shared" si="17"/>
        <v>8.6301840076696479</v>
      </c>
      <c r="AN47" s="17">
        <f>(report!AC43)*1000</f>
        <v>362.58257148926589</v>
      </c>
      <c r="AO47" s="17">
        <f>(report!AD43)*1000</f>
        <v>341.3735296854432</v>
      </c>
      <c r="AP47" s="169"/>
      <c r="AQ47" s="17">
        <v>14</v>
      </c>
      <c r="AR47" s="17">
        <f>H47/H65</f>
        <v>1.4589864908658252</v>
      </c>
      <c r="AS47" s="18">
        <f>L47/L65</f>
        <v>0.9622662419927569</v>
      </c>
      <c r="AT47" s="18">
        <f>N47/N65</f>
        <v>0.97396540545214505</v>
      </c>
      <c r="AU47" s="18">
        <f>AG47/AG65</f>
        <v>0.92546991174773274</v>
      </c>
      <c r="AV47" s="18">
        <f>AB47/AB65</f>
        <v>1.1754119942182768</v>
      </c>
    </row>
    <row r="48" spans="1:48" x14ac:dyDescent="0.25">
      <c r="A48" s="241">
        <v>2016</v>
      </c>
      <c r="B48" s="238" t="s">
        <v>109</v>
      </c>
      <c r="C48" s="270">
        <v>18</v>
      </c>
      <c r="D48" s="437">
        <v>20</v>
      </c>
      <c r="E48" s="255">
        <f>mass_filt_1!S59</f>
        <v>713.67142857142846</v>
      </c>
      <c r="F48" s="271">
        <v>0.5</v>
      </c>
      <c r="G48" s="238">
        <f t="shared" si="23"/>
        <v>17</v>
      </c>
      <c r="H48" s="277">
        <f t="shared" si="24"/>
        <v>83.961344537815108</v>
      </c>
      <c r="I48" s="277">
        <f t="shared" si="25"/>
        <v>30.66688109243697</v>
      </c>
      <c r="J48" s="255"/>
      <c r="K48" s="255">
        <v>1</v>
      </c>
      <c r="L48" s="395">
        <f>CHN!M37</f>
        <v>16.616935729980469</v>
      </c>
      <c r="M48" s="395">
        <f>CHN!N37</f>
        <v>1.9009114503860474</v>
      </c>
      <c r="N48" s="395">
        <f>CHN!O37</f>
        <v>1.5863571166992188</v>
      </c>
      <c r="O48" s="395"/>
      <c r="P48" s="257" t="s">
        <v>1275</v>
      </c>
      <c r="Q48" s="169"/>
      <c r="R48" s="277">
        <f>sal_pH!E41</f>
        <v>38.1</v>
      </c>
      <c r="S48" s="277">
        <f>sal_pH!F41</f>
        <v>8.49</v>
      </c>
      <c r="T48" s="261">
        <f>logs!L21</f>
        <v>42742</v>
      </c>
      <c r="U48" s="261">
        <f>logs!L22</f>
        <v>42759</v>
      </c>
      <c r="V48" s="259">
        <f t="shared" si="26"/>
        <v>42750.5</v>
      </c>
      <c r="W48" s="238">
        <f t="shared" si="15"/>
        <v>306</v>
      </c>
      <c r="X48" s="238">
        <f t="shared" si="19"/>
        <v>289</v>
      </c>
      <c r="Y48" s="199"/>
      <c r="Z48" s="169"/>
      <c r="AA48" s="169"/>
      <c r="AB48" s="18">
        <f>BSi_results!T55</f>
        <v>9.9699347465570725</v>
      </c>
      <c r="AC48" s="18">
        <f>BSi_results!U55</f>
        <v>21.327638979017959</v>
      </c>
      <c r="AD48" s="169"/>
      <c r="AE48" s="169"/>
      <c r="AF48" s="328">
        <f>PIC!T43</f>
        <v>43.142146829754992</v>
      </c>
      <c r="AG48" s="328">
        <f t="shared" si="20"/>
        <v>5.1768731315022984</v>
      </c>
      <c r="AH48" s="277">
        <f t="shared" si="21"/>
        <v>11.440062598478171</v>
      </c>
      <c r="AI48" s="17">
        <f t="shared" si="22"/>
        <v>102.43360074621903</v>
      </c>
      <c r="AJ48" s="17">
        <f t="shared" si="16"/>
        <v>95.683963813116918</v>
      </c>
      <c r="AK48" s="17">
        <v>1</v>
      </c>
      <c r="AM48" s="29">
        <f t="shared" si="17"/>
        <v>8.4124513850878095</v>
      </c>
      <c r="AN48" s="17">
        <f>(report!AC44)*1000</f>
        <v>292.11576968989641</v>
      </c>
      <c r="AO48" s="17">
        <f>(report!AD44)*1000</f>
        <v>132.18863676470673</v>
      </c>
      <c r="AP48" s="169"/>
      <c r="AQ48" s="17">
        <v>15</v>
      </c>
      <c r="AR48" s="17">
        <f>H48/H65</f>
        <v>0.65732286104563353</v>
      </c>
      <c r="AS48" s="18">
        <f>L48/L65</f>
        <v>1.2873592228375834</v>
      </c>
      <c r="AT48" s="18">
        <f>N48/N65</f>
        <v>1.7867411152872767</v>
      </c>
      <c r="AU48" s="18">
        <f>AG48/AG65</f>
        <v>0.79542478421431384</v>
      </c>
      <c r="AV48" s="18">
        <f>AB48/AB65</f>
        <v>0.93549642729554994</v>
      </c>
    </row>
    <row r="49" spans="1:48" x14ac:dyDescent="0.25">
      <c r="A49" s="241">
        <v>2016</v>
      </c>
      <c r="B49" s="238" t="s">
        <v>109</v>
      </c>
      <c r="C49" s="270">
        <v>19</v>
      </c>
      <c r="D49" s="438" t="s">
        <v>676</v>
      </c>
      <c r="E49" s="255">
        <f>mass_filt_1!S60</f>
        <v>6.5142857142857178</v>
      </c>
      <c r="F49" s="271">
        <v>0.5</v>
      </c>
      <c r="G49" s="238">
        <f t="shared" si="23"/>
        <v>17</v>
      </c>
      <c r="H49" s="277">
        <f t="shared" si="24"/>
        <v>0.76638655462184913</v>
      </c>
      <c r="I49" s="277">
        <f t="shared" si="25"/>
        <v>0.27992268907563045</v>
      </c>
      <c r="J49" s="255"/>
      <c r="K49" s="255" t="s">
        <v>244</v>
      </c>
      <c r="L49" s="395" t="s">
        <v>900</v>
      </c>
      <c r="M49" s="395" t="s">
        <v>900</v>
      </c>
      <c r="N49" s="395" t="s">
        <v>900</v>
      </c>
      <c r="O49" s="395"/>
      <c r="P49" s="257" t="s">
        <v>1270</v>
      </c>
      <c r="Q49" s="169"/>
      <c r="R49" s="277">
        <f>sal_pH!E42</f>
        <v>38.67</v>
      </c>
      <c r="S49" s="277">
        <f>sal_pH!F42</f>
        <v>8.65</v>
      </c>
      <c r="T49" s="261">
        <f>logs!L22</f>
        <v>42759</v>
      </c>
      <c r="U49" s="261">
        <f>logs!L23</f>
        <v>42776</v>
      </c>
      <c r="V49" s="259">
        <f t="shared" si="26"/>
        <v>42767.5</v>
      </c>
      <c r="W49" s="238">
        <f t="shared" si="15"/>
        <v>323</v>
      </c>
      <c r="X49" s="238">
        <f t="shared" si="19"/>
        <v>306</v>
      </c>
      <c r="Y49" s="199"/>
      <c r="Z49" s="169"/>
      <c r="AA49" s="169"/>
      <c r="AB49" s="18" t="str">
        <f>BSi_results!T56</f>
        <v>NaN</v>
      </c>
      <c r="AC49" s="18" t="str">
        <f>BSi_results!U56</f>
        <v>NaN</v>
      </c>
      <c r="AD49" s="169"/>
      <c r="AE49" s="169"/>
      <c r="AF49" s="328" t="s">
        <v>900</v>
      </c>
      <c r="AG49" s="328" t="s">
        <v>900</v>
      </c>
      <c r="AH49" s="277" t="s">
        <v>900</v>
      </c>
      <c r="AI49" s="17" t="s">
        <v>900</v>
      </c>
      <c r="AJ49" s="17" t="s">
        <v>900</v>
      </c>
      <c r="AM49" s="169"/>
      <c r="AN49" s="17"/>
      <c r="AO49" s="17"/>
      <c r="AP49" s="169"/>
      <c r="AQ49" s="17">
        <v>17</v>
      </c>
      <c r="AR49" s="17">
        <f>H49/H66</f>
        <v>7.5181955353691701E-3</v>
      </c>
      <c r="AS49" s="18" t="e">
        <f>L49/L66</f>
        <v>#VALUE!</v>
      </c>
      <c r="AT49" s="18" t="e">
        <f>N49/N66</f>
        <v>#VALUE!</v>
      </c>
      <c r="AU49" s="18" t="e">
        <f>AG49/AG66</f>
        <v>#VALUE!</v>
      </c>
      <c r="AV49" s="18" t="e">
        <f>AB49/AB66</f>
        <v>#VALUE!</v>
      </c>
    </row>
    <row r="50" spans="1:48" x14ac:dyDescent="0.25">
      <c r="A50" s="241">
        <v>2016</v>
      </c>
      <c r="B50" s="238" t="s">
        <v>109</v>
      </c>
      <c r="C50" s="270">
        <v>20</v>
      </c>
      <c r="D50" s="438" t="s">
        <v>676</v>
      </c>
      <c r="E50" s="255">
        <f>mass_filt_1!S61</f>
        <v>2.2428571428571433</v>
      </c>
      <c r="F50" s="271">
        <v>0.5</v>
      </c>
      <c r="G50" s="238">
        <f t="shared" si="23"/>
        <v>17</v>
      </c>
      <c r="H50" s="277">
        <f t="shared" si="24"/>
        <v>0.26386554621848746</v>
      </c>
      <c r="I50" s="277">
        <f t="shared" si="25"/>
        <v>9.6376890756302555E-2</v>
      </c>
      <c r="J50" s="255"/>
      <c r="K50" s="255" t="s">
        <v>244</v>
      </c>
      <c r="L50" s="395" t="s">
        <v>900</v>
      </c>
      <c r="M50" s="395" t="s">
        <v>900</v>
      </c>
      <c r="N50" s="395" t="s">
        <v>900</v>
      </c>
      <c r="O50" s="395"/>
      <c r="P50" s="257" t="s">
        <v>1276</v>
      </c>
      <c r="Q50" s="169"/>
      <c r="R50" s="277">
        <f>sal_pH!E43</f>
        <v>38.72</v>
      </c>
      <c r="S50" s="277">
        <f>sal_pH!F43</f>
        <v>8.6</v>
      </c>
      <c r="T50" s="261">
        <f>logs!L23</f>
        <v>42776</v>
      </c>
      <c r="U50" s="261">
        <f>logs!L24</f>
        <v>42793</v>
      </c>
      <c r="V50" s="259">
        <f t="shared" si="26"/>
        <v>42784.5</v>
      </c>
      <c r="W50" s="238">
        <f t="shared" si="15"/>
        <v>340</v>
      </c>
      <c r="X50" s="238">
        <f t="shared" si="19"/>
        <v>323</v>
      </c>
      <c r="Y50" s="199"/>
      <c r="Z50" s="169"/>
      <c r="AA50" s="169"/>
      <c r="AB50" s="18" t="str">
        <f>BSi_results!T57</f>
        <v>NaN</v>
      </c>
      <c r="AC50" s="18" t="str">
        <f>BSi_results!U57</f>
        <v>NaN</v>
      </c>
      <c r="AD50" s="169"/>
      <c r="AE50" s="169"/>
      <c r="AF50" s="328" t="s">
        <v>900</v>
      </c>
      <c r="AG50" s="328" t="s">
        <v>900</v>
      </c>
      <c r="AH50" s="277" t="s">
        <v>900</v>
      </c>
      <c r="AI50" s="17" t="s">
        <v>900</v>
      </c>
      <c r="AJ50" s="17" t="s">
        <v>900</v>
      </c>
      <c r="AM50" s="169"/>
      <c r="AN50" s="17"/>
      <c r="AO50" s="17"/>
      <c r="AP50" s="169"/>
      <c r="AQ50" s="17">
        <v>18</v>
      </c>
      <c r="AR50" s="17">
        <f>H50/H67</f>
        <v>3.8288947419763937E-3</v>
      </c>
      <c r="AS50" s="18" t="e">
        <f>L50/L67</f>
        <v>#VALUE!</v>
      </c>
      <c r="AT50" s="18" t="e">
        <f>N50/N67</f>
        <v>#VALUE!</v>
      </c>
      <c r="AU50" s="18" t="e">
        <f>AG50/AG67</f>
        <v>#VALUE!</v>
      </c>
      <c r="AV50" s="18" t="e">
        <f>AB50/AB67</f>
        <v>#VALUE!</v>
      </c>
    </row>
    <row r="51" spans="1:48" x14ac:dyDescent="0.25">
      <c r="A51" s="241">
        <v>2016</v>
      </c>
      <c r="B51" s="238" t="s">
        <v>109</v>
      </c>
      <c r="C51" s="270">
        <v>21</v>
      </c>
      <c r="D51" s="438" t="s">
        <v>676</v>
      </c>
      <c r="E51" s="255">
        <f>mass_filt_1!S62</f>
        <v>1.5142857142857176</v>
      </c>
      <c r="F51" s="271">
        <v>0.5</v>
      </c>
      <c r="G51" s="238">
        <f t="shared" si="23"/>
        <v>17</v>
      </c>
      <c r="H51" s="277">
        <f t="shared" si="24"/>
        <v>0.17815126050420207</v>
      </c>
      <c r="I51" s="277">
        <f t="shared" si="25"/>
        <v>6.5069747899159813E-2</v>
      </c>
      <c r="J51" s="255"/>
      <c r="K51" s="255" t="s">
        <v>244</v>
      </c>
      <c r="L51" s="395" t="s">
        <v>900</v>
      </c>
      <c r="M51" s="395" t="s">
        <v>900</v>
      </c>
      <c r="N51" s="395" t="s">
        <v>900</v>
      </c>
      <c r="O51" s="395"/>
      <c r="P51" s="257" t="s">
        <v>1277</v>
      </c>
      <c r="Q51" s="169"/>
      <c r="R51" s="277">
        <f>sal_pH!E44</f>
        <v>38.67</v>
      </c>
      <c r="S51" s="277">
        <f>sal_pH!F44</f>
        <v>8.57</v>
      </c>
      <c r="T51" s="261">
        <f>logs!L24</f>
        <v>42793</v>
      </c>
      <c r="U51" s="261">
        <f>logs!L25</f>
        <v>42810</v>
      </c>
      <c r="V51" s="259">
        <f t="shared" si="26"/>
        <v>42801.5</v>
      </c>
      <c r="W51" s="238">
        <f t="shared" si="15"/>
        <v>357</v>
      </c>
      <c r="X51" s="238">
        <f t="shared" si="19"/>
        <v>340</v>
      </c>
      <c r="Y51" s="199"/>
      <c r="Z51" s="169"/>
      <c r="AA51" s="169"/>
      <c r="AB51" s="18" t="str">
        <f>BSi_results!T58</f>
        <v>NaN</v>
      </c>
      <c r="AC51" s="18" t="str">
        <f>BSi_results!U58</f>
        <v>NaN</v>
      </c>
      <c r="AD51" s="169"/>
      <c r="AE51" s="169"/>
      <c r="AF51" s="328" t="s">
        <v>900</v>
      </c>
      <c r="AG51" s="328" t="s">
        <v>900</v>
      </c>
      <c r="AH51" s="277" t="s">
        <v>900</v>
      </c>
      <c r="AI51" s="17" t="s">
        <v>900</v>
      </c>
      <c r="AJ51" s="17" t="s">
        <v>900</v>
      </c>
      <c r="AM51" s="169"/>
      <c r="AN51" s="17"/>
      <c r="AO51" s="17"/>
      <c r="AP51" s="169"/>
      <c r="AQ51" s="17">
        <v>19</v>
      </c>
      <c r="AR51" s="17">
        <f>H51/H67</f>
        <v>2.5851136474490354E-3</v>
      </c>
      <c r="AS51" s="18" t="e">
        <f>L51/L67</f>
        <v>#VALUE!</v>
      </c>
      <c r="AT51" s="18" t="e">
        <f>N51/N67</f>
        <v>#VALUE!</v>
      </c>
      <c r="AU51" s="18" t="e">
        <f>AG51/AG67</f>
        <v>#VALUE!</v>
      </c>
      <c r="AV51" s="18" t="e">
        <f>AB51/AB67</f>
        <v>#VALUE!</v>
      </c>
    </row>
    <row r="52" spans="1:48" ht="15.5" x14ac:dyDescent="0.35">
      <c r="A52" s="34" t="s">
        <v>1291</v>
      </c>
      <c r="B52" s="173"/>
      <c r="C52" s="264"/>
      <c r="D52" s="266"/>
      <c r="E52" s="265"/>
      <c r="F52" s="267"/>
      <c r="G52" s="173"/>
      <c r="H52" s="170"/>
      <c r="I52" s="170"/>
      <c r="J52" s="173"/>
      <c r="K52" s="173"/>
      <c r="L52" s="170"/>
      <c r="M52" s="170"/>
      <c r="N52" s="170"/>
      <c r="O52" s="170"/>
      <c r="Q52" s="169"/>
      <c r="R52" s="170"/>
      <c r="S52" s="171"/>
      <c r="T52" s="197"/>
      <c r="U52" s="197"/>
      <c r="V52" s="181"/>
      <c r="W52" s="173"/>
      <c r="X52" s="173"/>
      <c r="Y52" s="199"/>
      <c r="Z52" s="169"/>
      <c r="AA52" s="169"/>
      <c r="AD52" s="169"/>
      <c r="AE52" s="169"/>
      <c r="AF52" s="169"/>
      <c r="AG52" s="169"/>
      <c r="AK52" s="10" t="s">
        <v>800</v>
      </c>
      <c r="AL52" s="471">
        <f>AVERAGE(AL31:AL49)</f>
        <v>0.99577091006874374</v>
      </c>
      <c r="AM52" s="169"/>
      <c r="AN52" s="169"/>
      <c r="AO52" s="169"/>
      <c r="AP52" s="169"/>
      <c r="AQ52" s="169"/>
      <c r="AR52" s="169"/>
      <c r="AS52" s="169"/>
      <c r="AT52" s="169"/>
      <c r="AU52" s="169"/>
    </row>
    <row r="53" spans="1:48" x14ac:dyDescent="0.25">
      <c r="A53" s="173"/>
      <c r="B53" s="173"/>
      <c r="C53" s="169"/>
      <c r="D53" s="182"/>
      <c r="E53" s="170"/>
      <c r="F53" s="173"/>
      <c r="G53" s="173"/>
      <c r="H53" s="170"/>
      <c r="I53" s="170"/>
      <c r="J53" s="173"/>
      <c r="K53" s="173"/>
      <c r="L53" s="170"/>
      <c r="M53" s="170"/>
      <c r="N53" s="170"/>
      <c r="O53" s="170"/>
      <c r="Q53" s="169"/>
      <c r="R53" s="170"/>
      <c r="S53" s="171"/>
      <c r="T53" s="197"/>
      <c r="U53" s="197"/>
      <c r="V53" s="181"/>
      <c r="W53" s="173"/>
      <c r="X53" s="173"/>
      <c r="Y53" s="199"/>
      <c r="Z53" s="169"/>
      <c r="AA53" s="169"/>
      <c r="AD53" s="169"/>
      <c r="AE53" s="169"/>
      <c r="AF53" s="169"/>
      <c r="AG53" s="169"/>
      <c r="AM53" s="169"/>
      <c r="AN53" s="169"/>
      <c r="AO53" s="169"/>
      <c r="AP53" s="169"/>
      <c r="AQ53" s="169"/>
      <c r="AR53" s="169"/>
      <c r="AS53" s="169"/>
      <c r="AT53" s="169"/>
      <c r="AU53" s="169"/>
    </row>
    <row r="54" spans="1:48" s="153" customFormat="1" ht="13" x14ac:dyDescent="0.3">
      <c r="A54" s="263" t="s">
        <v>668</v>
      </c>
      <c r="B54" s="542" t="s">
        <v>3299</v>
      </c>
      <c r="C54" s="176"/>
      <c r="D54" s="200"/>
      <c r="E54" s="175"/>
      <c r="F54" s="177"/>
      <c r="G54" s="406" t="s">
        <v>956</v>
      </c>
      <c r="H54" s="175"/>
      <c r="I54" s="175"/>
      <c r="J54" s="177"/>
      <c r="K54" s="177"/>
      <c r="L54" s="175"/>
      <c r="M54" s="175"/>
      <c r="N54" s="175"/>
      <c r="O54" s="175"/>
      <c r="P54" s="429"/>
      <c r="Q54" s="192"/>
      <c r="R54" s="176"/>
      <c r="S54" s="176"/>
      <c r="T54" s="193"/>
      <c r="U54" s="193"/>
      <c r="V54" s="194"/>
      <c r="W54" s="260">
        <v>0</v>
      </c>
      <c r="X54" s="177"/>
      <c r="Y54" s="201"/>
      <c r="Z54" s="176"/>
      <c r="AA54" s="176"/>
      <c r="AB54" s="415"/>
      <c r="AC54" s="415"/>
      <c r="AD54" s="176"/>
      <c r="AE54" s="176"/>
      <c r="AF54" s="176"/>
      <c r="AG54" s="176"/>
      <c r="AH54" s="242"/>
      <c r="AI54" s="415"/>
      <c r="AJ54" s="17"/>
      <c r="AK54" s="415"/>
      <c r="AL54" s="475" t="s">
        <v>3208</v>
      </c>
      <c r="AM54" s="176"/>
      <c r="AN54" s="176"/>
      <c r="AO54" s="176"/>
      <c r="AP54" s="176"/>
      <c r="AQ54" s="176"/>
      <c r="AR54" s="176"/>
      <c r="AS54" s="176"/>
      <c r="AT54" s="176"/>
      <c r="AU54" s="176"/>
    </row>
    <row r="55" spans="1:48" ht="13" x14ac:dyDescent="0.3">
      <c r="A55" s="241">
        <v>2016</v>
      </c>
      <c r="B55" s="238" t="s">
        <v>110</v>
      </c>
      <c r="C55" s="418" t="s">
        <v>1296</v>
      </c>
      <c r="D55" s="241">
        <v>3</v>
      </c>
      <c r="E55" s="255">
        <f>mass_filt_1!S66</f>
        <v>451.30000000000007</v>
      </c>
      <c r="F55" s="271">
        <v>0.5</v>
      </c>
      <c r="G55" s="238">
        <f t="shared" ref="G55:G67" si="27">U55-T55</f>
        <v>27</v>
      </c>
      <c r="H55" s="277">
        <f t="shared" ref="H55:H67" si="28">E55/F55/G55</f>
        <v>33.429629629629638</v>
      </c>
      <c r="I55" s="277">
        <f t="shared" ref="I55:I67" si="29">0.001*365.25*E55/F55/G55</f>
        <v>12.210172222222225</v>
      </c>
      <c r="J55" s="173"/>
      <c r="K55" s="255">
        <v>1</v>
      </c>
      <c r="L55" s="395">
        <f>CHN!M51</f>
        <v>12.980376243591309</v>
      </c>
      <c r="M55" s="395">
        <f>CHN!N51</f>
        <v>0.58470714092254639</v>
      </c>
      <c r="N55" s="395">
        <f>CHN!O51</f>
        <v>0.60060226917266846</v>
      </c>
      <c r="O55" s="395"/>
      <c r="P55" s="257" t="s">
        <v>825</v>
      </c>
      <c r="Q55" s="171"/>
      <c r="R55" s="277">
        <f>sal_pH!E45</f>
        <v>36.65</v>
      </c>
      <c r="S55" s="277">
        <f>sal_pH!F45</f>
        <v>8.5299999999999994</v>
      </c>
      <c r="T55" s="261">
        <f>logs!R4</f>
        <v>42453</v>
      </c>
      <c r="U55" s="261">
        <f>logs!R5</f>
        <v>42480</v>
      </c>
      <c r="V55" s="259">
        <f t="shared" ref="V55:V56" si="30">AVERAGE(T55:U55)</f>
        <v>42466.5</v>
      </c>
      <c r="W55" s="238">
        <f t="shared" ref="W55:W67" si="31">G55+W54</f>
        <v>27</v>
      </c>
      <c r="X55" s="238">
        <v>0</v>
      </c>
      <c r="Y55" s="202"/>
      <c r="Z55" s="169"/>
      <c r="AA55" s="169"/>
      <c r="AB55" s="18">
        <f>BSi_results!T59</f>
        <v>4.0644737090086709</v>
      </c>
      <c r="AC55" s="18">
        <f>BSi_results!U59</f>
        <v>8.6947036373916351</v>
      </c>
      <c r="AD55" s="169"/>
      <c r="AE55" s="169"/>
      <c r="AF55" s="328">
        <f>PIC!T49</f>
        <v>73.71494258911909</v>
      </c>
      <c r="AG55" s="328">
        <f t="shared" ref="AG55:AG67" si="32">AF55*12.01/100.0869</f>
        <v>8.845477884671423</v>
      </c>
      <c r="AH55" s="277">
        <f t="shared" ref="AH55" si="33">L55-AG55</f>
        <v>4.1348983589198856</v>
      </c>
      <c r="AI55" s="17">
        <f>AF55+(AC55*1.11)+(AH55*2.79)+3.7</f>
        <v>98.602430048010277</v>
      </c>
      <c r="AJ55" s="17">
        <f t="shared" ref="AJ55:AJ67" si="34">AF55+(AC55*1.11)+(AH55*2.2)+3.7</f>
        <v>96.162840016247557</v>
      </c>
      <c r="AK55" s="17">
        <v>1</v>
      </c>
      <c r="AL55">
        <f>E7/$E$55</f>
        <v>1.1747649647051375</v>
      </c>
      <c r="AM55" s="29">
        <f t="shared" ref="AM55:AM67" si="35">(AH55/12.01)/(N55/14.01)</f>
        <v>8.0310623514457635</v>
      </c>
      <c r="AN55" s="17">
        <f>(report!AC48)*1000</f>
        <v>42.038152442794214</v>
      </c>
      <c r="AO55" s="17">
        <f>(report!AD48)*1000</f>
        <v>89.929066078014998</v>
      </c>
      <c r="AP55" s="169"/>
      <c r="AQ55" s="17">
        <v>21</v>
      </c>
      <c r="AR55" s="17">
        <v>0.91817103530975841</v>
      </c>
      <c r="AS55" s="169"/>
      <c r="AT55" s="169"/>
      <c r="AU55" s="169"/>
    </row>
    <row r="56" spans="1:48" x14ac:dyDescent="0.25">
      <c r="A56" s="241">
        <v>2016</v>
      </c>
      <c r="B56" s="238" t="s">
        <v>110</v>
      </c>
      <c r="C56" s="269">
        <v>2</v>
      </c>
      <c r="D56" s="278">
        <v>3</v>
      </c>
      <c r="E56" s="255">
        <f>mass_filt_1!S67</f>
        <v>554.51428571428562</v>
      </c>
      <c r="F56" s="271">
        <v>0.5</v>
      </c>
      <c r="G56" s="238">
        <f t="shared" si="27"/>
        <v>27</v>
      </c>
      <c r="H56" s="277">
        <f t="shared" si="28"/>
        <v>41.075132275132269</v>
      </c>
      <c r="I56" s="277">
        <f t="shared" si="29"/>
        <v>15.002692063492063</v>
      </c>
      <c r="J56" s="173"/>
      <c r="K56" s="255">
        <v>1</v>
      </c>
      <c r="L56" s="395">
        <f>CHN!M52</f>
        <v>13.032732009887695</v>
      </c>
      <c r="M56" s="395">
        <f>CHN!N52</f>
        <v>0.47273567318916321</v>
      </c>
      <c r="N56" s="395">
        <f>CHN!O52</f>
        <v>0.52493429183959961</v>
      </c>
      <c r="O56" s="395"/>
      <c r="Q56" s="169"/>
      <c r="R56" s="277">
        <f>sal_pH!E46</f>
        <v>35.68</v>
      </c>
      <c r="S56" s="277">
        <f>sal_pH!F46</f>
        <v>8.3699999999999992</v>
      </c>
      <c r="T56" s="261">
        <f>logs!R5</f>
        <v>42480</v>
      </c>
      <c r="U56" s="261">
        <f>logs!R6</f>
        <v>42507</v>
      </c>
      <c r="V56" s="259">
        <f t="shared" si="30"/>
        <v>42493.5</v>
      </c>
      <c r="W56" s="238">
        <f t="shared" si="31"/>
        <v>54</v>
      </c>
      <c r="X56" s="238">
        <f t="shared" ref="X56:X67" si="36">G56+X55</f>
        <v>27</v>
      </c>
      <c r="Y56" s="199"/>
      <c r="Z56" s="169"/>
      <c r="AA56" s="169"/>
      <c r="AB56" s="18">
        <f>BSi_results!T60</f>
        <v>3.4585493265941376</v>
      </c>
      <c r="AC56" s="18">
        <f>BSi_results!U60</f>
        <v>7.3985129595956494</v>
      </c>
      <c r="AD56" s="169"/>
      <c r="AE56" s="169"/>
      <c r="AF56" s="328">
        <f>PIC!T50</f>
        <v>77.892691128720358</v>
      </c>
      <c r="AG56" s="328">
        <f t="shared" si="32"/>
        <v>9.3467898441847179</v>
      </c>
      <c r="AH56" s="277">
        <f t="shared" ref="AH56:AH67" si="37">L56-AG56</f>
        <v>3.6859421657029774</v>
      </c>
      <c r="AI56" s="17">
        <f t="shared" ref="AI56:AI67" si="38">AF56+(AC56*1.11)+(AH56*2.79)+3.7</f>
        <v>100.08881915618284</v>
      </c>
      <c r="AJ56" s="17">
        <f t="shared" si="34"/>
        <v>97.914113278418085</v>
      </c>
      <c r="AK56" s="17">
        <v>1</v>
      </c>
      <c r="AL56">
        <f>SUM(E8:E9)/$E$56</f>
        <v>0.69821723000824409</v>
      </c>
      <c r="AM56" s="29">
        <f t="shared" si="35"/>
        <v>8.1910334620455885</v>
      </c>
      <c r="AN56" s="17">
        <f>(report!AC49)*1000</f>
        <v>46.044175916638473</v>
      </c>
      <c r="AO56" s="17">
        <f>(report!AD49)*1000</f>
        <v>116.75854272645985</v>
      </c>
      <c r="AP56" s="169"/>
      <c r="AQ56" s="17">
        <v>23</v>
      </c>
      <c r="AR56" s="17">
        <v>0.93933217351243892</v>
      </c>
      <c r="AS56" s="169"/>
      <c r="AT56" s="169"/>
      <c r="AU56" s="169"/>
    </row>
    <row r="57" spans="1:48" x14ac:dyDescent="0.25">
      <c r="A57" s="241">
        <v>2016</v>
      </c>
      <c r="B57" s="238" t="s">
        <v>110</v>
      </c>
      <c r="C57" s="269">
        <v>3</v>
      </c>
      <c r="D57" s="278">
        <v>5</v>
      </c>
      <c r="E57" s="255">
        <f>mass_filt_1!S68</f>
        <v>710.14285714285711</v>
      </c>
      <c r="F57" s="271">
        <v>0.5</v>
      </c>
      <c r="G57" s="238">
        <f t="shared" si="27"/>
        <v>27</v>
      </c>
      <c r="H57" s="277">
        <f t="shared" si="28"/>
        <v>52.603174603174601</v>
      </c>
      <c r="I57" s="277">
        <f t="shared" si="29"/>
        <v>19.213309523809524</v>
      </c>
      <c r="J57" s="173"/>
      <c r="K57" s="255">
        <v>1</v>
      </c>
      <c r="L57" s="395">
        <f>CHN!M53</f>
        <v>12.301823616027832</v>
      </c>
      <c r="M57" s="395">
        <f>CHN!N53</f>
        <v>0.45526343584060669</v>
      </c>
      <c r="N57" s="395">
        <f>CHN!O53</f>
        <v>0.49015811085700989</v>
      </c>
      <c r="O57" s="395"/>
      <c r="Q57" s="169"/>
      <c r="R57" s="277">
        <f>sal_pH!E47</f>
        <v>37.44</v>
      </c>
      <c r="S57" s="277">
        <f>sal_pH!F47</f>
        <v>8.4600000000000009</v>
      </c>
      <c r="T57" s="261">
        <f>logs!R6</f>
        <v>42507</v>
      </c>
      <c r="U57" s="261">
        <f>logs!R7</f>
        <v>42534</v>
      </c>
      <c r="V57" s="259">
        <f t="shared" ref="V57:V67" si="39">AVERAGE(T57:U57)</f>
        <v>42520.5</v>
      </c>
      <c r="W57" s="238">
        <f t="shared" si="31"/>
        <v>81</v>
      </c>
      <c r="X57" s="238">
        <f t="shared" si="36"/>
        <v>54</v>
      </c>
      <c r="Y57" s="199"/>
      <c r="Z57" s="169"/>
      <c r="AA57" s="169"/>
      <c r="AB57" s="18">
        <f>BSi_results!T61</f>
        <v>4.6425417148172148</v>
      </c>
      <c r="AC57" s="18">
        <f>BSi_results!U61</f>
        <v>9.9313040812875215</v>
      </c>
      <c r="AD57" s="169"/>
      <c r="AE57" s="169"/>
      <c r="AF57" s="328">
        <f>PIC!T51</f>
        <v>76.429761824769699</v>
      </c>
      <c r="AG57" s="328">
        <f t="shared" si="32"/>
        <v>9.1712445836116814</v>
      </c>
      <c r="AH57" s="277">
        <f t="shared" si="37"/>
        <v>3.1305790324161507</v>
      </c>
      <c r="AI57" s="17">
        <f t="shared" si="38"/>
        <v>99.887824855439902</v>
      </c>
      <c r="AJ57" s="17">
        <f t="shared" si="34"/>
        <v>98.040783226314375</v>
      </c>
      <c r="AK57" s="17">
        <v>1</v>
      </c>
      <c r="AL57">
        <f>E10/$E$57</f>
        <v>0.31462482397907859</v>
      </c>
      <c r="AM57" s="29">
        <f t="shared" si="35"/>
        <v>7.4504689058206832</v>
      </c>
      <c r="AN57" s="17">
        <f>(report!AC50)*1000</f>
        <v>50.082251405961387</v>
      </c>
      <c r="AO57" s="17">
        <f>(report!AD50)*1000</f>
        <v>146.7193679462888</v>
      </c>
      <c r="AP57" s="169"/>
      <c r="AQ57" s="17">
        <v>25</v>
      </c>
      <c r="AR57" s="17">
        <v>1.0390784195392098</v>
      </c>
      <c r="AS57" s="169"/>
      <c r="AT57" s="169"/>
      <c r="AU57" s="169"/>
    </row>
    <row r="58" spans="1:48" x14ac:dyDescent="0.25">
      <c r="A58" s="241">
        <v>2016</v>
      </c>
      <c r="B58" s="238" t="s">
        <v>110</v>
      </c>
      <c r="C58" s="269">
        <v>4</v>
      </c>
      <c r="D58" s="278">
        <v>3</v>
      </c>
      <c r="E58" s="255">
        <f>mass_filt_1!S69</f>
        <v>641.98571428571427</v>
      </c>
      <c r="F58" s="271">
        <v>0.5</v>
      </c>
      <c r="G58" s="238">
        <f t="shared" si="27"/>
        <v>27</v>
      </c>
      <c r="H58" s="277">
        <f t="shared" si="28"/>
        <v>47.55449735449735</v>
      </c>
      <c r="I58" s="277">
        <f t="shared" si="29"/>
        <v>17.36928015873016</v>
      </c>
      <c r="J58" s="173"/>
      <c r="K58" s="255">
        <v>1</v>
      </c>
      <c r="L58" s="395">
        <f>CHN!M54</f>
        <v>12.628866195678711</v>
      </c>
      <c r="M58" s="395">
        <f>CHN!N54</f>
        <v>0.63665103912353516</v>
      </c>
      <c r="N58" s="395">
        <f>CHN!O54</f>
        <v>0.61628139019012451</v>
      </c>
      <c r="O58" s="395"/>
      <c r="Q58" s="169"/>
      <c r="R58" s="277">
        <f>sal_pH!E48</f>
        <v>38.06</v>
      </c>
      <c r="S58" s="277">
        <f>sal_pH!F48</f>
        <v>8.5500000000000007</v>
      </c>
      <c r="T58" s="261">
        <f>logs!R7</f>
        <v>42534</v>
      </c>
      <c r="U58" s="261">
        <f>logs!R8</f>
        <v>42561</v>
      </c>
      <c r="V58" s="259">
        <f t="shared" si="39"/>
        <v>42547.5</v>
      </c>
      <c r="W58" s="238">
        <f t="shared" si="31"/>
        <v>108</v>
      </c>
      <c r="X58" s="238">
        <f t="shared" si="36"/>
        <v>81</v>
      </c>
      <c r="Y58" s="199"/>
      <c r="Z58" s="169"/>
      <c r="AA58" s="169"/>
      <c r="AB58" s="18">
        <f>BSi_results!T62</f>
        <v>5.4876691351917604</v>
      </c>
      <c r="AC58" s="18">
        <f>BSi_results!U62</f>
        <v>11.739196807891522</v>
      </c>
      <c r="AD58" s="169"/>
      <c r="AE58" s="169"/>
      <c r="AF58" s="328">
        <f>PIC!T52</f>
        <v>71.511560979873593</v>
      </c>
      <c r="AG58" s="328">
        <f t="shared" si="32"/>
        <v>8.5810815138472858</v>
      </c>
      <c r="AH58" s="277">
        <f t="shared" si="37"/>
        <v>4.0477846818314251</v>
      </c>
      <c r="AI58" s="17">
        <f t="shared" si="38"/>
        <v>99.535388698942867</v>
      </c>
      <c r="AJ58" s="17">
        <f t="shared" si="34"/>
        <v>97.147195736662326</v>
      </c>
      <c r="AK58" s="17">
        <v>1</v>
      </c>
      <c r="AL58">
        <f>SUM(E11:E12)/$E$58</f>
        <v>0.63299138832639812</v>
      </c>
      <c r="AM58" s="29">
        <f t="shared" si="35"/>
        <v>7.6618470281352282</v>
      </c>
      <c r="AN58" s="17">
        <f>(report!AC51)*1000</f>
        <v>58.540471407948758</v>
      </c>
      <c r="AO58" s="17">
        <f>(report!AD51)*1000</f>
        <v>124.10258857528213</v>
      </c>
      <c r="AP58" s="169"/>
      <c r="AQ58" s="17">
        <v>1</v>
      </c>
      <c r="AR58" s="17">
        <v>0.95310374978892975</v>
      </c>
      <c r="AS58" s="169"/>
      <c r="AT58" s="169"/>
      <c r="AU58" s="169"/>
    </row>
    <row r="59" spans="1:48" x14ac:dyDescent="0.25">
      <c r="A59" s="241">
        <v>2016</v>
      </c>
      <c r="B59" s="238" t="s">
        <v>110</v>
      </c>
      <c r="C59" s="269">
        <v>5</v>
      </c>
      <c r="D59" s="278">
        <v>4</v>
      </c>
      <c r="E59" s="255">
        <f>mass_filt_1!S70</f>
        <v>540.52857142857135</v>
      </c>
      <c r="F59" s="271">
        <v>0.5</v>
      </c>
      <c r="G59" s="238">
        <f t="shared" si="27"/>
        <v>27</v>
      </c>
      <c r="H59" s="277">
        <f t="shared" si="28"/>
        <v>40.039153439153431</v>
      </c>
      <c r="I59" s="277">
        <f t="shared" si="29"/>
        <v>14.624300793650791</v>
      </c>
      <c r="J59" s="173"/>
      <c r="K59" s="255">
        <v>1</v>
      </c>
      <c r="L59" s="395">
        <f>CHN!M55</f>
        <v>13.008883476257324</v>
      </c>
      <c r="M59" s="395">
        <f>CHN!N55</f>
        <v>0.68393796682357788</v>
      </c>
      <c r="N59" s="395">
        <f>CHN!O55</f>
        <v>0.67587047815322876</v>
      </c>
      <c r="O59" s="395"/>
      <c r="Q59" s="169"/>
      <c r="R59" s="277">
        <f>sal_pH!E49</f>
        <v>38.03</v>
      </c>
      <c r="S59" s="277">
        <f>sal_pH!F49</f>
        <v>8.57</v>
      </c>
      <c r="T59" s="261">
        <f>logs!R8</f>
        <v>42561</v>
      </c>
      <c r="U59" s="261">
        <f>logs!R9</f>
        <v>42588</v>
      </c>
      <c r="V59" s="259">
        <f t="shared" si="39"/>
        <v>42574.5</v>
      </c>
      <c r="W59" s="238">
        <f t="shared" si="31"/>
        <v>135</v>
      </c>
      <c r="X59" s="238">
        <f t="shared" si="36"/>
        <v>108</v>
      </c>
      <c r="Y59" s="199"/>
      <c r="Z59" s="169"/>
      <c r="AA59" s="169"/>
      <c r="AB59" s="18">
        <f>BSi_results!T63</f>
        <v>4.8761123826192323</v>
      </c>
      <c r="AC59" s="18">
        <f>BSi_results!U63</f>
        <v>10.430957389519035</v>
      </c>
      <c r="AD59" s="169"/>
      <c r="AE59" s="169"/>
      <c r="AF59" s="328">
        <f>PIC!T53</f>
        <v>71.694744932853411</v>
      </c>
      <c r="AG59" s="328">
        <f t="shared" si="32"/>
        <v>8.603062804858272</v>
      </c>
      <c r="AH59" s="277">
        <f t="shared" si="37"/>
        <v>4.4058206713990522</v>
      </c>
      <c r="AI59" s="17">
        <f t="shared" si="38"/>
        <v>99.265347308422903</v>
      </c>
      <c r="AJ59" s="17">
        <f t="shared" si="34"/>
        <v>96.66591311229746</v>
      </c>
      <c r="AK59" s="17">
        <v>1</v>
      </c>
      <c r="AL59">
        <f>SUM(E13:E14)/$E$59</f>
        <v>0.35896080556069471</v>
      </c>
      <c r="AM59" s="29">
        <f t="shared" si="35"/>
        <v>7.6042864316936409</v>
      </c>
      <c r="AN59" s="17">
        <f>(report!AC52)*1000</f>
        <v>53.648665063633828</v>
      </c>
      <c r="AO59" s="17">
        <f>(report!AD52)*1000</f>
        <v>104.75751723973059</v>
      </c>
      <c r="AP59" s="169"/>
      <c r="AQ59" s="17">
        <v>3</v>
      </c>
      <c r="AR59" s="17">
        <v>1.0415855006537331</v>
      </c>
      <c r="AS59" s="169"/>
      <c r="AT59" s="169"/>
      <c r="AU59" s="169"/>
    </row>
    <row r="60" spans="1:48" x14ac:dyDescent="0.25">
      <c r="A60" s="241">
        <v>2016</v>
      </c>
      <c r="B60" s="238" t="s">
        <v>110</v>
      </c>
      <c r="C60" s="269">
        <v>6</v>
      </c>
      <c r="D60" s="278">
        <v>3</v>
      </c>
      <c r="E60" s="255">
        <f>mass_filt_1!S71</f>
        <v>436.58571428571423</v>
      </c>
      <c r="F60" s="271">
        <v>0.5</v>
      </c>
      <c r="G60" s="238">
        <f t="shared" si="27"/>
        <v>27</v>
      </c>
      <c r="H60" s="277">
        <f t="shared" si="28"/>
        <v>32.339682539682535</v>
      </c>
      <c r="I60" s="277">
        <f t="shared" si="29"/>
        <v>11.812069047619048</v>
      </c>
      <c r="J60" s="173"/>
      <c r="K60" s="255">
        <v>1</v>
      </c>
      <c r="L60" s="395">
        <f>CHN!M56</f>
        <v>14.258779525756836</v>
      </c>
      <c r="M60" s="395">
        <f>CHN!N56</f>
        <v>0.87733948230743408</v>
      </c>
      <c r="N60" s="395">
        <f>CHN!O56</f>
        <v>0.96280694007873535</v>
      </c>
      <c r="O60" s="395"/>
      <c r="Q60" s="169"/>
      <c r="R60" s="277">
        <f>sal_pH!E50</f>
        <v>37.799999999999997</v>
      </c>
      <c r="S60" s="277">
        <f>sal_pH!F50</f>
        <v>8.42</v>
      </c>
      <c r="T60" s="261">
        <f>logs!R9</f>
        <v>42588</v>
      </c>
      <c r="U60" s="261">
        <f>logs!R10</f>
        <v>42615</v>
      </c>
      <c r="V60" s="259">
        <f t="shared" si="39"/>
        <v>42601.5</v>
      </c>
      <c r="W60" s="238">
        <f t="shared" si="31"/>
        <v>162</v>
      </c>
      <c r="X60" s="238">
        <f t="shared" si="36"/>
        <v>135</v>
      </c>
      <c r="Y60" s="199"/>
      <c r="Z60" s="169"/>
      <c r="AA60" s="169"/>
      <c r="AB60" s="18">
        <f>BSi_results!T64</f>
        <v>4.4863428943937418</v>
      </c>
      <c r="AC60" s="18">
        <f>BSi_results!U64</f>
        <v>9.5971642764015659</v>
      </c>
      <c r="AD60" s="169"/>
      <c r="AE60" s="169"/>
      <c r="AF60" s="328">
        <f>PIC!T54</f>
        <v>67.77404909635996</v>
      </c>
      <c r="AG60" s="328">
        <f t="shared" si="32"/>
        <v>8.1325960704875779</v>
      </c>
      <c r="AH60" s="277">
        <f t="shared" si="37"/>
        <v>6.126183455269258</v>
      </c>
      <c r="AI60" s="17">
        <f t="shared" si="38"/>
        <v>99.218953283366929</v>
      </c>
      <c r="AJ60" s="17">
        <f t="shared" si="34"/>
        <v>95.604505044758071</v>
      </c>
      <c r="AK60" s="17">
        <v>1</v>
      </c>
      <c r="AL60">
        <f>E15/$E$60</f>
        <v>0.28510192729295508</v>
      </c>
      <c r="AM60" s="29">
        <f t="shared" si="35"/>
        <v>7.4224266395591805</v>
      </c>
      <c r="AN60" s="17">
        <f>(report!AC53)*1000</f>
        <v>60.25220813657112</v>
      </c>
      <c r="AO60" s="17">
        <f>(report!AD53)*1000</f>
        <v>79.985667211485946</v>
      </c>
      <c r="AP60" s="169"/>
      <c r="AQ60" s="17">
        <v>5</v>
      </c>
      <c r="AR60" s="17">
        <v>0.86617315032423137</v>
      </c>
      <c r="AS60" s="169"/>
      <c r="AT60" s="169"/>
      <c r="AU60" s="169"/>
    </row>
    <row r="61" spans="1:48" x14ac:dyDescent="0.25">
      <c r="A61" s="241">
        <v>2016</v>
      </c>
      <c r="B61" s="238" t="s">
        <v>110</v>
      </c>
      <c r="C61" s="269">
        <v>7</v>
      </c>
      <c r="D61" s="278">
        <v>4</v>
      </c>
      <c r="E61" s="255">
        <f>mass_filt_1!S72</f>
        <v>431.51428571428562</v>
      </c>
      <c r="F61" s="271">
        <v>0.5</v>
      </c>
      <c r="G61" s="238">
        <f t="shared" si="27"/>
        <v>27</v>
      </c>
      <c r="H61" s="277">
        <f t="shared" si="28"/>
        <v>31.964021164021158</v>
      </c>
      <c r="I61" s="277">
        <f t="shared" si="29"/>
        <v>11.674858730158727</v>
      </c>
      <c r="J61" s="173"/>
      <c r="K61" s="255">
        <v>1</v>
      </c>
      <c r="L61" s="395">
        <f>CHN!M57</f>
        <v>13.006121635437012</v>
      </c>
      <c r="M61" s="395">
        <f>CHN!N57</f>
        <v>0.69733041524887085</v>
      </c>
      <c r="N61" s="395">
        <f>CHN!O57</f>
        <v>0.65928089618682861</v>
      </c>
      <c r="O61" s="395"/>
      <c r="P61" s="257" t="s">
        <v>1278</v>
      </c>
      <c r="Q61" s="169"/>
      <c r="R61" s="277">
        <f>sal_pH!E51</f>
        <v>36.659999999999997</v>
      </c>
      <c r="S61" s="277">
        <f>sal_pH!F51</f>
        <v>8.5399999999999991</v>
      </c>
      <c r="T61" s="261">
        <f>logs!R10</f>
        <v>42615</v>
      </c>
      <c r="U61" s="261">
        <f>logs!R11</f>
        <v>42642</v>
      </c>
      <c r="V61" s="259">
        <f t="shared" si="39"/>
        <v>42628.5</v>
      </c>
      <c r="W61" s="238">
        <f t="shared" si="31"/>
        <v>189</v>
      </c>
      <c r="X61" s="238">
        <f t="shared" si="36"/>
        <v>162</v>
      </c>
      <c r="Y61" s="199"/>
      <c r="Z61" s="169"/>
      <c r="AA61" s="169"/>
      <c r="AB61" s="18">
        <f>BSi_results!T65</f>
        <v>4.5666921783010936</v>
      </c>
      <c r="AC61" s="18">
        <f>BSi_results!U65</f>
        <v>9.7690470984020212</v>
      </c>
      <c r="AD61" s="169"/>
      <c r="AE61" s="169"/>
      <c r="AF61" s="328">
        <f>PIC!T55</f>
        <v>71.132174589483256</v>
      </c>
      <c r="AG61" s="328">
        <f t="shared" si="32"/>
        <v>8.5355567693643621</v>
      </c>
      <c r="AH61" s="277">
        <f t="shared" si="37"/>
        <v>4.4705648660726496</v>
      </c>
      <c r="AI61" s="17">
        <f t="shared" si="38"/>
        <v>98.148692845052196</v>
      </c>
      <c r="AJ61" s="17">
        <f t="shared" si="34"/>
        <v>95.511059574069336</v>
      </c>
      <c r="AK61" s="17">
        <v>1</v>
      </c>
      <c r="AL61">
        <f>SUM(E16:E17)/$E$61</f>
        <v>0.48179169701383834</v>
      </c>
      <c r="AM61" s="29">
        <f t="shared" si="35"/>
        <v>7.9101922197195682</v>
      </c>
      <c r="AN61" s="17">
        <f>(report!AC54)*1000</f>
        <v>43.458129271781146</v>
      </c>
      <c r="AO61" s="17">
        <f>(report!AD54)*1000</f>
        <v>82.973704800648576</v>
      </c>
      <c r="AP61" s="169"/>
      <c r="AQ61" s="17">
        <v>7</v>
      </c>
      <c r="AR61" s="17">
        <v>1.1375184517294972</v>
      </c>
      <c r="AS61" s="169"/>
      <c r="AT61" s="169"/>
      <c r="AU61" s="169"/>
    </row>
    <row r="62" spans="1:48" x14ac:dyDescent="0.25">
      <c r="A62" s="241">
        <v>2016</v>
      </c>
      <c r="B62" s="238" t="s">
        <v>110</v>
      </c>
      <c r="C62" s="269">
        <v>8</v>
      </c>
      <c r="D62" s="278">
        <v>4</v>
      </c>
      <c r="E62" s="255">
        <f>mass_filt_1!S73</f>
        <v>492.55714285714282</v>
      </c>
      <c r="F62" s="271">
        <v>0.5</v>
      </c>
      <c r="G62" s="238">
        <f t="shared" si="27"/>
        <v>27</v>
      </c>
      <c r="H62" s="277">
        <f t="shared" si="28"/>
        <v>36.48571428571428</v>
      </c>
      <c r="I62" s="277">
        <f t="shared" si="29"/>
        <v>13.326407142857143</v>
      </c>
      <c r="J62" s="173"/>
      <c r="K62" s="255">
        <v>1</v>
      </c>
      <c r="L62" s="395">
        <f>CHN!M58</f>
        <v>13.050162315368652</v>
      </c>
      <c r="M62" s="395">
        <f>CHN!N58</f>
        <v>0.63674092292785645</v>
      </c>
      <c r="N62" s="395">
        <f>CHN!O58</f>
        <v>0.61065512895584106</v>
      </c>
      <c r="O62" s="395"/>
      <c r="P62" s="257" t="s">
        <v>1278</v>
      </c>
      <c r="Q62" s="169"/>
      <c r="R62" s="277">
        <f>sal_pH!E52</f>
        <v>35.29</v>
      </c>
      <c r="S62" s="277">
        <f>sal_pH!F52</f>
        <v>8.25</v>
      </c>
      <c r="T62" s="261">
        <f>logs!R11</f>
        <v>42642</v>
      </c>
      <c r="U62" s="261">
        <f>logs!R12</f>
        <v>42669</v>
      </c>
      <c r="V62" s="259">
        <f t="shared" si="39"/>
        <v>42655.5</v>
      </c>
      <c r="W62" s="238">
        <f t="shared" si="31"/>
        <v>216</v>
      </c>
      <c r="X62" s="238">
        <f t="shared" si="36"/>
        <v>189</v>
      </c>
      <c r="Y62" s="199"/>
      <c r="Z62" s="169"/>
      <c r="AA62" s="169"/>
      <c r="AB62" s="18">
        <f>BSi_results!T66</f>
        <v>4.2328067591536813</v>
      </c>
      <c r="AC62" s="18">
        <f>BSi_results!U66</f>
        <v>9.0548009312048681</v>
      </c>
      <c r="AD62" s="169"/>
      <c r="AE62" s="169"/>
      <c r="AF62" s="328">
        <f>PIC!T56</f>
        <v>72.945855241038089</v>
      </c>
      <c r="AG62" s="328">
        <f t="shared" si="32"/>
        <v>8.7531906917375544</v>
      </c>
      <c r="AH62" s="277">
        <f t="shared" si="37"/>
        <v>4.296971623631098</v>
      </c>
      <c r="AI62" s="17">
        <f t="shared" si="38"/>
        <v>98.685235104606249</v>
      </c>
      <c r="AJ62" s="17">
        <f t="shared" si="34"/>
        <v>96.150021846663904</v>
      </c>
      <c r="AK62" s="17">
        <v>1</v>
      </c>
      <c r="AL62">
        <f>E18/$E$62</f>
        <v>3.6224948519388643E-2</v>
      </c>
      <c r="AM62" s="29">
        <f t="shared" si="35"/>
        <v>8.2084584547419883</v>
      </c>
      <c r="AN62" s="17">
        <f>(report!AC55)*1000</f>
        <v>47.679594785855059</v>
      </c>
      <c r="AO62" s="17">
        <f>(report!AD55)*1000</f>
        <v>97.126213952674448</v>
      </c>
      <c r="AP62" s="169"/>
      <c r="AQ62" s="17">
        <v>9</v>
      </c>
      <c r="AR62" s="17">
        <v>1.1736146298770098</v>
      </c>
      <c r="AS62" s="169"/>
      <c r="AT62" s="169"/>
      <c r="AU62" s="169"/>
    </row>
    <row r="63" spans="1:48" x14ac:dyDescent="0.25">
      <c r="A63" s="241">
        <v>2016</v>
      </c>
      <c r="B63" s="238" t="s">
        <v>110</v>
      </c>
      <c r="C63" s="269">
        <v>9</v>
      </c>
      <c r="D63" s="278">
        <v>4</v>
      </c>
      <c r="E63" s="255">
        <f>mass_filt_1!S74</f>
        <v>561.61428571428576</v>
      </c>
      <c r="F63" s="271">
        <v>0.5</v>
      </c>
      <c r="G63" s="238">
        <f t="shared" si="27"/>
        <v>27</v>
      </c>
      <c r="H63" s="277">
        <f t="shared" si="28"/>
        <v>41.601058201058201</v>
      </c>
      <c r="I63" s="277">
        <f t="shared" si="29"/>
        <v>15.194786507936509</v>
      </c>
      <c r="J63" s="173"/>
      <c r="K63" s="255">
        <v>1</v>
      </c>
      <c r="L63" s="395">
        <f>CHN!M59</f>
        <v>13.106785774230957</v>
      </c>
      <c r="M63" s="395">
        <f>CHN!N59</f>
        <v>0.69391769170761108</v>
      </c>
      <c r="N63" s="395">
        <f>CHN!O59</f>
        <v>0.65892082452774048</v>
      </c>
      <c r="O63" s="395"/>
      <c r="P63" s="257" t="s">
        <v>1278</v>
      </c>
      <c r="Q63" s="169"/>
      <c r="R63" s="277">
        <f>sal_pH!E53</f>
        <v>37.35</v>
      </c>
      <c r="S63" s="277">
        <f>sal_pH!F53</f>
        <v>8.56</v>
      </c>
      <c r="T63" s="261">
        <f>logs!R12</f>
        <v>42669</v>
      </c>
      <c r="U63" s="261">
        <f>logs!R13</f>
        <v>42696</v>
      </c>
      <c r="V63" s="259">
        <f t="shared" si="39"/>
        <v>42682.5</v>
      </c>
      <c r="W63" s="238">
        <f t="shared" si="31"/>
        <v>243</v>
      </c>
      <c r="X63" s="238">
        <f t="shared" si="36"/>
        <v>216</v>
      </c>
      <c r="Y63" s="199"/>
      <c r="Z63" s="169"/>
      <c r="AA63" s="169"/>
      <c r="AB63" s="18">
        <f>BSi_results!T67</f>
        <v>4.8063167090680476</v>
      </c>
      <c r="AC63" s="18">
        <f>BSi_results!U67</f>
        <v>10.281650802701993</v>
      </c>
      <c r="AD63" s="169"/>
      <c r="AE63" s="169"/>
      <c r="AF63" s="328">
        <f>PIC!T57</f>
        <v>70.479346669192395</v>
      </c>
      <c r="AG63" s="328">
        <f t="shared" si="32"/>
        <v>8.4572202106069891</v>
      </c>
      <c r="AH63" s="277">
        <f t="shared" si="37"/>
        <v>4.6495655636239679</v>
      </c>
      <c r="AI63" s="17">
        <f t="shared" si="38"/>
        <v>98.564266982702478</v>
      </c>
      <c r="AJ63" s="17">
        <f t="shared" si="34"/>
        <v>95.821023300164327</v>
      </c>
      <c r="AK63" s="17">
        <v>1</v>
      </c>
      <c r="AL63">
        <f>SUM(E19:E20)/$E$63</f>
        <v>8.0634904484521638E-2</v>
      </c>
      <c r="AM63" s="29">
        <f t="shared" si="35"/>
        <v>8.2314106951313804</v>
      </c>
      <c r="AN63" s="17">
        <f>(report!AC56)*1000</f>
        <v>58.825275681864838</v>
      </c>
      <c r="AO63" s="17">
        <f>(report!AD56)*1000</f>
        <v>106.9988805585171</v>
      </c>
      <c r="AP63" s="169"/>
      <c r="AQ63" s="17">
        <v>11</v>
      </c>
      <c r="AR63" s="17">
        <v>2.0498832148024677</v>
      </c>
      <c r="AS63" s="169"/>
      <c r="AT63" s="169"/>
      <c r="AU63" s="169"/>
    </row>
    <row r="64" spans="1:48" x14ac:dyDescent="0.25">
      <c r="A64" s="241">
        <v>2016</v>
      </c>
      <c r="B64" s="238" t="s">
        <v>110</v>
      </c>
      <c r="C64" s="269">
        <v>10</v>
      </c>
      <c r="D64" s="278">
        <v>12</v>
      </c>
      <c r="E64" s="255">
        <f>mass_filt_1!S75</f>
        <v>1514.2857142857142</v>
      </c>
      <c r="F64" s="271">
        <v>0.5</v>
      </c>
      <c r="G64" s="238">
        <f t="shared" si="27"/>
        <v>27</v>
      </c>
      <c r="H64" s="277">
        <f t="shared" si="28"/>
        <v>112.16931216931216</v>
      </c>
      <c r="I64" s="277">
        <f t="shared" si="29"/>
        <v>40.969841269841268</v>
      </c>
      <c r="J64" s="173"/>
      <c r="K64" s="255">
        <v>1</v>
      </c>
      <c r="L64" s="395">
        <f>CHN!R60</f>
        <v>12.285015106201172</v>
      </c>
      <c r="M64" s="395">
        <f>CHN!S60</f>
        <v>0.56688177585601807</v>
      </c>
      <c r="N64" s="395">
        <f>CHN!T60</f>
        <v>0.62567657232284546</v>
      </c>
      <c r="O64" s="395"/>
      <c r="P64" s="257" t="s">
        <v>1278</v>
      </c>
      <c r="Q64" s="169"/>
      <c r="R64" s="277">
        <f>sal_pH!E54</f>
        <v>37.78</v>
      </c>
      <c r="S64" s="277">
        <f>sal_pH!F54</f>
        <v>8.4600000000000009</v>
      </c>
      <c r="T64" s="261">
        <f>logs!R13</f>
        <v>42696</v>
      </c>
      <c r="U64" s="261">
        <f>logs!R14</f>
        <v>42723</v>
      </c>
      <c r="V64" s="259">
        <f t="shared" si="39"/>
        <v>42709.5</v>
      </c>
      <c r="W64" s="238">
        <f t="shared" si="31"/>
        <v>270</v>
      </c>
      <c r="X64" s="238">
        <f t="shared" si="36"/>
        <v>243</v>
      </c>
      <c r="Y64" s="199"/>
      <c r="Z64" s="169"/>
      <c r="AA64" s="169"/>
      <c r="AB64" s="18">
        <f>AVERAGE(BSi_results!T68:T69)</f>
        <v>6.8094656510835989</v>
      </c>
      <c r="AC64" s="18">
        <f>AVERAGE(BSi_results!U68:U69)</f>
        <v>14.566777891549073</v>
      </c>
      <c r="AD64" s="169"/>
      <c r="AE64" s="169"/>
      <c r="AF64" s="328">
        <f>PIC!T58</f>
        <v>68.057700253064866</v>
      </c>
      <c r="AG64" s="328">
        <f t="shared" si="32"/>
        <v>8.1666329963192883</v>
      </c>
      <c r="AH64" s="277">
        <f t="shared" si="37"/>
        <v>4.1183821098818836</v>
      </c>
      <c r="AI64" s="17">
        <f t="shared" si="38"/>
        <v>99.417109799254789</v>
      </c>
      <c r="AJ64" s="17">
        <f t="shared" si="34"/>
        <v>96.987264354424482</v>
      </c>
      <c r="AK64" s="17">
        <v>1</v>
      </c>
      <c r="AL64">
        <f>SUM(E21:E22)/$E$64</f>
        <v>1.377358490566038E-2</v>
      </c>
      <c r="AM64" s="29">
        <f t="shared" si="35"/>
        <v>7.6784201606145999</v>
      </c>
      <c r="AN64" s="17">
        <f>(report!AC57)*1000</f>
        <v>140.49080876803893</v>
      </c>
      <c r="AO64" s="17">
        <f>(report!AD57)*1000</f>
        <v>278.58922362052414</v>
      </c>
      <c r="AP64" s="169"/>
      <c r="AQ64" s="17">
        <v>13</v>
      </c>
      <c r="AR64" s="17">
        <v>1.4322286348501665</v>
      </c>
      <c r="AS64" s="169"/>
      <c r="AT64" s="169"/>
      <c r="AU64" s="169"/>
    </row>
    <row r="65" spans="1:47" ht="14.15" customHeight="1" x14ac:dyDescent="0.25">
      <c r="A65" s="241">
        <v>2016</v>
      </c>
      <c r="B65" s="238" t="s">
        <v>110</v>
      </c>
      <c r="C65" s="269">
        <v>11</v>
      </c>
      <c r="D65" s="278">
        <v>24</v>
      </c>
      <c r="E65" s="255">
        <f>mass_filt_1!S78</f>
        <v>1724.3857142857141</v>
      </c>
      <c r="F65" s="271">
        <v>0.5</v>
      </c>
      <c r="G65" s="238">
        <f t="shared" si="27"/>
        <v>27</v>
      </c>
      <c r="H65" s="277">
        <f t="shared" si="28"/>
        <v>127.73227513227512</v>
      </c>
      <c r="I65" s="277">
        <f t="shared" si="29"/>
        <v>46.654213492063491</v>
      </c>
      <c r="J65" s="173"/>
      <c r="K65" s="255">
        <v>1</v>
      </c>
      <c r="L65" s="395">
        <f>CHN!M62</f>
        <v>12.907769203186035</v>
      </c>
      <c r="M65" s="395">
        <f>CHN!N62</f>
        <v>1.0392343997955322</v>
      </c>
      <c r="N65" s="395">
        <f>CHN!O62</f>
        <v>0.88784945011138916</v>
      </c>
      <c r="O65" s="395"/>
      <c r="P65" s="257" t="s">
        <v>1279</v>
      </c>
      <c r="Q65" s="169"/>
      <c r="R65" s="277">
        <f>sal_pH!E55</f>
        <v>37.75</v>
      </c>
      <c r="S65" s="277">
        <f>sal_pH!F55</f>
        <v>8.51</v>
      </c>
      <c r="T65" s="261">
        <f>logs!R14</f>
        <v>42723</v>
      </c>
      <c r="U65" s="261">
        <f>logs!R15</f>
        <v>42750</v>
      </c>
      <c r="V65" s="259">
        <f t="shared" si="39"/>
        <v>42736.5</v>
      </c>
      <c r="W65" s="238">
        <f t="shared" si="31"/>
        <v>297</v>
      </c>
      <c r="X65" s="238">
        <f t="shared" si="36"/>
        <v>270</v>
      </c>
      <c r="Y65" s="199"/>
      <c r="Z65" s="169"/>
      <c r="AA65" s="169"/>
      <c r="AB65" s="18">
        <f>BSi_results!T70</f>
        <v>10.657373406950796</v>
      </c>
      <c r="AC65" s="18">
        <f>BSi_results!U70</f>
        <v>22.798204628824259</v>
      </c>
      <c r="AD65" s="169"/>
      <c r="AE65" s="169"/>
      <c r="AF65" s="328">
        <f>PIC!T59</f>
        <v>54.23787099162233</v>
      </c>
      <c r="AG65" s="328">
        <f t="shared" si="32"/>
        <v>6.508312582459685</v>
      </c>
      <c r="AH65" s="277">
        <f t="shared" si="37"/>
        <v>6.3994566207263501</v>
      </c>
      <c r="AI65" s="17">
        <f t="shared" si="38"/>
        <v>101.09836210144378</v>
      </c>
      <c r="AJ65" s="17">
        <f t="shared" si="34"/>
        <v>97.322682695215235</v>
      </c>
      <c r="AK65" s="17">
        <v>1</v>
      </c>
      <c r="AL65">
        <f>E23/$E$65</f>
        <v>3.1232654278542287E-3</v>
      </c>
      <c r="AM65" s="29">
        <f t="shared" si="35"/>
        <v>8.4081199238066251</v>
      </c>
      <c r="AN65" s="17">
        <f>(report!AC58)*1000</f>
        <v>248.59418436017179</v>
      </c>
      <c r="AO65" s="17">
        <f>(report!AD58)*1000</f>
        <v>252.82281823077207</v>
      </c>
      <c r="AP65" s="169"/>
      <c r="AQ65" s="17">
        <v>14</v>
      </c>
      <c r="AR65" s="17">
        <v>1.4589864908658252</v>
      </c>
      <c r="AS65" s="169"/>
      <c r="AT65" s="169"/>
      <c r="AU65" s="169"/>
    </row>
    <row r="66" spans="1:47" x14ac:dyDescent="0.25">
      <c r="A66" s="241">
        <v>2016</v>
      </c>
      <c r="B66" s="238" t="s">
        <v>110</v>
      </c>
      <c r="C66" s="269">
        <v>12</v>
      </c>
      <c r="D66" s="278">
        <v>25</v>
      </c>
      <c r="E66" s="255">
        <f>mass_filt_1!S81</f>
        <v>1376.1571428571426</v>
      </c>
      <c r="F66" s="271">
        <v>0.5</v>
      </c>
      <c r="G66" s="238">
        <f t="shared" si="27"/>
        <v>27</v>
      </c>
      <c r="H66" s="277">
        <f t="shared" si="28"/>
        <v>101.93756613756612</v>
      </c>
      <c r="I66" s="277">
        <f t="shared" si="29"/>
        <v>37.232696031746023</v>
      </c>
      <c r="J66" s="173"/>
      <c r="K66" s="255">
        <v>1</v>
      </c>
      <c r="L66" s="395">
        <f>CHN!R63</f>
        <v>13.821226596832275</v>
      </c>
      <c r="M66" s="395">
        <f>CHN!S63</f>
        <v>1.0277858376502991</v>
      </c>
      <c r="N66" s="395">
        <f>CHN!T63</f>
        <v>1.2125943303108215</v>
      </c>
      <c r="O66" s="395"/>
      <c r="P66" s="257" t="s">
        <v>1280</v>
      </c>
      <c r="Q66" s="169"/>
      <c r="R66" s="277">
        <f>sal_pH!E56</f>
        <v>37.979999999999997</v>
      </c>
      <c r="S66" s="277">
        <f>sal_pH!F56</f>
        <v>8.5299999999999994</v>
      </c>
      <c r="T66" s="261">
        <f>logs!R15</f>
        <v>42750</v>
      </c>
      <c r="U66" s="261">
        <f>logs!R16</f>
        <v>42777</v>
      </c>
      <c r="V66" s="259">
        <f t="shared" si="39"/>
        <v>42763.5</v>
      </c>
      <c r="W66" s="238">
        <f t="shared" si="31"/>
        <v>324</v>
      </c>
      <c r="X66" s="238">
        <f t="shared" si="36"/>
        <v>297</v>
      </c>
      <c r="Y66" s="199"/>
      <c r="Z66" s="169"/>
      <c r="AA66" s="169"/>
      <c r="AB66" s="18">
        <f>AVERAGE(BSi_results!T71:T72)</f>
        <v>9.0173174623934376</v>
      </c>
      <c r="AC66" s="18">
        <f>AVERAGE(BSi_results!U71:U72)</f>
        <v>19.289804425604192</v>
      </c>
      <c r="AD66" s="169"/>
      <c r="AE66" s="169"/>
      <c r="AF66" s="328">
        <f>PIC!T60</f>
        <v>53.736415093943798</v>
      </c>
      <c r="AG66" s="328">
        <f t="shared" si="32"/>
        <v>6.4481400191060469</v>
      </c>
      <c r="AH66" s="277">
        <f t="shared" si="37"/>
        <v>7.3730865777262284</v>
      </c>
      <c r="AI66" s="17">
        <f t="shared" si="38"/>
        <v>99.419009558220623</v>
      </c>
      <c r="AJ66" s="17">
        <f t="shared" si="34"/>
        <v>95.068888477362151</v>
      </c>
      <c r="AK66" s="17">
        <v>1</v>
      </c>
      <c r="AL66">
        <f>SUM(E24:E25)/$E$66</f>
        <v>4.9101535331305731E-3</v>
      </c>
      <c r="AM66" s="29">
        <f t="shared" si="35"/>
        <v>7.0929831507041943</v>
      </c>
      <c r="AN66" s="17">
        <f>(report!AC59)*1000</f>
        <v>228.57609605680869</v>
      </c>
      <c r="AO66" s="17">
        <f>(report!AD59)*1000</f>
        <v>199.90144654580553</v>
      </c>
      <c r="AP66" s="169"/>
      <c r="AQ66" s="17">
        <v>16</v>
      </c>
      <c r="AR66" s="17">
        <v>7.5181955353691701E-3</v>
      </c>
      <c r="AS66" s="169"/>
      <c r="AT66" s="169"/>
      <c r="AU66" s="169"/>
    </row>
    <row r="67" spans="1:47" x14ac:dyDescent="0.25">
      <c r="A67" s="241">
        <v>2016</v>
      </c>
      <c r="B67" s="238" t="s">
        <v>110</v>
      </c>
      <c r="C67" s="269">
        <v>13</v>
      </c>
      <c r="D67" s="278">
        <v>13</v>
      </c>
      <c r="E67" s="255">
        <f>mass_filt_1!S84</f>
        <v>930.34285714285704</v>
      </c>
      <c r="F67" s="271">
        <v>0.5</v>
      </c>
      <c r="G67" s="238">
        <f t="shared" si="27"/>
        <v>27</v>
      </c>
      <c r="H67" s="277">
        <f t="shared" si="28"/>
        <v>68.914285714285711</v>
      </c>
      <c r="I67" s="277">
        <f t="shared" si="29"/>
        <v>25.170942857142855</v>
      </c>
      <c r="J67" s="173"/>
      <c r="K67" s="255">
        <v>1</v>
      </c>
      <c r="L67" s="395">
        <f>CHN!M65</f>
        <v>13.673782348632813</v>
      </c>
      <c r="M67" s="395">
        <f>CHN!N65</f>
        <v>0.98986846208572388</v>
      </c>
      <c r="N67" s="395">
        <f>CHN!O65</f>
        <v>0.83917605876922607</v>
      </c>
      <c r="O67" s="395"/>
      <c r="P67" s="257" t="s">
        <v>1281</v>
      </c>
      <c r="Q67" s="169"/>
      <c r="R67" s="277">
        <f>sal_pH!E57</f>
        <v>37.82</v>
      </c>
      <c r="S67" s="277">
        <f>sal_pH!F57</f>
        <v>8.5299999999999994</v>
      </c>
      <c r="T67" s="261">
        <f>logs!R16</f>
        <v>42777</v>
      </c>
      <c r="U67" s="261">
        <f>logs!R17</f>
        <v>42804</v>
      </c>
      <c r="V67" s="259">
        <f t="shared" si="39"/>
        <v>42790.5</v>
      </c>
      <c r="W67" s="238">
        <f t="shared" si="31"/>
        <v>351</v>
      </c>
      <c r="X67" s="238">
        <f t="shared" si="36"/>
        <v>324</v>
      </c>
      <c r="Y67" s="199"/>
      <c r="Z67" s="169"/>
      <c r="AA67" s="169"/>
      <c r="AB67" s="18">
        <f>BSi_results!T73</f>
        <v>7.0630665910621264</v>
      </c>
      <c r="AC67" s="18">
        <f>BSi_results!U73</f>
        <v>15.109279866747</v>
      </c>
      <c r="AD67" s="169"/>
      <c r="AE67" s="169"/>
      <c r="AF67" s="328">
        <f>PIC!T61</f>
        <v>63.09065403298699</v>
      </c>
      <c r="AG67" s="328">
        <f t="shared" si="32"/>
        <v>7.5706086904097711</v>
      </c>
      <c r="AH67" s="277">
        <f t="shared" si="37"/>
        <v>6.1031736582230414</v>
      </c>
      <c r="AI67" s="17">
        <f t="shared" si="38"/>
        <v>100.58980919151844</v>
      </c>
      <c r="AJ67" s="17">
        <f t="shared" si="34"/>
        <v>96.988936733166852</v>
      </c>
      <c r="AK67" s="17">
        <v>1</v>
      </c>
      <c r="AL67">
        <f>SUM(E26:E27)/$E$67</f>
        <v>4.0230944045206033E-3</v>
      </c>
      <c r="AM67" s="29">
        <f t="shared" si="35"/>
        <v>8.4839435495315332</v>
      </c>
      <c r="AN67" s="17">
        <f>(report!AC60)*1000</f>
        <v>127.91226927423122</v>
      </c>
      <c r="AO67" s="17">
        <f>(report!AD60)*1000</f>
        <v>158.66724291431595</v>
      </c>
      <c r="AP67" s="169"/>
      <c r="AQ67" s="17">
        <v>18</v>
      </c>
      <c r="AR67" s="17">
        <v>3.8288947419763937E-3</v>
      </c>
      <c r="AS67" s="169"/>
      <c r="AT67" s="169"/>
      <c r="AU67" s="169"/>
    </row>
    <row r="68" spans="1:47" x14ac:dyDescent="0.25">
      <c r="A68" s="182"/>
      <c r="B68" s="173"/>
      <c r="C68" s="169"/>
      <c r="D68" s="183"/>
      <c r="E68" s="173"/>
      <c r="F68" s="171"/>
      <c r="G68" s="173"/>
      <c r="H68" s="173"/>
      <c r="I68" s="173"/>
      <c r="J68" s="173"/>
      <c r="K68" s="173"/>
      <c r="L68" s="185"/>
      <c r="M68" s="196"/>
      <c r="N68" s="196"/>
      <c r="O68" s="196"/>
      <c r="Q68" s="169"/>
      <c r="R68" s="170"/>
      <c r="S68" s="170"/>
      <c r="T68" s="197"/>
      <c r="U68" s="197"/>
      <c r="V68" s="181"/>
      <c r="W68" s="173"/>
      <c r="X68" s="173"/>
      <c r="Y68" s="199"/>
      <c r="Z68" s="169"/>
      <c r="AA68" s="169"/>
      <c r="AD68" s="169"/>
      <c r="AE68" s="169"/>
      <c r="AF68" s="169"/>
      <c r="AG68" s="169"/>
      <c r="AM68" s="169"/>
      <c r="AN68" s="169"/>
      <c r="AO68" s="169"/>
      <c r="AP68" s="169"/>
      <c r="AQ68" s="169"/>
      <c r="AR68" s="169"/>
      <c r="AS68" s="169"/>
      <c r="AT68" s="169"/>
      <c r="AU68" s="169"/>
    </row>
    <row r="69" spans="1:47" x14ac:dyDescent="0.25">
      <c r="A69" s="182"/>
      <c r="B69" s="173"/>
      <c r="C69" s="169"/>
      <c r="D69" s="183"/>
      <c r="E69" s="170"/>
      <c r="F69" s="171"/>
      <c r="G69" s="173"/>
      <c r="H69" s="173"/>
      <c r="I69" s="173"/>
      <c r="J69" s="173"/>
      <c r="K69" s="173"/>
      <c r="L69" s="185"/>
      <c r="M69" s="196"/>
      <c r="N69" s="196"/>
      <c r="O69" s="196"/>
      <c r="Q69" s="171"/>
      <c r="R69" s="170"/>
      <c r="S69" s="170"/>
      <c r="T69" s="197"/>
      <c r="U69" s="197"/>
      <c r="V69" s="181"/>
      <c r="W69" s="173"/>
      <c r="X69" s="173"/>
      <c r="Y69" s="199"/>
      <c r="Z69" s="169"/>
      <c r="AA69" s="169"/>
      <c r="AD69" s="169"/>
      <c r="AE69" s="169"/>
      <c r="AF69" s="169"/>
      <c r="AG69" s="169"/>
      <c r="AM69" s="169"/>
      <c r="AN69" s="169"/>
      <c r="AO69" s="169"/>
      <c r="AP69" s="169"/>
      <c r="AQ69" s="169"/>
      <c r="AR69" s="169"/>
      <c r="AS69" s="169"/>
      <c r="AT69" s="169"/>
      <c r="AU69" s="169"/>
    </row>
    <row r="70" spans="1:47" x14ac:dyDescent="0.25">
      <c r="A70" s="182"/>
      <c r="B70" s="173"/>
      <c r="C70" s="169"/>
      <c r="D70" s="183"/>
      <c r="E70" s="170"/>
      <c r="F70" s="171"/>
      <c r="G70" s="173"/>
      <c r="H70" s="173"/>
      <c r="I70" s="173"/>
      <c r="J70" s="173"/>
      <c r="K70" s="173"/>
      <c r="L70" s="185"/>
      <c r="M70" s="196"/>
      <c r="N70" s="196"/>
      <c r="O70" s="196"/>
      <c r="Q70" s="169"/>
      <c r="R70" s="170"/>
      <c r="S70" s="170"/>
      <c r="T70" s="197"/>
      <c r="U70" s="197"/>
      <c r="V70" s="181"/>
      <c r="W70" s="173"/>
      <c r="X70" s="173"/>
      <c r="Y70" s="199"/>
      <c r="Z70" s="169"/>
      <c r="AA70" s="169"/>
      <c r="AD70" s="169"/>
      <c r="AE70" s="169"/>
      <c r="AF70" s="169"/>
      <c r="AG70" s="169"/>
      <c r="AM70" s="169"/>
      <c r="AN70" s="169"/>
      <c r="AO70" s="169"/>
      <c r="AP70" s="169"/>
      <c r="AQ70" s="169"/>
      <c r="AR70" s="169"/>
      <c r="AS70" s="169"/>
      <c r="AT70" s="169"/>
      <c r="AU70" s="169"/>
    </row>
    <row r="71" spans="1:47" x14ac:dyDescent="0.25">
      <c r="A71" s="182"/>
      <c r="B71" s="173"/>
      <c r="C71" s="169"/>
      <c r="D71" s="183"/>
      <c r="E71" s="170"/>
      <c r="F71" s="171"/>
      <c r="G71" s="173"/>
      <c r="H71" s="173"/>
      <c r="I71" s="173"/>
      <c r="J71" s="173"/>
      <c r="K71" s="173"/>
      <c r="L71" s="185"/>
      <c r="M71" s="196"/>
      <c r="N71" s="196"/>
      <c r="O71" s="196"/>
      <c r="Q71" s="169"/>
      <c r="R71" s="170"/>
      <c r="S71" s="170"/>
      <c r="T71" s="197"/>
      <c r="U71" s="197"/>
      <c r="V71" s="181"/>
      <c r="W71" s="173"/>
      <c r="X71" s="173"/>
      <c r="Y71" s="199"/>
      <c r="Z71" s="169"/>
      <c r="AA71" s="169"/>
      <c r="AD71" s="169"/>
      <c r="AE71" s="169"/>
      <c r="AF71" s="169"/>
      <c r="AG71" s="169"/>
      <c r="AM71" s="169"/>
      <c r="AN71" s="169"/>
      <c r="AO71" s="169"/>
      <c r="AP71" s="169"/>
      <c r="AQ71" s="169"/>
      <c r="AR71" s="169"/>
      <c r="AS71" s="169"/>
      <c r="AT71" s="169"/>
      <c r="AU71" s="169"/>
    </row>
    <row r="72" spans="1:47" x14ac:dyDescent="0.25">
      <c r="A72" s="182"/>
      <c r="B72" s="173"/>
      <c r="C72" s="169"/>
      <c r="D72" s="183"/>
      <c r="E72" s="170"/>
      <c r="F72" s="171"/>
      <c r="G72" s="173"/>
      <c r="H72" s="173"/>
      <c r="I72" s="173"/>
      <c r="J72" s="173"/>
      <c r="K72" s="173"/>
      <c r="L72" s="185"/>
      <c r="M72" s="170"/>
      <c r="N72" s="170"/>
      <c r="O72" s="170"/>
      <c r="Q72" s="169"/>
      <c r="R72" s="170"/>
      <c r="S72" s="170"/>
      <c r="T72" s="197"/>
      <c r="U72" s="197"/>
      <c r="V72" s="181"/>
      <c r="W72" s="173"/>
      <c r="X72" s="173"/>
      <c r="Y72" s="199"/>
      <c r="Z72" s="169"/>
      <c r="AA72" s="169"/>
      <c r="AD72" s="169"/>
      <c r="AE72" s="169"/>
      <c r="AF72" s="169"/>
      <c r="AG72" s="169"/>
      <c r="AM72" s="169"/>
      <c r="AN72" s="169"/>
      <c r="AO72" s="169"/>
      <c r="AP72" s="169"/>
      <c r="AQ72" s="169"/>
      <c r="AR72" s="169"/>
      <c r="AS72" s="169"/>
      <c r="AT72" s="169"/>
      <c r="AU72" s="169"/>
    </row>
    <row r="73" spans="1:47" x14ac:dyDescent="0.25">
      <c r="A73" s="182"/>
      <c r="B73" s="173"/>
      <c r="C73" s="169"/>
      <c r="D73" s="182"/>
      <c r="E73" s="170"/>
      <c r="F73" s="171"/>
      <c r="G73" s="173"/>
      <c r="H73" s="173"/>
      <c r="I73" s="173"/>
      <c r="J73" s="173"/>
      <c r="K73" s="173"/>
      <c r="L73" s="185"/>
      <c r="M73" s="196"/>
      <c r="N73" s="196"/>
      <c r="O73" s="196"/>
      <c r="Q73" s="169"/>
      <c r="R73" s="170"/>
      <c r="S73" s="170"/>
      <c r="T73" s="197"/>
      <c r="U73" s="197"/>
      <c r="V73" s="181"/>
      <c r="W73" s="173"/>
      <c r="X73" s="173"/>
      <c r="Y73" s="199"/>
      <c r="Z73" s="169"/>
      <c r="AA73" s="169"/>
      <c r="AD73" s="169"/>
      <c r="AE73" s="169"/>
      <c r="AF73" s="169"/>
      <c r="AG73" s="169"/>
      <c r="AM73" s="169"/>
      <c r="AN73" s="169"/>
      <c r="AO73" s="169"/>
      <c r="AP73" s="169"/>
      <c r="AQ73" s="169"/>
      <c r="AR73" s="169"/>
      <c r="AS73" s="169"/>
      <c r="AT73" s="169"/>
      <c r="AU73" s="169"/>
    </row>
    <row r="74" spans="1:47" x14ac:dyDescent="0.25">
      <c r="A74" s="182"/>
      <c r="B74" s="173"/>
      <c r="C74" s="169"/>
      <c r="D74" s="182"/>
      <c r="E74" s="170"/>
      <c r="F74" s="171"/>
      <c r="G74" s="173"/>
      <c r="H74" s="173"/>
      <c r="I74" s="173"/>
      <c r="J74" s="173"/>
      <c r="K74" s="173"/>
      <c r="L74" s="185"/>
      <c r="M74" s="196"/>
      <c r="N74" s="196"/>
      <c r="O74" s="196"/>
      <c r="Q74" s="169"/>
      <c r="R74" s="170"/>
      <c r="S74" s="170"/>
      <c r="T74" s="197"/>
      <c r="U74" s="197"/>
      <c r="V74" s="181"/>
      <c r="W74" s="173"/>
      <c r="X74" s="173"/>
      <c r="Y74" s="199"/>
      <c r="Z74" s="169"/>
      <c r="AA74" s="169"/>
      <c r="AD74" s="169"/>
      <c r="AE74" s="169"/>
      <c r="AF74" s="169"/>
      <c r="AG74" s="169"/>
      <c r="AM74" s="169"/>
      <c r="AN74" s="169"/>
      <c r="AO74" s="169"/>
      <c r="AP74" s="169"/>
      <c r="AQ74" s="169"/>
      <c r="AR74" s="169"/>
      <c r="AS74" s="169"/>
      <c r="AT74" s="169"/>
      <c r="AU74" s="169"/>
    </row>
    <row r="75" spans="1:47" x14ac:dyDescent="0.25">
      <c r="A75" s="182"/>
      <c r="B75" s="173"/>
      <c r="C75" s="169"/>
      <c r="D75" s="182"/>
      <c r="E75" s="170"/>
      <c r="F75" s="171"/>
      <c r="G75" s="173"/>
      <c r="H75" s="173"/>
      <c r="I75" s="173"/>
      <c r="J75" s="173"/>
      <c r="K75" s="173"/>
      <c r="L75" s="185"/>
      <c r="M75" s="196"/>
      <c r="N75" s="196"/>
      <c r="O75" s="196"/>
      <c r="Q75" s="169"/>
      <c r="R75" s="170"/>
      <c r="S75" s="170"/>
      <c r="T75" s="197"/>
      <c r="U75" s="197"/>
      <c r="V75" s="181"/>
      <c r="W75" s="173"/>
      <c r="X75" s="173"/>
      <c r="Y75" s="199"/>
      <c r="Z75" s="169"/>
      <c r="AA75" s="169"/>
      <c r="AD75" s="169"/>
      <c r="AE75" s="169"/>
      <c r="AF75" s="169"/>
      <c r="AG75" s="169"/>
      <c r="AM75" s="169"/>
      <c r="AN75" s="169"/>
      <c r="AO75" s="169"/>
      <c r="AP75" s="169"/>
      <c r="AQ75" s="169"/>
      <c r="AR75" s="169"/>
      <c r="AS75" s="169"/>
      <c r="AT75" s="169"/>
      <c r="AU75" s="169"/>
    </row>
    <row r="76" spans="1:47" ht="15.5" x14ac:dyDescent="0.35">
      <c r="A76" s="34" t="s">
        <v>1291</v>
      </c>
      <c r="B76" s="173"/>
      <c r="C76" s="169"/>
      <c r="D76" s="182"/>
      <c r="E76" s="170"/>
      <c r="F76" s="173"/>
      <c r="G76" s="173"/>
      <c r="H76" s="173"/>
      <c r="I76" s="173"/>
      <c r="J76" s="173"/>
      <c r="K76" s="173"/>
      <c r="L76" s="170"/>
      <c r="M76" s="170"/>
      <c r="N76" s="170"/>
      <c r="O76" s="170"/>
      <c r="Q76" s="169"/>
      <c r="R76" s="170"/>
      <c r="S76" s="171"/>
      <c r="T76" s="197"/>
      <c r="U76" s="197"/>
      <c r="V76" s="181"/>
      <c r="W76" s="173"/>
      <c r="X76" s="173"/>
      <c r="Y76" s="199"/>
      <c r="Z76" s="169"/>
      <c r="AA76" s="169"/>
      <c r="AD76" s="169"/>
      <c r="AE76" s="169"/>
      <c r="AF76" s="169"/>
      <c r="AG76" s="169"/>
      <c r="AK76" s="10" t="s">
        <v>800</v>
      </c>
      <c r="AL76" s="471">
        <f>AVERAGE(AL55:AL67)</f>
        <v>0.3145494452431864</v>
      </c>
      <c r="AM76" s="169"/>
      <c r="AN76" s="169"/>
      <c r="AO76" s="169"/>
      <c r="AP76" s="169"/>
      <c r="AQ76" s="169"/>
      <c r="AR76" s="169"/>
      <c r="AS76" s="169"/>
      <c r="AT76" s="169"/>
      <c r="AU76" s="169"/>
    </row>
    <row r="77" spans="1:47" x14ac:dyDescent="0.25">
      <c r="A77" s="169"/>
      <c r="B77" s="169"/>
      <c r="C77" s="169"/>
      <c r="D77" s="183"/>
      <c r="E77" s="170"/>
      <c r="F77" s="173"/>
      <c r="G77" s="173"/>
      <c r="H77" s="173"/>
      <c r="I77" s="169"/>
      <c r="J77" s="173"/>
      <c r="K77" s="173"/>
      <c r="L77" s="170"/>
      <c r="M77" s="170"/>
      <c r="N77" s="170"/>
      <c r="O77" s="170"/>
      <c r="Q77" s="171"/>
      <c r="R77" s="169"/>
      <c r="S77" s="169"/>
      <c r="T77" s="197"/>
      <c r="U77" s="197"/>
      <c r="V77" s="203"/>
      <c r="W77" s="169"/>
      <c r="X77" s="169"/>
      <c r="Y77" s="199"/>
      <c r="Z77" s="169"/>
      <c r="AA77" s="169"/>
      <c r="AD77" s="169"/>
      <c r="AE77" s="169"/>
      <c r="AF77" s="169"/>
      <c r="AG77" s="169"/>
      <c r="AM77" s="169"/>
      <c r="AN77" s="169"/>
      <c r="AO77" s="169"/>
      <c r="AP77" s="169"/>
      <c r="AQ77" s="169"/>
      <c r="AR77" s="169"/>
      <c r="AS77" s="169"/>
      <c r="AT77" s="169"/>
      <c r="AU77" s="169"/>
    </row>
    <row r="78" spans="1:47" x14ac:dyDescent="0.25">
      <c r="A78" s="182"/>
      <c r="B78" s="173"/>
      <c r="C78" s="169"/>
      <c r="D78" s="183"/>
      <c r="E78" s="170"/>
      <c r="F78" s="171"/>
      <c r="G78" s="173"/>
      <c r="H78" s="173"/>
      <c r="I78" s="173"/>
      <c r="J78" s="173"/>
      <c r="K78" s="173"/>
      <c r="L78" s="196"/>
      <c r="M78" s="196"/>
      <c r="N78" s="196"/>
      <c r="O78" s="196"/>
      <c r="Q78" s="169"/>
      <c r="R78" s="170"/>
      <c r="S78" s="171"/>
      <c r="T78" s="197"/>
      <c r="U78" s="197"/>
      <c r="V78" s="181"/>
      <c r="W78" s="173"/>
      <c r="X78" s="173"/>
      <c r="Y78" s="199"/>
      <c r="Z78" s="169"/>
      <c r="AA78" s="169"/>
      <c r="AD78" s="169"/>
      <c r="AE78" s="169"/>
      <c r="AF78" s="169"/>
      <c r="AG78" s="169"/>
      <c r="AM78" s="169"/>
      <c r="AN78" s="169"/>
      <c r="AO78" s="169"/>
      <c r="AP78" s="169"/>
      <c r="AQ78" s="169"/>
      <c r="AR78" s="169"/>
      <c r="AS78" s="169"/>
      <c r="AT78" s="169"/>
      <c r="AU78" s="169"/>
    </row>
    <row r="79" spans="1:47" x14ac:dyDescent="0.25">
      <c r="A79" s="271"/>
      <c r="B79" s="271" t="s">
        <v>60</v>
      </c>
      <c r="C79" s="269"/>
      <c r="D79" s="240" t="s">
        <v>133</v>
      </c>
      <c r="E79" s="170"/>
      <c r="F79" s="173"/>
      <c r="G79" s="173"/>
      <c r="H79" s="173"/>
      <c r="I79" s="173"/>
      <c r="J79" s="173"/>
      <c r="K79" s="173"/>
      <c r="L79" s="170"/>
      <c r="M79" s="170"/>
      <c r="N79" s="170"/>
      <c r="O79" s="170"/>
      <c r="Q79" s="171"/>
      <c r="R79" s="169"/>
      <c r="S79" s="169"/>
      <c r="T79" s="197"/>
      <c r="U79" s="197"/>
      <c r="V79" s="203"/>
      <c r="W79" s="169"/>
      <c r="X79" s="169"/>
      <c r="Y79" s="199"/>
      <c r="Z79" s="169"/>
      <c r="AA79" s="169"/>
      <c r="AD79" s="169"/>
      <c r="AE79" s="169"/>
      <c r="AF79" s="169"/>
      <c r="AG79" s="169"/>
      <c r="AM79" s="169"/>
      <c r="AN79" s="169"/>
      <c r="AO79" s="169"/>
      <c r="AP79" s="169"/>
      <c r="AQ79" s="169"/>
      <c r="AR79" s="169"/>
      <c r="AS79" s="169"/>
      <c r="AT79" s="169"/>
      <c r="AU79" s="169"/>
    </row>
    <row r="80" spans="1:47" x14ac:dyDescent="0.25">
      <c r="A80" s="238" t="s">
        <v>111</v>
      </c>
      <c r="B80" s="269"/>
      <c r="C80" s="269"/>
      <c r="D80" s="240">
        <f>COUNT(F7:F27)</f>
        <v>21</v>
      </c>
      <c r="E80" s="170"/>
      <c r="F80" s="169"/>
      <c r="G80" s="169"/>
      <c r="H80" s="173"/>
      <c r="I80" s="173"/>
      <c r="J80" s="173"/>
      <c r="K80" s="173"/>
      <c r="L80" s="170"/>
      <c r="M80" s="170"/>
      <c r="N80" s="170"/>
      <c r="O80" s="170"/>
      <c r="Q80" s="171"/>
      <c r="R80" s="170"/>
      <c r="S80" s="171"/>
      <c r="T80" s="197"/>
      <c r="U80" s="197"/>
      <c r="V80" s="203"/>
      <c r="W80" s="169"/>
      <c r="X80" s="169"/>
      <c r="Y80" s="199"/>
      <c r="Z80" s="169"/>
      <c r="AA80" s="169"/>
      <c r="AD80" s="169"/>
      <c r="AE80" s="169"/>
      <c r="AF80" s="169"/>
      <c r="AG80" s="169"/>
      <c r="AM80" s="169"/>
      <c r="AN80" s="169"/>
      <c r="AO80" s="169"/>
      <c r="AP80" s="169"/>
      <c r="AQ80" s="169"/>
      <c r="AR80" s="169"/>
      <c r="AS80" s="169"/>
      <c r="AT80" s="169"/>
      <c r="AU80" s="169"/>
    </row>
    <row r="81" spans="1:47" x14ac:dyDescent="0.25">
      <c r="A81" s="238" t="s">
        <v>109</v>
      </c>
      <c r="B81" s="269"/>
      <c r="C81" s="269"/>
      <c r="D81" s="240">
        <f>COUNT(F31:F51)</f>
        <v>21</v>
      </c>
      <c r="E81" s="170"/>
      <c r="F81" s="169"/>
      <c r="G81" s="169"/>
      <c r="H81" s="173"/>
      <c r="I81" s="173"/>
      <c r="J81" s="173"/>
      <c r="K81" s="173"/>
      <c r="L81" s="170"/>
      <c r="M81" s="170"/>
      <c r="N81" s="170"/>
      <c r="O81" s="170"/>
      <c r="Q81" s="171"/>
      <c r="R81" s="170"/>
      <c r="S81" s="171"/>
      <c r="T81" s="197"/>
      <c r="U81" s="197"/>
      <c r="V81" s="203"/>
      <c r="W81" s="169"/>
      <c r="X81" s="169"/>
      <c r="Y81" s="199"/>
      <c r="Z81" s="169"/>
      <c r="AA81" s="169"/>
      <c r="AD81" s="169"/>
      <c r="AE81" s="169"/>
      <c r="AF81" s="169"/>
      <c r="AG81" s="169"/>
      <c r="AM81" s="169"/>
      <c r="AN81" s="169"/>
      <c r="AO81" s="169"/>
      <c r="AP81" s="169"/>
      <c r="AQ81" s="169"/>
      <c r="AR81" s="169"/>
      <c r="AS81" s="169"/>
      <c r="AT81" s="169"/>
      <c r="AU81" s="169"/>
    </row>
    <row r="82" spans="1:47" x14ac:dyDescent="0.25">
      <c r="A82" s="238" t="s">
        <v>110</v>
      </c>
      <c r="B82" s="269"/>
      <c r="C82" s="269"/>
      <c r="D82" s="240">
        <v>13</v>
      </c>
      <c r="E82" s="170"/>
      <c r="F82" s="169"/>
      <c r="G82" s="169"/>
      <c r="H82" s="173"/>
      <c r="I82" s="173"/>
      <c r="J82" s="173"/>
      <c r="K82" s="173"/>
      <c r="L82" s="170"/>
      <c r="M82" s="170"/>
      <c r="N82" s="170"/>
      <c r="O82" s="170"/>
      <c r="Q82" s="171"/>
      <c r="R82" s="170"/>
      <c r="S82" s="171"/>
      <c r="T82" s="197"/>
      <c r="U82" s="197"/>
      <c r="V82" s="203"/>
      <c r="W82" s="169"/>
      <c r="X82" s="169"/>
      <c r="Y82" s="199"/>
      <c r="Z82" s="169"/>
      <c r="AA82" s="169"/>
      <c r="AD82" s="169"/>
      <c r="AE82" s="169"/>
      <c r="AF82" s="169"/>
      <c r="AG82" s="169"/>
      <c r="AM82" s="169"/>
      <c r="AN82" s="169"/>
      <c r="AO82" s="169"/>
      <c r="AP82" s="169"/>
      <c r="AQ82" s="169"/>
      <c r="AR82" s="169"/>
      <c r="AS82" s="169"/>
      <c r="AT82" s="169"/>
      <c r="AU82" s="169"/>
    </row>
    <row r="83" spans="1:47" x14ac:dyDescent="0.25">
      <c r="A83" s="271" t="s">
        <v>67</v>
      </c>
      <c r="B83" s="269"/>
      <c r="C83" s="269"/>
      <c r="D83" s="273">
        <f>SUM(D80:D82)</f>
        <v>55</v>
      </c>
      <c r="E83" s="170"/>
      <c r="F83" s="173"/>
      <c r="G83" s="173"/>
      <c r="H83" s="173"/>
      <c r="I83" s="169"/>
      <c r="J83" s="173"/>
      <c r="K83" s="173"/>
      <c r="L83" s="170"/>
      <c r="M83" s="170"/>
      <c r="N83" s="170"/>
      <c r="O83" s="170"/>
      <c r="Q83" s="171"/>
      <c r="R83" s="169"/>
      <c r="S83" s="169"/>
      <c r="T83" s="197"/>
      <c r="U83" s="197"/>
      <c r="V83" s="203"/>
      <c r="W83" s="169"/>
      <c r="X83" s="169"/>
      <c r="Y83" s="199"/>
      <c r="Z83" s="169"/>
      <c r="AA83" s="169"/>
      <c r="AD83" s="169"/>
      <c r="AE83" s="169"/>
      <c r="AF83" s="169"/>
      <c r="AG83" s="169"/>
      <c r="AM83" s="169"/>
      <c r="AN83" s="169"/>
      <c r="AO83" s="169"/>
      <c r="AP83" s="169"/>
      <c r="AQ83" s="169"/>
      <c r="AR83" s="169"/>
      <c r="AS83" s="169"/>
      <c r="AT83" s="169"/>
      <c r="AU83" s="169"/>
    </row>
    <row r="84" spans="1:47" x14ac:dyDescent="0.25">
      <c r="A84" s="271" t="s">
        <v>120</v>
      </c>
      <c r="B84" s="269"/>
      <c r="C84" s="269"/>
      <c r="D84" s="273">
        <f>SUM(D80:D82)</f>
        <v>55</v>
      </c>
      <c r="E84" s="170"/>
      <c r="F84" s="173"/>
      <c r="G84" s="173"/>
      <c r="H84" s="173"/>
      <c r="I84" s="169"/>
      <c r="J84" s="173"/>
      <c r="K84" s="173"/>
      <c r="L84" s="170"/>
      <c r="M84" s="170"/>
      <c r="N84" s="170"/>
      <c r="O84" s="170"/>
      <c r="Q84" s="171"/>
      <c r="R84" s="169"/>
      <c r="S84" s="169"/>
      <c r="T84" s="197"/>
      <c r="U84" s="197"/>
      <c r="V84" s="203"/>
      <c r="W84" s="169"/>
      <c r="X84" s="169"/>
      <c r="Y84" s="199"/>
      <c r="Z84" s="169"/>
      <c r="AA84" s="169"/>
      <c r="AD84" s="169"/>
      <c r="AE84" s="169"/>
      <c r="AF84" s="169"/>
      <c r="AG84" s="169"/>
      <c r="AM84" s="169"/>
      <c r="AN84" s="169"/>
      <c r="AO84" s="169"/>
      <c r="AP84" s="169"/>
      <c r="AQ84" s="169"/>
      <c r="AR84" s="169"/>
      <c r="AS84" s="169"/>
      <c r="AT84" s="169"/>
      <c r="AU84" s="169"/>
    </row>
    <row r="85" spans="1:47" x14ac:dyDescent="0.25">
      <c r="A85" s="269"/>
      <c r="B85" s="269"/>
      <c r="C85" s="269"/>
      <c r="D85" s="273" t="s">
        <v>134</v>
      </c>
      <c r="E85" s="275" t="s">
        <v>125</v>
      </c>
      <c r="F85" s="238" t="s">
        <v>245</v>
      </c>
      <c r="G85" s="238"/>
      <c r="H85" s="173"/>
      <c r="I85" s="173"/>
      <c r="J85" s="169"/>
      <c r="K85" s="169"/>
      <c r="L85" s="170"/>
      <c r="M85" s="170"/>
      <c r="N85" s="170"/>
      <c r="O85" s="170"/>
      <c r="Q85" s="171"/>
      <c r="R85" s="169"/>
      <c r="S85" s="169"/>
      <c r="T85" s="197"/>
      <c r="U85" s="197"/>
      <c r="V85" s="203"/>
      <c r="W85" s="169"/>
      <c r="X85" s="169"/>
      <c r="Y85" s="199"/>
      <c r="Z85" s="169"/>
      <c r="AA85" s="169"/>
      <c r="AD85" s="169"/>
      <c r="AE85" s="169"/>
      <c r="AF85" s="169"/>
      <c r="AG85" s="169"/>
      <c r="AM85" s="169"/>
      <c r="AN85" s="169"/>
      <c r="AO85" s="169"/>
      <c r="AP85" s="169"/>
      <c r="AQ85" s="169"/>
      <c r="AR85" s="169"/>
      <c r="AS85" s="169"/>
      <c r="AT85" s="169"/>
      <c r="AU85" s="169"/>
    </row>
    <row r="86" spans="1:47" x14ac:dyDescent="0.25">
      <c r="A86" s="269" t="s">
        <v>68</v>
      </c>
      <c r="B86" s="269"/>
      <c r="C86" s="238"/>
      <c r="D86" s="273">
        <f>F86-E86</f>
        <v>55</v>
      </c>
      <c r="E86" s="275"/>
      <c r="F86" s="274">
        <f>COUNT(E7:E78)</f>
        <v>55</v>
      </c>
      <c r="G86" s="273"/>
      <c r="H86" s="173"/>
      <c r="I86" s="173"/>
      <c r="J86" s="169"/>
      <c r="K86" s="169"/>
      <c r="L86" s="170"/>
      <c r="M86" s="170"/>
      <c r="N86" s="170"/>
      <c r="O86" s="170"/>
      <c r="Q86" s="171"/>
      <c r="R86" s="169"/>
      <c r="S86" s="169"/>
      <c r="T86" s="197"/>
      <c r="U86" s="197"/>
      <c r="V86" s="203"/>
      <c r="W86" s="169"/>
      <c r="X86" s="169"/>
      <c r="Y86" s="199"/>
      <c r="Z86" s="169"/>
      <c r="AA86" s="169"/>
      <c r="AD86" s="169"/>
      <c r="AE86" s="169"/>
      <c r="AF86" s="169"/>
      <c r="AG86" s="169"/>
      <c r="AM86" s="169"/>
      <c r="AN86" s="169"/>
      <c r="AO86" s="169"/>
      <c r="AP86" s="169"/>
      <c r="AQ86" s="169"/>
      <c r="AR86" s="169"/>
      <c r="AS86" s="169"/>
      <c r="AT86" s="169"/>
      <c r="AU86" s="169"/>
    </row>
    <row r="87" spans="1:47" x14ac:dyDescent="0.25">
      <c r="A87" s="169"/>
      <c r="B87" s="169"/>
      <c r="C87" s="173"/>
      <c r="D87" s="183"/>
      <c r="E87" s="170"/>
      <c r="F87" s="183"/>
      <c r="G87" s="183"/>
      <c r="H87" s="173"/>
      <c r="I87" s="173"/>
      <c r="J87" s="169"/>
      <c r="K87" s="169"/>
      <c r="L87" s="170"/>
      <c r="M87" s="170"/>
      <c r="N87" s="170"/>
      <c r="O87" s="170"/>
      <c r="Q87" s="171"/>
      <c r="R87" s="169"/>
      <c r="S87" s="169"/>
      <c r="T87" s="197"/>
      <c r="U87" s="197"/>
      <c r="V87" s="203"/>
      <c r="W87" s="169"/>
      <c r="X87" s="169"/>
      <c r="Y87" s="199"/>
      <c r="Z87" s="169"/>
      <c r="AA87" s="169"/>
      <c r="AD87" s="169"/>
      <c r="AE87" s="169"/>
      <c r="AF87" s="169"/>
      <c r="AG87" s="169"/>
      <c r="AM87" s="169"/>
      <c r="AN87" s="169"/>
      <c r="AO87" s="169"/>
      <c r="AP87" s="169"/>
      <c r="AQ87" s="169"/>
      <c r="AR87" s="169"/>
      <c r="AS87" s="169"/>
      <c r="AT87" s="169"/>
      <c r="AU87" s="169"/>
    </row>
    <row r="88" spans="1:47" x14ac:dyDescent="0.25">
      <c r="A88" s="169"/>
      <c r="B88" s="169"/>
      <c r="C88" s="169"/>
      <c r="D88" s="183"/>
      <c r="E88" s="275" t="s">
        <v>135</v>
      </c>
      <c r="F88" s="238" t="s">
        <v>131</v>
      </c>
      <c r="G88" s="269" t="s">
        <v>136</v>
      </c>
      <c r="H88" s="238" t="s">
        <v>137</v>
      </c>
      <c r="I88" s="269" t="s">
        <v>136</v>
      </c>
      <c r="J88" s="238" t="s">
        <v>139</v>
      </c>
      <c r="K88" s="173"/>
      <c r="L88" s="1"/>
      <c r="M88" s="170"/>
      <c r="N88" s="18"/>
      <c r="O88" s="170"/>
      <c r="Q88" s="171"/>
      <c r="R88" s="169"/>
      <c r="S88" s="169"/>
      <c r="T88" s="197"/>
      <c r="U88" s="197"/>
      <c r="V88" s="203"/>
      <c r="W88" s="169"/>
      <c r="X88" s="169"/>
      <c r="Y88" s="199"/>
      <c r="Z88" s="169"/>
      <c r="AA88" s="169"/>
      <c r="AD88" s="169"/>
      <c r="AE88" s="169"/>
      <c r="AF88" s="169"/>
      <c r="AG88" s="169"/>
      <c r="AM88" s="169"/>
      <c r="AN88" s="169"/>
      <c r="AO88" s="169"/>
      <c r="AP88" s="169"/>
      <c r="AQ88" s="169"/>
      <c r="AR88" s="169"/>
      <c r="AS88" s="169"/>
      <c r="AT88" s="169"/>
      <c r="AU88" s="169"/>
    </row>
    <row r="89" spans="1:47" x14ac:dyDescent="0.25">
      <c r="A89" s="169"/>
      <c r="B89" s="169"/>
      <c r="C89" s="169"/>
      <c r="D89" s="183"/>
      <c r="E89" s="275" t="s">
        <v>42</v>
      </c>
      <c r="F89" s="238" t="s">
        <v>132</v>
      </c>
      <c r="G89" s="269" t="s">
        <v>49</v>
      </c>
      <c r="H89" s="238" t="s">
        <v>44</v>
      </c>
      <c r="I89" s="238" t="s">
        <v>138</v>
      </c>
      <c r="J89" s="238"/>
      <c r="K89" s="173"/>
      <c r="L89" s="1"/>
      <c r="M89" s="18"/>
      <c r="N89" s="18"/>
      <c r="O89" s="170"/>
      <c r="Q89" s="171"/>
      <c r="R89" s="169"/>
      <c r="S89" s="169"/>
      <c r="T89" s="204"/>
      <c r="U89" s="197"/>
      <c r="V89" s="169"/>
      <c r="W89" s="203"/>
      <c r="X89" s="169"/>
      <c r="Y89" s="199"/>
      <c r="Z89" s="169"/>
      <c r="AA89" s="169"/>
      <c r="AD89" s="169"/>
      <c r="AE89" s="169"/>
      <c r="AF89" s="169"/>
      <c r="AG89" s="169"/>
      <c r="AM89" s="169"/>
      <c r="AN89" s="169"/>
      <c r="AO89" s="169"/>
      <c r="AP89" s="169"/>
      <c r="AQ89" s="169"/>
      <c r="AR89" s="169"/>
      <c r="AS89" s="169"/>
      <c r="AT89" s="169"/>
      <c r="AU89" s="169"/>
    </row>
    <row r="90" spans="1:47" x14ac:dyDescent="0.25">
      <c r="A90" s="238" t="s">
        <v>111</v>
      </c>
      <c r="B90" s="169"/>
      <c r="C90" s="169"/>
      <c r="D90" s="183"/>
      <c r="E90" s="275">
        <f>SUM(E7:E27)</f>
        <v>2173.4142857142856</v>
      </c>
      <c r="F90" s="271">
        <v>0.5</v>
      </c>
      <c r="G90" s="238">
        <f>SUM(G7:G27)</f>
        <v>357</v>
      </c>
      <c r="H90" s="238">
        <f>0.001*365.25*E90/F90/G90</f>
        <v>4.4472804921968789</v>
      </c>
      <c r="I90" s="238">
        <f>100*G90/365</f>
        <v>97.808219178082197</v>
      </c>
      <c r="J90" s="238">
        <f>365-G90</f>
        <v>8</v>
      </c>
      <c r="K90" s="173"/>
      <c r="L90" s="18"/>
      <c r="M90" s="18"/>
      <c r="N90" s="18"/>
      <c r="O90" s="170"/>
      <c r="Q90" s="171"/>
      <c r="R90" s="169"/>
      <c r="S90" s="169"/>
      <c r="T90" s="197"/>
      <c r="U90" s="197"/>
      <c r="V90" s="181"/>
      <c r="W90" s="169"/>
      <c r="X90" s="169"/>
      <c r="Y90" s="199"/>
      <c r="Z90" s="169"/>
      <c r="AA90" s="169"/>
      <c r="AD90" s="169"/>
      <c r="AE90" s="169"/>
      <c r="AF90" s="169"/>
      <c r="AG90" s="169"/>
      <c r="AM90" s="169"/>
      <c r="AN90" s="169"/>
      <c r="AO90" s="169"/>
      <c r="AP90" s="169"/>
      <c r="AQ90" s="169"/>
      <c r="AR90" s="169"/>
      <c r="AS90" s="169"/>
      <c r="AT90" s="169"/>
      <c r="AU90" s="169"/>
    </row>
    <row r="91" spans="1:47" x14ac:dyDescent="0.25">
      <c r="A91" s="269" t="s">
        <v>109</v>
      </c>
      <c r="B91" s="169"/>
      <c r="C91" s="169"/>
      <c r="D91" s="183"/>
      <c r="E91" s="275">
        <f>SUM(E31:E51)</f>
        <v>10171.55714285714</v>
      </c>
      <c r="F91" s="271">
        <v>0.5</v>
      </c>
      <c r="G91" s="238">
        <f>SUM(G31:G51)</f>
        <v>357</v>
      </c>
      <c r="H91" s="238">
        <f>0.001*365.25*E91/F91/G91</f>
        <v>20.813228271308521</v>
      </c>
      <c r="I91" s="238">
        <f>100*G91/365</f>
        <v>97.808219178082197</v>
      </c>
      <c r="J91" s="238">
        <f>365-G91</f>
        <v>8</v>
      </c>
      <c r="K91" s="173"/>
      <c r="L91" s="170"/>
      <c r="M91" s="170"/>
      <c r="N91" s="170"/>
      <c r="O91" s="170"/>
      <c r="Q91" s="171"/>
      <c r="R91" s="169"/>
      <c r="S91" s="169"/>
      <c r="T91" s="197"/>
      <c r="U91" s="197"/>
      <c r="V91" s="181"/>
      <c r="W91" s="169"/>
      <c r="X91" s="169"/>
      <c r="Y91" s="199"/>
      <c r="Z91" s="169"/>
      <c r="AA91" s="169"/>
      <c r="AD91" s="169"/>
      <c r="AE91" s="169"/>
      <c r="AF91" s="169"/>
      <c r="AG91" s="169"/>
      <c r="AM91" s="169"/>
      <c r="AN91" s="169"/>
      <c r="AO91" s="169"/>
      <c r="AP91" s="169"/>
      <c r="AQ91" s="169"/>
      <c r="AR91" s="169"/>
      <c r="AS91" s="169"/>
      <c r="AT91" s="169"/>
      <c r="AU91" s="169"/>
    </row>
    <row r="92" spans="1:47" x14ac:dyDescent="0.25">
      <c r="A92" s="238" t="s">
        <v>110</v>
      </c>
      <c r="B92" s="169"/>
      <c r="C92" s="169"/>
      <c r="D92" s="183"/>
      <c r="E92" s="275">
        <f>SUM(E55:E67)</f>
        <v>10365.914285714285</v>
      </c>
      <c r="F92" s="271">
        <v>0.5</v>
      </c>
      <c r="G92" s="238">
        <f>SUM(G55:G67)</f>
        <v>351</v>
      </c>
      <c r="H92" s="238">
        <f>0.001*365.25*E92/F92/G92</f>
        <v>21.573505372405371</v>
      </c>
      <c r="I92" s="238">
        <f>100*G92/365</f>
        <v>96.164383561643831</v>
      </c>
      <c r="J92" s="238">
        <f>365-G92</f>
        <v>14</v>
      </c>
      <c r="K92" s="173"/>
      <c r="L92" s="170"/>
      <c r="M92" s="170"/>
      <c r="N92" s="170"/>
      <c r="O92" s="170"/>
      <c r="Q92" s="171"/>
      <c r="R92" s="169"/>
      <c r="S92" s="169"/>
      <c r="T92" s="197"/>
      <c r="U92" s="197"/>
      <c r="V92" s="181"/>
      <c r="W92" s="169"/>
      <c r="X92" s="169"/>
      <c r="Y92" s="199"/>
      <c r="Z92" s="169"/>
      <c r="AA92" s="169"/>
      <c r="AD92" s="169"/>
      <c r="AE92" s="169"/>
      <c r="AF92" s="169"/>
      <c r="AG92" s="169"/>
      <c r="AM92" s="169"/>
      <c r="AN92" s="169"/>
      <c r="AO92" s="169"/>
      <c r="AP92" s="169"/>
      <c r="AQ92" s="169"/>
      <c r="AR92" s="169"/>
      <c r="AS92" s="169"/>
      <c r="AT92" s="169"/>
      <c r="AU92" s="169"/>
    </row>
    <row r="93" spans="1:47" x14ac:dyDescent="0.25">
      <c r="A93" s="169"/>
      <c r="B93" s="169"/>
      <c r="C93" s="169"/>
      <c r="D93" s="183"/>
      <c r="E93" s="170"/>
      <c r="F93" s="173"/>
      <c r="G93" s="173"/>
      <c r="H93" s="173"/>
      <c r="I93" s="173"/>
      <c r="J93" s="173"/>
      <c r="K93" s="173"/>
      <c r="L93" s="170"/>
      <c r="M93" s="170"/>
      <c r="N93" s="170"/>
      <c r="O93" s="170"/>
      <c r="Q93" s="171"/>
      <c r="R93" s="169"/>
      <c r="S93" s="169"/>
      <c r="T93" s="197"/>
      <c r="U93" s="197"/>
      <c r="V93" s="203"/>
      <c r="W93" s="169"/>
      <c r="X93" s="169"/>
      <c r="Y93" s="199"/>
      <c r="Z93" s="169"/>
      <c r="AA93" s="169"/>
      <c r="AD93" s="169"/>
      <c r="AE93" s="169"/>
      <c r="AF93" s="169"/>
      <c r="AG93" s="169"/>
      <c r="AM93" s="169"/>
      <c r="AN93" s="169"/>
      <c r="AO93" s="169"/>
      <c r="AP93" s="169"/>
      <c r="AQ93" s="169"/>
      <c r="AS93" s="169"/>
      <c r="AT93" s="169"/>
      <c r="AU93" s="169"/>
    </row>
    <row r="94" spans="1:47" x14ac:dyDescent="0.25">
      <c r="A94" s="169"/>
      <c r="B94" s="169"/>
      <c r="C94" s="169"/>
      <c r="D94" s="183"/>
      <c r="E94" s="170"/>
      <c r="F94" s="173"/>
      <c r="G94" s="173"/>
      <c r="H94" s="173"/>
      <c r="I94" s="171"/>
      <c r="J94" s="173"/>
      <c r="K94" s="173"/>
      <c r="L94" s="170"/>
      <c r="M94" s="170"/>
      <c r="N94" s="170"/>
      <c r="O94" s="170"/>
      <c r="Q94" s="171"/>
      <c r="R94" s="169"/>
      <c r="S94" s="169"/>
      <c r="T94" s="197"/>
      <c r="U94" s="197"/>
      <c r="V94" s="203"/>
      <c r="W94" s="169"/>
      <c r="X94" s="169"/>
      <c r="Y94" s="199"/>
      <c r="Z94" s="169"/>
      <c r="AA94" s="169"/>
      <c r="AD94" s="169"/>
      <c r="AE94" s="169"/>
      <c r="AF94" s="169"/>
      <c r="AG94" s="169"/>
      <c r="AM94" s="169"/>
      <c r="AN94" s="169"/>
      <c r="AO94" s="169"/>
      <c r="AP94" s="169"/>
      <c r="AQ94" s="169"/>
      <c r="AS94" s="169"/>
      <c r="AT94" s="169"/>
      <c r="AU94" s="169"/>
    </row>
    <row r="95" spans="1:47" x14ac:dyDescent="0.25">
      <c r="A95" s="169"/>
      <c r="B95" s="169"/>
      <c r="C95" s="169"/>
      <c r="D95" s="183"/>
      <c r="E95" s="170" t="s">
        <v>2</v>
      </c>
      <c r="F95" s="173" t="s">
        <v>2</v>
      </c>
      <c r="G95" s="173" t="s">
        <v>141</v>
      </c>
      <c r="H95" s="173" t="s">
        <v>141</v>
      </c>
      <c r="I95" s="171"/>
      <c r="J95" s="173"/>
      <c r="K95" s="173"/>
      <c r="L95" s="170"/>
      <c r="M95" s="170"/>
      <c r="N95" s="170"/>
      <c r="O95" s="170"/>
      <c r="Q95" s="171"/>
      <c r="R95" s="169"/>
      <c r="S95" s="169"/>
      <c r="T95" s="197"/>
      <c r="U95" s="197"/>
      <c r="V95" s="203"/>
      <c r="W95" s="169"/>
      <c r="X95" s="169"/>
      <c r="Y95" s="199"/>
      <c r="Z95" s="169"/>
      <c r="AA95" s="169"/>
      <c r="AD95" s="169"/>
      <c r="AE95" s="169"/>
      <c r="AF95" s="169"/>
      <c r="AG95" s="169"/>
      <c r="AM95" s="169"/>
      <c r="AN95" s="169"/>
      <c r="AO95" s="169"/>
      <c r="AP95" s="169"/>
      <c r="AQ95" s="169"/>
      <c r="AS95" s="169"/>
      <c r="AT95" s="169"/>
      <c r="AU95" s="169"/>
    </row>
    <row r="96" spans="1:47" x14ac:dyDescent="0.25">
      <c r="A96" s="17" t="s">
        <v>140</v>
      </c>
      <c r="B96" s="17"/>
      <c r="C96" s="17"/>
      <c r="D96" s="419"/>
      <c r="E96" s="434">
        <v>0.33333333333333331</v>
      </c>
      <c r="F96" s="205"/>
      <c r="G96" s="181"/>
      <c r="H96" s="205"/>
      <c r="I96" s="171"/>
      <c r="J96" s="173"/>
      <c r="K96" s="173"/>
      <c r="L96" s="170"/>
      <c r="M96" s="170"/>
      <c r="N96" s="170"/>
      <c r="O96" s="170"/>
      <c r="Q96" s="171"/>
      <c r="R96" s="169"/>
      <c r="S96" s="169"/>
      <c r="T96" s="197"/>
      <c r="U96" s="197"/>
      <c r="V96" s="203"/>
      <c r="W96" s="169"/>
      <c r="X96" s="169"/>
      <c r="Y96" s="199"/>
      <c r="Z96" s="169"/>
      <c r="AA96" s="169"/>
      <c r="AD96" s="169"/>
      <c r="AE96" s="169"/>
      <c r="AF96" s="169"/>
      <c r="AG96" s="169"/>
      <c r="AM96" s="169"/>
      <c r="AN96" s="169"/>
      <c r="AO96" s="169"/>
      <c r="AP96" s="169"/>
      <c r="AQ96" s="169"/>
      <c r="AS96" s="169"/>
      <c r="AT96" s="169"/>
      <c r="AU96" s="169"/>
    </row>
    <row r="97" spans="1:47" x14ac:dyDescent="0.25">
      <c r="A97" s="434" t="s">
        <v>145</v>
      </c>
      <c r="B97" s="434"/>
      <c r="C97" s="434"/>
      <c r="D97" s="435"/>
      <c r="E97" s="434">
        <v>0.77083333333333337</v>
      </c>
      <c r="F97" s="205"/>
      <c r="G97" s="181"/>
      <c r="H97" s="205"/>
      <c r="I97" s="171"/>
      <c r="J97" s="173"/>
      <c r="K97" s="173"/>
      <c r="L97" s="170"/>
      <c r="M97" s="170"/>
      <c r="N97" s="170"/>
      <c r="O97" s="170"/>
      <c r="Q97" s="171"/>
      <c r="R97" s="169"/>
      <c r="S97" s="169"/>
      <c r="T97" s="197"/>
      <c r="U97" s="197"/>
      <c r="V97" s="203"/>
      <c r="W97" s="169"/>
      <c r="X97" s="169"/>
      <c r="Y97" s="199"/>
      <c r="Z97" s="169"/>
      <c r="AA97" s="169"/>
      <c r="AD97" s="169"/>
      <c r="AE97" s="169"/>
      <c r="AF97" s="169"/>
      <c r="AG97" s="169"/>
      <c r="AM97" s="169"/>
      <c r="AN97" s="169"/>
      <c r="AO97" s="169"/>
      <c r="AP97" s="169"/>
      <c r="AQ97" s="169"/>
      <c r="AS97" s="169"/>
      <c r="AT97" s="169"/>
      <c r="AU97" s="169"/>
    </row>
    <row r="98" spans="1:47" x14ac:dyDescent="0.25">
      <c r="A98" s="17" t="s">
        <v>144</v>
      </c>
      <c r="B98" s="169"/>
      <c r="C98" s="169"/>
      <c r="D98" s="183"/>
      <c r="E98" s="170"/>
      <c r="F98" s="18">
        <f>24*(E97-E96)</f>
        <v>10.500000000000002</v>
      </c>
      <c r="G98" s="1" t="s">
        <v>146</v>
      </c>
      <c r="H98" s="173"/>
      <c r="I98" s="171"/>
      <c r="J98" s="173"/>
      <c r="K98" s="173"/>
      <c r="L98" s="170"/>
      <c r="M98" s="170"/>
      <c r="N98" s="170"/>
      <c r="O98" s="170"/>
      <c r="Q98" s="171"/>
      <c r="R98" s="169"/>
      <c r="S98" s="169"/>
      <c r="T98" s="197"/>
      <c r="U98" s="197"/>
      <c r="V98" s="203"/>
      <c r="W98" s="169"/>
      <c r="X98" s="169"/>
      <c r="Y98" s="199"/>
      <c r="Z98" s="169"/>
      <c r="AA98" s="169"/>
      <c r="AD98" s="169"/>
      <c r="AE98" s="169"/>
      <c r="AF98" s="169"/>
      <c r="AG98" s="169"/>
      <c r="AM98" s="169"/>
      <c r="AN98" s="169"/>
      <c r="AO98" s="169"/>
      <c r="AP98" s="169"/>
      <c r="AQ98" s="169"/>
      <c r="AS98" s="169"/>
      <c r="AT98" s="169"/>
      <c r="AU98" s="169"/>
    </row>
    <row r="99" spans="1:47" x14ac:dyDescent="0.25">
      <c r="A99" s="169" t="s">
        <v>142</v>
      </c>
      <c r="B99" s="169"/>
      <c r="C99" s="169"/>
      <c r="D99" s="183"/>
      <c r="E99" s="170"/>
      <c r="F99" s="173"/>
      <c r="G99" s="173"/>
      <c r="H99" s="173"/>
      <c r="I99" s="171"/>
      <c r="J99" s="173"/>
      <c r="K99" s="173"/>
      <c r="L99" s="170"/>
      <c r="M99" s="170"/>
      <c r="N99" s="170"/>
      <c r="O99" s="170"/>
      <c r="Q99" s="171"/>
      <c r="R99" s="169"/>
      <c r="S99" s="169"/>
      <c r="T99" s="197"/>
      <c r="U99" s="197"/>
      <c r="V99" s="203"/>
      <c r="W99" s="169"/>
      <c r="X99" s="169"/>
      <c r="Y99" s="199"/>
      <c r="Z99" s="169"/>
      <c r="AA99" s="169"/>
      <c r="AD99" s="169"/>
      <c r="AE99" s="169"/>
      <c r="AF99" s="169"/>
      <c r="AG99" s="169"/>
      <c r="AM99" s="169"/>
      <c r="AN99" s="169"/>
      <c r="AO99" s="169"/>
      <c r="AP99" s="169"/>
      <c r="AQ99" s="169"/>
      <c r="AS99" s="169"/>
      <c r="AT99" s="169"/>
      <c r="AU99" s="169"/>
    </row>
    <row r="100" spans="1:47" x14ac:dyDescent="0.25">
      <c r="A100" s="169" t="s">
        <v>143</v>
      </c>
      <c r="B100" s="169"/>
      <c r="C100" s="169"/>
      <c r="D100" s="183"/>
      <c r="E100" s="170"/>
      <c r="F100" s="173"/>
      <c r="G100" s="173"/>
      <c r="H100" s="173"/>
      <c r="I100" s="171"/>
      <c r="J100" s="173"/>
      <c r="K100" s="173"/>
      <c r="L100" s="170"/>
      <c r="M100" s="170"/>
      <c r="N100" s="170"/>
      <c r="O100" s="170"/>
      <c r="Q100" s="171"/>
      <c r="R100" s="169"/>
      <c r="S100" s="169"/>
      <c r="T100" s="197"/>
      <c r="U100" s="197"/>
      <c r="V100" s="203"/>
      <c r="W100" s="169"/>
      <c r="X100" s="169"/>
      <c r="Y100" s="199"/>
      <c r="Z100" s="169"/>
      <c r="AA100" s="169"/>
      <c r="AD100" s="169"/>
      <c r="AE100" s="169"/>
      <c r="AF100" s="169"/>
      <c r="AG100" s="169"/>
      <c r="AM100" s="169"/>
      <c r="AN100" s="169"/>
      <c r="AO100" s="169"/>
      <c r="AP100" s="169"/>
      <c r="AQ100" s="169"/>
      <c r="AS100" s="169"/>
      <c r="AT100" s="169"/>
      <c r="AU100" s="169"/>
    </row>
    <row r="101" spans="1:47" x14ac:dyDescent="0.25">
      <c r="A101" s="169"/>
      <c r="B101" s="169"/>
      <c r="C101" s="169"/>
      <c r="D101" s="183"/>
      <c r="E101" s="170"/>
      <c r="F101" s="173"/>
      <c r="G101" s="173"/>
      <c r="H101" s="173"/>
      <c r="I101" s="171"/>
      <c r="J101" s="173"/>
      <c r="K101" s="173"/>
      <c r="L101" s="170"/>
      <c r="M101" s="170"/>
      <c r="N101" s="170"/>
      <c r="O101" s="170"/>
      <c r="Q101" s="171"/>
      <c r="R101" s="169"/>
      <c r="S101" s="169"/>
      <c r="T101" s="197"/>
      <c r="U101" s="197"/>
      <c r="V101" s="203"/>
      <c r="W101" s="169"/>
      <c r="X101" s="169"/>
      <c r="Y101" s="199"/>
      <c r="Z101" s="169"/>
      <c r="AA101" s="169"/>
      <c r="AD101" s="169"/>
      <c r="AE101" s="169"/>
      <c r="AF101" s="169"/>
      <c r="AG101" s="169"/>
      <c r="AM101" s="169"/>
      <c r="AN101" s="169"/>
      <c r="AO101" s="169"/>
      <c r="AP101" s="169"/>
      <c r="AQ101" s="169"/>
      <c r="AS101" s="169"/>
      <c r="AT101" s="169"/>
      <c r="AU101" s="169"/>
    </row>
    <row r="102" spans="1:47" x14ac:dyDescent="0.25">
      <c r="A102" s="169"/>
      <c r="B102" s="169"/>
      <c r="C102" s="169"/>
      <c r="D102" s="183"/>
      <c r="E102" s="170"/>
      <c r="F102" s="173"/>
      <c r="G102" s="173"/>
      <c r="H102" s="173"/>
      <c r="I102" s="171"/>
      <c r="J102" s="173"/>
      <c r="K102" s="173"/>
      <c r="L102" s="170"/>
      <c r="M102" s="170"/>
      <c r="N102" s="170"/>
      <c r="O102" s="170"/>
      <c r="Q102" s="171"/>
      <c r="R102" s="169"/>
      <c r="S102" s="169"/>
      <c r="T102" s="197"/>
      <c r="U102" s="197"/>
      <c r="V102" s="203"/>
      <c r="W102" s="169"/>
      <c r="X102" s="169"/>
      <c r="Y102" s="199"/>
      <c r="Z102" s="169"/>
      <c r="AA102" s="169"/>
      <c r="AD102" s="169"/>
      <c r="AE102" s="169"/>
      <c r="AF102" s="169"/>
      <c r="AG102" s="169"/>
      <c r="AM102" s="169"/>
      <c r="AN102" s="169"/>
      <c r="AO102" s="169"/>
      <c r="AP102" s="169"/>
      <c r="AQ102" s="169"/>
      <c r="AS102" s="169"/>
      <c r="AT102" s="169"/>
      <c r="AU102" s="169"/>
    </row>
    <row r="103" spans="1:47" x14ac:dyDescent="0.25">
      <c r="A103" s="169"/>
      <c r="B103" s="169"/>
      <c r="C103" s="169"/>
      <c r="D103" s="183"/>
      <c r="E103" s="170"/>
      <c r="F103" s="173"/>
      <c r="G103" s="173"/>
      <c r="H103" s="173"/>
      <c r="I103" s="171"/>
      <c r="J103" s="173"/>
      <c r="K103" s="173"/>
      <c r="L103" s="170"/>
      <c r="M103" s="170"/>
      <c r="N103" s="170"/>
      <c r="O103" s="170"/>
      <c r="Q103" s="171"/>
      <c r="R103" s="169"/>
      <c r="S103" s="169"/>
      <c r="T103" s="197"/>
      <c r="U103" s="197"/>
      <c r="V103" s="203"/>
      <c r="W103" s="169"/>
      <c r="X103" s="169"/>
      <c r="Y103" s="199"/>
      <c r="Z103" s="169"/>
      <c r="AA103" s="169"/>
      <c r="AD103" s="169"/>
      <c r="AE103" s="169"/>
      <c r="AF103" s="169"/>
      <c r="AG103" s="169"/>
      <c r="AM103" s="169"/>
      <c r="AN103" s="169"/>
      <c r="AO103" s="169"/>
      <c r="AP103" s="169"/>
      <c r="AQ103" s="169"/>
      <c r="AS103" s="169"/>
      <c r="AT103" s="169"/>
      <c r="AU103" s="169"/>
    </row>
    <row r="104" spans="1:47" x14ac:dyDescent="0.25">
      <c r="A104" s="169"/>
      <c r="B104" s="169"/>
      <c r="C104" s="169"/>
      <c r="D104" s="183"/>
      <c r="E104" s="170"/>
      <c r="F104" s="173"/>
      <c r="G104" s="173"/>
      <c r="H104" s="173"/>
      <c r="I104" s="171"/>
      <c r="J104" s="173"/>
      <c r="K104" s="173"/>
      <c r="L104" s="170"/>
      <c r="M104" s="170"/>
      <c r="N104" s="170"/>
      <c r="O104" s="170"/>
      <c r="Q104" s="171"/>
      <c r="R104" s="169"/>
      <c r="S104" s="169"/>
      <c r="T104" s="197"/>
      <c r="U104" s="197"/>
      <c r="V104" s="203"/>
      <c r="W104" s="169"/>
      <c r="X104" s="169"/>
      <c r="Y104" s="199"/>
      <c r="Z104" s="169"/>
      <c r="AA104" s="169"/>
      <c r="AD104" s="169"/>
      <c r="AE104" s="169"/>
      <c r="AF104" s="169"/>
      <c r="AG104" s="169"/>
      <c r="AM104" s="169"/>
      <c r="AN104" s="169"/>
      <c r="AO104" s="169"/>
      <c r="AP104" s="169"/>
      <c r="AQ104" s="169"/>
      <c r="AS104" s="169"/>
      <c r="AT104" s="169"/>
      <c r="AU104" s="169"/>
    </row>
    <row r="105" spans="1:47" x14ac:dyDescent="0.25">
      <c r="A105" s="169"/>
      <c r="B105" s="173"/>
      <c r="C105" s="173"/>
      <c r="D105" s="182"/>
      <c r="E105" s="170"/>
      <c r="F105" s="173"/>
      <c r="G105" s="173"/>
      <c r="H105" s="173"/>
      <c r="I105" s="171"/>
      <c r="J105" s="173"/>
      <c r="K105" s="173"/>
      <c r="L105" s="170"/>
      <c r="M105" s="170"/>
      <c r="N105" s="170"/>
      <c r="O105" s="170"/>
      <c r="Q105" s="171"/>
      <c r="R105" s="169"/>
      <c r="S105" s="169"/>
      <c r="T105" s="197"/>
      <c r="U105" s="197"/>
      <c r="V105" s="203"/>
      <c r="W105" s="169"/>
      <c r="X105" s="169"/>
      <c r="Y105" s="199"/>
      <c r="Z105" s="169"/>
      <c r="AA105" s="169"/>
      <c r="AD105" s="169"/>
      <c r="AE105" s="169"/>
      <c r="AF105" s="169"/>
      <c r="AG105" s="169"/>
      <c r="AM105" s="169"/>
      <c r="AN105" s="169"/>
      <c r="AO105" s="169"/>
      <c r="AP105" s="169"/>
      <c r="AQ105" s="169"/>
      <c r="AS105" s="169"/>
      <c r="AT105" s="169"/>
      <c r="AU105" s="169"/>
    </row>
    <row r="106" spans="1:47" x14ac:dyDescent="0.25">
      <c r="A106" s="169"/>
      <c r="B106" s="169"/>
      <c r="C106" s="169"/>
      <c r="D106" s="183"/>
      <c r="E106" s="170"/>
      <c r="F106" s="173"/>
      <c r="G106" s="173"/>
      <c r="H106" s="173"/>
      <c r="I106" s="171"/>
      <c r="J106" s="173"/>
      <c r="K106" s="173"/>
      <c r="L106" s="170"/>
      <c r="M106" s="170"/>
      <c r="N106" s="170"/>
      <c r="O106" s="170"/>
      <c r="Q106" s="171"/>
      <c r="R106" s="169"/>
      <c r="S106" s="169"/>
      <c r="T106" s="197"/>
      <c r="U106" s="197"/>
      <c r="V106" s="203"/>
      <c r="W106" s="169"/>
      <c r="X106" s="169"/>
      <c r="Y106" s="199"/>
      <c r="Z106" s="169"/>
      <c r="AA106" s="169"/>
      <c r="AD106" s="169"/>
      <c r="AE106" s="169"/>
      <c r="AF106" s="169"/>
      <c r="AG106" s="169"/>
      <c r="AM106" s="169"/>
      <c r="AN106" s="169"/>
      <c r="AO106" s="169"/>
      <c r="AP106" s="169"/>
      <c r="AQ106" s="169"/>
      <c r="AS106" s="169"/>
      <c r="AT106" s="169"/>
      <c r="AU106" s="169"/>
    </row>
    <row r="107" spans="1:47" x14ac:dyDescent="0.25">
      <c r="A107" s="169"/>
      <c r="B107" s="169"/>
      <c r="C107" s="169"/>
      <c r="D107" s="183"/>
      <c r="E107" s="170"/>
      <c r="F107" s="173"/>
      <c r="G107" s="173"/>
      <c r="H107" s="173"/>
      <c r="I107" s="171"/>
      <c r="J107" s="173"/>
      <c r="K107" s="173"/>
      <c r="L107" s="170"/>
      <c r="M107" s="170"/>
      <c r="N107" s="170"/>
      <c r="O107" s="170"/>
      <c r="Q107" s="171"/>
      <c r="R107" s="169"/>
      <c r="S107" s="169"/>
      <c r="T107" s="197"/>
      <c r="U107" s="197"/>
      <c r="V107" s="203"/>
      <c r="W107" s="169"/>
      <c r="X107" s="169"/>
      <c r="Y107" s="199"/>
      <c r="Z107" s="169"/>
      <c r="AA107" s="169"/>
      <c r="AD107" s="169"/>
      <c r="AE107" s="169"/>
      <c r="AF107" s="169"/>
      <c r="AG107" s="169"/>
      <c r="AM107" s="169"/>
      <c r="AN107" s="169"/>
      <c r="AO107" s="169"/>
      <c r="AP107" s="169"/>
      <c r="AQ107" s="169"/>
      <c r="AS107" s="169"/>
      <c r="AT107" s="169"/>
      <c r="AU107" s="169"/>
    </row>
    <row r="108" spans="1:47" x14ac:dyDescent="0.25">
      <c r="A108" s="37"/>
      <c r="B108" s="37"/>
      <c r="C108" s="37"/>
      <c r="F108" s="38"/>
      <c r="G108" s="38"/>
      <c r="H108" s="38"/>
      <c r="I108" s="40"/>
      <c r="J108" s="38"/>
      <c r="K108" s="38"/>
      <c r="L108" s="42"/>
      <c r="M108" s="42"/>
      <c r="N108" s="42"/>
      <c r="O108" s="42"/>
      <c r="R108" s="37"/>
      <c r="S108" s="37"/>
      <c r="T108" s="91"/>
      <c r="U108" s="91"/>
      <c r="V108" s="41"/>
      <c r="W108" s="37"/>
      <c r="X108" s="37"/>
      <c r="Y108" s="43"/>
      <c r="Z108" s="37"/>
      <c r="AA108" s="37"/>
      <c r="AD108" s="37"/>
      <c r="AE108" s="37"/>
      <c r="AF108" s="37"/>
    </row>
    <row r="109" spans="1:47" x14ac:dyDescent="0.25">
      <c r="A109" s="37"/>
      <c r="B109" s="37"/>
      <c r="C109" s="37"/>
      <c r="F109" s="38"/>
      <c r="G109" s="38"/>
      <c r="H109" s="38"/>
      <c r="I109" s="40"/>
      <c r="J109" s="38"/>
      <c r="K109" s="38"/>
      <c r="L109" s="42"/>
      <c r="M109" s="42"/>
      <c r="N109" s="42"/>
      <c r="O109" s="42"/>
      <c r="R109" s="37"/>
      <c r="S109" s="37"/>
      <c r="T109" s="91"/>
      <c r="U109" s="91"/>
      <c r="V109" s="41"/>
      <c r="W109" s="37"/>
      <c r="X109" s="37"/>
      <c r="Y109" s="43"/>
      <c r="Z109" s="37"/>
      <c r="AA109" s="37"/>
      <c r="AD109" s="37"/>
      <c r="AE109" s="37"/>
      <c r="AF109" s="37"/>
    </row>
    <row r="110" spans="1:47" x14ac:dyDescent="0.25">
      <c r="A110" s="37"/>
      <c r="B110" s="37"/>
      <c r="C110" s="37"/>
      <c r="F110" s="38"/>
      <c r="G110" s="38"/>
      <c r="H110" s="38"/>
      <c r="I110" s="40"/>
      <c r="J110" s="38"/>
      <c r="K110" s="38"/>
      <c r="L110" s="42"/>
      <c r="M110" s="42"/>
      <c r="N110" s="42"/>
      <c r="O110" s="42"/>
      <c r="R110" s="37"/>
      <c r="S110" s="37"/>
      <c r="T110" s="91"/>
      <c r="U110" s="91"/>
      <c r="V110" s="41"/>
      <c r="W110" s="37"/>
      <c r="X110" s="37"/>
      <c r="Y110" s="43"/>
      <c r="Z110" s="37"/>
      <c r="AA110" s="37"/>
      <c r="AD110" s="37"/>
      <c r="AE110" s="37"/>
      <c r="AF110" s="37"/>
    </row>
    <row r="111" spans="1:47" x14ac:dyDescent="0.25">
      <c r="A111" s="37"/>
      <c r="B111" s="37"/>
      <c r="C111" s="37"/>
      <c r="F111" s="38"/>
      <c r="G111" s="38"/>
      <c r="H111" s="38"/>
      <c r="I111" s="40"/>
      <c r="J111" s="38"/>
      <c r="K111" s="38"/>
      <c r="L111" s="42"/>
      <c r="M111" s="42"/>
      <c r="N111" s="42"/>
      <c r="O111" s="42"/>
      <c r="R111" s="37"/>
      <c r="S111" s="37"/>
      <c r="T111" s="91"/>
      <c r="U111" s="91"/>
      <c r="V111" s="41"/>
      <c r="W111" s="37"/>
      <c r="X111" s="37"/>
      <c r="Y111" s="43"/>
      <c r="Z111" s="37"/>
      <c r="AA111" s="37"/>
      <c r="AD111" s="37"/>
      <c r="AE111" s="37"/>
      <c r="AF111" s="37"/>
    </row>
    <row r="112" spans="1:47" x14ac:dyDescent="0.25">
      <c r="A112" s="37"/>
      <c r="B112" s="37"/>
      <c r="C112" s="37"/>
      <c r="F112" s="38"/>
      <c r="G112" s="38"/>
      <c r="H112" s="38"/>
      <c r="I112" s="40"/>
      <c r="J112" s="38"/>
      <c r="K112" s="38"/>
      <c r="L112" s="42"/>
      <c r="M112" s="42"/>
      <c r="N112" s="42"/>
      <c r="O112" s="42"/>
      <c r="R112" s="37"/>
      <c r="S112" s="37"/>
      <c r="T112" s="91"/>
      <c r="U112" s="91"/>
      <c r="V112" s="41"/>
      <c r="W112" s="37"/>
      <c r="X112" s="37"/>
      <c r="Y112" s="43"/>
      <c r="Z112" s="37"/>
      <c r="AA112" s="37"/>
      <c r="AD112" s="37"/>
      <c r="AE112" s="37"/>
      <c r="AF112" s="37"/>
    </row>
    <row r="113" spans="1:32" x14ac:dyDescent="0.25">
      <c r="A113" s="37"/>
      <c r="B113" s="37"/>
      <c r="C113" s="37"/>
      <c r="F113" s="38"/>
      <c r="G113" s="38"/>
      <c r="H113" s="38"/>
      <c r="I113" s="40"/>
      <c r="J113" s="38"/>
      <c r="K113" s="38"/>
      <c r="L113" s="42"/>
      <c r="M113" s="42"/>
      <c r="N113" s="42"/>
      <c r="O113" s="42"/>
      <c r="R113" s="37"/>
      <c r="S113" s="37"/>
      <c r="T113" s="91"/>
      <c r="U113" s="91"/>
      <c r="V113" s="41"/>
      <c r="W113" s="37"/>
      <c r="X113" s="37"/>
      <c r="Y113" s="43"/>
      <c r="Z113" s="37"/>
      <c r="AA113" s="37"/>
      <c r="AD113" s="37"/>
      <c r="AE113" s="37"/>
      <c r="AF113" s="37"/>
    </row>
    <row r="114" spans="1:32" x14ac:dyDescent="0.25">
      <c r="A114" s="37"/>
      <c r="B114" s="37"/>
      <c r="C114" s="37"/>
      <c r="F114" s="38"/>
      <c r="G114" s="38"/>
      <c r="H114" s="38"/>
      <c r="I114" s="40"/>
      <c r="J114" s="38"/>
      <c r="K114" s="38"/>
      <c r="L114" s="42"/>
      <c r="M114" s="42"/>
      <c r="N114" s="42"/>
      <c r="O114" s="42"/>
      <c r="R114" s="37"/>
      <c r="S114" s="37"/>
      <c r="T114" s="91"/>
      <c r="U114" s="91"/>
      <c r="V114" s="41"/>
      <c r="W114" s="37"/>
      <c r="X114" s="37"/>
      <c r="Y114" s="43"/>
      <c r="Z114" s="37"/>
      <c r="AA114" s="37"/>
      <c r="AD114" s="37"/>
      <c r="AE114" s="37"/>
      <c r="AF114" s="37"/>
    </row>
    <row r="115" spans="1:32" x14ac:dyDescent="0.25">
      <c r="A115" s="37"/>
      <c r="B115" s="37"/>
      <c r="C115" s="37"/>
      <c r="F115" s="38"/>
      <c r="G115" s="38"/>
      <c r="H115" s="38"/>
      <c r="I115" s="40"/>
      <c r="J115" s="38"/>
      <c r="K115" s="38"/>
      <c r="L115" s="42"/>
      <c r="M115" s="42"/>
      <c r="N115" s="42"/>
      <c r="O115" s="42"/>
      <c r="R115" s="37"/>
      <c r="S115" s="37"/>
      <c r="T115" s="91"/>
      <c r="U115" s="91"/>
      <c r="V115" s="41"/>
      <c r="W115" s="37"/>
      <c r="X115" s="37"/>
      <c r="Y115" s="43"/>
      <c r="Z115" s="37"/>
      <c r="AA115" s="37"/>
      <c r="AD115" s="37"/>
      <c r="AE115" s="37"/>
      <c r="AF115" s="37"/>
    </row>
    <row r="116" spans="1:32" x14ac:dyDescent="0.25">
      <c r="A116" s="37"/>
      <c r="B116" s="37"/>
      <c r="C116" s="37"/>
      <c r="F116" s="38"/>
      <c r="G116" s="38"/>
      <c r="H116" s="38"/>
      <c r="I116" s="40"/>
      <c r="J116" s="38"/>
      <c r="K116" s="38"/>
      <c r="L116" s="42"/>
      <c r="M116" s="42"/>
      <c r="N116" s="42"/>
      <c r="O116" s="42"/>
      <c r="R116" s="37"/>
      <c r="S116" s="37"/>
      <c r="T116" s="91"/>
      <c r="U116" s="91"/>
      <c r="V116" s="41"/>
      <c r="W116" s="37"/>
      <c r="X116" s="37"/>
      <c r="Y116" s="43"/>
      <c r="Z116" s="37"/>
      <c r="AA116" s="37"/>
      <c r="AD116" s="37"/>
      <c r="AE116" s="37"/>
      <c r="AF116" s="37"/>
    </row>
    <row r="117" spans="1:32" x14ac:dyDescent="0.25">
      <c r="A117" s="37"/>
      <c r="B117" s="37"/>
      <c r="C117" s="37"/>
      <c r="F117" s="38"/>
      <c r="G117" s="38"/>
      <c r="H117" s="38"/>
      <c r="I117" s="40"/>
      <c r="J117" s="38"/>
      <c r="K117" s="38"/>
      <c r="L117" s="42"/>
      <c r="M117" s="42"/>
      <c r="N117" s="42"/>
      <c r="O117" s="42"/>
      <c r="R117" s="37"/>
      <c r="S117" s="37"/>
      <c r="T117" s="91"/>
      <c r="U117" s="91"/>
      <c r="V117" s="41"/>
      <c r="W117" s="37"/>
      <c r="X117" s="37"/>
      <c r="Y117" s="43"/>
      <c r="Z117" s="37"/>
      <c r="AA117" s="37"/>
      <c r="AD117" s="37"/>
      <c r="AE117" s="37"/>
      <c r="AF117" s="37"/>
    </row>
    <row r="118" spans="1:32" x14ac:dyDescent="0.25">
      <c r="A118" s="37"/>
      <c r="B118" s="37"/>
      <c r="C118" s="37"/>
      <c r="F118" s="38"/>
      <c r="G118" s="38"/>
      <c r="H118" s="38"/>
      <c r="I118" s="40"/>
      <c r="J118" s="38"/>
      <c r="K118" s="38"/>
      <c r="L118" s="42"/>
      <c r="M118" s="42"/>
      <c r="N118" s="42"/>
      <c r="O118" s="42"/>
      <c r="R118" s="37"/>
      <c r="S118" s="37"/>
      <c r="T118" s="91"/>
      <c r="U118" s="91"/>
      <c r="V118" s="41"/>
      <c r="W118" s="37"/>
      <c r="X118" s="37"/>
      <c r="Y118" s="43"/>
      <c r="Z118" s="37"/>
      <c r="AA118" s="37"/>
      <c r="AD118" s="37"/>
      <c r="AE118" s="37"/>
      <c r="AF118" s="37"/>
    </row>
    <row r="119" spans="1:32" x14ac:dyDescent="0.25">
      <c r="A119" s="37"/>
      <c r="B119" s="37"/>
      <c r="C119" s="37"/>
      <c r="F119" s="38"/>
      <c r="G119" s="38"/>
      <c r="H119" s="38"/>
      <c r="I119" s="40"/>
      <c r="J119" s="38"/>
      <c r="K119" s="38"/>
      <c r="L119" s="42"/>
      <c r="M119" s="42"/>
      <c r="N119" s="42"/>
      <c r="O119" s="42"/>
      <c r="R119" s="37"/>
      <c r="S119" s="37"/>
      <c r="T119" s="91"/>
      <c r="U119" s="91"/>
      <c r="V119" s="41"/>
      <c r="W119" s="37"/>
      <c r="X119" s="37"/>
      <c r="Y119" s="43"/>
      <c r="Z119" s="37"/>
      <c r="AA119" s="37"/>
      <c r="AD119" s="37"/>
      <c r="AE119" s="37"/>
      <c r="AF119" s="37"/>
    </row>
    <row r="120" spans="1:32" x14ac:dyDescent="0.25">
      <c r="A120" s="37"/>
      <c r="B120" s="37"/>
      <c r="C120" s="37"/>
      <c r="F120" s="38"/>
      <c r="G120" s="38"/>
      <c r="H120" s="38"/>
      <c r="I120" s="40"/>
      <c r="J120" s="38"/>
      <c r="K120" s="38"/>
      <c r="L120" s="42"/>
      <c r="M120" s="42"/>
      <c r="N120" s="42"/>
      <c r="O120" s="42"/>
      <c r="R120" s="37"/>
      <c r="S120" s="37"/>
      <c r="T120" s="91"/>
      <c r="U120" s="91"/>
      <c r="V120" s="41"/>
      <c r="W120" s="37"/>
      <c r="X120" s="37"/>
      <c r="Y120" s="43"/>
      <c r="Z120" s="37"/>
      <c r="AA120" s="37"/>
      <c r="AD120" s="37"/>
      <c r="AE120" s="37"/>
      <c r="AF120" s="37"/>
    </row>
    <row r="121" spans="1:32" x14ac:dyDescent="0.25">
      <c r="A121" s="37"/>
      <c r="B121" s="37"/>
      <c r="C121" s="37"/>
      <c r="F121" s="38"/>
      <c r="G121" s="38"/>
      <c r="H121" s="38"/>
      <c r="I121" s="40"/>
      <c r="J121" s="38"/>
      <c r="K121" s="38"/>
      <c r="L121" s="42"/>
      <c r="M121" s="42"/>
      <c r="N121" s="42"/>
      <c r="O121" s="42"/>
      <c r="R121" s="37"/>
      <c r="S121" s="37"/>
      <c r="T121" s="91"/>
      <c r="U121" s="91"/>
      <c r="V121" s="41"/>
      <c r="W121" s="37"/>
      <c r="X121" s="37"/>
      <c r="Y121" s="43"/>
      <c r="Z121" s="37"/>
      <c r="AA121" s="37"/>
      <c r="AD121" s="37"/>
      <c r="AE121" s="37"/>
      <c r="AF121" s="37"/>
    </row>
    <row r="122" spans="1:32" x14ac:dyDescent="0.25">
      <c r="A122" s="37"/>
      <c r="B122" s="37"/>
      <c r="C122" s="37"/>
      <c r="F122" s="38"/>
      <c r="G122" s="38"/>
      <c r="H122" s="38"/>
      <c r="I122" s="40"/>
      <c r="J122" s="38"/>
      <c r="K122" s="38"/>
      <c r="L122" s="42"/>
      <c r="M122" s="42"/>
      <c r="N122" s="42"/>
      <c r="O122" s="42"/>
      <c r="R122" s="37"/>
      <c r="S122" s="37"/>
      <c r="T122" s="91"/>
      <c r="U122" s="91"/>
      <c r="V122" s="41"/>
      <c r="W122" s="37"/>
      <c r="X122" s="37"/>
      <c r="Y122" s="43"/>
      <c r="Z122" s="37"/>
      <c r="AA122" s="37"/>
      <c r="AD122" s="37"/>
      <c r="AE122" s="37"/>
      <c r="AF122" s="37"/>
    </row>
    <row r="123" spans="1:32" x14ac:dyDescent="0.25">
      <c r="A123" s="37"/>
      <c r="B123" s="37"/>
      <c r="C123" s="37"/>
      <c r="F123" s="38"/>
      <c r="G123" s="38"/>
      <c r="H123" s="38"/>
      <c r="I123" s="40"/>
      <c r="J123" s="38"/>
      <c r="K123" s="38"/>
      <c r="L123" s="42"/>
      <c r="M123" s="42"/>
      <c r="N123" s="42"/>
      <c r="O123" s="42"/>
      <c r="R123" s="37"/>
      <c r="S123" s="37"/>
      <c r="T123" s="91"/>
      <c r="U123" s="91"/>
      <c r="V123" s="41"/>
      <c r="W123" s="37"/>
      <c r="X123" s="37"/>
      <c r="Y123" s="43"/>
      <c r="Z123" s="37"/>
      <c r="AA123" s="37"/>
      <c r="AD123" s="37"/>
      <c r="AE123" s="37"/>
      <c r="AF123" s="37"/>
    </row>
    <row r="124" spans="1:32" x14ac:dyDescent="0.25">
      <c r="A124" s="37"/>
      <c r="B124" s="37"/>
      <c r="C124" s="37"/>
      <c r="F124" s="38"/>
      <c r="G124" s="38"/>
      <c r="H124" s="38"/>
      <c r="I124" s="40"/>
      <c r="J124" s="38"/>
      <c r="K124" s="38"/>
      <c r="L124" s="42"/>
      <c r="M124" s="42"/>
      <c r="N124" s="42"/>
      <c r="O124" s="42"/>
      <c r="R124" s="37"/>
      <c r="S124" s="37"/>
      <c r="T124" s="91"/>
      <c r="U124" s="91"/>
      <c r="V124" s="41"/>
      <c r="W124" s="37"/>
      <c r="X124" s="37"/>
      <c r="Y124" s="43"/>
      <c r="Z124" s="37"/>
      <c r="AA124" s="37"/>
      <c r="AD124" s="37"/>
      <c r="AE124" s="37"/>
      <c r="AF124" s="37"/>
    </row>
    <row r="125" spans="1:32" x14ac:dyDescent="0.25">
      <c r="A125" s="37"/>
      <c r="B125" s="37"/>
      <c r="C125" s="37"/>
      <c r="F125" s="38"/>
      <c r="G125" s="38"/>
      <c r="H125" s="38"/>
      <c r="I125" s="40"/>
      <c r="J125" s="38"/>
      <c r="K125" s="38"/>
      <c r="L125" s="42"/>
      <c r="M125" s="42"/>
      <c r="N125" s="42"/>
      <c r="O125" s="42"/>
      <c r="R125" s="37"/>
      <c r="S125" s="37"/>
      <c r="T125" s="91"/>
      <c r="U125" s="91"/>
      <c r="V125" s="41"/>
      <c r="W125" s="37"/>
      <c r="X125" s="37"/>
      <c r="Y125" s="43"/>
      <c r="Z125" s="37"/>
      <c r="AA125" s="37"/>
      <c r="AD125" s="37"/>
      <c r="AE125" s="37"/>
      <c r="AF125" s="37"/>
    </row>
    <row r="126" spans="1:32" x14ac:dyDescent="0.25">
      <c r="A126" s="37"/>
      <c r="B126" s="37"/>
      <c r="C126" s="37"/>
      <c r="F126" s="38"/>
      <c r="G126" s="38"/>
      <c r="H126" s="38"/>
      <c r="I126" s="40"/>
      <c r="J126" s="38"/>
      <c r="K126" s="38"/>
      <c r="L126" s="42"/>
      <c r="M126" s="42"/>
      <c r="N126" s="42"/>
      <c r="O126" s="42"/>
      <c r="R126" s="37"/>
      <c r="S126" s="37"/>
      <c r="T126" s="91"/>
      <c r="U126" s="91"/>
      <c r="V126" s="41"/>
      <c r="W126" s="37"/>
      <c r="X126" s="37"/>
      <c r="Y126" s="43"/>
      <c r="Z126" s="37"/>
      <c r="AA126" s="37"/>
      <c r="AD126" s="37"/>
      <c r="AE126" s="37"/>
      <c r="AF126" s="37"/>
    </row>
    <row r="127" spans="1:32" x14ac:dyDescent="0.25">
      <c r="A127" s="37"/>
      <c r="B127" s="37"/>
      <c r="C127" s="37"/>
      <c r="F127" s="38"/>
      <c r="G127" s="38"/>
      <c r="H127" s="38"/>
      <c r="I127" s="40"/>
      <c r="J127" s="38"/>
      <c r="K127" s="38"/>
      <c r="L127" s="42"/>
      <c r="M127" s="42"/>
      <c r="N127" s="42"/>
      <c r="O127" s="42"/>
      <c r="R127" s="37"/>
      <c r="S127" s="37"/>
      <c r="T127" s="91"/>
      <c r="U127" s="91"/>
      <c r="V127" s="41"/>
      <c r="W127" s="37"/>
      <c r="X127" s="37"/>
      <c r="Y127" s="43"/>
      <c r="Z127" s="37"/>
      <c r="AA127" s="37"/>
      <c r="AD127" s="37"/>
      <c r="AE127" s="37"/>
      <c r="AF127" s="37"/>
    </row>
    <row r="128" spans="1:32" x14ac:dyDescent="0.25">
      <c r="A128" s="37"/>
      <c r="B128" s="37"/>
      <c r="C128" s="37"/>
      <c r="F128" s="38"/>
      <c r="G128" s="38"/>
      <c r="H128" s="38"/>
      <c r="I128" s="40"/>
      <c r="J128" s="38"/>
      <c r="K128" s="38"/>
      <c r="L128" s="42"/>
      <c r="M128" s="42"/>
      <c r="N128" s="42"/>
      <c r="O128" s="42"/>
      <c r="R128" s="37"/>
      <c r="S128" s="37"/>
      <c r="T128" s="91"/>
      <c r="U128" s="91"/>
      <c r="V128" s="41"/>
      <c r="W128" s="37"/>
      <c r="X128" s="37"/>
      <c r="Y128" s="43"/>
      <c r="Z128" s="37"/>
      <c r="AA128" s="37"/>
      <c r="AD128" s="37"/>
      <c r="AE128" s="37"/>
      <c r="AF128" s="37"/>
    </row>
    <row r="129" spans="1:32" x14ac:dyDescent="0.25">
      <c r="A129" s="37"/>
      <c r="B129" s="37"/>
      <c r="C129" s="37"/>
      <c r="F129" s="38"/>
      <c r="G129" s="38"/>
      <c r="H129" s="38"/>
      <c r="I129" s="40"/>
      <c r="J129" s="38"/>
      <c r="K129" s="38"/>
      <c r="L129" s="42"/>
      <c r="M129" s="42"/>
      <c r="N129" s="42"/>
      <c r="O129" s="42"/>
      <c r="R129" s="37"/>
      <c r="S129" s="37"/>
      <c r="T129" s="91"/>
      <c r="U129" s="91"/>
      <c r="V129" s="41"/>
      <c r="W129" s="37"/>
      <c r="X129" s="37"/>
      <c r="Y129" s="43"/>
      <c r="Z129" s="37"/>
      <c r="AA129" s="37"/>
      <c r="AD129" s="37"/>
      <c r="AE129" s="37"/>
      <c r="AF129" s="37"/>
    </row>
    <row r="130" spans="1:32" x14ac:dyDescent="0.25">
      <c r="A130" s="37"/>
      <c r="B130" s="37"/>
      <c r="C130" s="37"/>
      <c r="F130" s="38"/>
      <c r="G130" s="38"/>
      <c r="H130" s="38"/>
      <c r="I130" s="40"/>
      <c r="J130" s="38"/>
      <c r="K130" s="38"/>
      <c r="L130" s="42"/>
      <c r="M130" s="42"/>
      <c r="N130" s="42"/>
      <c r="O130" s="42"/>
      <c r="R130" s="37"/>
      <c r="S130" s="37"/>
      <c r="T130" s="91"/>
      <c r="U130" s="91"/>
      <c r="V130" s="41"/>
      <c r="W130" s="37"/>
      <c r="X130" s="37"/>
      <c r="Y130" s="43"/>
      <c r="Z130" s="37"/>
      <c r="AA130" s="37"/>
      <c r="AD130" s="37"/>
      <c r="AE130" s="37"/>
      <c r="AF130" s="37"/>
    </row>
    <row r="131" spans="1:32" x14ac:dyDescent="0.25">
      <c r="A131" s="37"/>
      <c r="B131" s="37"/>
      <c r="C131" s="37"/>
      <c r="F131" s="38"/>
      <c r="G131" s="38"/>
      <c r="H131" s="38"/>
      <c r="I131" s="40"/>
      <c r="J131" s="38"/>
      <c r="K131" s="38"/>
      <c r="L131" s="42"/>
      <c r="M131" s="42"/>
      <c r="N131" s="42"/>
      <c r="O131" s="42"/>
      <c r="R131" s="37"/>
      <c r="S131" s="37"/>
      <c r="T131" s="91"/>
      <c r="U131" s="91"/>
      <c r="V131" s="41"/>
      <c r="W131" s="37"/>
      <c r="X131" s="37"/>
      <c r="Y131" s="43"/>
      <c r="Z131" s="37"/>
      <c r="AA131" s="37"/>
      <c r="AD131" s="37"/>
      <c r="AE131" s="37"/>
      <c r="AF131" s="37"/>
    </row>
    <row r="132" spans="1:32" x14ac:dyDescent="0.25">
      <c r="A132" s="37"/>
      <c r="B132" s="37"/>
      <c r="C132" s="37"/>
      <c r="F132" s="38"/>
      <c r="G132" s="38"/>
      <c r="H132" s="38"/>
      <c r="I132" s="40"/>
      <c r="J132" s="38"/>
      <c r="K132" s="38"/>
      <c r="L132" s="42"/>
      <c r="M132" s="42"/>
      <c r="N132" s="42"/>
      <c r="O132" s="42"/>
      <c r="R132" s="37"/>
      <c r="S132" s="37"/>
      <c r="T132" s="91"/>
      <c r="U132" s="91"/>
      <c r="V132" s="41"/>
      <c r="W132" s="37"/>
      <c r="X132" s="37"/>
      <c r="Y132" s="43"/>
      <c r="Z132" s="37"/>
      <c r="AA132" s="37"/>
      <c r="AD132" s="37"/>
      <c r="AE132" s="37"/>
      <c r="AF132" s="37"/>
    </row>
    <row r="133" spans="1:32" x14ac:dyDescent="0.25">
      <c r="A133" s="37"/>
      <c r="B133" s="37"/>
      <c r="C133" s="37"/>
      <c r="F133" s="38"/>
      <c r="G133" s="38"/>
      <c r="H133" s="38"/>
      <c r="I133" s="40"/>
      <c r="J133" s="38"/>
      <c r="K133" s="38"/>
      <c r="L133" s="42"/>
      <c r="M133" s="42"/>
      <c r="N133" s="42"/>
      <c r="O133" s="42"/>
      <c r="R133" s="37"/>
      <c r="S133" s="37"/>
      <c r="T133" s="91"/>
      <c r="U133" s="91"/>
      <c r="V133" s="41"/>
      <c r="W133" s="37"/>
      <c r="X133" s="37"/>
      <c r="Y133" s="43"/>
      <c r="Z133" s="37"/>
      <c r="AA133" s="37"/>
      <c r="AD133" s="37"/>
      <c r="AE133" s="37"/>
      <c r="AF133" s="37"/>
    </row>
    <row r="134" spans="1:32" x14ac:dyDescent="0.25">
      <c r="A134" s="37"/>
      <c r="B134" s="37"/>
      <c r="C134" s="37"/>
      <c r="F134" s="38"/>
      <c r="G134" s="38"/>
      <c r="H134" s="38"/>
      <c r="I134" s="40"/>
      <c r="J134" s="38"/>
      <c r="K134" s="38"/>
      <c r="L134" s="42"/>
      <c r="M134" s="42"/>
      <c r="N134" s="42"/>
      <c r="O134" s="42"/>
      <c r="R134" s="37"/>
      <c r="S134" s="37"/>
      <c r="T134" s="91"/>
      <c r="U134" s="91"/>
      <c r="V134" s="41"/>
      <c r="W134" s="37"/>
      <c r="X134" s="37"/>
      <c r="Y134" s="43"/>
      <c r="Z134" s="37"/>
      <c r="AA134" s="37"/>
      <c r="AD134" s="37"/>
      <c r="AE134" s="37"/>
      <c r="AF134" s="37"/>
    </row>
    <row r="135" spans="1:32" x14ac:dyDescent="0.25">
      <c r="A135" s="37"/>
      <c r="B135" s="37"/>
      <c r="C135" s="37"/>
      <c r="F135" s="38"/>
      <c r="G135" s="38"/>
      <c r="H135" s="38"/>
      <c r="I135" s="40"/>
      <c r="J135" s="38"/>
      <c r="K135" s="38"/>
      <c r="L135" s="42"/>
      <c r="M135" s="42"/>
      <c r="N135" s="42"/>
      <c r="O135" s="42"/>
      <c r="R135" s="37"/>
      <c r="S135" s="37"/>
      <c r="T135" s="91"/>
      <c r="U135" s="91"/>
      <c r="V135" s="41"/>
      <c r="W135" s="37"/>
      <c r="X135" s="37"/>
      <c r="Y135" s="43"/>
      <c r="Z135" s="37"/>
      <c r="AA135" s="37"/>
      <c r="AD135" s="37"/>
      <c r="AE135" s="37"/>
      <c r="AF135" s="37"/>
    </row>
    <row r="136" spans="1:32" x14ac:dyDescent="0.25">
      <c r="A136" s="37"/>
      <c r="B136" s="37"/>
      <c r="C136" s="37"/>
      <c r="F136" s="38"/>
      <c r="G136" s="38"/>
      <c r="H136" s="38"/>
      <c r="I136" s="40"/>
      <c r="J136" s="38"/>
      <c r="K136" s="38"/>
      <c r="L136" s="42"/>
      <c r="M136" s="42"/>
      <c r="N136" s="42"/>
      <c r="O136" s="42"/>
      <c r="R136" s="37"/>
      <c r="S136" s="37"/>
      <c r="T136" s="91"/>
      <c r="U136" s="91"/>
      <c r="V136" s="41"/>
      <c r="W136" s="37"/>
      <c r="X136" s="37"/>
      <c r="Y136" s="43"/>
      <c r="Z136" s="37"/>
      <c r="AA136" s="37"/>
      <c r="AD136" s="37"/>
      <c r="AE136" s="37"/>
      <c r="AF136" s="37"/>
    </row>
    <row r="137" spans="1:32" x14ac:dyDescent="0.25">
      <c r="A137" s="37"/>
      <c r="B137" s="37"/>
      <c r="C137" s="37"/>
      <c r="F137" s="38"/>
      <c r="G137" s="38"/>
      <c r="H137" s="38"/>
      <c r="I137" s="40"/>
      <c r="J137" s="38"/>
      <c r="K137" s="38"/>
      <c r="L137" s="42"/>
      <c r="M137" s="42"/>
      <c r="N137" s="42"/>
      <c r="O137" s="42"/>
      <c r="R137" s="37"/>
      <c r="S137" s="37"/>
      <c r="T137" s="91"/>
      <c r="U137" s="91"/>
      <c r="V137" s="41"/>
      <c r="W137" s="37"/>
      <c r="X137" s="37"/>
      <c r="Y137" s="43"/>
      <c r="Z137" s="37"/>
      <c r="AA137" s="37"/>
      <c r="AD137" s="37"/>
      <c r="AE137" s="37"/>
      <c r="AF137" s="37"/>
    </row>
    <row r="138" spans="1:32" x14ac:dyDescent="0.25">
      <c r="A138" s="37"/>
      <c r="B138" s="37"/>
      <c r="C138" s="37"/>
      <c r="F138" s="38"/>
      <c r="G138" s="38"/>
      <c r="H138" s="38"/>
      <c r="I138" s="40"/>
      <c r="J138" s="38"/>
      <c r="K138" s="38"/>
      <c r="L138" s="42"/>
      <c r="M138" s="42"/>
      <c r="N138" s="42"/>
      <c r="O138" s="42"/>
      <c r="R138" s="37"/>
      <c r="S138" s="37"/>
      <c r="T138" s="91"/>
      <c r="U138" s="91"/>
      <c r="V138" s="41"/>
      <c r="W138" s="37"/>
      <c r="X138" s="37"/>
      <c r="Y138" s="43"/>
      <c r="Z138" s="37"/>
      <c r="AA138" s="37"/>
      <c r="AD138" s="37"/>
      <c r="AE138" s="37"/>
      <c r="AF138" s="37"/>
    </row>
    <row r="139" spans="1:32" x14ac:dyDescent="0.25">
      <c r="A139" s="37"/>
      <c r="B139" s="37"/>
      <c r="C139" s="37"/>
      <c r="F139" s="38"/>
      <c r="G139" s="38"/>
      <c r="H139" s="38"/>
      <c r="I139" s="40"/>
      <c r="J139" s="38"/>
      <c r="K139" s="38"/>
      <c r="L139" s="42"/>
      <c r="M139" s="42"/>
      <c r="N139" s="42"/>
      <c r="O139" s="42"/>
      <c r="R139" s="37"/>
      <c r="S139" s="37"/>
      <c r="T139" s="91"/>
      <c r="U139" s="91"/>
      <c r="V139" s="41"/>
      <c r="W139" s="37"/>
      <c r="X139" s="37"/>
      <c r="Y139" s="43"/>
      <c r="Z139" s="37"/>
      <c r="AA139" s="37"/>
      <c r="AD139" s="37"/>
      <c r="AE139" s="37"/>
      <c r="AF139" s="37"/>
    </row>
    <row r="140" spans="1:32" x14ac:dyDescent="0.25">
      <c r="A140" s="37"/>
      <c r="B140" s="37"/>
      <c r="C140" s="37"/>
      <c r="F140" s="38"/>
      <c r="G140" s="38"/>
      <c r="H140" s="38"/>
      <c r="I140" s="40"/>
      <c r="J140" s="38"/>
      <c r="K140" s="38"/>
      <c r="L140" s="42"/>
      <c r="M140" s="42"/>
      <c r="N140" s="42"/>
      <c r="O140" s="42"/>
      <c r="R140" s="37"/>
      <c r="S140" s="37"/>
      <c r="T140" s="91"/>
      <c r="U140" s="91"/>
      <c r="V140" s="41"/>
      <c r="W140" s="37"/>
      <c r="X140" s="37"/>
      <c r="Y140" s="43"/>
      <c r="Z140" s="37"/>
      <c r="AA140" s="37"/>
      <c r="AD140" s="37"/>
      <c r="AE140" s="37"/>
      <c r="AF140" s="37"/>
    </row>
    <row r="141" spans="1:32" x14ac:dyDescent="0.25">
      <c r="A141" s="37"/>
      <c r="B141" s="37"/>
      <c r="C141" s="37"/>
      <c r="F141" s="38"/>
      <c r="G141" s="38"/>
      <c r="H141" s="38"/>
      <c r="I141" s="40"/>
      <c r="J141" s="38"/>
      <c r="K141" s="38"/>
      <c r="L141" s="42"/>
      <c r="M141" s="42"/>
      <c r="N141" s="42"/>
      <c r="O141" s="42"/>
      <c r="R141" s="37"/>
      <c r="S141" s="37"/>
      <c r="T141" s="91"/>
      <c r="U141" s="91"/>
      <c r="V141" s="41"/>
      <c r="W141" s="37"/>
      <c r="X141" s="37"/>
      <c r="Y141" s="43"/>
      <c r="Z141" s="37"/>
      <c r="AA141" s="37"/>
      <c r="AD141" s="37"/>
      <c r="AE141" s="37"/>
      <c r="AF141" s="37"/>
    </row>
    <row r="142" spans="1:32" x14ac:dyDescent="0.25">
      <c r="A142" s="37"/>
      <c r="B142" s="37"/>
      <c r="C142" s="37"/>
      <c r="F142" s="38"/>
      <c r="G142" s="38"/>
      <c r="H142" s="38"/>
      <c r="I142" s="40"/>
      <c r="J142" s="38"/>
      <c r="K142" s="38"/>
      <c r="L142" s="42"/>
      <c r="M142" s="42"/>
      <c r="N142" s="42"/>
      <c r="O142" s="42"/>
      <c r="R142" s="37"/>
      <c r="S142" s="37"/>
      <c r="T142" s="91"/>
      <c r="U142" s="91"/>
      <c r="V142" s="41"/>
      <c r="W142" s="37"/>
      <c r="X142" s="37"/>
      <c r="Y142" s="43"/>
      <c r="Z142" s="37"/>
      <c r="AA142" s="37"/>
      <c r="AD142" s="37"/>
      <c r="AE142" s="37"/>
      <c r="AF142" s="37"/>
    </row>
    <row r="143" spans="1:32" x14ac:dyDescent="0.25">
      <c r="A143" s="37"/>
      <c r="B143" s="37"/>
      <c r="C143" s="37"/>
      <c r="F143" s="38"/>
      <c r="G143" s="38"/>
      <c r="H143" s="38"/>
      <c r="I143" s="40"/>
      <c r="J143" s="38"/>
      <c r="K143" s="38"/>
      <c r="L143" s="42"/>
      <c r="M143" s="42"/>
      <c r="N143" s="42"/>
      <c r="O143" s="42"/>
      <c r="R143" s="37"/>
      <c r="S143" s="37"/>
      <c r="T143" s="91"/>
      <c r="U143" s="91"/>
      <c r="V143" s="41"/>
      <c r="W143" s="37"/>
      <c r="X143" s="37"/>
      <c r="Y143" s="43"/>
      <c r="Z143" s="37"/>
      <c r="AA143" s="37"/>
      <c r="AD143" s="37"/>
      <c r="AE143" s="37"/>
      <c r="AF143" s="37"/>
    </row>
    <row r="144" spans="1:32" x14ac:dyDescent="0.25">
      <c r="A144" s="37"/>
      <c r="B144" s="37"/>
      <c r="C144" s="37"/>
      <c r="F144" s="38"/>
      <c r="G144" s="38"/>
      <c r="H144" s="38"/>
      <c r="I144" s="40"/>
      <c r="J144" s="38"/>
      <c r="K144" s="38"/>
      <c r="L144" s="42"/>
      <c r="M144" s="42"/>
      <c r="N144" s="42"/>
      <c r="O144" s="42"/>
      <c r="R144" s="37"/>
      <c r="S144" s="37"/>
      <c r="T144" s="91"/>
      <c r="U144" s="91"/>
      <c r="V144" s="41"/>
      <c r="W144" s="37"/>
      <c r="X144" s="37"/>
      <c r="Y144" s="43"/>
      <c r="Z144" s="37"/>
      <c r="AA144" s="37"/>
      <c r="AD144" s="37"/>
      <c r="AE144" s="37"/>
      <c r="AF144" s="37"/>
    </row>
    <row r="145" spans="1:32" x14ac:dyDescent="0.25">
      <c r="A145" s="37"/>
      <c r="B145" s="37"/>
      <c r="C145" s="37"/>
      <c r="F145" s="38"/>
      <c r="G145" s="38"/>
      <c r="H145" s="38"/>
      <c r="I145" s="40"/>
      <c r="J145" s="38"/>
      <c r="K145" s="38"/>
      <c r="L145" s="42"/>
      <c r="M145" s="42"/>
      <c r="N145" s="42"/>
      <c r="O145" s="42"/>
      <c r="R145" s="37"/>
      <c r="S145" s="37"/>
      <c r="T145" s="91"/>
      <c r="U145" s="91"/>
      <c r="V145" s="41"/>
      <c r="W145" s="37"/>
      <c r="X145" s="37"/>
      <c r="Y145" s="43"/>
      <c r="Z145" s="37"/>
      <c r="AA145" s="37"/>
      <c r="AD145" s="37"/>
      <c r="AE145" s="37"/>
      <c r="AF145" s="37"/>
    </row>
    <row r="146" spans="1:32" x14ac:dyDescent="0.25">
      <c r="A146" s="37"/>
      <c r="B146" s="37"/>
      <c r="C146" s="37"/>
      <c r="F146" s="38"/>
      <c r="G146" s="38"/>
      <c r="H146" s="38"/>
      <c r="I146" s="40"/>
      <c r="J146" s="38"/>
      <c r="K146" s="38"/>
      <c r="L146" s="42"/>
      <c r="M146" s="42"/>
      <c r="N146" s="42"/>
      <c r="O146" s="42"/>
      <c r="R146" s="37"/>
      <c r="S146" s="37"/>
      <c r="T146" s="91"/>
      <c r="U146" s="91"/>
      <c r="V146" s="41"/>
      <c r="W146" s="37"/>
      <c r="X146" s="37"/>
      <c r="Y146" s="43"/>
      <c r="Z146" s="37"/>
      <c r="AA146" s="37"/>
      <c r="AD146" s="37"/>
      <c r="AE146" s="37"/>
      <c r="AF146" s="37"/>
    </row>
    <row r="147" spans="1:32" x14ac:dyDescent="0.25">
      <c r="A147" s="37"/>
      <c r="B147" s="37"/>
      <c r="C147" s="37"/>
      <c r="F147" s="38"/>
      <c r="G147" s="38"/>
      <c r="H147" s="38"/>
      <c r="I147" s="40"/>
      <c r="J147" s="38"/>
      <c r="K147" s="38"/>
      <c r="L147" s="42"/>
      <c r="M147" s="42"/>
      <c r="N147" s="42"/>
      <c r="O147" s="42"/>
      <c r="R147" s="37"/>
      <c r="S147" s="37"/>
      <c r="T147" s="91"/>
      <c r="U147" s="91"/>
      <c r="V147" s="41"/>
      <c r="W147" s="37"/>
      <c r="X147" s="37"/>
      <c r="Y147" s="43"/>
      <c r="Z147" s="37"/>
      <c r="AA147" s="37"/>
      <c r="AD147" s="37"/>
      <c r="AE147" s="37"/>
      <c r="AF147" s="37"/>
    </row>
    <row r="148" spans="1:32" x14ac:dyDescent="0.25">
      <c r="A148" s="37"/>
      <c r="B148" s="37"/>
      <c r="C148" s="37"/>
      <c r="F148" s="38"/>
      <c r="G148" s="38"/>
      <c r="H148" s="38"/>
      <c r="I148" s="40"/>
      <c r="J148" s="38"/>
      <c r="K148" s="38"/>
      <c r="L148" s="42"/>
      <c r="M148" s="42"/>
      <c r="N148" s="42"/>
      <c r="O148" s="42"/>
      <c r="R148" s="37"/>
      <c r="S148" s="37"/>
      <c r="T148" s="91"/>
      <c r="U148" s="91"/>
      <c r="V148" s="41"/>
      <c r="W148" s="37"/>
      <c r="X148" s="37"/>
      <c r="Y148" s="43"/>
      <c r="Z148" s="37"/>
      <c r="AA148" s="37"/>
      <c r="AD148" s="37"/>
      <c r="AE148" s="37"/>
      <c r="AF148" s="37"/>
    </row>
    <row r="149" spans="1:32" x14ac:dyDescent="0.25">
      <c r="A149" s="37"/>
      <c r="B149" s="37"/>
      <c r="C149" s="37"/>
      <c r="F149" s="38"/>
      <c r="G149" s="38"/>
      <c r="H149" s="38"/>
      <c r="I149" s="40"/>
      <c r="J149" s="38"/>
      <c r="K149" s="38"/>
      <c r="L149" s="42"/>
      <c r="M149" s="42"/>
      <c r="N149" s="42"/>
      <c r="O149" s="42"/>
      <c r="R149" s="37"/>
      <c r="S149" s="37"/>
      <c r="T149" s="91"/>
      <c r="U149" s="91"/>
      <c r="V149" s="41"/>
      <c r="W149" s="37"/>
      <c r="X149" s="37"/>
      <c r="Y149" s="43"/>
      <c r="Z149" s="37"/>
      <c r="AA149" s="37"/>
      <c r="AD149" s="37"/>
      <c r="AE149" s="37"/>
      <c r="AF149" s="37"/>
    </row>
    <row r="150" spans="1:32" x14ac:dyDescent="0.25">
      <c r="A150" s="37"/>
      <c r="B150" s="37"/>
      <c r="C150" s="37"/>
      <c r="F150" s="38"/>
      <c r="G150" s="38"/>
      <c r="H150" s="38"/>
      <c r="I150" s="40"/>
      <c r="J150" s="38"/>
      <c r="K150" s="38"/>
      <c r="L150" s="42"/>
      <c r="M150" s="42"/>
      <c r="N150" s="42"/>
      <c r="O150" s="42"/>
      <c r="R150" s="37"/>
      <c r="S150" s="37"/>
      <c r="T150" s="91"/>
      <c r="U150" s="91"/>
      <c r="V150" s="41"/>
      <c r="W150" s="37"/>
      <c r="X150" s="37"/>
      <c r="Y150" s="43"/>
      <c r="Z150" s="37"/>
      <c r="AA150" s="37"/>
      <c r="AD150" s="37"/>
      <c r="AE150" s="37"/>
      <c r="AF150" s="37"/>
    </row>
    <row r="151" spans="1:32" x14ac:dyDescent="0.25">
      <c r="A151" s="37"/>
      <c r="B151" s="37"/>
      <c r="C151" s="37"/>
      <c r="F151" s="38"/>
      <c r="G151" s="38"/>
      <c r="H151" s="38"/>
      <c r="I151" s="40"/>
      <c r="J151" s="38"/>
      <c r="K151" s="38"/>
      <c r="L151" s="42"/>
      <c r="M151" s="42"/>
      <c r="N151" s="42"/>
      <c r="O151" s="42"/>
      <c r="R151" s="37"/>
      <c r="S151" s="37"/>
      <c r="T151" s="91"/>
      <c r="U151" s="91"/>
      <c r="V151" s="41"/>
      <c r="W151" s="37"/>
      <c r="X151" s="37"/>
      <c r="Y151" s="43"/>
      <c r="Z151" s="37"/>
      <c r="AA151" s="37"/>
      <c r="AD151" s="37"/>
      <c r="AE151" s="37"/>
      <c r="AF151" s="37"/>
    </row>
    <row r="152" spans="1:32" x14ac:dyDescent="0.25">
      <c r="A152" s="37"/>
      <c r="B152" s="37"/>
      <c r="C152" s="37"/>
      <c r="F152" s="38"/>
      <c r="G152" s="38"/>
      <c r="H152" s="38"/>
      <c r="I152" s="40"/>
      <c r="J152" s="38"/>
      <c r="K152" s="38"/>
      <c r="L152" s="42"/>
      <c r="M152" s="42"/>
      <c r="N152" s="42"/>
      <c r="O152" s="42"/>
      <c r="R152" s="37"/>
      <c r="S152" s="37"/>
      <c r="T152" s="91"/>
      <c r="U152" s="91"/>
      <c r="V152" s="41"/>
      <c r="W152" s="37"/>
      <c r="X152" s="37"/>
      <c r="Y152" s="43"/>
      <c r="Z152" s="37"/>
      <c r="AA152" s="37"/>
      <c r="AD152" s="37"/>
      <c r="AE152" s="37"/>
      <c r="AF152" s="37"/>
    </row>
    <row r="153" spans="1:32" x14ac:dyDescent="0.25">
      <c r="A153" s="37"/>
      <c r="B153" s="37"/>
      <c r="C153" s="37"/>
      <c r="F153" s="38"/>
      <c r="G153" s="38"/>
      <c r="H153" s="38"/>
      <c r="I153" s="40"/>
      <c r="J153" s="38"/>
      <c r="K153" s="38"/>
      <c r="L153" s="42"/>
      <c r="M153" s="42"/>
      <c r="N153" s="42"/>
      <c r="O153" s="42"/>
      <c r="R153" s="37"/>
      <c r="S153" s="37"/>
      <c r="T153" s="91"/>
      <c r="U153" s="91"/>
      <c r="V153" s="41"/>
      <c r="W153" s="37"/>
      <c r="X153" s="37"/>
      <c r="Y153" s="43"/>
      <c r="Z153" s="37"/>
      <c r="AA153" s="37"/>
      <c r="AD153" s="37"/>
      <c r="AE153" s="37"/>
      <c r="AF153" s="37"/>
    </row>
    <row r="154" spans="1:32" x14ac:dyDescent="0.25">
      <c r="A154" s="37"/>
      <c r="B154" s="37"/>
      <c r="C154" s="37"/>
      <c r="F154" s="38"/>
      <c r="G154" s="38"/>
      <c r="H154" s="38"/>
      <c r="I154" s="40"/>
      <c r="J154" s="38"/>
      <c r="K154" s="38"/>
      <c r="L154" s="42"/>
      <c r="M154" s="42"/>
      <c r="N154" s="42"/>
      <c r="O154" s="42"/>
      <c r="R154" s="37"/>
      <c r="S154" s="37"/>
      <c r="T154" s="91"/>
      <c r="U154" s="91"/>
      <c r="V154" s="41"/>
      <c r="W154" s="37"/>
      <c r="X154" s="37"/>
      <c r="Y154" s="43"/>
      <c r="Z154" s="37"/>
      <c r="AA154" s="37"/>
      <c r="AD154" s="37"/>
      <c r="AE154" s="37"/>
      <c r="AF154" s="37"/>
    </row>
    <row r="155" spans="1:32" x14ac:dyDescent="0.25">
      <c r="A155" s="37"/>
      <c r="B155" s="37"/>
      <c r="C155" s="37"/>
      <c r="F155" s="38"/>
      <c r="G155" s="38"/>
      <c r="H155" s="38"/>
      <c r="I155" s="40"/>
      <c r="J155" s="38"/>
      <c r="K155" s="38"/>
      <c r="L155" s="42"/>
      <c r="M155" s="42"/>
      <c r="N155" s="42"/>
      <c r="O155" s="42"/>
      <c r="R155" s="37"/>
      <c r="S155" s="37"/>
      <c r="T155" s="91"/>
      <c r="U155" s="91"/>
      <c r="V155" s="41"/>
      <c r="W155" s="37"/>
      <c r="X155" s="37"/>
      <c r="Y155" s="43"/>
      <c r="Z155" s="37"/>
      <c r="AA155" s="37"/>
      <c r="AD155" s="37"/>
      <c r="AE155" s="37"/>
      <c r="AF155" s="37"/>
    </row>
    <row r="156" spans="1:32" x14ac:dyDescent="0.25">
      <c r="A156" s="37"/>
      <c r="B156" s="37"/>
      <c r="C156" s="37"/>
      <c r="F156" s="38"/>
      <c r="G156" s="38"/>
      <c r="H156" s="38"/>
      <c r="I156" s="40"/>
      <c r="J156" s="38"/>
      <c r="K156" s="38"/>
      <c r="L156" s="42"/>
      <c r="M156" s="42"/>
      <c r="N156" s="42"/>
      <c r="O156" s="42"/>
      <c r="R156" s="37"/>
      <c r="S156" s="37"/>
      <c r="T156" s="91"/>
      <c r="U156" s="91"/>
      <c r="V156" s="41"/>
      <c r="W156" s="37"/>
      <c r="X156" s="37"/>
      <c r="Y156" s="43"/>
      <c r="Z156" s="37"/>
      <c r="AA156" s="37"/>
      <c r="AD156" s="37"/>
      <c r="AE156" s="37"/>
      <c r="AF156" s="37"/>
    </row>
    <row r="157" spans="1:32" x14ac:dyDescent="0.25">
      <c r="A157" s="37"/>
      <c r="B157" s="37"/>
      <c r="C157" s="37"/>
      <c r="F157" s="38"/>
      <c r="G157" s="38"/>
      <c r="H157" s="38"/>
      <c r="I157" s="40"/>
      <c r="J157" s="38"/>
      <c r="K157" s="38"/>
      <c r="L157" s="42"/>
      <c r="M157" s="42"/>
      <c r="N157" s="42"/>
      <c r="O157" s="42"/>
      <c r="R157" s="37"/>
      <c r="S157" s="37"/>
      <c r="T157" s="91"/>
      <c r="U157" s="91"/>
      <c r="V157" s="41"/>
      <c r="W157" s="37"/>
      <c r="X157" s="37"/>
      <c r="Y157" s="43"/>
      <c r="Z157" s="37"/>
      <c r="AA157" s="37"/>
      <c r="AD157" s="37"/>
      <c r="AE157" s="37"/>
      <c r="AF157" s="37"/>
    </row>
    <row r="158" spans="1:32" x14ac:dyDescent="0.25">
      <c r="A158" s="37"/>
      <c r="B158" s="37"/>
      <c r="C158" s="37"/>
      <c r="F158" s="38"/>
      <c r="G158" s="38"/>
      <c r="H158" s="38"/>
      <c r="I158" s="40"/>
      <c r="J158" s="38"/>
      <c r="K158" s="38"/>
      <c r="L158" s="42"/>
      <c r="M158" s="42"/>
      <c r="N158" s="42"/>
      <c r="O158" s="42"/>
      <c r="R158" s="37"/>
      <c r="S158" s="37"/>
      <c r="T158" s="91"/>
      <c r="U158" s="91"/>
      <c r="V158" s="41"/>
      <c r="W158" s="37"/>
      <c r="X158" s="37"/>
      <c r="Y158" s="43"/>
      <c r="Z158" s="37"/>
      <c r="AA158" s="37"/>
      <c r="AD158" s="37"/>
      <c r="AE158" s="37"/>
      <c r="AF158" s="37"/>
    </row>
    <row r="159" spans="1:32" x14ac:dyDescent="0.25">
      <c r="A159" s="37"/>
      <c r="B159" s="37"/>
      <c r="C159" s="37"/>
      <c r="F159" s="38"/>
      <c r="G159" s="38"/>
      <c r="H159" s="38"/>
      <c r="I159" s="40"/>
      <c r="J159" s="38"/>
      <c r="K159" s="38"/>
      <c r="L159" s="42"/>
      <c r="M159" s="42"/>
      <c r="N159" s="42"/>
      <c r="O159" s="42"/>
      <c r="R159" s="37"/>
      <c r="S159" s="37"/>
      <c r="T159" s="91"/>
      <c r="U159" s="91"/>
      <c r="V159" s="41"/>
      <c r="W159" s="37"/>
      <c r="X159" s="37"/>
      <c r="Y159" s="43"/>
      <c r="Z159" s="37"/>
      <c r="AA159" s="37"/>
      <c r="AD159" s="37"/>
      <c r="AE159" s="37"/>
      <c r="AF159" s="37"/>
    </row>
    <row r="160" spans="1:32" x14ac:dyDescent="0.25">
      <c r="A160" s="37"/>
      <c r="B160" s="37"/>
      <c r="C160" s="37"/>
      <c r="F160" s="38"/>
      <c r="G160" s="38"/>
      <c r="H160" s="38"/>
      <c r="I160" s="40"/>
      <c r="J160" s="38"/>
      <c r="K160" s="38"/>
      <c r="L160" s="42"/>
      <c r="M160" s="42"/>
      <c r="N160" s="42"/>
      <c r="O160" s="42"/>
      <c r="R160" s="37"/>
      <c r="S160" s="37"/>
      <c r="T160" s="91"/>
      <c r="U160" s="91"/>
      <c r="V160" s="41"/>
      <c r="W160" s="37"/>
      <c r="X160" s="37"/>
      <c r="Y160" s="43"/>
      <c r="Z160" s="37"/>
      <c r="AA160" s="37"/>
      <c r="AD160" s="37"/>
      <c r="AE160" s="37"/>
      <c r="AF160" s="37"/>
    </row>
    <row r="161" spans="1:32" x14ac:dyDescent="0.25">
      <c r="A161" s="37"/>
      <c r="B161" s="37"/>
      <c r="C161" s="37"/>
      <c r="F161" s="38"/>
      <c r="G161" s="38"/>
      <c r="H161" s="38"/>
      <c r="I161" s="40"/>
      <c r="J161" s="38"/>
      <c r="K161" s="38"/>
      <c r="L161" s="42"/>
      <c r="M161" s="42"/>
      <c r="N161" s="42"/>
      <c r="O161" s="42"/>
      <c r="R161" s="37"/>
      <c r="S161" s="37"/>
      <c r="T161" s="91"/>
      <c r="U161" s="91"/>
      <c r="V161" s="41"/>
      <c r="W161" s="37"/>
      <c r="X161" s="37"/>
      <c r="Y161" s="43"/>
      <c r="Z161" s="37"/>
      <c r="AA161" s="37"/>
      <c r="AD161" s="37"/>
      <c r="AE161" s="37"/>
      <c r="AF161" s="37"/>
    </row>
    <row r="162" spans="1:32" x14ac:dyDescent="0.25">
      <c r="A162" s="37"/>
      <c r="B162" s="37"/>
      <c r="C162" s="37"/>
      <c r="F162" s="38"/>
      <c r="G162" s="38"/>
      <c r="H162" s="38"/>
      <c r="I162" s="40"/>
      <c r="J162" s="38"/>
      <c r="K162" s="38"/>
      <c r="L162" s="42"/>
      <c r="M162" s="42"/>
      <c r="N162" s="42"/>
      <c r="O162" s="42"/>
      <c r="R162" s="37"/>
      <c r="S162" s="37"/>
      <c r="T162" s="91"/>
      <c r="U162" s="91"/>
      <c r="V162" s="41"/>
      <c r="W162" s="37"/>
      <c r="X162" s="37"/>
      <c r="Y162" s="43"/>
      <c r="Z162" s="37"/>
      <c r="AA162" s="37"/>
      <c r="AD162" s="37"/>
      <c r="AE162" s="37"/>
      <c r="AF162" s="37"/>
    </row>
    <row r="163" spans="1:32" x14ac:dyDescent="0.25">
      <c r="A163" s="37"/>
      <c r="B163" s="37"/>
      <c r="C163" s="37"/>
      <c r="F163" s="38"/>
      <c r="G163" s="38"/>
      <c r="H163" s="38"/>
      <c r="I163" s="40"/>
      <c r="J163" s="38"/>
      <c r="K163" s="38"/>
      <c r="L163" s="42"/>
      <c r="M163" s="42"/>
      <c r="N163" s="42"/>
      <c r="O163" s="42"/>
      <c r="R163" s="37"/>
      <c r="S163" s="37"/>
      <c r="T163" s="91"/>
      <c r="U163" s="91"/>
      <c r="V163" s="41"/>
      <c r="W163" s="37"/>
      <c r="X163" s="37"/>
      <c r="Y163" s="43"/>
      <c r="Z163" s="37"/>
      <c r="AA163" s="37"/>
      <c r="AD163" s="37"/>
      <c r="AE163" s="37"/>
      <c r="AF163" s="37"/>
    </row>
    <row r="164" spans="1:32" x14ac:dyDescent="0.25">
      <c r="A164" s="37"/>
      <c r="B164" s="37"/>
      <c r="C164" s="37"/>
      <c r="F164" s="38"/>
      <c r="G164" s="38"/>
      <c r="H164" s="38"/>
      <c r="I164" s="40"/>
      <c r="J164" s="38"/>
      <c r="K164" s="38"/>
      <c r="L164" s="42"/>
      <c r="M164" s="42"/>
      <c r="N164" s="42"/>
      <c r="O164" s="42"/>
      <c r="R164" s="37"/>
      <c r="S164" s="37"/>
      <c r="T164" s="91"/>
      <c r="U164" s="91"/>
      <c r="V164" s="41"/>
      <c r="W164" s="37"/>
      <c r="X164" s="37"/>
      <c r="Y164" s="43"/>
      <c r="Z164" s="37"/>
      <c r="AA164" s="37"/>
      <c r="AD164" s="37"/>
      <c r="AE164" s="37"/>
      <c r="AF164" s="37"/>
    </row>
    <row r="165" spans="1:32" x14ac:dyDescent="0.25">
      <c r="A165" s="37"/>
      <c r="B165" s="37"/>
      <c r="C165" s="37"/>
      <c r="F165" s="38"/>
      <c r="G165" s="38"/>
      <c r="H165" s="38"/>
      <c r="I165" s="40"/>
      <c r="J165" s="38"/>
      <c r="K165" s="38"/>
      <c r="L165" s="42"/>
      <c r="M165" s="42"/>
      <c r="N165" s="42"/>
      <c r="O165" s="42"/>
      <c r="R165" s="37"/>
      <c r="S165" s="37"/>
      <c r="T165" s="91"/>
      <c r="U165" s="91"/>
      <c r="V165" s="41"/>
      <c r="W165" s="37"/>
      <c r="X165" s="37"/>
      <c r="Y165" s="43"/>
      <c r="Z165" s="37"/>
      <c r="AA165" s="37"/>
      <c r="AD165" s="37"/>
      <c r="AE165" s="37"/>
      <c r="AF165" s="37"/>
    </row>
    <row r="166" spans="1:32" x14ac:dyDescent="0.25">
      <c r="A166" s="37"/>
      <c r="B166" s="37"/>
      <c r="C166" s="37"/>
      <c r="F166" s="38"/>
      <c r="G166" s="38"/>
      <c r="H166" s="38"/>
      <c r="I166" s="40"/>
      <c r="J166" s="38"/>
      <c r="K166" s="38"/>
      <c r="L166" s="42"/>
      <c r="M166" s="42"/>
      <c r="N166" s="42"/>
      <c r="O166" s="42"/>
      <c r="R166" s="37"/>
      <c r="S166" s="37"/>
      <c r="T166" s="91"/>
      <c r="U166" s="91"/>
      <c r="V166" s="41"/>
      <c r="W166" s="37"/>
      <c r="X166" s="37"/>
      <c r="Y166" s="43"/>
      <c r="Z166" s="37"/>
      <c r="AA166" s="37"/>
      <c r="AD166" s="37"/>
      <c r="AE166" s="37"/>
      <c r="AF166" s="37"/>
    </row>
    <row r="167" spans="1:32" x14ac:dyDescent="0.25">
      <c r="A167" s="37"/>
      <c r="B167" s="37"/>
      <c r="C167" s="37"/>
      <c r="F167" s="38"/>
      <c r="G167" s="38"/>
      <c r="H167" s="38"/>
      <c r="I167" s="40"/>
      <c r="J167" s="38"/>
      <c r="K167" s="38"/>
      <c r="L167" s="42"/>
      <c r="M167" s="42"/>
      <c r="N167" s="42"/>
      <c r="O167" s="42"/>
      <c r="R167" s="37"/>
      <c r="S167" s="37"/>
      <c r="T167" s="91"/>
      <c r="U167" s="91"/>
      <c r="V167" s="41"/>
      <c r="W167" s="37"/>
      <c r="X167" s="37"/>
      <c r="Y167" s="43"/>
      <c r="Z167" s="37"/>
      <c r="AA167" s="37"/>
      <c r="AD167" s="37"/>
      <c r="AE167" s="37"/>
      <c r="AF167" s="37"/>
    </row>
    <row r="168" spans="1:32" x14ac:dyDescent="0.25">
      <c r="A168" s="37"/>
      <c r="B168" s="37"/>
      <c r="C168" s="37"/>
      <c r="F168" s="38"/>
      <c r="G168" s="38"/>
      <c r="H168" s="38"/>
      <c r="I168" s="40"/>
      <c r="J168" s="38"/>
      <c r="K168" s="38"/>
      <c r="L168" s="42"/>
      <c r="M168" s="42"/>
      <c r="N168" s="42"/>
      <c r="O168" s="42"/>
      <c r="R168" s="37"/>
      <c r="S168" s="37"/>
      <c r="T168" s="91"/>
      <c r="U168" s="91"/>
      <c r="V168" s="41"/>
      <c r="W168" s="37"/>
      <c r="X168" s="37"/>
      <c r="Y168" s="43"/>
      <c r="Z168" s="37"/>
      <c r="AA168" s="37"/>
      <c r="AD168" s="37"/>
      <c r="AE168" s="37"/>
      <c r="AF168" s="37"/>
    </row>
    <row r="169" spans="1:32" x14ac:dyDescent="0.25">
      <c r="A169" s="37"/>
      <c r="B169" s="37"/>
      <c r="C169" s="37"/>
      <c r="F169" s="38"/>
      <c r="G169" s="38"/>
      <c r="H169" s="38"/>
      <c r="I169" s="40"/>
      <c r="J169" s="38"/>
      <c r="K169" s="38"/>
      <c r="L169" s="42"/>
      <c r="M169" s="42"/>
      <c r="N169" s="42"/>
      <c r="O169" s="42"/>
      <c r="R169" s="37"/>
      <c r="S169" s="37"/>
      <c r="T169" s="91"/>
      <c r="U169" s="91"/>
      <c r="V169" s="41"/>
      <c r="W169" s="37"/>
      <c r="X169" s="37"/>
      <c r="Y169" s="43"/>
      <c r="Z169" s="37"/>
      <c r="AA169" s="37"/>
      <c r="AD169" s="37"/>
      <c r="AE169" s="37"/>
      <c r="AF169" s="37"/>
    </row>
    <row r="170" spans="1:32" x14ac:dyDescent="0.25">
      <c r="A170" s="37"/>
      <c r="B170" s="37"/>
      <c r="C170" s="37"/>
      <c r="F170" s="38"/>
      <c r="G170" s="38"/>
      <c r="H170" s="38"/>
      <c r="I170" s="40"/>
      <c r="J170" s="38"/>
      <c r="K170" s="38"/>
      <c r="L170" s="42"/>
      <c r="M170" s="42"/>
      <c r="N170" s="42"/>
      <c r="O170" s="42"/>
      <c r="R170" s="37"/>
      <c r="S170" s="37"/>
      <c r="T170" s="91"/>
      <c r="U170" s="91"/>
      <c r="V170" s="41"/>
      <c r="W170" s="37"/>
      <c r="X170" s="37"/>
      <c r="Y170" s="43"/>
      <c r="Z170" s="37"/>
      <c r="AA170" s="37"/>
      <c r="AD170" s="37"/>
      <c r="AE170" s="37"/>
      <c r="AF170" s="37"/>
    </row>
    <row r="171" spans="1:32" x14ac:dyDescent="0.25">
      <c r="A171" s="37"/>
      <c r="B171" s="37"/>
      <c r="C171" s="37"/>
      <c r="F171" s="38"/>
      <c r="G171" s="38"/>
      <c r="H171" s="38"/>
      <c r="I171" s="40"/>
      <c r="J171" s="38"/>
      <c r="K171" s="38"/>
      <c r="L171" s="42"/>
      <c r="M171" s="42"/>
      <c r="N171" s="42"/>
      <c r="O171" s="42"/>
      <c r="R171" s="37"/>
      <c r="S171" s="37"/>
      <c r="T171" s="91"/>
      <c r="U171" s="91"/>
      <c r="V171" s="41"/>
      <c r="W171" s="37"/>
      <c r="X171" s="37"/>
      <c r="Y171" s="43"/>
      <c r="Z171" s="37"/>
      <c r="AA171" s="37"/>
      <c r="AD171" s="37"/>
      <c r="AE171" s="37"/>
      <c r="AF171" s="37"/>
    </row>
    <row r="172" spans="1:32" x14ac:dyDescent="0.25">
      <c r="A172" s="37"/>
      <c r="B172" s="37"/>
      <c r="C172" s="37"/>
      <c r="F172" s="38"/>
      <c r="G172" s="38"/>
      <c r="H172" s="38"/>
      <c r="I172" s="40"/>
      <c r="J172" s="38"/>
      <c r="K172" s="38"/>
      <c r="L172" s="42"/>
      <c r="M172" s="42"/>
      <c r="N172" s="42"/>
      <c r="O172" s="42"/>
      <c r="R172" s="37"/>
      <c r="S172" s="37"/>
      <c r="T172" s="91"/>
      <c r="U172" s="91"/>
      <c r="V172" s="41"/>
      <c r="W172" s="37"/>
      <c r="X172" s="37"/>
      <c r="Y172" s="43"/>
      <c r="Z172" s="37"/>
      <c r="AA172" s="37"/>
      <c r="AD172" s="37"/>
      <c r="AE172" s="37"/>
      <c r="AF172" s="37"/>
    </row>
    <row r="173" spans="1:32" x14ac:dyDescent="0.25">
      <c r="A173" s="37"/>
      <c r="B173" s="37"/>
      <c r="C173" s="37"/>
      <c r="F173" s="38"/>
      <c r="G173" s="38"/>
      <c r="H173" s="38"/>
      <c r="I173" s="40"/>
      <c r="J173" s="38"/>
      <c r="K173" s="38"/>
      <c r="L173" s="42"/>
      <c r="M173" s="42"/>
      <c r="N173" s="42"/>
      <c r="O173" s="42"/>
      <c r="R173" s="37"/>
      <c r="S173" s="37"/>
      <c r="T173" s="91"/>
      <c r="U173" s="91"/>
      <c r="V173" s="41"/>
      <c r="W173" s="37"/>
      <c r="X173" s="37"/>
      <c r="Y173" s="43"/>
      <c r="Z173" s="37"/>
      <c r="AA173" s="37"/>
      <c r="AD173" s="37"/>
      <c r="AE173" s="37"/>
      <c r="AF173" s="37"/>
    </row>
    <row r="174" spans="1:32" x14ac:dyDescent="0.25">
      <c r="A174" s="37"/>
      <c r="B174" s="37"/>
      <c r="C174" s="37"/>
      <c r="F174" s="38"/>
      <c r="G174" s="38"/>
      <c r="H174" s="38"/>
      <c r="I174" s="40"/>
      <c r="J174" s="38"/>
      <c r="K174" s="38"/>
      <c r="L174" s="42"/>
      <c r="M174" s="42"/>
      <c r="N174" s="42"/>
      <c r="O174" s="42"/>
      <c r="R174" s="37"/>
      <c r="S174" s="37"/>
      <c r="T174" s="91"/>
      <c r="U174" s="91"/>
      <c r="V174" s="41"/>
      <c r="W174" s="37"/>
      <c r="X174" s="37"/>
      <c r="Y174" s="43"/>
      <c r="Z174" s="37"/>
      <c r="AA174" s="37"/>
      <c r="AD174" s="37"/>
      <c r="AE174" s="37"/>
      <c r="AF174" s="37"/>
    </row>
    <row r="175" spans="1:32" x14ac:dyDescent="0.25">
      <c r="A175" s="37"/>
      <c r="B175" s="37"/>
      <c r="C175" s="37"/>
      <c r="F175" s="38"/>
      <c r="G175" s="38"/>
      <c r="H175" s="38"/>
      <c r="I175" s="40"/>
      <c r="J175" s="38"/>
      <c r="K175" s="38"/>
      <c r="L175" s="42"/>
      <c r="M175" s="42"/>
      <c r="N175" s="42"/>
      <c r="O175" s="42"/>
      <c r="R175" s="37"/>
      <c r="S175" s="37"/>
      <c r="T175" s="91"/>
      <c r="U175" s="91"/>
      <c r="V175" s="41"/>
      <c r="W175" s="37"/>
      <c r="X175" s="37"/>
      <c r="Y175" s="43"/>
      <c r="Z175" s="37"/>
      <c r="AA175" s="37"/>
      <c r="AD175" s="37"/>
      <c r="AE175" s="37"/>
      <c r="AF175" s="37"/>
    </row>
    <row r="176" spans="1:32" x14ac:dyDescent="0.25">
      <c r="A176" s="37"/>
      <c r="B176" s="37"/>
      <c r="C176" s="37"/>
      <c r="F176" s="38"/>
      <c r="G176" s="38"/>
      <c r="H176" s="38"/>
      <c r="I176" s="40"/>
      <c r="J176" s="38"/>
      <c r="K176" s="38"/>
      <c r="L176" s="42"/>
      <c r="M176" s="42"/>
      <c r="N176" s="42"/>
      <c r="O176" s="42"/>
      <c r="R176" s="37"/>
      <c r="S176" s="37"/>
      <c r="T176" s="91"/>
      <c r="U176" s="91"/>
      <c r="V176" s="41"/>
      <c r="W176" s="37"/>
      <c r="X176" s="37"/>
      <c r="Y176" s="43"/>
      <c r="Z176" s="37"/>
      <c r="AA176" s="37"/>
      <c r="AD176" s="37"/>
      <c r="AE176" s="37"/>
      <c r="AF176" s="37"/>
    </row>
    <row r="177" spans="1:32" x14ac:dyDescent="0.25">
      <c r="A177" s="37"/>
      <c r="B177" s="37"/>
      <c r="C177" s="37"/>
      <c r="F177" s="38"/>
      <c r="G177" s="38"/>
      <c r="H177" s="38"/>
      <c r="I177" s="40"/>
      <c r="J177" s="38"/>
      <c r="K177" s="38"/>
      <c r="L177" s="42"/>
      <c r="M177" s="42"/>
      <c r="N177" s="42"/>
      <c r="O177" s="42"/>
      <c r="R177" s="37"/>
      <c r="S177" s="37"/>
      <c r="T177" s="91"/>
      <c r="U177" s="91"/>
      <c r="V177" s="41"/>
      <c r="W177" s="37"/>
      <c r="X177" s="37"/>
      <c r="Y177" s="43"/>
      <c r="Z177" s="37"/>
      <c r="AA177" s="37"/>
      <c r="AD177" s="37"/>
      <c r="AE177" s="37"/>
      <c r="AF177" s="37"/>
    </row>
    <row r="178" spans="1:32" x14ac:dyDescent="0.25">
      <c r="A178" s="37"/>
      <c r="B178" s="37"/>
      <c r="C178" s="37"/>
      <c r="F178" s="38"/>
      <c r="G178" s="38"/>
      <c r="H178" s="38"/>
      <c r="I178" s="40"/>
      <c r="J178" s="38"/>
      <c r="K178" s="38"/>
      <c r="L178" s="42"/>
      <c r="M178" s="42"/>
      <c r="N178" s="42"/>
      <c r="O178" s="42"/>
      <c r="R178" s="37"/>
      <c r="S178" s="37"/>
      <c r="T178" s="91"/>
      <c r="U178" s="91"/>
      <c r="V178" s="41"/>
      <c r="W178" s="37"/>
      <c r="X178" s="37"/>
      <c r="Y178" s="43"/>
      <c r="Z178" s="37"/>
      <c r="AA178" s="37"/>
      <c r="AD178" s="37"/>
      <c r="AE178" s="37"/>
      <c r="AF178" s="37"/>
    </row>
    <row r="179" spans="1:32" x14ac:dyDescent="0.25">
      <c r="A179" s="37"/>
      <c r="B179" s="37"/>
      <c r="C179" s="37"/>
      <c r="F179" s="38"/>
      <c r="G179" s="38"/>
      <c r="H179" s="38"/>
      <c r="I179" s="40"/>
      <c r="J179" s="38"/>
      <c r="K179" s="38"/>
      <c r="L179" s="42"/>
      <c r="M179" s="42"/>
      <c r="N179" s="42"/>
      <c r="O179" s="42"/>
      <c r="R179" s="37"/>
      <c r="S179" s="37"/>
      <c r="T179" s="91"/>
      <c r="U179" s="91"/>
      <c r="V179" s="41"/>
      <c r="W179" s="37"/>
      <c r="X179" s="37"/>
      <c r="Y179" s="43"/>
      <c r="Z179" s="37"/>
      <c r="AA179" s="37"/>
      <c r="AD179" s="37"/>
      <c r="AE179" s="37"/>
      <c r="AF179" s="37"/>
    </row>
    <row r="180" spans="1:32" x14ac:dyDescent="0.25">
      <c r="A180" s="37"/>
      <c r="B180" s="37"/>
      <c r="C180" s="37"/>
      <c r="F180" s="38"/>
      <c r="G180" s="38"/>
      <c r="H180" s="38"/>
      <c r="I180" s="40"/>
      <c r="J180" s="38"/>
      <c r="K180" s="38"/>
      <c r="L180" s="42"/>
      <c r="M180" s="42"/>
      <c r="N180" s="42"/>
      <c r="O180" s="42"/>
      <c r="R180" s="37"/>
      <c r="S180" s="37"/>
      <c r="T180" s="91"/>
      <c r="U180" s="91"/>
      <c r="V180" s="41"/>
      <c r="W180" s="37"/>
      <c r="X180" s="37"/>
      <c r="Y180" s="43"/>
      <c r="Z180" s="37"/>
      <c r="AA180" s="37"/>
      <c r="AD180" s="37"/>
      <c r="AE180" s="37"/>
      <c r="AF180" s="37"/>
    </row>
    <row r="181" spans="1:32" x14ac:dyDescent="0.25">
      <c r="A181" s="37"/>
      <c r="B181" s="37"/>
      <c r="C181" s="37"/>
      <c r="F181" s="38"/>
      <c r="G181" s="38"/>
      <c r="H181" s="38"/>
      <c r="I181" s="40"/>
      <c r="J181" s="38"/>
      <c r="K181" s="38"/>
      <c r="L181" s="42"/>
      <c r="M181" s="42"/>
      <c r="N181" s="42"/>
      <c r="O181" s="42"/>
      <c r="R181" s="37"/>
      <c r="S181" s="37"/>
      <c r="T181" s="91"/>
      <c r="U181" s="91"/>
      <c r="V181" s="41"/>
      <c r="W181" s="37"/>
      <c r="X181" s="37"/>
      <c r="Y181" s="43"/>
      <c r="Z181" s="37"/>
      <c r="AA181" s="37"/>
      <c r="AD181" s="37"/>
      <c r="AE181" s="37"/>
      <c r="AF181" s="37"/>
    </row>
    <row r="182" spans="1:32" x14ac:dyDescent="0.25">
      <c r="A182" s="37"/>
      <c r="B182" s="37"/>
      <c r="C182" s="37"/>
      <c r="F182" s="38"/>
      <c r="G182" s="38"/>
      <c r="H182" s="38"/>
      <c r="I182" s="40"/>
      <c r="J182" s="38"/>
      <c r="K182" s="38"/>
      <c r="L182" s="42"/>
      <c r="M182" s="42"/>
      <c r="N182" s="42"/>
      <c r="O182" s="42"/>
      <c r="R182" s="37"/>
      <c r="S182" s="37"/>
      <c r="T182" s="91"/>
      <c r="U182" s="91"/>
      <c r="V182" s="41"/>
      <c r="W182" s="37"/>
      <c r="X182" s="37"/>
      <c r="Y182" s="43"/>
      <c r="Z182" s="37"/>
      <c r="AA182" s="37"/>
      <c r="AD182" s="37"/>
      <c r="AE182" s="37"/>
      <c r="AF182" s="37"/>
    </row>
    <row r="183" spans="1:32" x14ac:dyDescent="0.25">
      <c r="A183" s="37"/>
      <c r="B183" s="37"/>
      <c r="C183" s="37"/>
      <c r="F183" s="38"/>
      <c r="G183" s="38"/>
      <c r="H183" s="38"/>
      <c r="I183" s="40"/>
      <c r="J183" s="38"/>
      <c r="K183" s="38"/>
      <c r="L183" s="42"/>
      <c r="M183" s="42"/>
      <c r="N183" s="42"/>
      <c r="O183" s="42"/>
      <c r="R183" s="37"/>
      <c r="S183" s="37"/>
      <c r="T183" s="91"/>
      <c r="U183" s="91"/>
      <c r="V183" s="41"/>
      <c r="W183" s="37"/>
      <c r="X183" s="37"/>
      <c r="Y183" s="43"/>
      <c r="Z183" s="37"/>
      <c r="AA183" s="37"/>
      <c r="AD183" s="37"/>
      <c r="AE183" s="37"/>
      <c r="AF183" s="37"/>
    </row>
    <row r="184" spans="1:32" x14ac:dyDescent="0.25">
      <c r="A184" s="37"/>
      <c r="B184" s="37"/>
      <c r="C184" s="37"/>
      <c r="F184" s="38"/>
      <c r="G184" s="38"/>
      <c r="H184" s="38"/>
      <c r="I184" s="40"/>
      <c r="J184" s="38"/>
      <c r="K184" s="38"/>
      <c r="L184" s="42"/>
      <c r="M184" s="42"/>
      <c r="N184" s="42"/>
      <c r="O184" s="42"/>
      <c r="R184" s="37"/>
      <c r="S184" s="37"/>
      <c r="T184" s="91"/>
      <c r="U184" s="91"/>
      <c r="V184" s="41"/>
      <c r="W184" s="37"/>
      <c r="X184" s="37"/>
      <c r="Y184" s="43"/>
      <c r="Z184" s="37"/>
      <c r="AA184" s="37"/>
      <c r="AD184" s="37"/>
      <c r="AE184" s="37"/>
      <c r="AF184" s="37"/>
    </row>
    <row r="185" spans="1:32" x14ac:dyDescent="0.25">
      <c r="A185" s="37"/>
      <c r="B185" s="37"/>
      <c r="C185" s="37"/>
      <c r="F185" s="38"/>
      <c r="G185" s="38"/>
      <c r="H185" s="38"/>
      <c r="I185" s="40"/>
      <c r="J185" s="38"/>
      <c r="K185" s="38"/>
      <c r="L185" s="42"/>
      <c r="M185" s="42"/>
      <c r="N185" s="42"/>
      <c r="O185" s="42"/>
      <c r="R185" s="37"/>
      <c r="S185" s="37"/>
      <c r="T185" s="91"/>
      <c r="U185" s="91"/>
      <c r="V185" s="41"/>
      <c r="W185" s="37"/>
      <c r="X185" s="37"/>
      <c r="Y185" s="43"/>
      <c r="Z185" s="37"/>
      <c r="AA185" s="37"/>
      <c r="AD185" s="37"/>
      <c r="AE185" s="37"/>
      <c r="AF185" s="37"/>
    </row>
    <row r="186" spans="1:32" x14ac:dyDescent="0.25">
      <c r="A186" s="37"/>
      <c r="B186" s="37"/>
      <c r="C186" s="37"/>
      <c r="F186" s="38"/>
      <c r="G186" s="38"/>
      <c r="H186" s="38"/>
      <c r="I186" s="40"/>
      <c r="J186" s="38"/>
      <c r="K186" s="38"/>
      <c r="L186" s="42"/>
      <c r="M186" s="42"/>
      <c r="N186" s="42"/>
      <c r="O186" s="42"/>
      <c r="R186" s="37"/>
      <c r="S186" s="37"/>
      <c r="T186" s="91"/>
      <c r="U186" s="91"/>
      <c r="V186" s="41"/>
      <c r="W186" s="37"/>
      <c r="X186" s="37"/>
      <c r="Y186" s="43"/>
      <c r="Z186" s="37"/>
      <c r="AA186" s="37"/>
      <c r="AD186" s="37"/>
      <c r="AE186" s="37"/>
      <c r="AF186" s="37"/>
    </row>
    <row r="187" spans="1:32" x14ac:dyDescent="0.25">
      <c r="A187" s="37"/>
      <c r="B187" s="37"/>
      <c r="C187" s="37"/>
      <c r="F187" s="38"/>
      <c r="G187" s="38"/>
      <c r="H187" s="38"/>
      <c r="I187" s="40"/>
      <c r="J187" s="38"/>
      <c r="K187" s="38"/>
      <c r="L187" s="42"/>
      <c r="M187" s="42"/>
      <c r="N187" s="42"/>
      <c r="O187" s="42"/>
      <c r="R187" s="37"/>
      <c r="S187" s="37"/>
      <c r="T187" s="91"/>
      <c r="U187" s="91"/>
      <c r="V187" s="41"/>
      <c r="W187" s="37"/>
      <c r="X187" s="37"/>
      <c r="Y187" s="43"/>
      <c r="Z187" s="37"/>
      <c r="AA187" s="37"/>
      <c r="AD187" s="37"/>
      <c r="AE187" s="37"/>
      <c r="AF187" s="37"/>
    </row>
    <row r="188" spans="1:32" x14ac:dyDescent="0.25">
      <c r="A188" s="37"/>
      <c r="B188" s="37"/>
      <c r="C188" s="37"/>
      <c r="F188" s="38"/>
      <c r="G188" s="38"/>
      <c r="H188" s="38"/>
      <c r="I188" s="40"/>
      <c r="J188" s="38"/>
      <c r="K188" s="38"/>
      <c r="L188" s="42"/>
      <c r="M188" s="42"/>
      <c r="N188" s="42"/>
      <c r="O188" s="42"/>
      <c r="R188" s="37"/>
      <c r="S188" s="37"/>
      <c r="T188" s="91"/>
      <c r="U188" s="91"/>
      <c r="V188" s="41"/>
      <c r="W188" s="37"/>
      <c r="X188" s="37"/>
      <c r="Y188" s="43"/>
      <c r="Z188" s="37"/>
      <c r="AA188" s="37"/>
      <c r="AD188" s="37"/>
      <c r="AE188" s="37"/>
      <c r="AF188" s="37"/>
    </row>
    <row r="189" spans="1:32" x14ac:dyDescent="0.25">
      <c r="A189" s="37"/>
      <c r="B189" s="37"/>
      <c r="C189" s="37"/>
      <c r="F189" s="38"/>
      <c r="G189" s="38"/>
      <c r="H189" s="38"/>
      <c r="I189" s="40"/>
      <c r="J189" s="38"/>
      <c r="K189" s="38"/>
      <c r="L189" s="42"/>
      <c r="M189" s="42"/>
      <c r="N189" s="42"/>
      <c r="O189" s="42"/>
      <c r="R189" s="37"/>
      <c r="S189" s="37"/>
      <c r="T189" s="91"/>
      <c r="U189" s="91"/>
      <c r="V189" s="41"/>
      <c r="W189" s="37"/>
      <c r="X189" s="37"/>
      <c r="Y189" s="43"/>
      <c r="Z189" s="37"/>
      <c r="AA189" s="37"/>
      <c r="AD189" s="37"/>
      <c r="AE189" s="37"/>
      <c r="AF189" s="37"/>
    </row>
    <row r="190" spans="1:32" x14ac:dyDescent="0.25">
      <c r="A190" s="37"/>
      <c r="B190" s="37"/>
      <c r="C190" s="37"/>
      <c r="F190" s="38"/>
      <c r="G190" s="38"/>
      <c r="H190" s="38"/>
      <c r="I190" s="40"/>
      <c r="J190" s="38"/>
      <c r="K190" s="38"/>
      <c r="L190" s="42"/>
      <c r="M190" s="42"/>
      <c r="N190" s="42"/>
      <c r="O190" s="42"/>
      <c r="R190" s="37"/>
      <c r="S190" s="37"/>
      <c r="T190" s="91"/>
      <c r="U190" s="91"/>
      <c r="V190" s="41"/>
      <c r="W190" s="37"/>
      <c r="X190" s="37"/>
      <c r="Y190" s="43"/>
      <c r="Z190" s="37"/>
      <c r="AA190" s="37"/>
      <c r="AD190" s="37"/>
      <c r="AE190" s="37"/>
      <c r="AF190" s="37"/>
    </row>
    <row r="191" spans="1:32" x14ac:dyDescent="0.25">
      <c r="A191" s="37"/>
      <c r="B191" s="37"/>
      <c r="C191" s="37"/>
      <c r="F191" s="38"/>
      <c r="G191" s="38"/>
      <c r="H191" s="38"/>
      <c r="I191" s="40"/>
      <c r="J191" s="38"/>
      <c r="K191" s="38"/>
      <c r="L191" s="42"/>
      <c r="M191" s="42"/>
      <c r="N191" s="42"/>
      <c r="O191" s="42"/>
      <c r="R191" s="37"/>
      <c r="S191" s="37"/>
      <c r="T191" s="91"/>
      <c r="U191" s="91"/>
      <c r="V191" s="41"/>
      <c r="W191" s="37"/>
      <c r="X191" s="37"/>
      <c r="Y191" s="43"/>
      <c r="Z191" s="37"/>
      <c r="AA191" s="37"/>
      <c r="AD191" s="37"/>
      <c r="AE191" s="37"/>
      <c r="AF191" s="37"/>
    </row>
    <row r="192" spans="1:32" x14ac:dyDescent="0.25">
      <c r="A192" s="37"/>
      <c r="B192" s="37"/>
      <c r="C192" s="37"/>
      <c r="F192" s="38"/>
      <c r="G192" s="38"/>
      <c r="H192" s="38"/>
      <c r="I192" s="40"/>
      <c r="J192" s="38"/>
      <c r="K192" s="38"/>
      <c r="L192" s="42"/>
      <c r="M192" s="42"/>
      <c r="N192" s="42"/>
      <c r="O192" s="42"/>
      <c r="R192" s="37"/>
      <c r="S192" s="37"/>
      <c r="T192" s="91"/>
      <c r="U192" s="91"/>
      <c r="V192" s="41"/>
      <c r="W192" s="37"/>
      <c r="X192" s="37"/>
      <c r="Y192" s="43"/>
      <c r="Z192" s="37"/>
      <c r="AA192" s="37"/>
      <c r="AD192" s="37"/>
      <c r="AE192" s="37"/>
      <c r="AF192" s="37"/>
    </row>
    <row r="193" spans="1:32" x14ac:dyDescent="0.25">
      <c r="A193" s="37"/>
      <c r="B193" s="37"/>
      <c r="C193" s="37"/>
      <c r="F193" s="38"/>
      <c r="G193" s="38"/>
      <c r="H193" s="38"/>
      <c r="I193" s="40"/>
      <c r="J193" s="38"/>
      <c r="K193" s="38"/>
      <c r="L193" s="42"/>
      <c r="M193" s="42"/>
      <c r="N193" s="42"/>
      <c r="O193" s="42"/>
      <c r="R193" s="37"/>
      <c r="S193" s="37"/>
      <c r="T193" s="91"/>
      <c r="U193" s="91"/>
      <c r="V193" s="41"/>
      <c r="W193" s="37"/>
      <c r="X193" s="37"/>
      <c r="Y193" s="43"/>
      <c r="Z193" s="37"/>
      <c r="AA193" s="37"/>
      <c r="AD193" s="37"/>
      <c r="AE193" s="37"/>
      <c r="AF193" s="37"/>
    </row>
    <row r="194" spans="1:32" x14ac:dyDescent="0.25">
      <c r="A194" s="37"/>
      <c r="B194" s="37"/>
      <c r="C194" s="37"/>
      <c r="F194" s="38"/>
      <c r="G194" s="38"/>
      <c r="H194" s="38"/>
      <c r="I194" s="40"/>
      <c r="J194" s="38"/>
      <c r="K194" s="38"/>
      <c r="L194" s="42"/>
      <c r="M194" s="42"/>
      <c r="N194" s="42"/>
      <c r="O194" s="42"/>
      <c r="R194" s="37"/>
      <c r="S194" s="37"/>
      <c r="T194" s="91"/>
      <c r="U194" s="91"/>
      <c r="V194" s="41"/>
      <c r="W194" s="37"/>
      <c r="X194" s="37"/>
      <c r="Y194" s="43"/>
      <c r="Z194" s="37"/>
      <c r="AA194" s="37"/>
      <c r="AD194" s="37"/>
      <c r="AE194" s="37"/>
      <c r="AF194" s="37"/>
    </row>
    <row r="195" spans="1:32" x14ac:dyDescent="0.25">
      <c r="A195" s="37"/>
      <c r="B195" s="37"/>
      <c r="C195" s="37"/>
      <c r="F195" s="38"/>
      <c r="G195" s="38"/>
      <c r="H195" s="38"/>
      <c r="I195" s="40"/>
      <c r="J195" s="38"/>
      <c r="K195" s="38"/>
      <c r="L195" s="42"/>
      <c r="M195" s="42"/>
      <c r="N195" s="42"/>
      <c r="O195" s="42"/>
      <c r="R195" s="37"/>
      <c r="S195" s="37"/>
      <c r="T195" s="91"/>
      <c r="U195" s="91"/>
      <c r="V195" s="41"/>
      <c r="W195" s="37"/>
      <c r="X195" s="37"/>
      <c r="Y195" s="43"/>
      <c r="Z195" s="37"/>
      <c r="AA195" s="37"/>
      <c r="AD195" s="37"/>
      <c r="AE195" s="37"/>
      <c r="AF195" s="37"/>
    </row>
    <row r="196" spans="1:32" x14ac:dyDescent="0.25">
      <c r="A196" s="37"/>
      <c r="B196" s="37"/>
      <c r="C196" s="37"/>
      <c r="F196" s="38"/>
      <c r="G196" s="38"/>
      <c r="H196" s="38"/>
      <c r="I196" s="40"/>
      <c r="J196" s="38"/>
      <c r="K196" s="38"/>
      <c r="L196" s="42"/>
      <c r="M196" s="42"/>
      <c r="N196" s="42"/>
      <c r="O196" s="42"/>
      <c r="R196" s="37"/>
      <c r="S196" s="37"/>
      <c r="T196" s="91"/>
      <c r="U196" s="91"/>
      <c r="V196" s="41"/>
      <c r="W196" s="37"/>
      <c r="X196" s="37"/>
      <c r="Y196" s="43"/>
      <c r="Z196" s="37"/>
      <c r="AA196" s="37"/>
      <c r="AD196" s="37"/>
      <c r="AE196" s="37"/>
      <c r="AF196" s="37"/>
    </row>
    <row r="197" spans="1:32" x14ac:dyDescent="0.25">
      <c r="A197" s="37"/>
      <c r="B197" s="37"/>
      <c r="C197" s="37"/>
      <c r="F197" s="38"/>
      <c r="G197" s="38"/>
      <c r="H197" s="38"/>
      <c r="I197" s="40"/>
      <c r="J197" s="38"/>
      <c r="K197" s="38"/>
      <c r="L197" s="42"/>
      <c r="M197" s="42"/>
      <c r="N197" s="42"/>
      <c r="O197" s="42"/>
      <c r="R197" s="37"/>
      <c r="S197" s="37"/>
      <c r="T197" s="91"/>
      <c r="U197" s="91"/>
      <c r="V197" s="41"/>
      <c r="W197" s="37"/>
      <c r="X197" s="37"/>
      <c r="Y197" s="43"/>
      <c r="Z197" s="37"/>
      <c r="AA197" s="37"/>
      <c r="AD197" s="37"/>
      <c r="AE197" s="37"/>
      <c r="AF197" s="37"/>
    </row>
    <row r="198" spans="1:32" x14ac:dyDescent="0.25">
      <c r="A198" s="37"/>
      <c r="B198" s="37"/>
      <c r="C198" s="37"/>
      <c r="F198" s="38"/>
      <c r="G198" s="38"/>
      <c r="H198" s="38"/>
      <c r="I198" s="40"/>
      <c r="J198" s="38"/>
      <c r="K198" s="38"/>
      <c r="L198" s="42"/>
      <c r="M198" s="42"/>
      <c r="N198" s="42"/>
      <c r="O198" s="42"/>
      <c r="R198" s="37"/>
      <c r="S198" s="37"/>
      <c r="T198" s="91"/>
      <c r="U198" s="91"/>
      <c r="V198" s="41"/>
      <c r="W198" s="37"/>
      <c r="X198" s="37"/>
      <c r="Y198" s="43"/>
      <c r="Z198" s="37"/>
      <c r="AA198" s="37"/>
      <c r="AD198" s="37"/>
      <c r="AE198" s="37"/>
      <c r="AF198" s="37"/>
    </row>
    <row r="199" spans="1:32" x14ac:dyDescent="0.25">
      <c r="A199" s="37"/>
      <c r="B199" s="37"/>
      <c r="C199" s="37"/>
      <c r="F199" s="38"/>
      <c r="G199" s="38"/>
      <c r="H199" s="38"/>
      <c r="I199" s="40"/>
      <c r="J199" s="38"/>
      <c r="K199" s="38"/>
      <c r="L199" s="42"/>
      <c r="M199" s="42"/>
      <c r="N199" s="42"/>
      <c r="O199" s="42"/>
      <c r="R199" s="37"/>
      <c r="S199" s="37"/>
      <c r="T199" s="91"/>
      <c r="U199" s="91"/>
      <c r="V199" s="41"/>
      <c r="W199" s="37"/>
      <c r="X199" s="37"/>
      <c r="Y199" s="43"/>
      <c r="Z199" s="37"/>
      <c r="AA199" s="37"/>
      <c r="AD199" s="37"/>
      <c r="AE199" s="37"/>
      <c r="AF199" s="37"/>
    </row>
    <row r="200" spans="1:32" x14ac:dyDescent="0.25">
      <c r="A200" s="37"/>
      <c r="B200" s="37"/>
      <c r="C200" s="37"/>
      <c r="F200" s="38"/>
      <c r="G200" s="38"/>
      <c r="H200" s="38"/>
      <c r="I200" s="40"/>
      <c r="J200" s="38"/>
      <c r="K200" s="38"/>
      <c r="L200" s="42"/>
      <c r="M200" s="42"/>
      <c r="N200" s="42"/>
      <c r="O200" s="42"/>
      <c r="R200" s="37"/>
      <c r="S200" s="37"/>
      <c r="T200" s="91"/>
      <c r="U200" s="91"/>
      <c r="V200" s="41"/>
      <c r="W200" s="37"/>
      <c r="X200" s="37"/>
      <c r="Y200" s="43"/>
      <c r="Z200" s="37"/>
      <c r="AA200" s="37"/>
      <c r="AD200" s="37"/>
      <c r="AE200" s="37"/>
      <c r="AF200" s="37"/>
    </row>
    <row r="201" spans="1:32" x14ac:dyDescent="0.25">
      <c r="A201" s="37"/>
      <c r="B201" s="37"/>
      <c r="C201" s="37"/>
      <c r="F201" s="38"/>
      <c r="G201" s="38"/>
      <c r="H201" s="38"/>
      <c r="I201" s="40"/>
      <c r="J201" s="38"/>
      <c r="K201" s="38"/>
      <c r="L201" s="42"/>
      <c r="M201" s="42"/>
      <c r="N201" s="42"/>
      <c r="O201" s="42"/>
      <c r="R201" s="37"/>
      <c r="S201" s="37"/>
      <c r="T201" s="91"/>
      <c r="U201" s="91"/>
      <c r="V201" s="41"/>
      <c r="W201" s="37"/>
      <c r="X201" s="37"/>
      <c r="Y201" s="43"/>
      <c r="Z201" s="37"/>
      <c r="AA201" s="37"/>
      <c r="AD201" s="37"/>
      <c r="AE201" s="37"/>
      <c r="AF201" s="37"/>
    </row>
    <row r="202" spans="1:32" x14ac:dyDescent="0.25">
      <c r="A202" s="37"/>
      <c r="B202" s="37"/>
      <c r="C202" s="37"/>
      <c r="F202" s="38"/>
      <c r="G202" s="38"/>
      <c r="H202" s="38"/>
      <c r="I202" s="40"/>
      <c r="J202" s="38"/>
      <c r="K202" s="38"/>
      <c r="L202" s="42"/>
      <c r="M202" s="42"/>
      <c r="N202" s="42"/>
      <c r="O202" s="42"/>
      <c r="R202" s="37"/>
      <c r="S202" s="37"/>
      <c r="T202" s="91"/>
      <c r="U202" s="91"/>
      <c r="V202" s="41"/>
      <c r="W202" s="37"/>
      <c r="X202" s="37"/>
      <c r="Y202" s="43"/>
      <c r="Z202" s="37"/>
      <c r="AA202" s="37"/>
      <c r="AD202" s="37"/>
      <c r="AE202" s="37"/>
      <c r="AF202" s="37"/>
    </row>
    <row r="203" spans="1:32" x14ac:dyDescent="0.25">
      <c r="A203" s="37"/>
      <c r="B203" s="37"/>
      <c r="C203" s="37"/>
      <c r="F203" s="38"/>
      <c r="G203" s="38"/>
      <c r="H203" s="38"/>
      <c r="I203" s="40"/>
      <c r="J203" s="38"/>
      <c r="K203" s="38"/>
      <c r="L203" s="42"/>
      <c r="M203" s="42"/>
      <c r="N203" s="42"/>
      <c r="O203" s="42"/>
      <c r="R203" s="37"/>
      <c r="S203" s="37"/>
      <c r="T203" s="91"/>
      <c r="U203" s="91"/>
      <c r="V203" s="41"/>
      <c r="W203" s="37"/>
      <c r="X203" s="37"/>
      <c r="Y203" s="43"/>
      <c r="Z203" s="37"/>
      <c r="AA203" s="37"/>
      <c r="AD203" s="37"/>
      <c r="AE203" s="37"/>
      <c r="AF203" s="37"/>
    </row>
    <row r="204" spans="1:32" x14ac:dyDescent="0.25">
      <c r="A204" s="37"/>
      <c r="B204" s="37"/>
      <c r="C204" s="37"/>
      <c r="F204" s="38"/>
      <c r="G204" s="38"/>
      <c r="H204" s="38"/>
      <c r="I204" s="40"/>
      <c r="J204" s="38"/>
      <c r="K204" s="38"/>
      <c r="L204" s="42"/>
      <c r="M204" s="42"/>
      <c r="N204" s="42"/>
      <c r="O204" s="42"/>
      <c r="R204" s="37"/>
      <c r="S204" s="37"/>
      <c r="T204" s="91"/>
      <c r="U204" s="91"/>
      <c r="V204" s="41"/>
      <c r="W204" s="37"/>
      <c r="X204" s="37"/>
      <c r="Y204" s="43"/>
      <c r="Z204" s="37"/>
      <c r="AA204" s="37"/>
      <c r="AD204" s="37"/>
      <c r="AE204" s="37"/>
      <c r="AF204" s="37"/>
    </row>
    <row r="205" spans="1:32" x14ac:dyDescent="0.25">
      <c r="A205" s="37"/>
      <c r="B205" s="37"/>
      <c r="C205" s="37"/>
      <c r="F205" s="38"/>
      <c r="G205" s="38"/>
      <c r="H205" s="38"/>
      <c r="I205" s="40"/>
      <c r="J205" s="38"/>
      <c r="K205" s="38"/>
      <c r="L205" s="42"/>
      <c r="M205" s="42"/>
      <c r="N205" s="42"/>
      <c r="O205" s="42"/>
      <c r="R205" s="37"/>
      <c r="S205" s="37"/>
      <c r="T205" s="91"/>
      <c r="U205" s="91"/>
      <c r="V205" s="41"/>
      <c r="W205" s="37"/>
      <c r="X205" s="37"/>
      <c r="Y205" s="43"/>
      <c r="Z205" s="37"/>
      <c r="AA205" s="37"/>
      <c r="AD205" s="37"/>
      <c r="AE205" s="37"/>
      <c r="AF205" s="37"/>
    </row>
    <row r="206" spans="1:32" x14ac:dyDescent="0.25">
      <c r="A206" s="37"/>
      <c r="B206" s="37"/>
      <c r="C206" s="37"/>
      <c r="F206" s="38"/>
      <c r="G206" s="38"/>
      <c r="H206" s="38"/>
      <c r="I206" s="40"/>
      <c r="J206" s="38"/>
      <c r="K206" s="38"/>
      <c r="L206" s="42"/>
      <c r="M206" s="42"/>
      <c r="N206" s="42"/>
      <c r="O206" s="42"/>
      <c r="R206" s="37"/>
      <c r="S206" s="37"/>
      <c r="T206" s="91"/>
      <c r="U206" s="91"/>
      <c r="V206" s="41"/>
      <c r="W206" s="37"/>
      <c r="X206" s="37"/>
      <c r="Y206" s="43"/>
      <c r="Z206" s="37"/>
      <c r="AA206" s="37"/>
      <c r="AD206" s="37"/>
      <c r="AE206" s="37"/>
      <c r="AF206" s="37"/>
    </row>
    <row r="207" spans="1:32" x14ac:dyDescent="0.25">
      <c r="A207" s="37"/>
      <c r="B207" s="37"/>
      <c r="C207" s="37"/>
      <c r="F207" s="38"/>
      <c r="G207" s="38"/>
      <c r="H207" s="38"/>
      <c r="I207" s="40"/>
      <c r="J207" s="38"/>
      <c r="K207" s="38"/>
      <c r="L207" s="42"/>
      <c r="M207" s="42"/>
      <c r="N207" s="42"/>
      <c r="O207" s="42"/>
      <c r="R207" s="37"/>
      <c r="S207" s="37"/>
      <c r="T207" s="91"/>
      <c r="U207" s="91"/>
      <c r="V207" s="41"/>
      <c r="W207" s="37"/>
      <c r="X207" s="37"/>
      <c r="Y207" s="43"/>
      <c r="Z207" s="37"/>
      <c r="AA207" s="37"/>
      <c r="AD207" s="37"/>
      <c r="AE207" s="37"/>
      <c r="AF207" s="37"/>
    </row>
    <row r="208" spans="1:32" x14ac:dyDescent="0.25">
      <c r="A208" s="37"/>
      <c r="B208" s="37"/>
      <c r="C208" s="37"/>
      <c r="F208" s="38"/>
      <c r="G208" s="38"/>
      <c r="H208" s="38"/>
      <c r="I208" s="40"/>
      <c r="J208" s="38"/>
      <c r="K208" s="38"/>
      <c r="L208" s="42"/>
      <c r="M208" s="42"/>
      <c r="N208" s="42"/>
      <c r="O208" s="42"/>
      <c r="R208" s="37"/>
      <c r="S208" s="37"/>
      <c r="T208" s="91"/>
      <c r="U208" s="91"/>
      <c r="V208" s="41"/>
      <c r="W208" s="37"/>
      <c r="X208" s="37"/>
      <c r="Y208" s="43"/>
      <c r="Z208" s="37"/>
      <c r="AA208" s="37"/>
      <c r="AD208" s="37"/>
      <c r="AE208" s="37"/>
      <c r="AF208" s="37"/>
    </row>
    <row r="209" spans="1:32" x14ac:dyDescent="0.25">
      <c r="A209" s="37"/>
      <c r="B209" s="37"/>
      <c r="C209" s="37"/>
      <c r="F209" s="38"/>
      <c r="G209" s="38"/>
      <c r="H209" s="38"/>
      <c r="I209" s="40"/>
      <c r="J209" s="38"/>
      <c r="K209" s="38"/>
      <c r="L209" s="42"/>
      <c r="M209" s="42"/>
      <c r="N209" s="42"/>
      <c r="O209" s="42"/>
      <c r="R209" s="37"/>
      <c r="S209" s="37"/>
      <c r="T209" s="91"/>
      <c r="U209" s="91"/>
      <c r="V209" s="41"/>
      <c r="W209" s="37"/>
      <c r="X209" s="37"/>
      <c r="Y209" s="43"/>
      <c r="Z209" s="37"/>
      <c r="AA209" s="37"/>
      <c r="AD209" s="37"/>
      <c r="AE209" s="37"/>
      <c r="AF209" s="37"/>
    </row>
    <row r="210" spans="1:32" x14ac:dyDescent="0.25">
      <c r="A210" s="37"/>
      <c r="B210" s="37"/>
      <c r="C210" s="37"/>
      <c r="F210" s="38"/>
      <c r="G210" s="38"/>
      <c r="H210" s="38"/>
      <c r="I210" s="40"/>
      <c r="J210" s="38"/>
      <c r="K210" s="38"/>
      <c r="L210" s="42"/>
      <c r="M210" s="42"/>
      <c r="N210" s="42"/>
      <c r="O210" s="42"/>
      <c r="R210" s="37"/>
      <c r="S210" s="37"/>
      <c r="T210" s="91"/>
      <c r="U210" s="91"/>
      <c r="V210" s="41"/>
      <c r="W210" s="37"/>
      <c r="X210" s="37"/>
      <c r="Y210" s="43"/>
      <c r="Z210" s="37"/>
      <c r="AA210" s="37"/>
      <c r="AD210" s="37"/>
      <c r="AE210" s="37"/>
      <c r="AF210" s="37"/>
    </row>
    <row r="211" spans="1:32" x14ac:dyDescent="0.25">
      <c r="A211" s="37"/>
      <c r="B211" s="37"/>
      <c r="C211" s="37"/>
      <c r="F211" s="38"/>
      <c r="G211" s="38"/>
      <c r="H211" s="38"/>
      <c r="I211" s="40"/>
      <c r="J211" s="38"/>
      <c r="K211" s="38"/>
      <c r="L211" s="42"/>
      <c r="M211" s="42"/>
      <c r="N211" s="42"/>
      <c r="O211" s="42"/>
      <c r="R211" s="37"/>
      <c r="S211" s="37"/>
      <c r="T211" s="91"/>
      <c r="U211" s="91"/>
      <c r="V211" s="41"/>
      <c r="W211" s="37"/>
      <c r="X211" s="37"/>
      <c r="Y211" s="43"/>
      <c r="Z211" s="37"/>
      <c r="AA211" s="37"/>
      <c r="AD211" s="37"/>
      <c r="AE211" s="37"/>
      <c r="AF211" s="37"/>
    </row>
    <row r="212" spans="1:32" x14ac:dyDescent="0.25">
      <c r="A212" s="37"/>
      <c r="B212" s="37"/>
      <c r="C212" s="37"/>
      <c r="F212" s="38"/>
      <c r="G212" s="38"/>
      <c r="H212" s="38"/>
      <c r="I212" s="40"/>
      <c r="J212" s="38"/>
      <c r="K212" s="38"/>
      <c r="L212" s="42"/>
      <c r="M212" s="42"/>
      <c r="N212" s="42"/>
      <c r="O212" s="42"/>
      <c r="R212" s="37"/>
      <c r="S212" s="37"/>
      <c r="T212" s="91"/>
      <c r="U212" s="91"/>
      <c r="V212" s="41"/>
      <c r="W212" s="37"/>
      <c r="X212" s="37"/>
      <c r="Y212" s="43"/>
      <c r="Z212" s="37"/>
      <c r="AA212" s="37"/>
      <c r="AD212" s="37"/>
      <c r="AE212" s="37"/>
      <c r="AF212" s="37"/>
    </row>
    <row r="213" spans="1:32" x14ac:dyDescent="0.25">
      <c r="A213" s="37"/>
      <c r="B213" s="37"/>
      <c r="C213" s="37"/>
      <c r="F213" s="38"/>
      <c r="G213" s="38"/>
      <c r="H213" s="38"/>
      <c r="I213" s="40"/>
      <c r="J213" s="38"/>
      <c r="K213" s="38"/>
      <c r="L213" s="42"/>
      <c r="M213" s="42"/>
      <c r="N213" s="42"/>
      <c r="O213" s="42"/>
      <c r="R213" s="37"/>
      <c r="S213" s="37"/>
      <c r="T213" s="91"/>
      <c r="U213" s="91"/>
      <c r="V213" s="41"/>
      <c r="W213" s="37"/>
      <c r="X213" s="37"/>
      <c r="Y213" s="43"/>
      <c r="Z213" s="37"/>
      <c r="AA213" s="37"/>
      <c r="AD213" s="37"/>
      <c r="AE213" s="37"/>
      <c r="AF213" s="37"/>
    </row>
    <row r="214" spans="1:32" x14ac:dyDescent="0.25">
      <c r="A214" s="37"/>
      <c r="B214" s="37"/>
      <c r="C214" s="37"/>
      <c r="F214" s="38"/>
      <c r="G214" s="38"/>
      <c r="H214" s="38"/>
      <c r="I214" s="40"/>
      <c r="J214" s="38"/>
      <c r="K214" s="38"/>
      <c r="L214" s="42"/>
      <c r="M214" s="42"/>
      <c r="N214" s="42"/>
      <c r="O214" s="42"/>
      <c r="R214" s="37"/>
      <c r="S214" s="37"/>
      <c r="T214" s="91"/>
      <c r="U214" s="91"/>
      <c r="V214" s="41"/>
      <c r="W214" s="37"/>
      <c r="X214" s="37"/>
      <c r="Y214" s="43"/>
      <c r="Z214" s="37"/>
      <c r="AA214" s="37"/>
      <c r="AD214" s="37"/>
      <c r="AE214" s="37"/>
      <c r="AF214" s="37"/>
    </row>
    <row r="215" spans="1:32" x14ac:dyDescent="0.25">
      <c r="A215" s="37"/>
      <c r="B215" s="37"/>
      <c r="C215" s="37"/>
      <c r="F215" s="38"/>
      <c r="G215" s="38"/>
      <c r="H215" s="38"/>
      <c r="I215" s="40"/>
      <c r="J215" s="38"/>
      <c r="K215" s="38"/>
      <c r="L215" s="42"/>
      <c r="M215" s="42"/>
      <c r="N215" s="42"/>
      <c r="O215" s="42"/>
      <c r="R215" s="37"/>
      <c r="S215" s="37"/>
      <c r="T215" s="91"/>
      <c r="U215" s="91"/>
      <c r="V215" s="41"/>
      <c r="W215" s="37"/>
      <c r="X215" s="37"/>
      <c r="Y215" s="43"/>
      <c r="Z215" s="37"/>
      <c r="AA215" s="37"/>
      <c r="AD215" s="37"/>
      <c r="AE215" s="37"/>
      <c r="AF215" s="37"/>
    </row>
    <row r="216" spans="1:32" x14ac:dyDescent="0.25">
      <c r="A216" s="37"/>
      <c r="B216" s="37"/>
      <c r="C216" s="37"/>
      <c r="F216" s="38"/>
      <c r="G216" s="38"/>
      <c r="H216" s="38"/>
      <c r="I216" s="40"/>
      <c r="J216" s="38"/>
      <c r="K216" s="38"/>
      <c r="L216" s="42"/>
      <c r="M216" s="42"/>
      <c r="N216" s="42"/>
      <c r="O216" s="42"/>
      <c r="R216" s="37"/>
      <c r="S216" s="37"/>
      <c r="T216" s="91"/>
      <c r="U216" s="91"/>
      <c r="V216" s="41"/>
      <c r="W216" s="37"/>
      <c r="X216" s="37"/>
      <c r="Y216" s="43"/>
      <c r="Z216" s="37"/>
      <c r="AA216" s="37"/>
      <c r="AD216" s="37"/>
      <c r="AE216" s="37"/>
      <c r="AF216" s="37"/>
    </row>
    <row r="217" spans="1:32" x14ac:dyDescent="0.25">
      <c r="A217" s="37"/>
      <c r="B217" s="37"/>
      <c r="C217" s="37"/>
      <c r="F217" s="38"/>
      <c r="G217" s="38"/>
      <c r="H217" s="38"/>
      <c r="I217" s="40"/>
      <c r="J217" s="38"/>
      <c r="K217" s="38"/>
      <c r="L217" s="42"/>
      <c r="M217" s="42"/>
      <c r="N217" s="42"/>
      <c r="O217" s="42"/>
      <c r="R217" s="37"/>
      <c r="S217" s="37"/>
      <c r="T217" s="91"/>
      <c r="U217" s="91"/>
      <c r="V217" s="41"/>
      <c r="W217" s="37"/>
      <c r="X217" s="37"/>
      <c r="Y217" s="43"/>
      <c r="Z217" s="37"/>
      <c r="AA217" s="37"/>
      <c r="AD217" s="37"/>
      <c r="AE217" s="37"/>
      <c r="AF217" s="37"/>
    </row>
    <row r="218" spans="1:32" x14ac:dyDescent="0.25">
      <c r="A218" s="37"/>
      <c r="B218" s="37"/>
      <c r="C218" s="37"/>
      <c r="F218" s="38"/>
      <c r="G218" s="38"/>
      <c r="H218" s="38"/>
      <c r="I218" s="40"/>
      <c r="J218" s="38"/>
      <c r="K218" s="38"/>
      <c r="L218" s="42"/>
      <c r="M218" s="42"/>
      <c r="N218" s="42"/>
      <c r="O218" s="42"/>
      <c r="R218" s="37"/>
      <c r="S218" s="37"/>
      <c r="T218" s="91"/>
      <c r="U218" s="91"/>
      <c r="V218" s="41"/>
      <c r="W218" s="37"/>
      <c r="X218" s="37"/>
      <c r="Y218" s="43"/>
      <c r="Z218" s="37"/>
      <c r="AA218" s="37"/>
      <c r="AD218" s="37"/>
      <c r="AE218" s="37"/>
      <c r="AF218" s="37"/>
    </row>
    <row r="219" spans="1:32" x14ac:dyDescent="0.25">
      <c r="A219" s="37"/>
      <c r="B219" s="37"/>
      <c r="C219" s="37"/>
      <c r="F219" s="38"/>
      <c r="G219" s="38"/>
      <c r="H219" s="38"/>
      <c r="I219" s="40"/>
      <c r="J219" s="38"/>
      <c r="K219" s="38"/>
      <c r="L219" s="42"/>
      <c r="M219" s="42"/>
      <c r="N219" s="42"/>
      <c r="O219" s="42"/>
      <c r="R219" s="37"/>
      <c r="S219" s="37"/>
      <c r="T219" s="91"/>
      <c r="U219" s="91"/>
      <c r="V219" s="41"/>
      <c r="W219" s="37"/>
      <c r="X219" s="37"/>
      <c r="Y219" s="43"/>
      <c r="Z219" s="37"/>
      <c r="AA219" s="37"/>
      <c r="AD219" s="37"/>
      <c r="AE219" s="37"/>
      <c r="AF219" s="37"/>
    </row>
    <row r="220" spans="1:32" x14ac:dyDescent="0.25">
      <c r="A220" s="37"/>
      <c r="B220" s="37"/>
      <c r="C220" s="37"/>
      <c r="F220" s="38"/>
      <c r="G220" s="38"/>
      <c r="H220" s="38"/>
      <c r="I220" s="40"/>
      <c r="J220" s="38"/>
      <c r="K220" s="38"/>
      <c r="L220" s="42"/>
      <c r="M220" s="42"/>
      <c r="N220" s="42"/>
      <c r="O220" s="42"/>
      <c r="R220" s="37"/>
      <c r="S220" s="37"/>
      <c r="T220" s="91"/>
      <c r="U220" s="91"/>
      <c r="V220" s="41"/>
      <c r="W220" s="37"/>
      <c r="X220" s="37"/>
      <c r="Y220" s="43"/>
      <c r="Z220" s="37"/>
      <c r="AA220" s="37"/>
      <c r="AD220" s="37"/>
      <c r="AE220" s="37"/>
      <c r="AF220" s="37"/>
    </row>
    <row r="221" spans="1:32" x14ac:dyDescent="0.25">
      <c r="A221" s="37"/>
      <c r="B221" s="37"/>
      <c r="C221" s="37"/>
      <c r="F221" s="38"/>
      <c r="G221" s="38"/>
      <c r="H221" s="38"/>
      <c r="I221" s="40"/>
      <c r="J221" s="38"/>
      <c r="K221" s="38"/>
      <c r="L221" s="42"/>
      <c r="M221" s="42"/>
      <c r="N221" s="42"/>
      <c r="O221" s="42"/>
      <c r="R221" s="37"/>
      <c r="S221" s="37"/>
      <c r="T221" s="91"/>
      <c r="U221" s="91"/>
      <c r="V221" s="41"/>
      <c r="W221" s="37"/>
      <c r="X221" s="37"/>
      <c r="Y221" s="43"/>
      <c r="Z221" s="37"/>
      <c r="AA221" s="37"/>
      <c r="AD221" s="37"/>
      <c r="AE221" s="37"/>
      <c r="AF221" s="37"/>
    </row>
    <row r="222" spans="1:32" x14ac:dyDescent="0.25">
      <c r="A222" s="37"/>
      <c r="B222" s="37"/>
      <c r="C222" s="37"/>
      <c r="F222" s="38"/>
      <c r="G222" s="38"/>
      <c r="H222" s="38"/>
      <c r="I222" s="40"/>
      <c r="J222" s="38"/>
      <c r="K222" s="38"/>
      <c r="L222" s="42"/>
      <c r="M222" s="42"/>
      <c r="N222" s="42"/>
      <c r="O222" s="42"/>
      <c r="R222" s="37"/>
      <c r="S222" s="37"/>
      <c r="T222" s="91"/>
      <c r="U222" s="91"/>
      <c r="V222" s="41"/>
      <c r="W222" s="37"/>
      <c r="X222" s="37"/>
      <c r="Y222" s="43"/>
      <c r="Z222" s="37"/>
      <c r="AA222" s="37"/>
      <c r="AD222" s="37"/>
      <c r="AE222" s="37"/>
      <c r="AF222" s="37"/>
    </row>
    <row r="223" spans="1:32" x14ac:dyDescent="0.25">
      <c r="A223" s="37"/>
      <c r="B223" s="37"/>
      <c r="C223" s="37"/>
      <c r="F223" s="38"/>
      <c r="G223" s="38"/>
      <c r="H223" s="38"/>
      <c r="I223" s="40"/>
      <c r="J223" s="38"/>
      <c r="K223" s="38"/>
      <c r="L223" s="42"/>
      <c r="M223" s="42"/>
      <c r="N223" s="42"/>
      <c r="O223" s="42"/>
      <c r="R223" s="37"/>
      <c r="S223" s="37"/>
      <c r="T223" s="91"/>
      <c r="U223" s="91"/>
      <c r="V223" s="41"/>
      <c r="W223" s="37"/>
      <c r="X223" s="37"/>
      <c r="Y223" s="43"/>
      <c r="Z223" s="37"/>
      <c r="AA223" s="37"/>
      <c r="AD223" s="37"/>
      <c r="AE223" s="37"/>
      <c r="AF223" s="37"/>
    </row>
    <row r="224" spans="1:32" x14ac:dyDescent="0.25">
      <c r="A224" s="37"/>
      <c r="B224" s="37"/>
      <c r="C224" s="37"/>
      <c r="F224" s="38"/>
      <c r="G224" s="38"/>
      <c r="H224" s="38"/>
      <c r="I224" s="40"/>
      <c r="J224" s="38"/>
      <c r="K224" s="38"/>
      <c r="L224" s="42"/>
      <c r="M224" s="42"/>
      <c r="N224" s="42"/>
      <c r="O224" s="42"/>
      <c r="R224" s="37"/>
      <c r="S224" s="37"/>
      <c r="T224" s="91"/>
      <c r="U224" s="91"/>
      <c r="V224" s="41"/>
      <c r="W224" s="37"/>
      <c r="X224" s="37"/>
      <c r="Y224" s="43"/>
      <c r="Z224" s="37"/>
      <c r="AA224" s="37"/>
      <c r="AD224" s="37"/>
      <c r="AE224" s="37"/>
      <c r="AF224" s="37"/>
    </row>
    <row r="225" spans="1:32" x14ac:dyDescent="0.25">
      <c r="A225" s="37"/>
      <c r="B225" s="37"/>
      <c r="C225" s="37"/>
      <c r="F225" s="38"/>
      <c r="G225" s="38"/>
      <c r="H225" s="38"/>
      <c r="I225" s="40"/>
      <c r="J225" s="38"/>
      <c r="K225" s="38"/>
      <c r="L225" s="42"/>
      <c r="M225" s="42"/>
      <c r="N225" s="42"/>
      <c r="O225" s="42"/>
      <c r="R225" s="37"/>
      <c r="S225" s="37"/>
      <c r="T225" s="91"/>
      <c r="U225" s="91"/>
      <c r="V225" s="41"/>
      <c r="W225" s="37"/>
      <c r="X225" s="37"/>
      <c r="Y225" s="43"/>
      <c r="Z225" s="37"/>
      <c r="AA225" s="37"/>
      <c r="AD225" s="37"/>
      <c r="AE225" s="37"/>
      <c r="AF225" s="37"/>
    </row>
    <row r="226" spans="1:32" x14ac:dyDescent="0.25">
      <c r="A226" s="37"/>
      <c r="B226" s="37"/>
      <c r="C226" s="37"/>
      <c r="F226" s="38"/>
      <c r="G226" s="38"/>
      <c r="H226" s="38"/>
      <c r="I226" s="40"/>
      <c r="J226" s="38"/>
      <c r="K226" s="38"/>
      <c r="L226" s="42"/>
      <c r="M226" s="42"/>
      <c r="N226" s="42"/>
      <c r="O226" s="42"/>
      <c r="R226" s="37"/>
      <c r="S226" s="37"/>
      <c r="T226" s="91"/>
      <c r="U226" s="91"/>
      <c r="V226" s="41"/>
      <c r="W226" s="37"/>
      <c r="X226" s="37"/>
      <c r="Y226" s="43"/>
      <c r="Z226" s="37"/>
      <c r="AA226" s="37"/>
      <c r="AD226" s="37"/>
      <c r="AE226" s="37"/>
      <c r="AF226" s="37"/>
    </row>
    <row r="227" spans="1:32" x14ac:dyDescent="0.25">
      <c r="A227" s="37"/>
      <c r="B227" s="37"/>
      <c r="C227" s="37"/>
      <c r="F227" s="38"/>
      <c r="G227" s="38"/>
      <c r="H227" s="38"/>
      <c r="I227" s="40"/>
      <c r="J227" s="38"/>
      <c r="K227" s="38"/>
      <c r="L227" s="42"/>
      <c r="M227" s="42"/>
      <c r="N227" s="42"/>
      <c r="O227" s="42"/>
      <c r="R227" s="37"/>
      <c r="S227" s="37"/>
      <c r="T227" s="91"/>
      <c r="U227" s="91"/>
      <c r="V227" s="41"/>
      <c r="W227" s="37"/>
      <c r="X227" s="37"/>
      <c r="Y227" s="43"/>
      <c r="Z227" s="37"/>
      <c r="AA227" s="37"/>
      <c r="AD227" s="37"/>
      <c r="AE227" s="37"/>
      <c r="AF227" s="37"/>
    </row>
    <row r="228" spans="1:32" x14ac:dyDescent="0.25">
      <c r="A228" s="37"/>
      <c r="B228" s="37"/>
      <c r="C228" s="37"/>
      <c r="F228" s="38"/>
      <c r="G228" s="38"/>
      <c r="H228" s="38"/>
      <c r="I228" s="40"/>
      <c r="J228" s="38"/>
      <c r="K228" s="38"/>
      <c r="L228" s="42"/>
      <c r="M228" s="42"/>
      <c r="N228" s="42"/>
      <c r="O228" s="42"/>
      <c r="R228" s="37"/>
      <c r="S228" s="37"/>
      <c r="T228" s="91"/>
      <c r="U228" s="91"/>
      <c r="V228" s="41"/>
      <c r="W228" s="37"/>
      <c r="X228" s="37"/>
      <c r="Y228" s="43"/>
      <c r="Z228" s="37"/>
      <c r="AA228" s="37"/>
      <c r="AD228" s="37"/>
      <c r="AE228" s="37"/>
      <c r="AF228" s="37"/>
    </row>
    <row r="229" spans="1:32" x14ac:dyDescent="0.25">
      <c r="A229" s="37"/>
      <c r="B229" s="37"/>
      <c r="C229" s="37"/>
      <c r="F229" s="38"/>
      <c r="G229" s="38"/>
      <c r="H229" s="38"/>
      <c r="I229" s="40"/>
      <c r="J229" s="38"/>
      <c r="K229" s="38"/>
      <c r="L229" s="42"/>
      <c r="M229" s="42"/>
      <c r="N229" s="42"/>
      <c r="O229" s="42"/>
      <c r="R229" s="37"/>
      <c r="S229" s="37"/>
      <c r="T229" s="91"/>
      <c r="U229" s="91"/>
      <c r="V229" s="41"/>
      <c r="W229" s="37"/>
      <c r="X229" s="37"/>
      <c r="Y229" s="43"/>
      <c r="Z229" s="37"/>
      <c r="AA229" s="37"/>
      <c r="AD229" s="37"/>
      <c r="AE229" s="37"/>
      <c r="AF229" s="37"/>
    </row>
    <row r="230" spans="1:32" x14ac:dyDescent="0.25">
      <c r="A230" s="37"/>
      <c r="B230" s="37"/>
      <c r="C230" s="37"/>
      <c r="F230" s="38"/>
      <c r="G230" s="38"/>
      <c r="H230" s="38"/>
      <c r="I230" s="40"/>
      <c r="J230" s="38"/>
      <c r="K230" s="38"/>
      <c r="L230" s="42"/>
      <c r="M230" s="42"/>
      <c r="N230" s="42"/>
      <c r="O230" s="42"/>
      <c r="R230" s="37"/>
      <c r="S230" s="37"/>
      <c r="T230" s="91"/>
      <c r="U230" s="91"/>
      <c r="V230" s="41"/>
      <c r="W230" s="37"/>
      <c r="X230" s="37"/>
      <c r="Y230" s="43"/>
      <c r="Z230" s="37"/>
      <c r="AA230" s="37"/>
      <c r="AD230" s="37"/>
      <c r="AE230" s="37"/>
      <c r="AF230" s="37"/>
    </row>
    <row r="231" spans="1:32" x14ac:dyDescent="0.25">
      <c r="A231" s="37"/>
      <c r="B231" s="37"/>
      <c r="C231" s="37"/>
      <c r="F231" s="38"/>
      <c r="G231" s="38"/>
      <c r="H231" s="38"/>
      <c r="I231" s="40"/>
      <c r="J231" s="38"/>
      <c r="K231" s="38"/>
      <c r="L231" s="42"/>
      <c r="M231" s="42"/>
      <c r="N231" s="42"/>
      <c r="O231" s="42"/>
      <c r="R231" s="37"/>
      <c r="S231" s="37"/>
      <c r="T231" s="91"/>
      <c r="U231" s="91"/>
      <c r="V231" s="41"/>
      <c r="W231" s="37"/>
      <c r="X231" s="37"/>
      <c r="Y231" s="43"/>
      <c r="Z231" s="37"/>
      <c r="AA231" s="37"/>
      <c r="AD231" s="37"/>
      <c r="AE231" s="37"/>
      <c r="AF231" s="37"/>
    </row>
    <row r="232" spans="1:32" x14ac:dyDescent="0.25">
      <c r="A232" s="37"/>
      <c r="B232" s="37"/>
      <c r="C232" s="37"/>
      <c r="F232" s="38"/>
      <c r="G232" s="38"/>
      <c r="H232" s="38"/>
      <c r="I232" s="40"/>
      <c r="J232" s="38"/>
      <c r="K232" s="38"/>
      <c r="L232" s="42"/>
      <c r="M232" s="42"/>
      <c r="N232" s="42"/>
      <c r="O232" s="42"/>
      <c r="R232" s="37"/>
      <c r="S232" s="37"/>
      <c r="T232" s="91"/>
      <c r="U232" s="91"/>
      <c r="V232" s="41"/>
      <c r="W232" s="37"/>
      <c r="X232" s="37"/>
      <c r="Y232" s="43"/>
      <c r="Z232" s="37"/>
      <c r="AA232" s="37"/>
      <c r="AD232" s="37"/>
      <c r="AE232" s="37"/>
      <c r="AF232" s="37"/>
    </row>
    <row r="233" spans="1:32" x14ac:dyDescent="0.25">
      <c r="A233" s="37"/>
      <c r="B233" s="37"/>
      <c r="C233" s="37"/>
      <c r="F233" s="38"/>
      <c r="G233" s="38"/>
      <c r="H233" s="38"/>
      <c r="I233" s="40"/>
      <c r="J233" s="38"/>
      <c r="K233" s="38"/>
      <c r="L233" s="42"/>
      <c r="M233" s="42"/>
      <c r="N233" s="42"/>
      <c r="O233" s="42"/>
      <c r="R233" s="37"/>
      <c r="S233" s="37"/>
      <c r="T233" s="91"/>
      <c r="U233" s="91"/>
      <c r="V233" s="41"/>
      <c r="W233" s="37"/>
      <c r="X233" s="37"/>
      <c r="Y233" s="43"/>
      <c r="Z233" s="37"/>
      <c r="AA233" s="37"/>
      <c r="AD233" s="37"/>
      <c r="AE233" s="37"/>
      <c r="AF233" s="37"/>
    </row>
    <row r="234" spans="1:32" x14ac:dyDescent="0.25">
      <c r="A234" s="37"/>
      <c r="B234" s="37"/>
      <c r="C234" s="37"/>
      <c r="F234" s="38"/>
      <c r="G234" s="38"/>
      <c r="H234" s="38"/>
      <c r="I234" s="40"/>
      <c r="J234" s="38"/>
      <c r="K234" s="38"/>
      <c r="L234" s="42"/>
      <c r="M234" s="42"/>
      <c r="N234" s="42"/>
      <c r="O234" s="42"/>
      <c r="R234" s="37"/>
      <c r="S234" s="37"/>
      <c r="T234" s="91"/>
      <c r="U234" s="91"/>
      <c r="V234" s="41"/>
      <c r="W234" s="37"/>
      <c r="X234" s="37"/>
      <c r="Y234" s="43"/>
      <c r="Z234" s="37"/>
      <c r="AA234" s="37"/>
      <c r="AD234" s="37"/>
      <c r="AE234" s="37"/>
      <c r="AF234" s="37"/>
    </row>
    <row r="235" spans="1:32" x14ac:dyDescent="0.25">
      <c r="A235" s="37"/>
      <c r="B235" s="37"/>
      <c r="C235" s="37"/>
      <c r="F235" s="38"/>
      <c r="G235" s="38"/>
      <c r="H235" s="38"/>
      <c r="I235" s="40"/>
      <c r="J235" s="38"/>
      <c r="K235" s="38"/>
      <c r="L235" s="42"/>
      <c r="M235" s="42"/>
      <c r="N235" s="42"/>
      <c r="O235" s="42"/>
      <c r="R235" s="37"/>
      <c r="S235" s="37"/>
      <c r="T235" s="91"/>
      <c r="U235" s="91"/>
      <c r="V235" s="41"/>
      <c r="W235" s="37"/>
      <c r="X235" s="37"/>
      <c r="Y235" s="43"/>
      <c r="Z235" s="37"/>
      <c r="AA235" s="37"/>
      <c r="AD235" s="37"/>
      <c r="AE235" s="37"/>
      <c r="AF235" s="37"/>
    </row>
    <row r="236" spans="1:32" x14ac:dyDescent="0.25">
      <c r="A236" s="37"/>
      <c r="B236" s="37"/>
      <c r="C236" s="37"/>
      <c r="F236" s="38"/>
      <c r="G236" s="38"/>
      <c r="H236" s="38"/>
      <c r="I236" s="40"/>
      <c r="J236" s="38"/>
      <c r="K236" s="38"/>
      <c r="L236" s="42"/>
      <c r="M236" s="42"/>
      <c r="N236" s="42"/>
      <c r="O236" s="42"/>
      <c r="R236" s="37"/>
      <c r="S236" s="37"/>
      <c r="T236" s="91"/>
      <c r="U236" s="91"/>
      <c r="V236" s="41"/>
      <c r="W236" s="37"/>
      <c r="X236" s="37"/>
      <c r="Y236" s="43"/>
      <c r="Z236" s="37"/>
      <c r="AA236" s="37"/>
      <c r="AD236" s="37"/>
      <c r="AE236" s="37"/>
      <c r="AF236" s="37"/>
    </row>
    <row r="237" spans="1:32" x14ac:dyDescent="0.25">
      <c r="A237" s="37"/>
      <c r="B237" s="37"/>
      <c r="C237" s="37"/>
      <c r="F237" s="38"/>
      <c r="G237" s="38"/>
      <c r="H237" s="38"/>
      <c r="I237" s="40"/>
      <c r="J237" s="38"/>
      <c r="K237" s="38"/>
      <c r="L237" s="42"/>
      <c r="M237" s="42"/>
      <c r="N237" s="42"/>
      <c r="O237" s="42"/>
      <c r="R237" s="37"/>
      <c r="S237" s="37"/>
      <c r="T237" s="91"/>
      <c r="U237" s="91"/>
      <c r="V237" s="41"/>
      <c r="W237" s="37"/>
      <c r="X237" s="37"/>
      <c r="Y237" s="43"/>
      <c r="Z237" s="37"/>
      <c r="AA237" s="37"/>
      <c r="AD237" s="37"/>
      <c r="AE237" s="37"/>
      <c r="AF237" s="37"/>
    </row>
    <row r="238" spans="1:32" x14ac:dyDescent="0.25">
      <c r="A238" s="37"/>
      <c r="B238" s="37"/>
      <c r="C238" s="37"/>
      <c r="F238" s="38"/>
      <c r="G238" s="38"/>
      <c r="H238" s="38"/>
      <c r="I238" s="40"/>
      <c r="J238" s="38"/>
      <c r="K238" s="38"/>
      <c r="L238" s="42"/>
      <c r="M238" s="42"/>
      <c r="N238" s="42"/>
      <c r="O238" s="42"/>
      <c r="R238" s="37"/>
      <c r="S238" s="37"/>
      <c r="T238" s="91"/>
      <c r="U238" s="91"/>
      <c r="V238" s="41"/>
      <c r="W238" s="37"/>
      <c r="X238" s="37"/>
      <c r="Y238" s="43"/>
      <c r="Z238" s="37"/>
      <c r="AA238" s="37"/>
      <c r="AD238" s="37"/>
      <c r="AE238" s="37"/>
      <c r="AF238" s="37"/>
    </row>
    <row r="239" spans="1:32" x14ac:dyDescent="0.25">
      <c r="A239" s="37"/>
      <c r="B239" s="37"/>
      <c r="C239" s="37"/>
      <c r="F239" s="38"/>
      <c r="G239" s="38"/>
      <c r="H239" s="38"/>
      <c r="I239" s="40"/>
      <c r="J239" s="38"/>
      <c r="K239" s="38"/>
      <c r="L239" s="42"/>
      <c r="M239" s="42"/>
      <c r="N239" s="42"/>
      <c r="O239" s="42"/>
      <c r="R239" s="37"/>
      <c r="S239" s="37"/>
      <c r="T239" s="91"/>
      <c r="U239" s="91"/>
      <c r="V239" s="41"/>
      <c r="W239" s="37"/>
      <c r="X239" s="37"/>
      <c r="Y239" s="43"/>
      <c r="Z239" s="37"/>
      <c r="AA239" s="37"/>
      <c r="AD239" s="37"/>
      <c r="AE239" s="37"/>
      <c r="AF239" s="37"/>
    </row>
    <row r="240" spans="1:32" x14ac:dyDescent="0.25">
      <c r="A240" s="37"/>
      <c r="B240" s="37"/>
      <c r="C240" s="37"/>
      <c r="F240" s="38"/>
      <c r="G240" s="38"/>
      <c r="H240" s="38"/>
      <c r="I240" s="40"/>
      <c r="J240" s="38"/>
      <c r="K240" s="38"/>
      <c r="L240" s="42"/>
      <c r="M240" s="42"/>
      <c r="N240" s="42"/>
      <c r="O240" s="42"/>
      <c r="R240" s="37"/>
      <c r="S240" s="37"/>
      <c r="T240" s="91"/>
      <c r="U240" s="91"/>
      <c r="V240" s="41"/>
      <c r="W240" s="37"/>
      <c r="X240" s="37"/>
      <c r="Y240" s="43"/>
      <c r="Z240" s="37"/>
      <c r="AA240" s="37"/>
      <c r="AD240" s="37"/>
      <c r="AE240" s="37"/>
      <c r="AF240" s="37"/>
    </row>
    <row r="241" spans="1:32" x14ac:dyDescent="0.25">
      <c r="A241" s="37"/>
      <c r="B241" s="37"/>
      <c r="C241" s="37"/>
      <c r="F241" s="38"/>
      <c r="G241" s="38"/>
      <c r="H241" s="38"/>
      <c r="I241" s="40"/>
      <c r="J241" s="38"/>
      <c r="K241" s="38"/>
      <c r="L241" s="42"/>
      <c r="M241" s="42"/>
      <c r="N241" s="42"/>
      <c r="O241" s="42"/>
      <c r="R241" s="37"/>
      <c r="S241" s="37"/>
      <c r="T241" s="91"/>
      <c r="U241" s="91"/>
      <c r="V241" s="41"/>
      <c r="W241" s="37"/>
      <c r="X241" s="37"/>
      <c r="Y241" s="43"/>
      <c r="Z241" s="37"/>
      <c r="AA241" s="37"/>
      <c r="AD241" s="37"/>
      <c r="AE241" s="37"/>
      <c r="AF241" s="37"/>
    </row>
    <row r="242" spans="1:32" x14ac:dyDescent="0.25">
      <c r="A242" s="37"/>
      <c r="B242" s="37"/>
      <c r="C242" s="37"/>
      <c r="F242" s="38"/>
      <c r="G242" s="38"/>
      <c r="H242" s="38"/>
      <c r="I242" s="40"/>
      <c r="J242" s="38"/>
      <c r="K242" s="38"/>
      <c r="L242" s="42"/>
      <c r="M242" s="42"/>
      <c r="N242" s="42"/>
      <c r="O242" s="42"/>
      <c r="R242" s="37"/>
      <c r="S242" s="37"/>
      <c r="T242" s="91"/>
      <c r="U242" s="91"/>
      <c r="V242" s="41"/>
      <c r="W242" s="37"/>
      <c r="X242" s="37"/>
      <c r="Y242" s="43"/>
      <c r="Z242" s="37"/>
      <c r="AA242" s="37"/>
      <c r="AD242" s="37"/>
      <c r="AE242" s="37"/>
      <c r="AF242" s="37"/>
    </row>
    <row r="243" spans="1:32" x14ac:dyDescent="0.25">
      <c r="A243" s="37"/>
      <c r="B243" s="37"/>
      <c r="C243" s="37"/>
      <c r="F243" s="38"/>
      <c r="G243" s="38"/>
      <c r="H243" s="38"/>
      <c r="I243" s="40"/>
      <c r="J243" s="38"/>
      <c r="K243" s="38"/>
      <c r="L243" s="42"/>
      <c r="M243" s="42"/>
      <c r="N243" s="42"/>
      <c r="O243" s="42"/>
      <c r="R243" s="37"/>
      <c r="S243" s="37"/>
      <c r="T243" s="91"/>
      <c r="U243" s="91"/>
      <c r="V243" s="41"/>
      <c r="W243" s="37"/>
      <c r="X243" s="37"/>
      <c r="Y243" s="43"/>
      <c r="Z243" s="37"/>
      <c r="AA243" s="37"/>
      <c r="AD243" s="37"/>
      <c r="AE243" s="37"/>
      <c r="AF243" s="37"/>
    </row>
    <row r="244" spans="1:32" x14ac:dyDescent="0.25">
      <c r="A244" s="37"/>
      <c r="B244" s="37"/>
      <c r="C244" s="37"/>
      <c r="F244" s="38"/>
      <c r="G244" s="38"/>
      <c r="H244" s="38"/>
      <c r="I244" s="40"/>
      <c r="J244" s="38"/>
      <c r="K244" s="38"/>
      <c r="L244" s="42"/>
      <c r="M244" s="42"/>
      <c r="N244" s="42"/>
      <c r="O244" s="42"/>
      <c r="R244" s="37"/>
      <c r="S244" s="37"/>
      <c r="T244" s="91"/>
      <c r="U244" s="91"/>
      <c r="V244" s="41"/>
      <c r="W244" s="37"/>
      <c r="X244" s="37"/>
      <c r="Y244" s="43"/>
      <c r="Z244" s="37"/>
      <c r="AA244" s="37"/>
      <c r="AD244" s="37"/>
      <c r="AE244" s="37"/>
      <c r="AF244" s="37"/>
    </row>
    <row r="245" spans="1:32" x14ac:dyDescent="0.25">
      <c r="A245" s="37"/>
      <c r="B245" s="37"/>
      <c r="C245" s="37"/>
      <c r="F245" s="38"/>
      <c r="G245" s="38"/>
      <c r="H245" s="38"/>
      <c r="I245" s="40"/>
      <c r="J245" s="38"/>
      <c r="K245" s="38"/>
      <c r="L245" s="42"/>
      <c r="M245" s="42"/>
      <c r="N245" s="42"/>
      <c r="O245" s="42"/>
      <c r="R245" s="37"/>
      <c r="S245" s="37"/>
      <c r="T245" s="91"/>
      <c r="U245" s="91"/>
      <c r="V245" s="41"/>
      <c r="W245" s="37"/>
      <c r="X245" s="37"/>
      <c r="Y245" s="43"/>
      <c r="Z245" s="37"/>
      <c r="AA245" s="37"/>
      <c r="AD245" s="37"/>
      <c r="AE245" s="37"/>
      <c r="AF245" s="37"/>
    </row>
    <row r="246" spans="1:32" x14ac:dyDescent="0.25">
      <c r="A246" s="37"/>
      <c r="B246" s="37"/>
      <c r="C246" s="37"/>
      <c r="F246" s="38"/>
      <c r="G246" s="38"/>
      <c r="H246" s="38"/>
      <c r="I246" s="40"/>
      <c r="J246" s="38"/>
      <c r="K246" s="38"/>
      <c r="L246" s="42"/>
      <c r="M246" s="42"/>
      <c r="N246" s="42"/>
      <c r="O246" s="42"/>
      <c r="R246" s="37"/>
      <c r="S246" s="37"/>
      <c r="T246" s="91"/>
      <c r="U246" s="91"/>
      <c r="V246" s="41"/>
      <c r="W246" s="37"/>
      <c r="X246" s="37"/>
      <c r="Y246" s="43"/>
      <c r="Z246" s="37"/>
      <c r="AA246" s="37"/>
      <c r="AD246" s="37"/>
      <c r="AE246" s="37"/>
      <c r="AF246" s="37"/>
    </row>
    <row r="247" spans="1:32" x14ac:dyDescent="0.25">
      <c r="A247" s="37"/>
      <c r="B247" s="37"/>
      <c r="C247" s="37"/>
      <c r="F247" s="38"/>
      <c r="G247" s="38"/>
      <c r="H247" s="38"/>
      <c r="I247" s="40"/>
      <c r="J247" s="38"/>
      <c r="K247" s="38"/>
      <c r="L247" s="42"/>
      <c r="M247" s="42"/>
      <c r="N247" s="42"/>
      <c r="O247" s="42"/>
      <c r="R247" s="37"/>
      <c r="S247" s="37"/>
      <c r="T247" s="91"/>
      <c r="U247" s="91"/>
      <c r="V247" s="41"/>
      <c r="W247" s="37"/>
      <c r="X247" s="37"/>
      <c r="Y247" s="43"/>
      <c r="Z247" s="37"/>
      <c r="AA247" s="37"/>
      <c r="AD247" s="37"/>
      <c r="AE247" s="37"/>
      <c r="AF247" s="37"/>
    </row>
    <row r="248" spans="1:32" x14ac:dyDescent="0.25">
      <c r="A248" s="37"/>
      <c r="B248" s="37"/>
      <c r="C248" s="37"/>
      <c r="F248" s="38"/>
      <c r="G248" s="38"/>
      <c r="H248" s="38"/>
      <c r="I248" s="40"/>
      <c r="J248" s="38"/>
      <c r="K248" s="38"/>
      <c r="L248" s="42"/>
      <c r="M248" s="42"/>
      <c r="N248" s="42"/>
      <c r="O248" s="42"/>
      <c r="R248" s="37"/>
      <c r="S248" s="37"/>
      <c r="T248" s="91"/>
      <c r="U248" s="91"/>
      <c r="V248" s="41"/>
      <c r="W248" s="37"/>
      <c r="X248" s="37"/>
      <c r="Y248" s="43"/>
      <c r="Z248" s="37"/>
      <c r="AA248" s="37"/>
      <c r="AD248" s="37"/>
      <c r="AE248" s="37"/>
      <c r="AF248" s="37"/>
    </row>
    <row r="249" spans="1:32" x14ac:dyDescent="0.25">
      <c r="A249" s="37"/>
      <c r="B249" s="37"/>
      <c r="C249" s="37"/>
      <c r="F249" s="38"/>
      <c r="G249" s="38"/>
      <c r="H249" s="38"/>
      <c r="I249" s="40"/>
      <c r="J249" s="38"/>
      <c r="K249" s="38"/>
      <c r="L249" s="42"/>
      <c r="M249" s="42"/>
      <c r="N249" s="42"/>
      <c r="O249" s="42"/>
      <c r="R249" s="37"/>
      <c r="S249" s="37"/>
      <c r="T249" s="91"/>
      <c r="U249" s="91"/>
      <c r="V249" s="41"/>
      <c r="W249" s="37"/>
      <c r="X249" s="37"/>
      <c r="Y249" s="43"/>
      <c r="Z249" s="37"/>
      <c r="AA249" s="37"/>
      <c r="AD249" s="37"/>
      <c r="AE249" s="37"/>
      <c r="AF249" s="37"/>
    </row>
    <row r="250" spans="1:32" x14ac:dyDescent="0.25">
      <c r="A250" s="37"/>
      <c r="B250" s="37"/>
      <c r="C250" s="37"/>
      <c r="F250" s="38"/>
      <c r="G250" s="38"/>
      <c r="H250" s="38"/>
      <c r="I250" s="40"/>
      <c r="J250" s="38"/>
      <c r="K250" s="38"/>
      <c r="L250" s="42"/>
      <c r="M250" s="42"/>
      <c r="N250" s="42"/>
      <c r="O250" s="42"/>
      <c r="R250" s="37"/>
      <c r="S250" s="37"/>
      <c r="T250" s="91"/>
      <c r="U250" s="91"/>
      <c r="V250" s="41"/>
      <c r="W250" s="37"/>
      <c r="X250" s="37"/>
      <c r="Y250" s="43"/>
      <c r="Z250" s="37"/>
      <c r="AA250" s="37"/>
      <c r="AD250" s="37"/>
      <c r="AE250" s="37"/>
      <c r="AF250" s="37"/>
    </row>
    <row r="251" spans="1:32" x14ac:dyDescent="0.25">
      <c r="A251" s="37"/>
      <c r="B251" s="37"/>
      <c r="C251" s="37"/>
      <c r="F251" s="38"/>
      <c r="G251" s="38"/>
      <c r="H251" s="38"/>
      <c r="I251" s="40"/>
      <c r="J251" s="38"/>
      <c r="K251" s="38"/>
      <c r="L251" s="42"/>
      <c r="M251" s="42"/>
      <c r="N251" s="42"/>
      <c r="O251" s="42"/>
      <c r="R251" s="37"/>
      <c r="S251" s="37"/>
      <c r="T251" s="91"/>
      <c r="U251" s="91"/>
      <c r="V251" s="41"/>
      <c r="W251" s="37"/>
      <c r="X251" s="37"/>
      <c r="Y251" s="43"/>
      <c r="Z251" s="37"/>
      <c r="AA251" s="37"/>
      <c r="AD251" s="37"/>
      <c r="AE251" s="37"/>
      <c r="AF251" s="37"/>
    </row>
    <row r="252" spans="1:32" x14ac:dyDescent="0.25">
      <c r="A252" s="37"/>
      <c r="B252" s="37"/>
      <c r="C252" s="37"/>
      <c r="F252" s="38"/>
      <c r="G252" s="38"/>
      <c r="H252" s="38"/>
      <c r="I252" s="40"/>
      <c r="J252" s="38"/>
      <c r="K252" s="38"/>
      <c r="L252" s="42"/>
      <c r="M252" s="42"/>
      <c r="N252" s="42"/>
      <c r="O252" s="42"/>
      <c r="R252" s="37"/>
      <c r="S252" s="37"/>
      <c r="T252" s="91"/>
      <c r="U252" s="91"/>
      <c r="V252" s="41"/>
      <c r="W252" s="37"/>
      <c r="X252" s="37"/>
      <c r="Y252" s="43"/>
      <c r="Z252" s="37"/>
      <c r="AA252" s="37"/>
      <c r="AD252" s="37"/>
      <c r="AE252" s="37"/>
      <c r="AF252" s="37"/>
    </row>
    <row r="253" spans="1:32" x14ac:dyDescent="0.25">
      <c r="A253" s="37"/>
      <c r="B253" s="37"/>
      <c r="C253" s="37"/>
      <c r="F253" s="38"/>
      <c r="G253" s="38"/>
      <c r="H253" s="38"/>
      <c r="I253" s="40"/>
      <c r="J253" s="38"/>
      <c r="K253" s="38"/>
      <c r="L253" s="42"/>
      <c r="M253" s="42"/>
      <c r="N253" s="42"/>
      <c r="O253" s="42"/>
      <c r="R253" s="37"/>
      <c r="S253" s="37"/>
      <c r="T253" s="91"/>
      <c r="U253" s="91"/>
      <c r="V253" s="41"/>
      <c r="W253" s="37"/>
      <c r="X253" s="37"/>
      <c r="Y253" s="43"/>
      <c r="Z253" s="37"/>
      <c r="AA253" s="37"/>
      <c r="AD253" s="37"/>
      <c r="AE253" s="37"/>
      <c r="AF253" s="37"/>
    </row>
    <row r="254" spans="1:32" x14ac:dyDescent="0.25">
      <c r="A254" s="37"/>
      <c r="B254" s="37"/>
      <c r="C254" s="37"/>
      <c r="F254" s="38"/>
      <c r="G254" s="38"/>
      <c r="H254" s="38"/>
      <c r="I254" s="40"/>
      <c r="J254" s="38"/>
      <c r="K254" s="38"/>
      <c r="L254" s="42"/>
      <c r="M254" s="42"/>
      <c r="N254" s="42"/>
      <c r="O254" s="42"/>
      <c r="R254" s="37"/>
      <c r="S254" s="37"/>
      <c r="T254" s="91"/>
      <c r="U254" s="91"/>
      <c r="V254" s="41"/>
      <c r="W254" s="37"/>
      <c r="X254" s="37"/>
      <c r="Y254" s="43"/>
      <c r="Z254" s="37"/>
      <c r="AA254" s="37"/>
      <c r="AD254" s="37"/>
      <c r="AE254" s="37"/>
      <c r="AF254" s="37"/>
    </row>
    <row r="255" spans="1:32" x14ac:dyDescent="0.25">
      <c r="A255" s="37"/>
      <c r="B255" s="37"/>
      <c r="C255" s="37"/>
      <c r="F255" s="38"/>
      <c r="G255" s="38"/>
      <c r="H255" s="38"/>
      <c r="I255" s="40"/>
      <c r="J255" s="38"/>
      <c r="K255" s="38"/>
      <c r="L255" s="42"/>
      <c r="M255" s="42"/>
      <c r="N255" s="42"/>
      <c r="O255" s="42"/>
      <c r="R255" s="37"/>
      <c r="S255" s="37"/>
      <c r="T255" s="91"/>
      <c r="U255" s="91"/>
      <c r="V255" s="41"/>
      <c r="W255" s="37"/>
      <c r="X255" s="37"/>
      <c r="Y255" s="43"/>
      <c r="Z255" s="37"/>
      <c r="AA255" s="37"/>
      <c r="AD255" s="37"/>
      <c r="AE255" s="37"/>
      <c r="AF255" s="37"/>
    </row>
    <row r="256" spans="1:32" x14ac:dyDescent="0.25">
      <c r="A256" s="37"/>
      <c r="B256" s="37"/>
      <c r="C256" s="37"/>
      <c r="F256" s="38"/>
      <c r="G256" s="38"/>
      <c r="H256" s="38"/>
      <c r="I256" s="40"/>
      <c r="J256" s="38"/>
      <c r="K256" s="38"/>
      <c r="L256" s="42"/>
      <c r="M256" s="42"/>
      <c r="N256" s="42"/>
      <c r="O256" s="42"/>
      <c r="R256" s="37"/>
      <c r="S256" s="37"/>
      <c r="T256" s="91"/>
      <c r="U256" s="91"/>
      <c r="V256" s="41"/>
      <c r="W256" s="37"/>
      <c r="X256" s="37"/>
      <c r="Y256" s="43"/>
      <c r="Z256" s="37"/>
      <c r="AA256" s="37"/>
      <c r="AD256" s="37"/>
      <c r="AE256" s="37"/>
      <c r="AF256" s="37"/>
    </row>
    <row r="257" spans="1:32" x14ac:dyDescent="0.25">
      <c r="A257" s="37"/>
      <c r="B257" s="37"/>
      <c r="C257" s="37"/>
      <c r="F257" s="38"/>
      <c r="G257" s="38"/>
      <c r="H257" s="38"/>
      <c r="I257" s="40"/>
      <c r="J257" s="38"/>
      <c r="K257" s="38"/>
      <c r="L257" s="42"/>
      <c r="M257" s="42"/>
      <c r="N257" s="42"/>
      <c r="O257" s="42"/>
      <c r="R257" s="37"/>
      <c r="S257" s="37"/>
      <c r="T257" s="91"/>
      <c r="U257" s="91"/>
      <c r="V257" s="41"/>
      <c r="W257" s="37"/>
      <c r="X257" s="37"/>
      <c r="Y257" s="43"/>
      <c r="Z257" s="37"/>
      <c r="AA257" s="37"/>
      <c r="AD257" s="37"/>
      <c r="AE257" s="37"/>
      <c r="AF257" s="37"/>
    </row>
    <row r="258" spans="1:32" x14ac:dyDescent="0.25">
      <c r="A258" s="37"/>
      <c r="B258" s="37"/>
      <c r="C258" s="37"/>
      <c r="F258" s="38"/>
      <c r="G258" s="38"/>
      <c r="H258" s="38"/>
      <c r="I258" s="40"/>
      <c r="J258" s="38"/>
      <c r="K258" s="38"/>
      <c r="L258" s="42"/>
      <c r="M258" s="42"/>
      <c r="N258" s="42"/>
      <c r="O258" s="42"/>
      <c r="R258" s="37"/>
      <c r="S258" s="37"/>
      <c r="T258" s="91"/>
      <c r="U258" s="91"/>
      <c r="V258" s="41"/>
      <c r="W258" s="37"/>
      <c r="X258" s="37"/>
      <c r="Y258" s="43"/>
      <c r="Z258" s="37"/>
      <c r="AA258" s="37"/>
      <c r="AD258" s="37"/>
      <c r="AE258" s="37"/>
      <c r="AF258" s="37"/>
    </row>
    <row r="259" spans="1:32" x14ac:dyDescent="0.25">
      <c r="A259" s="37"/>
      <c r="B259" s="37"/>
      <c r="C259" s="37"/>
      <c r="F259" s="38"/>
      <c r="G259" s="38"/>
      <c r="H259" s="38"/>
      <c r="I259" s="40"/>
      <c r="J259" s="38"/>
      <c r="K259" s="38"/>
      <c r="L259" s="42"/>
      <c r="M259" s="42"/>
      <c r="N259" s="42"/>
      <c r="O259" s="42"/>
      <c r="R259" s="37"/>
      <c r="S259" s="37"/>
      <c r="T259" s="91"/>
      <c r="U259" s="91"/>
      <c r="V259" s="41"/>
      <c r="W259" s="37"/>
      <c r="X259" s="37"/>
      <c r="Y259" s="43"/>
      <c r="Z259" s="37"/>
      <c r="AA259" s="37"/>
      <c r="AD259" s="37"/>
      <c r="AE259" s="37"/>
      <c r="AF259" s="37"/>
    </row>
    <row r="260" spans="1:32" x14ac:dyDescent="0.25">
      <c r="A260" s="37"/>
      <c r="B260" s="37"/>
      <c r="C260" s="37"/>
      <c r="F260" s="38"/>
      <c r="G260" s="38"/>
      <c r="H260" s="38"/>
      <c r="I260" s="40"/>
      <c r="J260" s="38"/>
      <c r="K260" s="38"/>
      <c r="L260" s="42"/>
      <c r="M260" s="42"/>
      <c r="N260" s="42"/>
      <c r="O260" s="42"/>
      <c r="R260" s="37"/>
      <c r="S260" s="37"/>
      <c r="T260" s="91"/>
      <c r="U260" s="91"/>
      <c r="V260" s="41"/>
      <c r="W260" s="37"/>
      <c r="X260" s="37"/>
      <c r="Y260" s="43"/>
      <c r="Z260" s="37"/>
      <c r="AA260" s="37"/>
      <c r="AD260" s="37"/>
      <c r="AE260" s="37"/>
      <c r="AF260" s="37"/>
    </row>
    <row r="261" spans="1:32" x14ac:dyDescent="0.25">
      <c r="A261" s="37"/>
      <c r="B261" s="37"/>
      <c r="C261" s="37"/>
      <c r="F261" s="38"/>
      <c r="G261" s="38"/>
      <c r="H261" s="38"/>
      <c r="I261" s="40"/>
      <c r="J261" s="38"/>
      <c r="K261" s="38"/>
      <c r="L261" s="42"/>
      <c r="M261" s="42"/>
      <c r="N261" s="42"/>
      <c r="O261" s="42"/>
      <c r="R261" s="37"/>
      <c r="S261" s="37"/>
      <c r="T261" s="91"/>
      <c r="U261" s="91"/>
      <c r="V261" s="41"/>
      <c r="W261" s="37"/>
      <c r="X261" s="37"/>
      <c r="Y261" s="43"/>
      <c r="Z261" s="37"/>
      <c r="AA261" s="37"/>
      <c r="AD261" s="37"/>
      <c r="AE261" s="37"/>
      <c r="AF261" s="37"/>
    </row>
    <row r="262" spans="1:32" x14ac:dyDescent="0.25">
      <c r="A262" s="37"/>
      <c r="B262" s="37"/>
      <c r="C262" s="37"/>
      <c r="F262" s="38"/>
      <c r="G262" s="38"/>
      <c r="H262" s="38"/>
      <c r="I262" s="40"/>
      <c r="J262" s="38"/>
      <c r="K262" s="38"/>
      <c r="L262" s="42"/>
      <c r="M262" s="42"/>
      <c r="N262" s="42"/>
      <c r="O262" s="42"/>
      <c r="R262" s="37"/>
      <c r="S262" s="37"/>
      <c r="T262" s="91"/>
      <c r="U262" s="91"/>
      <c r="V262" s="41"/>
      <c r="W262" s="37"/>
      <c r="X262" s="37"/>
      <c r="Y262" s="43"/>
      <c r="Z262" s="37"/>
      <c r="AA262" s="37"/>
      <c r="AD262" s="37"/>
      <c r="AE262" s="37"/>
      <c r="AF262" s="37"/>
    </row>
    <row r="263" spans="1:32" x14ac:dyDescent="0.25">
      <c r="A263" s="37"/>
      <c r="B263" s="37"/>
      <c r="C263" s="37"/>
      <c r="F263" s="38"/>
      <c r="G263" s="38"/>
      <c r="H263" s="38"/>
      <c r="I263" s="40"/>
      <c r="J263" s="38"/>
      <c r="K263" s="38"/>
      <c r="L263" s="42"/>
      <c r="M263" s="42"/>
      <c r="N263" s="42"/>
      <c r="O263" s="42"/>
      <c r="R263" s="37"/>
      <c r="S263" s="37"/>
      <c r="T263" s="91"/>
      <c r="U263" s="91"/>
      <c r="V263" s="41"/>
      <c r="W263" s="37"/>
      <c r="X263" s="37"/>
      <c r="Y263" s="43"/>
      <c r="Z263" s="37"/>
      <c r="AA263" s="37"/>
      <c r="AD263" s="37"/>
      <c r="AE263" s="37"/>
      <c r="AF263" s="37"/>
    </row>
    <row r="264" spans="1:32" x14ac:dyDescent="0.25">
      <c r="A264" s="37"/>
      <c r="B264" s="37"/>
      <c r="C264" s="37"/>
      <c r="F264" s="38"/>
      <c r="G264" s="38"/>
      <c r="H264" s="38"/>
      <c r="I264" s="40"/>
      <c r="J264" s="38"/>
      <c r="K264" s="38"/>
      <c r="L264" s="42"/>
      <c r="M264" s="42"/>
      <c r="N264" s="42"/>
      <c r="O264" s="42"/>
      <c r="R264" s="37"/>
      <c r="S264" s="37"/>
      <c r="T264" s="91"/>
      <c r="U264" s="91"/>
      <c r="V264" s="41"/>
      <c r="W264" s="37"/>
      <c r="X264" s="37"/>
      <c r="Y264" s="43"/>
      <c r="Z264" s="37"/>
      <c r="AA264" s="37"/>
      <c r="AD264" s="37"/>
      <c r="AE264" s="37"/>
      <c r="AF264" s="37"/>
    </row>
    <row r="265" spans="1:32" x14ac:dyDescent="0.25">
      <c r="A265" s="37"/>
      <c r="B265" s="37"/>
      <c r="C265" s="37"/>
      <c r="F265" s="38"/>
      <c r="G265" s="38"/>
      <c r="H265" s="38"/>
      <c r="I265" s="40"/>
      <c r="J265" s="38"/>
      <c r="K265" s="38"/>
      <c r="L265" s="42"/>
      <c r="M265" s="42"/>
      <c r="N265" s="42"/>
      <c r="O265" s="42"/>
      <c r="R265" s="37"/>
      <c r="S265" s="37"/>
      <c r="T265" s="91"/>
      <c r="U265" s="91"/>
      <c r="V265" s="41"/>
      <c r="W265" s="37"/>
      <c r="X265" s="37"/>
      <c r="Y265" s="43"/>
      <c r="Z265" s="37"/>
      <c r="AA265" s="37"/>
      <c r="AD265" s="37"/>
      <c r="AE265" s="37"/>
      <c r="AF265" s="37"/>
    </row>
    <row r="266" spans="1:32" x14ac:dyDescent="0.25">
      <c r="A266" s="37"/>
      <c r="B266" s="37"/>
      <c r="C266" s="37"/>
      <c r="F266" s="38"/>
      <c r="G266" s="38"/>
      <c r="H266" s="38"/>
      <c r="I266" s="40"/>
      <c r="J266" s="38"/>
      <c r="K266" s="38"/>
      <c r="L266" s="42"/>
      <c r="M266" s="42"/>
      <c r="N266" s="42"/>
      <c r="O266" s="42"/>
      <c r="R266" s="37"/>
      <c r="S266" s="37"/>
      <c r="T266" s="91"/>
      <c r="U266" s="91"/>
      <c r="V266" s="41"/>
      <c r="W266" s="37"/>
      <c r="X266" s="37"/>
      <c r="Y266" s="43"/>
      <c r="Z266" s="37"/>
      <c r="AA266" s="37"/>
      <c r="AD266" s="37"/>
      <c r="AE266" s="37"/>
      <c r="AF266" s="37"/>
    </row>
    <row r="267" spans="1:32" x14ac:dyDescent="0.25">
      <c r="A267" s="37"/>
      <c r="B267" s="37"/>
      <c r="C267" s="37"/>
      <c r="F267" s="38"/>
      <c r="G267" s="38"/>
      <c r="H267" s="38"/>
      <c r="I267" s="40"/>
      <c r="J267" s="38"/>
      <c r="K267" s="38"/>
      <c r="L267" s="42"/>
      <c r="M267" s="42"/>
      <c r="N267" s="42"/>
      <c r="O267" s="42"/>
      <c r="R267" s="37"/>
      <c r="S267" s="37"/>
      <c r="T267" s="91"/>
      <c r="U267" s="91"/>
      <c r="V267" s="41"/>
      <c r="W267" s="37"/>
      <c r="X267" s="37"/>
      <c r="Y267" s="43"/>
      <c r="Z267" s="37"/>
      <c r="AA267" s="37"/>
      <c r="AD267" s="37"/>
      <c r="AE267" s="37"/>
      <c r="AF267" s="37"/>
    </row>
    <row r="268" spans="1:32" x14ac:dyDescent="0.25">
      <c r="A268" s="37"/>
      <c r="B268" s="37"/>
      <c r="C268" s="37"/>
      <c r="F268" s="38"/>
      <c r="G268" s="38"/>
      <c r="H268" s="38"/>
      <c r="I268" s="40"/>
      <c r="J268" s="38"/>
      <c r="K268" s="38"/>
      <c r="L268" s="42"/>
      <c r="M268" s="42"/>
      <c r="N268" s="42"/>
      <c r="O268" s="42"/>
      <c r="R268" s="37"/>
      <c r="S268" s="37"/>
      <c r="T268" s="91"/>
      <c r="U268" s="91"/>
      <c r="V268" s="41"/>
      <c r="W268" s="37"/>
      <c r="X268" s="37"/>
      <c r="Y268" s="43"/>
      <c r="Z268" s="37"/>
      <c r="AA268" s="37"/>
      <c r="AD268" s="37"/>
      <c r="AE268" s="37"/>
      <c r="AF268" s="37"/>
    </row>
    <row r="269" spans="1:32" x14ac:dyDescent="0.25">
      <c r="A269" s="37"/>
      <c r="B269" s="37"/>
      <c r="C269" s="37"/>
      <c r="F269" s="38"/>
      <c r="G269" s="38"/>
      <c r="H269" s="38"/>
      <c r="I269" s="40"/>
      <c r="J269" s="38"/>
      <c r="K269" s="38"/>
      <c r="L269" s="42"/>
      <c r="M269" s="42"/>
      <c r="N269" s="42"/>
      <c r="O269" s="42"/>
      <c r="R269" s="37"/>
      <c r="S269" s="37"/>
      <c r="T269" s="91"/>
      <c r="U269" s="91"/>
      <c r="V269" s="41"/>
      <c r="W269" s="37"/>
      <c r="X269" s="37"/>
      <c r="Y269" s="43"/>
      <c r="Z269" s="37"/>
      <c r="AA269" s="37"/>
      <c r="AD269" s="37"/>
      <c r="AE269" s="37"/>
      <c r="AF269" s="37"/>
    </row>
    <row r="270" spans="1:32" x14ac:dyDescent="0.25">
      <c r="A270" s="37"/>
      <c r="B270" s="37"/>
      <c r="C270" s="37"/>
      <c r="F270" s="38"/>
      <c r="G270" s="38"/>
      <c r="H270" s="38"/>
      <c r="I270" s="40"/>
      <c r="J270" s="38"/>
      <c r="K270" s="38"/>
      <c r="L270" s="42"/>
      <c r="M270" s="42"/>
      <c r="N270" s="42"/>
      <c r="O270" s="42"/>
      <c r="R270" s="37"/>
      <c r="S270" s="37"/>
      <c r="T270" s="91"/>
      <c r="U270" s="91"/>
      <c r="V270" s="41"/>
      <c r="W270" s="37"/>
      <c r="X270" s="37"/>
      <c r="Y270" s="43"/>
      <c r="Z270" s="37"/>
      <c r="AA270" s="37"/>
      <c r="AD270" s="37"/>
      <c r="AE270" s="37"/>
      <c r="AF270" s="37"/>
    </row>
    <row r="271" spans="1:32" x14ac:dyDescent="0.25">
      <c r="A271" s="37"/>
      <c r="B271" s="37"/>
      <c r="C271" s="37"/>
      <c r="F271" s="38"/>
      <c r="G271" s="38"/>
      <c r="H271" s="38"/>
      <c r="I271" s="40"/>
      <c r="J271" s="38"/>
      <c r="K271" s="38"/>
      <c r="L271" s="42"/>
      <c r="M271" s="42"/>
      <c r="N271" s="42"/>
      <c r="O271" s="42"/>
      <c r="R271" s="37"/>
      <c r="S271" s="37"/>
      <c r="T271" s="91"/>
      <c r="U271" s="91"/>
      <c r="V271" s="41"/>
      <c r="W271" s="37"/>
      <c r="X271" s="37"/>
      <c r="Y271" s="43"/>
      <c r="Z271" s="37"/>
      <c r="AA271" s="37"/>
      <c r="AD271" s="37"/>
      <c r="AE271" s="37"/>
      <c r="AF271" s="37"/>
    </row>
    <row r="272" spans="1:32" x14ac:dyDescent="0.25">
      <c r="A272" s="37"/>
      <c r="B272" s="37"/>
      <c r="C272" s="37"/>
      <c r="F272" s="38"/>
      <c r="G272" s="38"/>
      <c r="H272" s="38"/>
      <c r="I272" s="40"/>
      <c r="J272" s="38"/>
      <c r="K272" s="38"/>
      <c r="L272" s="42"/>
      <c r="M272" s="42"/>
      <c r="N272" s="42"/>
      <c r="O272" s="42"/>
      <c r="R272" s="37"/>
      <c r="S272" s="37"/>
      <c r="T272" s="91"/>
      <c r="U272" s="91"/>
      <c r="V272" s="41"/>
      <c r="W272" s="37"/>
      <c r="X272" s="37"/>
      <c r="Y272" s="43"/>
      <c r="Z272" s="37"/>
      <c r="AA272" s="37"/>
      <c r="AD272" s="37"/>
      <c r="AE272" s="37"/>
      <c r="AF272" s="37"/>
    </row>
    <row r="273" spans="1:32" x14ac:dyDescent="0.25">
      <c r="A273" s="37"/>
      <c r="B273" s="37"/>
      <c r="C273" s="37"/>
      <c r="F273" s="38"/>
      <c r="G273" s="38"/>
      <c r="H273" s="38"/>
      <c r="I273" s="40"/>
      <c r="J273" s="38"/>
      <c r="K273" s="38"/>
      <c r="L273" s="42"/>
      <c r="M273" s="42"/>
      <c r="N273" s="42"/>
      <c r="O273" s="42"/>
      <c r="R273" s="37"/>
      <c r="S273" s="37"/>
      <c r="T273" s="91"/>
      <c r="U273" s="91"/>
      <c r="V273" s="41"/>
      <c r="W273" s="37"/>
      <c r="X273" s="37"/>
      <c r="Y273" s="43"/>
      <c r="Z273" s="37"/>
      <c r="AA273" s="37"/>
      <c r="AD273" s="37"/>
      <c r="AE273" s="37"/>
      <c r="AF273" s="37"/>
    </row>
    <row r="274" spans="1:32" x14ac:dyDescent="0.25">
      <c r="A274" s="37"/>
      <c r="B274" s="37"/>
      <c r="C274" s="37"/>
      <c r="F274" s="38"/>
      <c r="G274" s="38"/>
      <c r="H274" s="38"/>
      <c r="I274" s="40"/>
      <c r="J274" s="38"/>
      <c r="K274" s="38"/>
      <c r="L274" s="42"/>
      <c r="M274" s="42"/>
      <c r="N274" s="42"/>
      <c r="O274" s="42"/>
      <c r="R274" s="37"/>
      <c r="S274" s="37"/>
      <c r="T274" s="91"/>
      <c r="U274" s="91"/>
      <c r="V274" s="41"/>
      <c r="W274" s="37"/>
      <c r="X274" s="37"/>
      <c r="Y274" s="43"/>
      <c r="Z274" s="37"/>
      <c r="AA274" s="37"/>
      <c r="AD274" s="37"/>
      <c r="AE274" s="37"/>
      <c r="AF274" s="37"/>
    </row>
    <row r="275" spans="1:32" x14ac:dyDescent="0.25">
      <c r="A275" s="37"/>
      <c r="B275" s="37"/>
      <c r="C275" s="37"/>
      <c r="F275" s="38"/>
      <c r="G275" s="38"/>
      <c r="H275" s="38"/>
      <c r="I275" s="40"/>
      <c r="J275" s="38"/>
      <c r="K275" s="38"/>
      <c r="L275" s="42"/>
      <c r="M275" s="42"/>
      <c r="N275" s="42"/>
      <c r="O275" s="42"/>
      <c r="R275" s="37"/>
      <c r="S275" s="37"/>
      <c r="T275" s="91"/>
      <c r="U275" s="91"/>
      <c r="V275" s="41"/>
      <c r="W275" s="37"/>
      <c r="X275" s="37"/>
      <c r="Y275" s="43"/>
      <c r="Z275" s="37"/>
      <c r="AA275" s="37"/>
      <c r="AD275" s="37"/>
      <c r="AE275" s="37"/>
      <c r="AF275" s="37"/>
    </row>
    <row r="276" spans="1:32" x14ac:dyDescent="0.25">
      <c r="A276" s="37"/>
      <c r="B276" s="37"/>
      <c r="C276" s="37"/>
      <c r="F276" s="38"/>
      <c r="G276" s="38"/>
      <c r="H276" s="38"/>
      <c r="I276" s="40"/>
      <c r="J276" s="38"/>
      <c r="K276" s="38"/>
      <c r="L276" s="42"/>
      <c r="M276" s="42"/>
      <c r="N276" s="42"/>
      <c r="O276" s="42"/>
      <c r="R276" s="37"/>
      <c r="S276" s="37"/>
      <c r="T276" s="91"/>
      <c r="U276" s="91"/>
      <c r="V276" s="41"/>
      <c r="W276" s="37"/>
      <c r="X276" s="37"/>
      <c r="Y276" s="43"/>
      <c r="Z276" s="37"/>
      <c r="AA276" s="37"/>
      <c r="AD276" s="37"/>
      <c r="AE276" s="37"/>
      <c r="AF276" s="37"/>
    </row>
    <row r="277" spans="1:32" x14ac:dyDescent="0.25">
      <c r="A277" s="37"/>
      <c r="B277" s="37"/>
      <c r="C277" s="37"/>
      <c r="F277" s="38"/>
      <c r="G277" s="38"/>
      <c r="H277" s="38"/>
      <c r="I277" s="40"/>
      <c r="J277" s="38"/>
      <c r="K277" s="38"/>
      <c r="L277" s="42"/>
      <c r="M277" s="42"/>
      <c r="N277" s="42"/>
      <c r="O277" s="42"/>
      <c r="R277" s="37"/>
      <c r="S277" s="37"/>
      <c r="T277" s="91"/>
      <c r="U277" s="91"/>
      <c r="V277" s="41"/>
      <c r="W277" s="37"/>
      <c r="X277" s="37"/>
      <c r="Y277" s="43"/>
      <c r="Z277" s="37"/>
      <c r="AA277" s="37"/>
      <c r="AD277" s="37"/>
      <c r="AE277" s="37"/>
      <c r="AF277" s="37"/>
    </row>
    <row r="278" spans="1:32" x14ac:dyDescent="0.25">
      <c r="A278" s="37"/>
      <c r="B278" s="37"/>
      <c r="C278" s="37"/>
      <c r="F278" s="38"/>
      <c r="G278" s="38"/>
      <c r="H278" s="38"/>
      <c r="I278" s="40"/>
      <c r="J278" s="38"/>
      <c r="K278" s="38"/>
      <c r="L278" s="42"/>
      <c r="M278" s="42"/>
      <c r="N278" s="42"/>
      <c r="O278" s="42"/>
      <c r="R278" s="37"/>
      <c r="S278" s="37"/>
      <c r="T278" s="91"/>
      <c r="U278" s="91"/>
      <c r="V278" s="41"/>
      <c r="W278" s="37"/>
      <c r="X278" s="37"/>
      <c r="Y278" s="43"/>
      <c r="Z278" s="37"/>
      <c r="AA278" s="37"/>
      <c r="AD278" s="37"/>
      <c r="AE278" s="37"/>
      <c r="AF278" s="37"/>
    </row>
    <row r="279" spans="1:32" x14ac:dyDescent="0.25">
      <c r="A279" s="37"/>
      <c r="B279" s="37"/>
      <c r="C279" s="37"/>
      <c r="F279" s="38"/>
      <c r="G279" s="38"/>
      <c r="H279" s="38"/>
      <c r="I279" s="40"/>
      <c r="J279" s="38"/>
      <c r="K279" s="38"/>
      <c r="L279" s="42"/>
      <c r="M279" s="42"/>
      <c r="N279" s="42"/>
      <c r="O279" s="42"/>
      <c r="R279" s="37"/>
      <c r="S279" s="37"/>
      <c r="T279" s="91"/>
      <c r="U279" s="91"/>
      <c r="V279" s="41"/>
      <c r="W279" s="37"/>
      <c r="X279" s="37"/>
      <c r="Y279" s="43"/>
      <c r="Z279" s="37"/>
      <c r="AA279" s="37"/>
      <c r="AD279" s="37"/>
      <c r="AE279" s="37"/>
      <c r="AF279" s="37"/>
    </row>
    <row r="280" spans="1:32" x14ac:dyDescent="0.25">
      <c r="A280" s="37"/>
      <c r="B280" s="37"/>
      <c r="C280" s="37"/>
      <c r="F280" s="38"/>
      <c r="G280" s="38"/>
      <c r="H280" s="38"/>
      <c r="I280" s="40"/>
      <c r="J280" s="38"/>
      <c r="K280" s="38"/>
      <c r="L280" s="42"/>
      <c r="M280" s="42"/>
      <c r="N280" s="42"/>
      <c r="O280" s="42"/>
      <c r="R280" s="37"/>
      <c r="S280" s="37"/>
      <c r="T280" s="91"/>
      <c r="U280" s="91"/>
      <c r="V280" s="41"/>
      <c r="W280" s="37"/>
      <c r="X280" s="37"/>
      <c r="Y280" s="43"/>
      <c r="Z280" s="37"/>
      <c r="AA280" s="37"/>
      <c r="AD280" s="37"/>
      <c r="AE280" s="37"/>
      <c r="AF280" s="37"/>
    </row>
    <row r="281" spans="1:32" x14ac:dyDescent="0.25">
      <c r="A281" s="37"/>
      <c r="B281" s="37"/>
      <c r="C281" s="37"/>
      <c r="F281" s="38"/>
      <c r="G281" s="38"/>
      <c r="H281" s="38"/>
      <c r="I281" s="40"/>
      <c r="J281" s="38"/>
      <c r="K281" s="38"/>
      <c r="L281" s="42"/>
      <c r="M281" s="42"/>
      <c r="N281" s="42"/>
      <c r="O281" s="42"/>
      <c r="R281" s="37"/>
      <c r="S281" s="37"/>
      <c r="T281" s="91"/>
      <c r="U281" s="91"/>
      <c r="V281" s="41"/>
      <c r="W281" s="37"/>
      <c r="X281" s="37"/>
      <c r="Y281" s="43"/>
      <c r="Z281" s="37"/>
      <c r="AA281" s="37"/>
      <c r="AD281" s="37"/>
      <c r="AE281" s="37"/>
      <c r="AF281" s="37"/>
    </row>
    <row r="282" spans="1:32" x14ac:dyDescent="0.25">
      <c r="A282" s="37"/>
      <c r="B282" s="37"/>
      <c r="C282" s="37"/>
      <c r="F282" s="38"/>
      <c r="G282" s="38"/>
      <c r="H282" s="38"/>
      <c r="I282" s="40"/>
      <c r="J282" s="38"/>
      <c r="K282" s="38"/>
      <c r="L282" s="42"/>
      <c r="M282" s="42"/>
      <c r="N282" s="42"/>
      <c r="O282" s="42"/>
      <c r="R282" s="37"/>
      <c r="S282" s="37"/>
      <c r="T282" s="91"/>
      <c r="U282" s="91"/>
      <c r="V282" s="41"/>
      <c r="W282" s="37"/>
      <c r="X282" s="37"/>
      <c r="Y282" s="43"/>
      <c r="Z282" s="37"/>
      <c r="AA282" s="37"/>
      <c r="AD282" s="37"/>
      <c r="AE282" s="37"/>
      <c r="AF282" s="37"/>
    </row>
    <row r="283" spans="1:32" x14ac:dyDescent="0.25">
      <c r="A283" s="37"/>
      <c r="B283" s="37"/>
      <c r="C283" s="37"/>
      <c r="F283" s="38"/>
      <c r="G283" s="38"/>
      <c r="H283" s="38"/>
      <c r="I283" s="40"/>
      <c r="J283" s="38"/>
      <c r="K283" s="38"/>
      <c r="L283" s="42"/>
      <c r="M283" s="42"/>
      <c r="N283" s="42"/>
      <c r="O283" s="42"/>
      <c r="R283" s="37"/>
      <c r="S283" s="37"/>
      <c r="T283" s="91"/>
      <c r="U283" s="91"/>
      <c r="V283" s="41"/>
      <c r="W283" s="37"/>
      <c r="X283" s="37"/>
      <c r="Y283" s="43"/>
      <c r="Z283" s="37"/>
      <c r="AA283" s="37"/>
      <c r="AD283" s="37"/>
      <c r="AE283" s="37"/>
      <c r="AF283" s="37"/>
    </row>
    <row r="284" spans="1:32" x14ac:dyDescent="0.25">
      <c r="A284" s="37"/>
      <c r="B284" s="37"/>
      <c r="C284" s="37"/>
      <c r="F284" s="38"/>
      <c r="G284" s="38"/>
      <c r="H284" s="38"/>
      <c r="I284" s="40"/>
      <c r="J284" s="38"/>
      <c r="K284" s="38"/>
      <c r="L284" s="42"/>
      <c r="M284" s="42"/>
      <c r="N284" s="42"/>
      <c r="O284" s="42"/>
      <c r="R284" s="37"/>
      <c r="S284" s="37"/>
      <c r="T284" s="91"/>
      <c r="U284" s="91"/>
      <c r="V284" s="41"/>
      <c r="W284" s="37"/>
      <c r="X284" s="37"/>
      <c r="Y284" s="43"/>
      <c r="Z284" s="37"/>
      <c r="AA284" s="37"/>
      <c r="AD284" s="37"/>
      <c r="AE284" s="37"/>
      <c r="AF284" s="37"/>
    </row>
    <row r="285" spans="1:32" x14ac:dyDescent="0.25">
      <c r="A285" s="37"/>
      <c r="B285" s="37"/>
      <c r="C285" s="37"/>
      <c r="F285" s="38"/>
      <c r="G285" s="38"/>
      <c r="H285" s="38"/>
      <c r="I285" s="40"/>
      <c r="J285" s="38"/>
      <c r="K285" s="38"/>
      <c r="L285" s="42"/>
      <c r="M285" s="42"/>
      <c r="N285" s="42"/>
      <c r="O285" s="42"/>
      <c r="R285" s="37"/>
      <c r="S285" s="37"/>
      <c r="T285" s="91"/>
      <c r="U285" s="91"/>
      <c r="V285" s="41"/>
      <c r="W285" s="37"/>
      <c r="X285" s="37"/>
      <c r="Y285" s="43"/>
      <c r="Z285" s="37"/>
      <c r="AA285" s="37"/>
      <c r="AD285" s="37"/>
      <c r="AE285" s="37"/>
      <c r="AF285" s="37"/>
    </row>
    <row r="286" spans="1:32" x14ac:dyDescent="0.25">
      <c r="A286" s="37"/>
      <c r="B286" s="37"/>
      <c r="C286" s="37"/>
      <c r="F286" s="38"/>
      <c r="G286" s="38"/>
      <c r="H286" s="38"/>
      <c r="I286" s="40"/>
      <c r="J286" s="38"/>
      <c r="K286" s="38"/>
      <c r="L286" s="42"/>
      <c r="M286" s="42"/>
      <c r="N286" s="42"/>
      <c r="O286" s="42"/>
      <c r="R286" s="37"/>
      <c r="S286" s="37"/>
      <c r="T286" s="91"/>
      <c r="U286" s="91"/>
      <c r="V286" s="41"/>
      <c r="W286" s="37"/>
      <c r="X286" s="37"/>
      <c r="Y286" s="43"/>
      <c r="Z286" s="37"/>
      <c r="AA286" s="37"/>
      <c r="AD286" s="37"/>
      <c r="AE286" s="37"/>
      <c r="AF286" s="37"/>
    </row>
    <row r="287" spans="1:32" x14ac:dyDescent="0.25">
      <c r="A287" s="37"/>
      <c r="B287" s="37"/>
      <c r="C287" s="37"/>
      <c r="F287" s="38"/>
      <c r="G287" s="38"/>
      <c r="H287" s="38"/>
      <c r="I287" s="40"/>
      <c r="J287" s="38"/>
      <c r="K287" s="38"/>
      <c r="L287" s="42"/>
      <c r="M287" s="42"/>
      <c r="N287" s="42"/>
      <c r="O287" s="42"/>
      <c r="R287" s="37"/>
      <c r="S287" s="37"/>
      <c r="T287" s="91"/>
      <c r="U287" s="91"/>
      <c r="V287" s="41"/>
      <c r="W287" s="37"/>
      <c r="X287" s="37"/>
      <c r="Y287" s="43"/>
      <c r="Z287" s="37"/>
      <c r="AA287" s="37"/>
      <c r="AD287" s="37"/>
      <c r="AE287" s="37"/>
      <c r="AF287" s="37"/>
    </row>
    <row r="288" spans="1:32" x14ac:dyDescent="0.25">
      <c r="A288" s="37"/>
      <c r="B288" s="37"/>
      <c r="C288" s="37"/>
      <c r="F288" s="38"/>
      <c r="G288" s="38"/>
      <c r="H288" s="38"/>
      <c r="I288" s="40"/>
      <c r="J288" s="38"/>
      <c r="K288" s="38"/>
      <c r="L288" s="42"/>
      <c r="M288" s="42"/>
      <c r="N288" s="42"/>
      <c r="O288" s="42"/>
      <c r="R288" s="37"/>
      <c r="S288" s="37"/>
      <c r="T288" s="91"/>
      <c r="U288" s="91"/>
      <c r="V288" s="41"/>
      <c r="W288" s="37"/>
      <c r="X288" s="37"/>
      <c r="Y288" s="43"/>
      <c r="Z288" s="37"/>
      <c r="AA288" s="37"/>
      <c r="AD288" s="37"/>
      <c r="AE288" s="37"/>
      <c r="AF288" s="37"/>
    </row>
    <row r="289" spans="1:32" x14ac:dyDescent="0.25">
      <c r="A289" s="37"/>
      <c r="B289" s="37"/>
      <c r="C289" s="37"/>
      <c r="F289" s="38"/>
      <c r="G289" s="38"/>
      <c r="H289" s="38"/>
      <c r="I289" s="40"/>
      <c r="J289" s="38"/>
      <c r="K289" s="38"/>
      <c r="L289" s="42"/>
      <c r="M289" s="42"/>
      <c r="N289" s="42"/>
      <c r="O289" s="42"/>
      <c r="R289" s="37"/>
      <c r="S289" s="37"/>
      <c r="T289" s="91"/>
      <c r="U289" s="91"/>
      <c r="V289" s="41"/>
      <c r="W289" s="37"/>
      <c r="X289" s="37"/>
      <c r="Y289" s="43"/>
      <c r="Z289" s="37"/>
      <c r="AA289" s="37"/>
      <c r="AD289" s="37"/>
      <c r="AE289" s="37"/>
      <c r="AF289" s="37"/>
    </row>
    <row r="290" spans="1:32" x14ac:dyDescent="0.25">
      <c r="A290" s="37"/>
      <c r="B290" s="37"/>
      <c r="C290" s="37"/>
      <c r="F290" s="38"/>
      <c r="G290" s="38"/>
      <c r="H290" s="38"/>
      <c r="I290" s="40"/>
      <c r="J290" s="38"/>
      <c r="K290" s="38"/>
      <c r="L290" s="42"/>
      <c r="M290" s="42"/>
      <c r="N290" s="42"/>
      <c r="O290" s="42"/>
      <c r="R290" s="37"/>
      <c r="S290" s="37"/>
      <c r="T290" s="91"/>
      <c r="U290" s="91"/>
      <c r="V290" s="41"/>
      <c r="W290" s="37"/>
      <c r="X290" s="37"/>
      <c r="Y290" s="43"/>
      <c r="Z290" s="37"/>
      <c r="AA290" s="37"/>
      <c r="AD290" s="37"/>
      <c r="AE290" s="37"/>
      <c r="AF290" s="37"/>
    </row>
    <row r="291" spans="1:32" x14ac:dyDescent="0.25">
      <c r="A291" s="37"/>
      <c r="B291" s="37"/>
      <c r="C291" s="37"/>
      <c r="F291" s="38"/>
      <c r="G291" s="38"/>
      <c r="H291" s="38"/>
      <c r="I291" s="40"/>
      <c r="J291" s="38"/>
      <c r="K291" s="38"/>
      <c r="L291" s="42"/>
      <c r="M291" s="42"/>
      <c r="N291" s="42"/>
      <c r="O291" s="42"/>
      <c r="R291" s="37"/>
      <c r="S291" s="37"/>
      <c r="T291" s="91"/>
      <c r="U291" s="91"/>
      <c r="V291" s="41"/>
      <c r="W291" s="37"/>
      <c r="X291" s="37"/>
      <c r="Y291" s="43"/>
      <c r="Z291" s="37"/>
      <c r="AA291" s="37"/>
      <c r="AD291" s="37"/>
      <c r="AE291" s="37"/>
      <c r="AF291" s="37"/>
    </row>
    <row r="292" spans="1:32" x14ac:dyDescent="0.25">
      <c r="A292" s="37"/>
      <c r="B292" s="37"/>
      <c r="C292" s="37"/>
      <c r="F292" s="38"/>
      <c r="G292" s="38"/>
      <c r="H292" s="38"/>
      <c r="I292" s="40"/>
      <c r="J292" s="38"/>
      <c r="K292" s="38"/>
      <c r="L292" s="42"/>
      <c r="M292" s="42"/>
      <c r="N292" s="42"/>
      <c r="O292" s="42"/>
      <c r="R292" s="37"/>
      <c r="S292" s="37"/>
      <c r="T292" s="91"/>
      <c r="U292" s="91"/>
      <c r="V292" s="41"/>
      <c r="W292" s="37"/>
      <c r="X292" s="37"/>
      <c r="Y292" s="43"/>
      <c r="Z292" s="37"/>
      <c r="AA292" s="37"/>
      <c r="AD292" s="37"/>
      <c r="AE292" s="37"/>
      <c r="AF292" s="37"/>
    </row>
    <row r="293" spans="1:32" x14ac:dyDescent="0.25">
      <c r="A293" s="37"/>
      <c r="B293" s="37"/>
      <c r="C293" s="37"/>
      <c r="F293" s="38"/>
      <c r="G293" s="38"/>
      <c r="H293" s="38"/>
      <c r="I293" s="40"/>
      <c r="J293" s="38"/>
      <c r="K293" s="38"/>
      <c r="L293" s="42"/>
      <c r="M293" s="42"/>
      <c r="N293" s="42"/>
      <c r="O293" s="42"/>
      <c r="R293" s="37"/>
      <c r="S293" s="37"/>
      <c r="T293" s="91"/>
      <c r="U293" s="91"/>
      <c r="V293" s="41"/>
      <c r="W293" s="37"/>
      <c r="X293" s="37"/>
      <c r="Y293" s="43"/>
      <c r="Z293" s="37"/>
      <c r="AA293" s="37"/>
      <c r="AD293" s="37"/>
      <c r="AE293" s="37"/>
      <c r="AF293" s="37"/>
    </row>
    <row r="294" spans="1:32" x14ac:dyDescent="0.25">
      <c r="A294" s="37"/>
      <c r="B294" s="37"/>
      <c r="C294" s="37"/>
      <c r="F294" s="38"/>
      <c r="G294" s="38"/>
      <c r="H294" s="38"/>
      <c r="I294" s="40"/>
      <c r="J294" s="38"/>
      <c r="K294" s="38"/>
      <c r="L294" s="42"/>
      <c r="M294" s="42"/>
      <c r="N294" s="42"/>
      <c r="O294" s="42"/>
      <c r="R294" s="37"/>
      <c r="S294" s="37"/>
      <c r="T294" s="91"/>
      <c r="U294" s="91"/>
      <c r="V294" s="41"/>
      <c r="W294" s="37"/>
      <c r="X294" s="37"/>
      <c r="Y294" s="43"/>
      <c r="Z294" s="37"/>
      <c r="AA294" s="37"/>
      <c r="AD294" s="37"/>
      <c r="AE294" s="37"/>
      <c r="AF294" s="37"/>
    </row>
    <row r="295" spans="1:32" x14ac:dyDescent="0.25">
      <c r="A295" s="37"/>
      <c r="B295" s="37"/>
      <c r="C295" s="37"/>
      <c r="F295" s="38"/>
      <c r="G295" s="38"/>
      <c r="H295" s="38"/>
      <c r="I295" s="40"/>
      <c r="J295" s="38"/>
      <c r="K295" s="38"/>
      <c r="L295" s="42"/>
      <c r="M295" s="42"/>
      <c r="N295" s="42"/>
      <c r="O295" s="42"/>
      <c r="R295" s="37"/>
      <c r="S295" s="37"/>
      <c r="T295" s="91"/>
      <c r="U295" s="91"/>
      <c r="V295" s="41"/>
      <c r="W295" s="37"/>
      <c r="X295" s="37"/>
      <c r="Y295" s="43"/>
      <c r="Z295" s="37"/>
      <c r="AA295" s="37"/>
      <c r="AD295" s="37"/>
      <c r="AE295" s="37"/>
      <c r="AF295" s="37"/>
    </row>
    <row r="296" spans="1:32" x14ac:dyDescent="0.25">
      <c r="A296" s="37"/>
      <c r="B296" s="37"/>
      <c r="C296" s="37"/>
      <c r="F296" s="38"/>
      <c r="G296" s="38"/>
      <c r="H296" s="38"/>
      <c r="I296" s="40"/>
      <c r="J296" s="38"/>
      <c r="K296" s="38"/>
      <c r="L296" s="42"/>
      <c r="M296" s="42"/>
      <c r="N296" s="42"/>
      <c r="O296" s="42"/>
      <c r="R296" s="37"/>
      <c r="S296" s="37"/>
      <c r="T296" s="91"/>
      <c r="U296" s="91"/>
      <c r="V296" s="41"/>
      <c r="W296" s="37"/>
      <c r="X296" s="37"/>
      <c r="Y296" s="43"/>
      <c r="Z296" s="37"/>
      <c r="AA296" s="37"/>
      <c r="AD296" s="37"/>
      <c r="AE296" s="37"/>
      <c r="AF296" s="37"/>
    </row>
    <row r="297" spans="1:32" x14ac:dyDescent="0.25">
      <c r="A297" s="37"/>
      <c r="B297" s="37"/>
      <c r="C297" s="37"/>
      <c r="F297" s="38"/>
      <c r="G297" s="38"/>
      <c r="H297" s="38"/>
      <c r="I297" s="40"/>
      <c r="J297" s="38"/>
      <c r="K297" s="38"/>
      <c r="L297" s="42"/>
      <c r="M297" s="42"/>
      <c r="N297" s="42"/>
      <c r="O297" s="42"/>
      <c r="R297" s="37"/>
      <c r="S297" s="37"/>
      <c r="T297" s="91"/>
      <c r="U297" s="91"/>
      <c r="V297" s="41"/>
      <c r="W297" s="37"/>
      <c r="X297" s="37"/>
      <c r="Y297" s="43"/>
      <c r="Z297" s="37"/>
      <c r="AA297" s="37"/>
      <c r="AD297" s="37"/>
      <c r="AE297" s="37"/>
      <c r="AF297" s="37"/>
    </row>
    <row r="298" spans="1:32" x14ac:dyDescent="0.25">
      <c r="A298" s="37"/>
      <c r="B298" s="37"/>
      <c r="C298" s="37"/>
      <c r="F298" s="38"/>
      <c r="G298" s="38"/>
      <c r="H298" s="38"/>
      <c r="I298" s="40"/>
      <c r="J298" s="38"/>
      <c r="K298" s="38"/>
      <c r="L298" s="42"/>
      <c r="M298" s="42"/>
      <c r="N298" s="42"/>
      <c r="O298" s="42"/>
      <c r="R298" s="37"/>
      <c r="S298" s="37"/>
      <c r="T298" s="91"/>
      <c r="U298" s="91"/>
      <c r="V298" s="41"/>
      <c r="W298" s="37"/>
      <c r="X298" s="37"/>
      <c r="Y298" s="43"/>
      <c r="Z298" s="37"/>
      <c r="AA298" s="37"/>
      <c r="AD298" s="37"/>
      <c r="AE298" s="37"/>
      <c r="AF298" s="37"/>
    </row>
    <row r="299" spans="1:32" x14ac:dyDescent="0.25">
      <c r="A299" s="37"/>
      <c r="B299" s="37"/>
      <c r="C299" s="37"/>
      <c r="F299" s="38"/>
      <c r="G299" s="38"/>
      <c r="H299" s="38"/>
      <c r="I299" s="40"/>
      <c r="J299" s="38"/>
      <c r="K299" s="38"/>
      <c r="L299" s="42"/>
      <c r="M299" s="42"/>
      <c r="N299" s="42"/>
      <c r="O299" s="42"/>
      <c r="R299" s="37"/>
      <c r="S299" s="37"/>
      <c r="T299" s="91"/>
      <c r="U299" s="91"/>
      <c r="V299" s="41"/>
      <c r="W299" s="37"/>
      <c r="X299" s="37"/>
      <c r="Y299" s="43"/>
      <c r="Z299" s="37"/>
      <c r="AA299" s="37"/>
      <c r="AD299" s="37"/>
      <c r="AE299" s="37"/>
      <c r="AF299" s="37"/>
    </row>
    <row r="300" spans="1:32" x14ac:dyDescent="0.25">
      <c r="A300" s="37"/>
      <c r="B300" s="37"/>
      <c r="C300" s="37"/>
      <c r="F300" s="38"/>
      <c r="G300" s="38"/>
      <c r="H300" s="38"/>
      <c r="I300" s="40"/>
      <c r="J300" s="38"/>
      <c r="K300" s="38"/>
      <c r="L300" s="42"/>
      <c r="M300" s="42"/>
      <c r="N300" s="42"/>
      <c r="O300" s="42"/>
      <c r="R300" s="37"/>
      <c r="S300" s="37"/>
      <c r="T300" s="91"/>
      <c r="U300" s="91"/>
      <c r="V300" s="41"/>
      <c r="W300" s="37"/>
      <c r="X300" s="37"/>
      <c r="Y300" s="43"/>
      <c r="Z300" s="37"/>
      <c r="AA300" s="37"/>
      <c r="AD300" s="37"/>
      <c r="AE300" s="37"/>
      <c r="AF300" s="37"/>
    </row>
    <row r="301" spans="1:32" x14ac:dyDescent="0.25">
      <c r="A301" s="37"/>
      <c r="B301" s="37"/>
      <c r="C301" s="37"/>
      <c r="F301" s="38"/>
      <c r="G301" s="38"/>
      <c r="H301" s="38"/>
      <c r="I301" s="40"/>
      <c r="J301" s="38"/>
      <c r="K301" s="38"/>
      <c r="L301" s="42"/>
      <c r="M301" s="42"/>
      <c r="N301" s="42"/>
      <c r="O301" s="42"/>
      <c r="R301" s="37"/>
      <c r="S301" s="37"/>
      <c r="T301" s="91"/>
      <c r="U301" s="91"/>
      <c r="V301" s="41"/>
      <c r="W301" s="37"/>
      <c r="X301" s="37"/>
      <c r="Y301" s="43"/>
      <c r="Z301" s="37"/>
      <c r="AA301" s="37"/>
      <c r="AD301" s="37"/>
      <c r="AE301" s="37"/>
      <c r="AF301" s="37"/>
    </row>
    <row r="302" spans="1:32" x14ac:dyDescent="0.25">
      <c r="A302" s="37"/>
      <c r="B302" s="37"/>
      <c r="C302" s="37"/>
      <c r="F302" s="38"/>
      <c r="G302" s="38"/>
      <c r="H302" s="38"/>
      <c r="I302" s="40"/>
      <c r="J302" s="38"/>
      <c r="K302" s="38"/>
      <c r="L302" s="42"/>
      <c r="M302" s="42"/>
      <c r="N302" s="42"/>
      <c r="O302" s="42"/>
      <c r="R302" s="37"/>
      <c r="S302" s="37"/>
      <c r="T302" s="91"/>
      <c r="U302" s="91"/>
      <c r="V302" s="41"/>
      <c r="W302" s="37"/>
      <c r="X302" s="37"/>
      <c r="Y302" s="43"/>
      <c r="Z302" s="37"/>
      <c r="AA302" s="37"/>
      <c r="AD302" s="37"/>
      <c r="AE302" s="37"/>
      <c r="AF302" s="37"/>
    </row>
    <row r="303" spans="1:32" x14ac:dyDescent="0.25">
      <c r="A303" s="37"/>
      <c r="B303" s="37"/>
      <c r="C303" s="37"/>
      <c r="F303" s="38"/>
      <c r="G303" s="38"/>
      <c r="H303" s="38"/>
      <c r="I303" s="40"/>
      <c r="J303" s="38"/>
      <c r="K303" s="38"/>
      <c r="L303" s="42"/>
      <c r="M303" s="42"/>
      <c r="N303" s="42"/>
      <c r="O303" s="42"/>
      <c r="R303" s="37"/>
      <c r="S303" s="37"/>
      <c r="T303" s="91"/>
      <c r="U303" s="91"/>
      <c r="V303" s="41"/>
      <c r="W303" s="37"/>
      <c r="X303" s="37"/>
      <c r="Y303" s="43"/>
      <c r="Z303" s="37"/>
      <c r="AA303" s="37"/>
      <c r="AD303" s="37"/>
      <c r="AE303" s="37"/>
      <c r="AF303" s="37"/>
    </row>
    <row r="304" spans="1:32" x14ac:dyDescent="0.25">
      <c r="A304" s="37"/>
      <c r="B304" s="37"/>
      <c r="C304" s="37"/>
      <c r="F304" s="38"/>
      <c r="G304" s="38"/>
      <c r="H304" s="38"/>
      <c r="I304" s="40"/>
      <c r="J304" s="38"/>
      <c r="K304" s="38"/>
      <c r="L304" s="42"/>
      <c r="M304" s="42"/>
      <c r="N304" s="42"/>
      <c r="O304" s="42"/>
      <c r="R304" s="37"/>
      <c r="S304" s="37"/>
      <c r="T304" s="91"/>
      <c r="U304" s="91"/>
      <c r="V304" s="41"/>
      <c r="W304" s="37"/>
      <c r="X304" s="37"/>
      <c r="Y304" s="43"/>
      <c r="Z304" s="37"/>
      <c r="AA304" s="37"/>
      <c r="AD304" s="37"/>
      <c r="AE304" s="37"/>
      <c r="AF304" s="37"/>
    </row>
    <row r="305" spans="1:32" x14ac:dyDescent="0.25">
      <c r="A305" s="37"/>
      <c r="B305" s="37"/>
      <c r="C305" s="37"/>
      <c r="F305" s="38"/>
      <c r="G305" s="38"/>
      <c r="H305" s="38"/>
      <c r="I305" s="40"/>
      <c r="J305" s="38"/>
      <c r="K305" s="38"/>
      <c r="L305" s="42"/>
      <c r="M305" s="42"/>
      <c r="N305" s="42"/>
      <c r="O305" s="42"/>
      <c r="R305" s="37"/>
      <c r="S305" s="37"/>
      <c r="T305" s="91"/>
      <c r="U305" s="91"/>
      <c r="V305" s="41"/>
      <c r="W305" s="37"/>
      <c r="X305" s="37"/>
      <c r="Y305" s="43"/>
      <c r="Z305" s="37"/>
      <c r="AA305" s="37"/>
      <c r="AD305" s="37"/>
      <c r="AE305" s="37"/>
      <c r="AF305" s="37"/>
    </row>
    <row r="306" spans="1:32" x14ac:dyDescent="0.25">
      <c r="A306" s="37"/>
      <c r="B306" s="37"/>
      <c r="C306" s="37"/>
      <c r="F306" s="38"/>
      <c r="G306" s="38"/>
      <c r="H306" s="38"/>
      <c r="I306" s="40"/>
      <c r="J306" s="38"/>
      <c r="K306" s="38"/>
      <c r="L306" s="42"/>
      <c r="M306" s="42"/>
      <c r="N306" s="42"/>
      <c r="O306" s="42"/>
      <c r="R306" s="37"/>
      <c r="S306" s="37"/>
      <c r="T306" s="91"/>
      <c r="U306" s="91"/>
      <c r="V306" s="41"/>
      <c r="W306" s="37"/>
      <c r="X306" s="37"/>
      <c r="Y306" s="43"/>
      <c r="Z306" s="37"/>
      <c r="AA306" s="37"/>
      <c r="AD306" s="37"/>
      <c r="AE306" s="37"/>
      <c r="AF306" s="37"/>
    </row>
    <row r="307" spans="1:32" x14ac:dyDescent="0.25">
      <c r="A307" s="37"/>
      <c r="B307" s="37"/>
      <c r="C307" s="37"/>
      <c r="F307" s="38"/>
      <c r="G307" s="38"/>
      <c r="H307" s="38"/>
      <c r="I307" s="40"/>
      <c r="J307" s="38"/>
      <c r="K307" s="38"/>
      <c r="L307" s="42"/>
      <c r="M307" s="42"/>
      <c r="N307" s="42"/>
      <c r="O307" s="42"/>
      <c r="R307" s="37"/>
      <c r="S307" s="37"/>
      <c r="T307" s="91"/>
      <c r="U307" s="91"/>
      <c r="V307" s="41"/>
      <c r="W307" s="37"/>
      <c r="X307" s="37"/>
      <c r="Y307" s="43"/>
      <c r="Z307" s="37"/>
      <c r="AA307" s="37"/>
      <c r="AD307" s="37"/>
      <c r="AE307" s="37"/>
      <c r="AF307" s="37"/>
    </row>
    <row r="308" spans="1:32" x14ac:dyDescent="0.25">
      <c r="A308" s="37"/>
      <c r="B308" s="37"/>
      <c r="C308" s="37"/>
      <c r="F308" s="38"/>
      <c r="G308" s="38"/>
      <c r="H308" s="38"/>
      <c r="I308" s="40"/>
      <c r="J308" s="38"/>
      <c r="K308" s="38"/>
      <c r="L308" s="42"/>
      <c r="M308" s="42"/>
      <c r="N308" s="42"/>
      <c r="O308" s="42"/>
      <c r="R308" s="37"/>
      <c r="S308" s="37"/>
      <c r="T308" s="91"/>
      <c r="U308" s="91"/>
      <c r="V308" s="41"/>
      <c r="W308" s="37"/>
      <c r="X308" s="37"/>
      <c r="Y308" s="43"/>
      <c r="Z308" s="37"/>
      <c r="AA308" s="37"/>
      <c r="AD308" s="37"/>
      <c r="AE308" s="37"/>
      <c r="AF308" s="37"/>
    </row>
    <row r="309" spans="1:32" x14ac:dyDescent="0.25">
      <c r="A309" s="37"/>
      <c r="B309" s="37"/>
      <c r="C309" s="37"/>
      <c r="F309" s="38"/>
      <c r="G309" s="38"/>
      <c r="H309" s="38"/>
      <c r="I309" s="40"/>
      <c r="J309" s="38"/>
      <c r="K309" s="38"/>
      <c r="L309" s="42"/>
      <c r="M309" s="42"/>
      <c r="N309" s="42"/>
      <c r="O309" s="42"/>
      <c r="R309" s="37"/>
      <c r="S309" s="37"/>
      <c r="T309" s="91"/>
      <c r="U309" s="91"/>
      <c r="V309" s="41"/>
      <c r="W309" s="37"/>
      <c r="X309" s="37"/>
      <c r="Y309" s="43"/>
      <c r="Z309" s="37"/>
      <c r="AA309" s="37"/>
      <c r="AD309" s="37"/>
      <c r="AE309" s="37"/>
      <c r="AF309" s="37"/>
    </row>
    <row r="310" spans="1:32" x14ac:dyDescent="0.25">
      <c r="A310" s="37"/>
      <c r="B310" s="37"/>
      <c r="C310" s="37"/>
      <c r="F310" s="38"/>
      <c r="G310" s="38"/>
      <c r="H310" s="38"/>
      <c r="I310" s="40"/>
      <c r="J310" s="38"/>
      <c r="K310" s="38"/>
      <c r="L310" s="42"/>
      <c r="M310" s="42"/>
      <c r="N310" s="42"/>
      <c r="O310" s="42"/>
      <c r="R310" s="37"/>
      <c r="S310" s="37"/>
      <c r="T310" s="91"/>
      <c r="U310" s="91"/>
      <c r="V310" s="41"/>
      <c r="W310" s="37"/>
      <c r="X310" s="37"/>
      <c r="Y310" s="43"/>
      <c r="Z310" s="37"/>
      <c r="AA310" s="37"/>
      <c r="AD310" s="37"/>
      <c r="AE310" s="37"/>
      <c r="AF310" s="37"/>
    </row>
    <row r="311" spans="1:32" x14ac:dyDescent="0.25">
      <c r="A311" s="37"/>
      <c r="B311" s="37"/>
      <c r="C311" s="37"/>
      <c r="F311" s="38"/>
      <c r="G311" s="38"/>
      <c r="H311" s="38"/>
      <c r="I311" s="40"/>
      <c r="J311" s="38"/>
      <c r="K311" s="38"/>
      <c r="L311" s="42"/>
      <c r="M311" s="42"/>
      <c r="N311" s="42"/>
      <c r="O311" s="42"/>
      <c r="R311" s="37"/>
      <c r="S311" s="37"/>
      <c r="T311" s="91"/>
      <c r="U311" s="91"/>
      <c r="V311" s="41"/>
      <c r="W311" s="37"/>
      <c r="X311" s="37"/>
      <c r="Y311" s="43"/>
      <c r="Z311" s="37"/>
      <c r="AA311" s="37"/>
      <c r="AD311" s="37"/>
      <c r="AE311" s="37"/>
      <c r="AF311" s="37"/>
    </row>
    <row r="312" spans="1:32" x14ac:dyDescent="0.25">
      <c r="A312" s="37"/>
      <c r="B312" s="37"/>
      <c r="C312" s="37"/>
      <c r="F312" s="38"/>
      <c r="G312" s="38"/>
      <c r="H312" s="38"/>
      <c r="I312" s="40"/>
      <c r="J312" s="38"/>
      <c r="K312" s="38"/>
      <c r="L312" s="42"/>
      <c r="M312" s="42"/>
      <c r="N312" s="42"/>
      <c r="O312" s="42"/>
      <c r="R312" s="37"/>
      <c r="S312" s="37"/>
      <c r="T312" s="91"/>
      <c r="U312" s="91"/>
      <c r="V312" s="41"/>
      <c r="W312" s="37"/>
      <c r="X312" s="37"/>
      <c r="Y312" s="43"/>
      <c r="Z312" s="37"/>
      <c r="AA312" s="37"/>
      <c r="AD312" s="37"/>
      <c r="AE312" s="37"/>
      <c r="AF312" s="37"/>
    </row>
    <row r="313" spans="1:32" x14ac:dyDescent="0.25">
      <c r="A313" s="37"/>
      <c r="B313" s="37"/>
      <c r="C313" s="37"/>
      <c r="F313" s="38"/>
      <c r="G313" s="38"/>
      <c r="H313" s="38"/>
      <c r="I313" s="40"/>
      <c r="J313" s="38"/>
      <c r="K313" s="38"/>
      <c r="L313" s="42"/>
      <c r="M313" s="42"/>
      <c r="N313" s="42"/>
      <c r="O313" s="42"/>
      <c r="R313" s="37"/>
      <c r="S313" s="37"/>
      <c r="T313" s="91"/>
      <c r="U313" s="91"/>
      <c r="V313" s="41"/>
      <c r="W313" s="37"/>
      <c r="X313" s="37"/>
      <c r="Y313" s="43"/>
      <c r="Z313" s="37"/>
      <c r="AA313" s="37"/>
      <c r="AD313" s="37"/>
      <c r="AE313" s="37"/>
      <c r="AF313" s="37"/>
    </row>
    <row r="314" spans="1:32" x14ac:dyDescent="0.25">
      <c r="A314" s="37"/>
      <c r="B314" s="37"/>
      <c r="C314" s="37"/>
      <c r="F314" s="38"/>
      <c r="G314" s="38"/>
      <c r="H314" s="38"/>
      <c r="I314" s="40"/>
      <c r="J314" s="38"/>
      <c r="K314" s="38"/>
      <c r="L314" s="42"/>
      <c r="M314" s="42"/>
      <c r="N314" s="42"/>
      <c r="O314" s="42"/>
      <c r="R314" s="37"/>
      <c r="S314" s="37"/>
      <c r="T314" s="91"/>
      <c r="U314" s="91"/>
      <c r="V314" s="41"/>
      <c r="W314" s="37"/>
      <c r="X314" s="37"/>
      <c r="Y314" s="43"/>
      <c r="Z314" s="37"/>
      <c r="AA314" s="37"/>
      <c r="AD314" s="37"/>
      <c r="AE314" s="37"/>
      <c r="AF314" s="37"/>
    </row>
    <row r="315" spans="1:32" x14ac:dyDescent="0.25">
      <c r="A315" s="37"/>
      <c r="B315" s="37"/>
      <c r="C315" s="37"/>
      <c r="F315" s="38"/>
      <c r="G315" s="38"/>
      <c r="H315" s="38"/>
      <c r="I315" s="40"/>
      <c r="J315" s="38"/>
      <c r="K315" s="38"/>
      <c r="L315" s="42"/>
      <c r="M315" s="42"/>
      <c r="N315" s="42"/>
      <c r="O315" s="42"/>
      <c r="R315" s="37"/>
      <c r="S315" s="37"/>
      <c r="T315" s="91"/>
      <c r="U315" s="91"/>
      <c r="V315" s="41"/>
      <c r="W315" s="37"/>
      <c r="X315" s="37"/>
      <c r="Y315" s="43"/>
      <c r="Z315" s="37"/>
      <c r="AA315" s="37"/>
      <c r="AD315" s="37"/>
      <c r="AE315" s="37"/>
      <c r="AF315" s="37"/>
    </row>
    <row r="316" spans="1:32" x14ac:dyDescent="0.25">
      <c r="A316" s="37"/>
      <c r="B316" s="37"/>
      <c r="C316" s="37"/>
      <c r="F316" s="38"/>
      <c r="G316" s="38"/>
      <c r="H316" s="38"/>
      <c r="I316" s="40"/>
      <c r="J316" s="38"/>
      <c r="K316" s="38"/>
      <c r="L316" s="42"/>
      <c r="M316" s="42"/>
      <c r="N316" s="42"/>
      <c r="O316" s="42"/>
      <c r="R316" s="37"/>
      <c r="S316" s="37"/>
      <c r="T316" s="91"/>
      <c r="U316" s="91"/>
      <c r="V316" s="41"/>
      <c r="W316" s="37"/>
      <c r="X316" s="37"/>
      <c r="Y316" s="43"/>
      <c r="Z316" s="37"/>
      <c r="AA316" s="37"/>
      <c r="AD316" s="37"/>
      <c r="AE316" s="37"/>
      <c r="AF316" s="37"/>
    </row>
    <row r="317" spans="1:32" x14ac:dyDescent="0.25">
      <c r="A317" s="37"/>
      <c r="B317" s="37"/>
      <c r="C317" s="37"/>
      <c r="F317" s="38"/>
      <c r="G317" s="38"/>
      <c r="H317" s="38"/>
      <c r="I317" s="40"/>
      <c r="J317" s="38"/>
      <c r="K317" s="38"/>
      <c r="L317" s="42"/>
      <c r="M317" s="42"/>
      <c r="N317" s="42"/>
      <c r="O317" s="42"/>
      <c r="R317" s="37"/>
      <c r="S317" s="37"/>
      <c r="T317" s="91"/>
      <c r="U317" s="91"/>
      <c r="V317" s="41"/>
      <c r="W317" s="37"/>
      <c r="X317" s="37"/>
      <c r="Y317" s="43"/>
      <c r="Z317" s="37"/>
      <c r="AA317" s="37"/>
      <c r="AD317" s="37"/>
      <c r="AE317" s="37"/>
      <c r="AF317" s="37"/>
    </row>
    <row r="318" spans="1:32" x14ac:dyDescent="0.25">
      <c r="A318" s="37"/>
      <c r="B318" s="37"/>
      <c r="C318" s="37"/>
      <c r="F318" s="38"/>
      <c r="G318" s="38"/>
      <c r="H318" s="38"/>
      <c r="I318" s="40"/>
      <c r="J318" s="38"/>
      <c r="K318" s="38"/>
      <c r="L318" s="42"/>
      <c r="M318" s="42"/>
      <c r="N318" s="42"/>
      <c r="O318" s="42"/>
      <c r="R318" s="37"/>
      <c r="S318" s="37"/>
      <c r="T318" s="91"/>
      <c r="U318" s="91"/>
      <c r="V318" s="41"/>
      <c r="W318" s="37"/>
      <c r="X318" s="37"/>
      <c r="Y318" s="43"/>
      <c r="Z318" s="37"/>
      <c r="AA318" s="37"/>
      <c r="AD318" s="37"/>
      <c r="AE318" s="37"/>
      <c r="AF318" s="37"/>
    </row>
    <row r="319" spans="1:32" x14ac:dyDescent="0.25">
      <c r="A319" s="37"/>
      <c r="B319" s="37"/>
      <c r="C319" s="37"/>
      <c r="F319" s="38"/>
      <c r="G319" s="38"/>
      <c r="H319" s="38"/>
      <c r="I319" s="40"/>
      <c r="J319" s="38"/>
      <c r="K319" s="38"/>
      <c r="L319" s="42"/>
      <c r="M319" s="42"/>
      <c r="N319" s="42"/>
      <c r="O319" s="42"/>
      <c r="R319" s="37"/>
      <c r="S319" s="37"/>
      <c r="T319" s="91"/>
      <c r="U319" s="91"/>
      <c r="V319" s="41"/>
      <c r="W319" s="37"/>
      <c r="X319" s="37"/>
      <c r="Y319" s="43"/>
      <c r="Z319" s="37"/>
      <c r="AA319" s="37"/>
      <c r="AD319" s="37"/>
      <c r="AE319" s="37"/>
      <c r="AF319" s="37"/>
    </row>
    <row r="320" spans="1:32" x14ac:dyDescent="0.25">
      <c r="A320" s="37"/>
      <c r="B320" s="37"/>
      <c r="C320" s="37"/>
      <c r="F320" s="38"/>
      <c r="G320" s="38"/>
      <c r="H320" s="38"/>
      <c r="I320" s="40"/>
      <c r="J320" s="38"/>
      <c r="K320" s="38"/>
      <c r="L320" s="42"/>
      <c r="M320" s="42"/>
      <c r="N320" s="42"/>
      <c r="O320" s="42"/>
      <c r="R320" s="37"/>
      <c r="S320" s="37"/>
      <c r="T320" s="91"/>
      <c r="U320" s="91"/>
      <c r="V320" s="41"/>
      <c r="W320" s="37"/>
      <c r="X320" s="37"/>
      <c r="Y320" s="43"/>
      <c r="Z320" s="37"/>
      <c r="AA320" s="37"/>
      <c r="AD320" s="37"/>
      <c r="AE320" s="37"/>
      <c r="AF320" s="37"/>
    </row>
    <row r="321" spans="1:32" x14ac:dyDescent="0.25">
      <c r="A321" s="37"/>
      <c r="B321" s="37"/>
      <c r="C321" s="37"/>
      <c r="F321" s="38"/>
      <c r="G321" s="38"/>
      <c r="H321" s="38"/>
      <c r="I321" s="40"/>
      <c r="J321" s="38"/>
      <c r="K321" s="38"/>
      <c r="L321" s="42"/>
      <c r="M321" s="42"/>
      <c r="N321" s="42"/>
      <c r="O321" s="42"/>
      <c r="R321" s="37"/>
      <c r="S321" s="37"/>
      <c r="T321" s="91"/>
      <c r="U321" s="91"/>
      <c r="V321" s="41"/>
      <c r="W321" s="37"/>
      <c r="X321" s="37"/>
      <c r="Y321" s="43"/>
      <c r="Z321" s="37"/>
      <c r="AA321" s="37"/>
      <c r="AD321" s="37"/>
      <c r="AE321" s="37"/>
      <c r="AF321" s="37"/>
    </row>
    <row r="322" spans="1:32" x14ac:dyDescent="0.25">
      <c r="A322" s="37"/>
      <c r="B322" s="37"/>
      <c r="C322" s="37"/>
      <c r="F322" s="38"/>
      <c r="G322" s="38"/>
      <c r="H322" s="38"/>
      <c r="I322" s="40"/>
      <c r="J322" s="38"/>
      <c r="K322" s="38"/>
      <c r="L322" s="42"/>
      <c r="M322" s="42"/>
      <c r="N322" s="42"/>
      <c r="O322" s="42"/>
      <c r="R322" s="37"/>
      <c r="S322" s="37"/>
      <c r="T322" s="91"/>
      <c r="U322" s="91"/>
      <c r="V322" s="41"/>
      <c r="W322" s="37"/>
      <c r="X322" s="37"/>
      <c r="Y322" s="43"/>
      <c r="Z322" s="37"/>
      <c r="AA322" s="37"/>
      <c r="AD322" s="37"/>
      <c r="AE322" s="37"/>
      <c r="AF322" s="37"/>
    </row>
    <row r="323" spans="1:32" x14ac:dyDescent="0.25">
      <c r="A323" s="37"/>
      <c r="B323" s="37"/>
      <c r="C323" s="37"/>
      <c r="F323" s="38"/>
      <c r="G323" s="38"/>
      <c r="H323" s="38"/>
      <c r="I323" s="40"/>
      <c r="J323" s="38"/>
      <c r="K323" s="38"/>
      <c r="L323" s="42"/>
      <c r="M323" s="42"/>
      <c r="N323" s="42"/>
      <c r="O323" s="42"/>
      <c r="R323" s="37"/>
      <c r="S323" s="37"/>
      <c r="T323" s="91"/>
      <c r="U323" s="91"/>
      <c r="V323" s="41"/>
      <c r="W323" s="37"/>
      <c r="X323" s="37"/>
      <c r="Y323" s="43"/>
      <c r="Z323" s="37"/>
      <c r="AA323" s="37"/>
      <c r="AD323" s="37"/>
      <c r="AE323" s="37"/>
      <c r="AF323" s="37"/>
    </row>
    <row r="324" spans="1:32" x14ac:dyDescent="0.25">
      <c r="A324" s="37"/>
      <c r="B324" s="37"/>
      <c r="C324" s="37"/>
      <c r="F324" s="38"/>
      <c r="G324" s="38"/>
      <c r="H324" s="38"/>
      <c r="I324" s="40"/>
      <c r="J324" s="38"/>
      <c r="K324" s="38"/>
      <c r="L324" s="42"/>
      <c r="M324" s="42"/>
      <c r="N324" s="42"/>
      <c r="O324" s="42"/>
      <c r="R324" s="37"/>
      <c r="S324" s="37"/>
      <c r="T324" s="91"/>
      <c r="U324" s="91"/>
      <c r="V324" s="41"/>
      <c r="W324" s="37"/>
      <c r="X324" s="37"/>
      <c r="Y324" s="43"/>
      <c r="Z324" s="37"/>
      <c r="AA324" s="37"/>
      <c r="AD324" s="37"/>
      <c r="AE324" s="37"/>
      <c r="AF324" s="37"/>
    </row>
    <row r="325" spans="1:32" x14ac:dyDescent="0.25">
      <c r="A325" s="37"/>
      <c r="B325" s="37"/>
      <c r="C325" s="37"/>
      <c r="F325" s="38"/>
      <c r="G325" s="38"/>
      <c r="H325" s="38"/>
      <c r="I325" s="40"/>
      <c r="J325" s="38"/>
      <c r="K325" s="38"/>
      <c r="L325" s="42"/>
      <c r="M325" s="42"/>
      <c r="N325" s="42"/>
      <c r="O325" s="42"/>
      <c r="R325" s="37"/>
      <c r="S325" s="37"/>
      <c r="T325" s="91"/>
      <c r="U325" s="91"/>
      <c r="V325" s="41"/>
      <c r="W325" s="37"/>
      <c r="X325" s="37"/>
      <c r="Y325" s="43"/>
      <c r="Z325" s="37"/>
      <c r="AA325" s="37"/>
      <c r="AD325" s="37"/>
      <c r="AE325" s="37"/>
      <c r="AF325" s="37"/>
    </row>
    <row r="326" spans="1:32" x14ac:dyDescent="0.25">
      <c r="A326" s="37"/>
      <c r="B326" s="37"/>
      <c r="C326" s="37"/>
      <c r="F326" s="38"/>
      <c r="G326" s="38"/>
      <c r="H326" s="38"/>
      <c r="I326" s="40"/>
      <c r="J326" s="38"/>
      <c r="K326" s="38"/>
      <c r="L326" s="42"/>
      <c r="M326" s="42"/>
      <c r="N326" s="42"/>
      <c r="O326" s="42"/>
      <c r="R326" s="37"/>
      <c r="S326" s="37"/>
      <c r="T326" s="91"/>
      <c r="U326" s="91"/>
      <c r="V326" s="41"/>
      <c r="W326" s="37"/>
      <c r="X326" s="37"/>
      <c r="Y326" s="43"/>
      <c r="Z326" s="37"/>
      <c r="AA326" s="37"/>
      <c r="AD326" s="37"/>
      <c r="AE326" s="37"/>
      <c r="AF326" s="37"/>
    </row>
    <row r="327" spans="1:32" x14ac:dyDescent="0.25">
      <c r="A327" s="37"/>
      <c r="B327" s="37"/>
      <c r="C327" s="37"/>
      <c r="F327" s="38"/>
      <c r="G327" s="38"/>
      <c r="H327" s="38"/>
      <c r="I327" s="40"/>
      <c r="J327" s="38"/>
      <c r="K327" s="38"/>
      <c r="L327" s="42"/>
      <c r="M327" s="42"/>
      <c r="N327" s="42"/>
      <c r="O327" s="42"/>
      <c r="R327" s="37"/>
      <c r="S327" s="37"/>
      <c r="T327" s="91"/>
      <c r="U327" s="91"/>
      <c r="V327" s="41"/>
      <c r="W327" s="37"/>
      <c r="X327" s="37"/>
      <c r="Y327" s="43"/>
      <c r="Z327" s="37"/>
      <c r="AA327" s="37"/>
      <c r="AD327" s="37"/>
      <c r="AE327" s="37"/>
      <c r="AF327" s="37"/>
    </row>
    <row r="328" spans="1:32" x14ac:dyDescent="0.25">
      <c r="A328" s="37"/>
      <c r="B328" s="37"/>
      <c r="C328" s="37"/>
      <c r="F328" s="38"/>
      <c r="G328" s="38"/>
      <c r="H328" s="38"/>
      <c r="I328" s="40"/>
      <c r="J328" s="38"/>
      <c r="K328" s="38"/>
      <c r="L328" s="42"/>
      <c r="M328" s="42"/>
      <c r="N328" s="42"/>
      <c r="O328" s="42"/>
      <c r="R328" s="37"/>
      <c r="S328" s="37"/>
      <c r="T328" s="91"/>
      <c r="U328" s="91"/>
      <c r="V328" s="41"/>
      <c r="W328" s="37"/>
      <c r="X328" s="37"/>
      <c r="Y328" s="43"/>
      <c r="Z328" s="37"/>
      <c r="AA328" s="37"/>
      <c r="AD328" s="37"/>
      <c r="AE328" s="37"/>
      <c r="AF328" s="37"/>
    </row>
    <row r="329" spans="1:32" x14ac:dyDescent="0.25">
      <c r="A329" s="37"/>
      <c r="B329" s="37"/>
      <c r="C329" s="37"/>
      <c r="F329" s="38"/>
      <c r="G329" s="38"/>
      <c r="H329" s="38"/>
      <c r="I329" s="40"/>
      <c r="J329" s="38"/>
      <c r="K329" s="38"/>
      <c r="L329" s="42"/>
      <c r="M329" s="42"/>
      <c r="N329" s="42"/>
      <c r="O329" s="42"/>
      <c r="R329" s="37"/>
      <c r="S329" s="37"/>
      <c r="T329" s="91"/>
      <c r="U329" s="91"/>
      <c r="V329" s="41"/>
      <c r="W329" s="37"/>
      <c r="X329" s="37"/>
      <c r="Y329" s="43"/>
      <c r="Z329" s="37"/>
      <c r="AA329" s="37"/>
      <c r="AD329" s="37"/>
      <c r="AE329" s="37"/>
      <c r="AF329" s="37"/>
    </row>
    <row r="330" spans="1:32" x14ac:dyDescent="0.25">
      <c r="A330" s="37"/>
      <c r="B330" s="37"/>
      <c r="C330" s="37"/>
      <c r="F330" s="38"/>
      <c r="G330" s="38"/>
      <c r="H330" s="38"/>
      <c r="I330" s="40"/>
      <c r="J330" s="38"/>
      <c r="K330" s="38"/>
      <c r="L330" s="42"/>
      <c r="M330" s="42"/>
      <c r="N330" s="42"/>
      <c r="O330" s="42"/>
      <c r="R330" s="37"/>
      <c r="S330" s="37"/>
      <c r="T330" s="91"/>
      <c r="U330" s="91"/>
      <c r="V330" s="41"/>
      <c r="W330" s="37"/>
      <c r="X330" s="37"/>
      <c r="Y330" s="43"/>
      <c r="Z330" s="37"/>
      <c r="AA330" s="37"/>
      <c r="AD330" s="37"/>
      <c r="AE330" s="37"/>
      <c r="AF330" s="37"/>
    </row>
    <row r="331" spans="1:32" x14ac:dyDescent="0.25">
      <c r="A331" s="37"/>
      <c r="B331" s="37"/>
      <c r="C331" s="37"/>
      <c r="F331" s="38"/>
      <c r="G331" s="38"/>
      <c r="H331" s="38"/>
      <c r="I331" s="40"/>
      <c r="J331" s="38"/>
      <c r="K331" s="38"/>
      <c r="L331" s="42"/>
      <c r="M331" s="42"/>
      <c r="N331" s="42"/>
      <c r="O331" s="42"/>
      <c r="R331" s="37"/>
      <c r="S331" s="37"/>
      <c r="T331" s="91"/>
      <c r="U331" s="91"/>
      <c r="V331" s="41"/>
      <c r="W331" s="37"/>
      <c r="X331" s="37"/>
      <c r="Y331" s="43"/>
      <c r="Z331" s="37"/>
      <c r="AA331" s="37"/>
      <c r="AD331" s="37"/>
      <c r="AE331" s="37"/>
      <c r="AF331" s="37"/>
    </row>
    <row r="332" spans="1:32" x14ac:dyDescent="0.25">
      <c r="A332" s="37"/>
      <c r="B332" s="37"/>
      <c r="C332" s="37"/>
      <c r="F332" s="38"/>
      <c r="G332" s="38"/>
      <c r="H332" s="38"/>
      <c r="I332" s="40"/>
      <c r="J332" s="38"/>
      <c r="K332" s="38"/>
      <c r="L332" s="42"/>
      <c r="M332" s="42"/>
      <c r="N332" s="42"/>
      <c r="O332" s="42"/>
      <c r="R332" s="37"/>
      <c r="S332" s="37"/>
      <c r="T332" s="91"/>
      <c r="U332" s="91"/>
      <c r="V332" s="41"/>
      <c r="W332" s="37"/>
      <c r="X332" s="37"/>
      <c r="Y332" s="43"/>
      <c r="Z332" s="37"/>
      <c r="AA332" s="37"/>
      <c r="AD332" s="37"/>
      <c r="AE332" s="37"/>
      <c r="AF332" s="37"/>
    </row>
    <row r="333" spans="1:32" x14ac:dyDescent="0.25">
      <c r="A333" s="37"/>
      <c r="B333" s="37"/>
      <c r="C333" s="37"/>
      <c r="F333" s="38"/>
      <c r="G333" s="38"/>
      <c r="H333" s="38"/>
      <c r="I333" s="40"/>
      <c r="J333" s="38"/>
      <c r="K333" s="38"/>
      <c r="L333" s="42"/>
      <c r="M333" s="42"/>
      <c r="N333" s="42"/>
      <c r="O333" s="42"/>
      <c r="R333" s="37"/>
      <c r="S333" s="37"/>
      <c r="T333" s="91"/>
      <c r="U333" s="91"/>
      <c r="V333" s="41"/>
      <c r="W333" s="37"/>
      <c r="X333" s="37"/>
      <c r="Y333" s="43"/>
      <c r="Z333" s="37"/>
      <c r="AA333" s="37"/>
      <c r="AD333" s="37"/>
      <c r="AE333" s="37"/>
      <c r="AF333" s="37"/>
    </row>
    <row r="334" spans="1:32" x14ac:dyDescent="0.25">
      <c r="A334" s="37"/>
      <c r="B334" s="37"/>
      <c r="C334" s="37"/>
      <c r="F334" s="38"/>
      <c r="G334" s="38"/>
      <c r="H334" s="38"/>
      <c r="I334" s="40"/>
      <c r="J334" s="38"/>
      <c r="K334" s="38"/>
      <c r="L334" s="42"/>
      <c r="M334" s="42"/>
      <c r="N334" s="42"/>
      <c r="O334" s="42"/>
      <c r="R334" s="37"/>
      <c r="S334" s="37"/>
      <c r="T334" s="91"/>
      <c r="U334" s="91"/>
      <c r="V334" s="41"/>
      <c r="W334" s="37"/>
      <c r="X334" s="37"/>
      <c r="Y334" s="43"/>
      <c r="Z334" s="37"/>
      <c r="AA334" s="37"/>
      <c r="AD334" s="37"/>
      <c r="AE334" s="37"/>
      <c r="AF334" s="37"/>
    </row>
    <row r="335" spans="1:32" x14ac:dyDescent="0.25">
      <c r="A335" s="37"/>
      <c r="B335" s="37"/>
      <c r="C335" s="37"/>
      <c r="F335" s="38"/>
      <c r="G335" s="38"/>
      <c r="H335" s="38"/>
      <c r="I335" s="40"/>
      <c r="J335" s="38"/>
      <c r="K335" s="38"/>
      <c r="L335" s="42"/>
      <c r="M335" s="42"/>
      <c r="N335" s="42"/>
      <c r="O335" s="42"/>
      <c r="R335" s="37"/>
      <c r="S335" s="37"/>
      <c r="T335" s="91"/>
      <c r="U335" s="91"/>
      <c r="V335" s="41"/>
      <c r="W335" s="37"/>
      <c r="X335" s="37"/>
      <c r="Y335" s="43"/>
      <c r="Z335" s="37"/>
      <c r="AA335" s="37"/>
      <c r="AD335" s="37"/>
      <c r="AE335" s="37"/>
      <c r="AF335" s="37"/>
    </row>
    <row r="336" spans="1:32" x14ac:dyDescent="0.25">
      <c r="A336" s="37"/>
      <c r="B336" s="37"/>
      <c r="C336" s="37"/>
      <c r="F336" s="38"/>
      <c r="G336" s="38"/>
      <c r="H336" s="38"/>
      <c r="I336" s="40"/>
      <c r="J336" s="38"/>
      <c r="K336" s="38"/>
      <c r="L336" s="42"/>
      <c r="M336" s="42"/>
      <c r="N336" s="42"/>
      <c r="O336" s="42"/>
      <c r="R336" s="37"/>
      <c r="S336" s="37"/>
      <c r="T336" s="91"/>
      <c r="U336" s="91"/>
      <c r="V336" s="41"/>
      <c r="W336" s="37"/>
      <c r="X336" s="37"/>
      <c r="Y336" s="43"/>
      <c r="Z336" s="37"/>
      <c r="AA336" s="37"/>
      <c r="AD336" s="37"/>
      <c r="AE336" s="37"/>
      <c r="AF336" s="37"/>
    </row>
    <row r="337" spans="1:32" x14ac:dyDescent="0.25">
      <c r="A337" s="37"/>
      <c r="B337" s="37"/>
      <c r="C337" s="37"/>
      <c r="F337" s="38"/>
      <c r="G337" s="38"/>
      <c r="H337" s="38"/>
      <c r="I337" s="40"/>
      <c r="J337" s="38"/>
      <c r="K337" s="38"/>
      <c r="L337" s="42"/>
      <c r="M337" s="42"/>
      <c r="N337" s="42"/>
      <c r="O337" s="42"/>
      <c r="R337" s="37"/>
      <c r="S337" s="37"/>
      <c r="T337" s="91"/>
      <c r="U337" s="91"/>
      <c r="V337" s="41"/>
      <c r="W337" s="37"/>
      <c r="X337" s="37"/>
      <c r="Y337" s="43"/>
      <c r="Z337" s="37"/>
      <c r="AA337" s="37"/>
      <c r="AD337" s="37"/>
      <c r="AE337" s="37"/>
      <c r="AF337" s="37"/>
    </row>
    <row r="338" spans="1:32" x14ac:dyDescent="0.25">
      <c r="A338" s="37"/>
      <c r="B338" s="37"/>
      <c r="C338" s="37"/>
      <c r="F338" s="38"/>
      <c r="G338" s="38"/>
      <c r="H338" s="38"/>
      <c r="I338" s="40"/>
      <c r="J338" s="38"/>
      <c r="K338" s="38"/>
      <c r="L338" s="42"/>
      <c r="M338" s="42"/>
      <c r="N338" s="42"/>
      <c r="O338" s="42"/>
      <c r="R338" s="37"/>
      <c r="S338" s="37"/>
      <c r="T338" s="91"/>
      <c r="U338" s="91"/>
      <c r="V338" s="41"/>
      <c r="W338" s="37"/>
      <c r="X338" s="37"/>
      <c r="Y338" s="43"/>
      <c r="Z338" s="37"/>
      <c r="AA338" s="37"/>
      <c r="AD338" s="37"/>
      <c r="AE338" s="37"/>
      <c r="AF338" s="37"/>
    </row>
    <row r="339" spans="1:32" x14ac:dyDescent="0.25">
      <c r="A339" s="37"/>
      <c r="B339" s="37"/>
      <c r="C339" s="37"/>
      <c r="F339" s="38"/>
      <c r="G339" s="38"/>
      <c r="H339" s="38"/>
      <c r="I339" s="40"/>
      <c r="J339" s="38"/>
      <c r="K339" s="38"/>
      <c r="L339" s="42"/>
      <c r="M339" s="42"/>
      <c r="N339" s="42"/>
      <c r="O339" s="42"/>
      <c r="R339" s="37"/>
      <c r="S339" s="37"/>
      <c r="T339" s="91"/>
      <c r="U339" s="91"/>
      <c r="V339" s="41"/>
      <c r="W339" s="37"/>
      <c r="X339" s="37"/>
      <c r="Y339" s="43"/>
      <c r="Z339" s="37"/>
      <c r="AA339" s="37"/>
      <c r="AD339" s="37"/>
      <c r="AE339" s="37"/>
      <c r="AF339" s="37"/>
    </row>
    <row r="340" spans="1:32" x14ac:dyDescent="0.25">
      <c r="A340" s="37"/>
      <c r="B340" s="37"/>
      <c r="C340" s="37"/>
      <c r="F340" s="38"/>
      <c r="G340" s="38"/>
      <c r="H340" s="38"/>
      <c r="I340" s="40"/>
      <c r="J340" s="38"/>
      <c r="K340" s="38"/>
      <c r="L340" s="42"/>
      <c r="M340" s="42"/>
      <c r="N340" s="42"/>
      <c r="O340" s="42"/>
      <c r="R340" s="37"/>
      <c r="S340" s="37"/>
      <c r="T340" s="91"/>
      <c r="U340" s="91"/>
      <c r="V340" s="41"/>
      <c r="W340" s="37"/>
      <c r="X340" s="37"/>
      <c r="Y340" s="43"/>
      <c r="Z340" s="37"/>
      <c r="AA340" s="37"/>
      <c r="AD340" s="37"/>
      <c r="AE340" s="37"/>
      <c r="AF340" s="37"/>
    </row>
    <row r="341" spans="1:32" x14ac:dyDescent="0.25">
      <c r="A341" s="37"/>
      <c r="B341" s="37"/>
      <c r="C341" s="37"/>
      <c r="F341" s="38"/>
      <c r="G341" s="38"/>
      <c r="H341" s="38"/>
      <c r="I341" s="40"/>
      <c r="J341" s="38"/>
      <c r="K341" s="38"/>
      <c r="L341" s="42"/>
      <c r="M341" s="42"/>
      <c r="N341" s="42"/>
      <c r="O341" s="42"/>
      <c r="R341" s="37"/>
      <c r="S341" s="37"/>
      <c r="T341" s="91"/>
      <c r="U341" s="91"/>
      <c r="V341" s="41"/>
      <c r="W341" s="37"/>
      <c r="X341" s="37"/>
      <c r="Y341" s="43"/>
      <c r="Z341" s="37"/>
      <c r="AA341" s="37"/>
      <c r="AD341" s="37"/>
      <c r="AE341" s="37"/>
      <c r="AF341" s="37"/>
    </row>
    <row r="342" spans="1:32" x14ac:dyDescent="0.25">
      <c r="A342" s="37"/>
      <c r="B342" s="37"/>
      <c r="C342" s="37"/>
      <c r="F342" s="38"/>
      <c r="G342" s="38"/>
      <c r="H342" s="38"/>
      <c r="I342" s="40"/>
      <c r="J342" s="38"/>
      <c r="K342" s="38"/>
      <c r="L342" s="42"/>
      <c r="M342" s="42"/>
      <c r="N342" s="42"/>
      <c r="O342" s="42"/>
      <c r="R342" s="37"/>
      <c r="S342" s="37"/>
      <c r="T342" s="91"/>
      <c r="U342" s="91"/>
      <c r="V342" s="41"/>
      <c r="W342" s="37"/>
      <c r="X342" s="37"/>
      <c r="Y342" s="43"/>
      <c r="Z342" s="37"/>
      <c r="AA342" s="37"/>
      <c r="AD342" s="37"/>
      <c r="AE342" s="37"/>
      <c r="AF342" s="37"/>
    </row>
    <row r="343" spans="1:32" x14ac:dyDescent="0.25">
      <c r="A343" s="37"/>
      <c r="B343" s="37"/>
      <c r="C343" s="37"/>
      <c r="F343" s="38"/>
      <c r="G343" s="38"/>
      <c r="H343" s="38"/>
      <c r="I343" s="40"/>
      <c r="J343" s="38"/>
      <c r="K343" s="38"/>
      <c r="L343" s="42"/>
      <c r="M343" s="42"/>
      <c r="N343" s="42"/>
      <c r="O343" s="42"/>
      <c r="R343" s="37"/>
      <c r="S343" s="37"/>
      <c r="T343" s="91"/>
      <c r="U343" s="91"/>
      <c r="V343" s="41"/>
      <c r="W343" s="37"/>
      <c r="X343" s="37"/>
      <c r="Y343" s="43"/>
      <c r="Z343" s="37"/>
      <c r="AA343" s="37"/>
      <c r="AD343" s="37"/>
      <c r="AE343" s="37"/>
      <c r="AF343" s="37"/>
    </row>
    <row r="344" spans="1:32" x14ac:dyDescent="0.25">
      <c r="A344" s="37"/>
      <c r="B344" s="37"/>
      <c r="C344" s="37"/>
      <c r="F344" s="38"/>
      <c r="G344" s="38"/>
      <c r="H344" s="38"/>
      <c r="I344" s="40"/>
      <c r="J344" s="38"/>
      <c r="K344" s="38"/>
      <c r="L344" s="42"/>
      <c r="M344" s="42"/>
      <c r="N344" s="42"/>
      <c r="O344" s="42"/>
      <c r="R344" s="37"/>
      <c r="S344" s="37"/>
      <c r="T344" s="91"/>
      <c r="U344" s="91"/>
      <c r="V344" s="41"/>
      <c r="W344" s="37"/>
      <c r="X344" s="37"/>
      <c r="Y344" s="43"/>
      <c r="Z344" s="37"/>
      <c r="AA344" s="37"/>
      <c r="AD344" s="37"/>
      <c r="AE344" s="37"/>
      <c r="AF344" s="37"/>
    </row>
    <row r="345" spans="1:32" x14ac:dyDescent="0.25">
      <c r="A345" s="37"/>
      <c r="B345" s="37"/>
      <c r="C345" s="37"/>
      <c r="F345" s="38"/>
      <c r="G345" s="38"/>
      <c r="H345" s="38"/>
      <c r="I345" s="40"/>
      <c r="J345" s="38"/>
      <c r="K345" s="38"/>
      <c r="L345" s="42"/>
      <c r="M345" s="42"/>
      <c r="N345" s="42"/>
      <c r="O345" s="42"/>
      <c r="R345" s="37"/>
      <c r="S345" s="37"/>
      <c r="T345" s="91"/>
      <c r="U345" s="91"/>
      <c r="V345" s="41"/>
      <c r="W345" s="37"/>
      <c r="X345" s="37"/>
      <c r="Y345" s="43"/>
      <c r="Z345" s="37"/>
      <c r="AA345" s="37"/>
      <c r="AD345" s="37"/>
      <c r="AE345" s="37"/>
      <c r="AF345" s="37"/>
    </row>
    <row r="346" spans="1:32" x14ac:dyDescent="0.25">
      <c r="A346" s="37"/>
      <c r="B346" s="37"/>
      <c r="C346" s="37"/>
      <c r="F346" s="38"/>
      <c r="G346" s="38"/>
      <c r="H346" s="38"/>
      <c r="I346" s="40"/>
      <c r="J346" s="38"/>
      <c r="K346" s="38"/>
      <c r="L346" s="42"/>
      <c r="M346" s="42"/>
      <c r="N346" s="42"/>
      <c r="O346" s="42"/>
      <c r="R346" s="37"/>
      <c r="S346" s="37"/>
      <c r="T346" s="91"/>
      <c r="U346" s="91"/>
      <c r="V346" s="41"/>
      <c r="W346" s="37"/>
      <c r="X346" s="37"/>
      <c r="Y346" s="43"/>
      <c r="Z346" s="37"/>
      <c r="AA346" s="37"/>
      <c r="AD346" s="37"/>
      <c r="AE346" s="37"/>
      <c r="AF346" s="37"/>
    </row>
    <row r="347" spans="1:32" x14ac:dyDescent="0.25">
      <c r="A347" s="37"/>
      <c r="B347" s="37"/>
      <c r="C347" s="37"/>
      <c r="F347" s="38"/>
      <c r="G347" s="38"/>
      <c r="H347" s="38"/>
      <c r="I347" s="40"/>
      <c r="J347" s="38"/>
      <c r="K347" s="38"/>
      <c r="L347" s="42"/>
      <c r="M347" s="42"/>
      <c r="N347" s="42"/>
      <c r="O347" s="42"/>
      <c r="R347" s="37"/>
      <c r="S347" s="37"/>
      <c r="T347" s="91"/>
      <c r="U347" s="91"/>
      <c r="V347" s="41"/>
      <c r="W347" s="37"/>
      <c r="X347" s="37"/>
      <c r="Y347" s="43"/>
      <c r="Z347" s="37"/>
      <c r="AA347" s="37"/>
      <c r="AD347" s="37"/>
      <c r="AE347" s="37"/>
      <c r="AF347" s="37"/>
    </row>
    <row r="348" spans="1:32" x14ac:dyDescent="0.25">
      <c r="A348" s="37"/>
      <c r="B348" s="37"/>
      <c r="C348" s="37"/>
      <c r="F348" s="38"/>
      <c r="G348" s="38"/>
      <c r="H348" s="38"/>
      <c r="I348" s="40"/>
      <c r="J348" s="38"/>
      <c r="K348" s="38"/>
      <c r="L348" s="42"/>
      <c r="M348" s="42"/>
      <c r="N348" s="42"/>
      <c r="O348" s="42"/>
      <c r="R348" s="37"/>
      <c r="S348" s="37"/>
      <c r="T348" s="91"/>
      <c r="U348" s="91"/>
      <c r="V348" s="41"/>
      <c r="W348" s="37"/>
      <c r="X348" s="37"/>
      <c r="Y348" s="43"/>
      <c r="Z348" s="37"/>
      <c r="AA348" s="37"/>
      <c r="AD348" s="37"/>
      <c r="AE348" s="37"/>
      <c r="AF348" s="37"/>
    </row>
    <row r="349" spans="1:32" x14ac:dyDescent="0.25">
      <c r="A349" s="37"/>
      <c r="B349" s="37"/>
      <c r="C349" s="37"/>
      <c r="F349" s="38"/>
      <c r="G349" s="38"/>
      <c r="H349" s="38"/>
      <c r="I349" s="40"/>
      <c r="J349" s="38"/>
      <c r="K349" s="38"/>
      <c r="L349" s="42"/>
      <c r="M349" s="42"/>
      <c r="N349" s="42"/>
      <c r="O349" s="42"/>
      <c r="R349" s="37"/>
      <c r="S349" s="37"/>
      <c r="T349" s="91"/>
      <c r="U349" s="91"/>
      <c r="V349" s="41"/>
      <c r="W349" s="37"/>
      <c r="X349" s="37"/>
      <c r="Y349" s="43"/>
      <c r="Z349" s="37"/>
      <c r="AA349" s="37"/>
      <c r="AD349" s="37"/>
      <c r="AE349" s="37"/>
      <c r="AF349" s="37"/>
    </row>
    <row r="350" spans="1:32" x14ac:dyDescent="0.25">
      <c r="A350" s="37"/>
      <c r="B350" s="37"/>
      <c r="C350" s="37"/>
      <c r="F350" s="38"/>
      <c r="G350" s="38"/>
      <c r="H350" s="38"/>
      <c r="I350" s="40"/>
      <c r="J350" s="38"/>
      <c r="K350" s="38"/>
      <c r="L350" s="42"/>
      <c r="M350" s="42"/>
      <c r="N350" s="42"/>
      <c r="O350" s="42"/>
      <c r="R350" s="37"/>
      <c r="S350" s="37"/>
      <c r="T350" s="91"/>
      <c r="U350" s="91"/>
      <c r="V350" s="41"/>
      <c r="W350" s="37"/>
      <c r="X350" s="37"/>
      <c r="Y350" s="43"/>
      <c r="Z350" s="37"/>
      <c r="AA350" s="37"/>
      <c r="AD350" s="37"/>
      <c r="AE350" s="37"/>
      <c r="AF350" s="37"/>
    </row>
    <row r="351" spans="1:32" x14ac:dyDescent="0.25">
      <c r="A351" s="37"/>
      <c r="B351" s="37"/>
      <c r="C351" s="37"/>
      <c r="F351" s="38"/>
      <c r="G351" s="38"/>
      <c r="H351" s="38"/>
      <c r="I351" s="40"/>
      <c r="J351" s="38"/>
      <c r="K351" s="38"/>
      <c r="L351" s="42"/>
      <c r="M351" s="42"/>
      <c r="N351" s="42"/>
      <c r="O351" s="42"/>
      <c r="R351" s="37"/>
      <c r="S351" s="37"/>
      <c r="T351" s="91"/>
      <c r="U351" s="91"/>
      <c r="V351" s="41"/>
      <c r="W351" s="37"/>
      <c r="X351" s="37"/>
      <c r="Y351" s="43"/>
      <c r="Z351" s="37"/>
      <c r="AA351" s="37"/>
      <c r="AD351" s="37"/>
      <c r="AE351" s="37"/>
      <c r="AF351" s="37"/>
    </row>
    <row r="352" spans="1:32" x14ac:dyDescent="0.25">
      <c r="A352" s="37"/>
      <c r="B352" s="37"/>
      <c r="C352" s="37"/>
      <c r="F352" s="38"/>
      <c r="G352" s="38"/>
      <c r="H352" s="38"/>
      <c r="I352" s="40"/>
      <c r="J352" s="38"/>
      <c r="K352" s="38"/>
      <c r="L352" s="42"/>
      <c r="M352" s="42"/>
      <c r="N352" s="42"/>
      <c r="O352" s="42"/>
      <c r="R352" s="37"/>
      <c r="S352" s="37"/>
      <c r="T352" s="91"/>
      <c r="U352" s="91"/>
      <c r="V352" s="41"/>
      <c r="W352" s="37"/>
      <c r="X352" s="37"/>
      <c r="Y352" s="43"/>
      <c r="Z352" s="37"/>
      <c r="AA352" s="37"/>
      <c r="AD352" s="37"/>
      <c r="AE352" s="37"/>
      <c r="AF352" s="37"/>
    </row>
    <row r="353" spans="1:32" x14ac:dyDescent="0.25">
      <c r="A353" s="37"/>
      <c r="B353" s="37"/>
      <c r="C353" s="37"/>
      <c r="F353" s="38"/>
      <c r="G353" s="38"/>
      <c r="H353" s="38"/>
      <c r="I353" s="40"/>
      <c r="J353" s="38"/>
      <c r="K353" s="38"/>
      <c r="L353" s="42"/>
      <c r="M353" s="42"/>
      <c r="N353" s="42"/>
      <c r="O353" s="42"/>
      <c r="R353" s="37"/>
      <c r="S353" s="37"/>
      <c r="T353" s="91"/>
      <c r="U353" s="91"/>
      <c r="V353" s="41"/>
      <c r="W353" s="37"/>
      <c r="X353" s="37"/>
      <c r="Y353" s="43"/>
      <c r="Z353" s="37"/>
      <c r="AA353" s="37"/>
      <c r="AD353" s="37"/>
      <c r="AE353" s="37"/>
      <c r="AF353" s="37"/>
    </row>
    <row r="354" spans="1:32" x14ac:dyDescent="0.25">
      <c r="A354" s="37"/>
      <c r="B354" s="37"/>
      <c r="C354" s="37"/>
      <c r="F354" s="38"/>
      <c r="G354" s="38"/>
      <c r="H354" s="38"/>
      <c r="I354" s="40"/>
      <c r="J354" s="38"/>
      <c r="K354" s="38"/>
      <c r="L354" s="42"/>
      <c r="M354" s="42"/>
      <c r="N354" s="42"/>
      <c r="O354" s="42"/>
      <c r="R354" s="37"/>
      <c r="S354" s="37"/>
      <c r="T354" s="91"/>
      <c r="U354" s="91"/>
      <c r="V354" s="41"/>
      <c r="W354" s="37"/>
      <c r="X354" s="37"/>
      <c r="Y354" s="43"/>
      <c r="Z354" s="37"/>
      <c r="AA354" s="37"/>
      <c r="AD354" s="37"/>
      <c r="AE354" s="37"/>
      <c r="AF354" s="37"/>
    </row>
    <row r="355" spans="1:32" x14ac:dyDescent="0.25">
      <c r="A355" s="37"/>
      <c r="B355" s="37"/>
      <c r="C355" s="37"/>
      <c r="F355" s="38"/>
      <c r="G355" s="38"/>
      <c r="H355" s="38"/>
      <c r="I355" s="40"/>
      <c r="J355" s="38"/>
      <c r="K355" s="38"/>
      <c r="L355" s="42"/>
      <c r="M355" s="42"/>
      <c r="N355" s="42"/>
      <c r="O355" s="42"/>
      <c r="R355" s="37"/>
      <c r="S355" s="37"/>
      <c r="T355" s="91"/>
      <c r="U355" s="91"/>
      <c r="V355" s="41"/>
      <c r="W355" s="37"/>
      <c r="X355" s="37"/>
      <c r="Y355" s="43"/>
      <c r="Z355" s="37"/>
      <c r="AA355" s="37"/>
      <c r="AD355" s="37"/>
      <c r="AE355" s="37"/>
      <c r="AF355" s="37"/>
    </row>
    <row r="356" spans="1:32" x14ac:dyDescent="0.25">
      <c r="A356" s="37"/>
      <c r="B356" s="37"/>
      <c r="C356" s="37"/>
      <c r="F356" s="38"/>
      <c r="G356" s="38"/>
      <c r="H356" s="38"/>
      <c r="I356" s="40"/>
      <c r="J356" s="38"/>
      <c r="K356" s="38"/>
      <c r="L356" s="42"/>
      <c r="M356" s="42"/>
      <c r="N356" s="42"/>
      <c r="O356" s="42"/>
      <c r="R356" s="37"/>
      <c r="S356" s="37"/>
      <c r="T356" s="91"/>
      <c r="U356" s="91"/>
      <c r="V356" s="41"/>
      <c r="W356" s="37"/>
      <c r="X356" s="37"/>
      <c r="Y356" s="43"/>
      <c r="Z356" s="37"/>
      <c r="AA356" s="37"/>
      <c r="AD356" s="37"/>
      <c r="AE356" s="37"/>
      <c r="AF356" s="37"/>
    </row>
    <row r="357" spans="1:32" x14ac:dyDescent="0.25">
      <c r="A357" s="37"/>
      <c r="B357" s="37"/>
      <c r="C357" s="37"/>
      <c r="F357" s="38"/>
      <c r="G357" s="38"/>
      <c r="H357" s="38"/>
      <c r="I357" s="40"/>
      <c r="J357" s="38"/>
      <c r="K357" s="38"/>
      <c r="L357" s="42"/>
      <c r="M357" s="42"/>
      <c r="N357" s="42"/>
      <c r="O357" s="42"/>
      <c r="R357" s="37"/>
      <c r="S357" s="37"/>
      <c r="T357" s="91"/>
      <c r="U357" s="91"/>
      <c r="V357" s="41"/>
      <c r="W357" s="37"/>
      <c r="X357" s="37"/>
      <c r="Y357" s="43"/>
      <c r="Z357" s="37"/>
      <c r="AA357" s="37"/>
      <c r="AD357" s="37"/>
      <c r="AE357" s="37"/>
      <c r="AF357" s="37"/>
    </row>
    <row r="358" spans="1:32" x14ac:dyDescent="0.25">
      <c r="A358" s="37"/>
      <c r="B358" s="37"/>
      <c r="C358" s="37"/>
      <c r="F358" s="38"/>
      <c r="G358" s="38"/>
      <c r="H358" s="38"/>
      <c r="I358" s="40"/>
      <c r="J358" s="38"/>
      <c r="K358" s="38"/>
      <c r="L358" s="42"/>
      <c r="M358" s="42"/>
      <c r="N358" s="42"/>
      <c r="O358" s="42"/>
      <c r="R358" s="37"/>
      <c r="S358" s="37"/>
      <c r="T358" s="91"/>
      <c r="U358" s="91"/>
      <c r="V358" s="41"/>
      <c r="W358" s="37"/>
      <c r="X358" s="37"/>
      <c r="Y358" s="43"/>
      <c r="Z358" s="37"/>
      <c r="AA358" s="37"/>
      <c r="AD358" s="37"/>
      <c r="AE358" s="37"/>
      <c r="AF358" s="37"/>
    </row>
    <row r="359" spans="1:32" x14ac:dyDescent="0.25">
      <c r="A359" s="37"/>
      <c r="B359" s="37"/>
      <c r="C359" s="37"/>
      <c r="F359" s="38"/>
      <c r="G359" s="38"/>
      <c r="H359" s="38"/>
      <c r="I359" s="40"/>
      <c r="J359" s="38"/>
      <c r="K359" s="38"/>
      <c r="L359" s="42"/>
      <c r="M359" s="42"/>
      <c r="N359" s="42"/>
      <c r="O359" s="42"/>
      <c r="R359" s="37"/>
      <c r="S359" s="37"/>
      <c r="T359" s="91"/>
      <c r="U359" s="91"/>
      <c r="V359" s="41"/>
      <c r="W359" s="37"/>
      <c r="X359" s="37"/>
      <c r="Y359" s="43"/>
      <c r="Z359" s="37"/>
      <c r="AA359" s="37"/>
      <c r="AD359" s="37"/>
      <c r="AE359" s="37"/>
      <c r="AF359" s="37"/>
    </row>
    <row r="360" spans="1:32" x14ac:dyDescent="0.25">
      <c r="A360" s="37"/>
      <c r="B360" s="37"/>
      <c r="C360" s="37"/>
      <c r="F360" s="38"/>
      <c r="G360" s="38"/>
      <c r="H360" s="38"/>
      <c r="I360" s="40"/>
      <c r="J360" s="38"/>
      <c r="K360" s="38"/>
      <c r="L360" s="42"/>
      <c r="M360" s="42"/>
      <c r="N360" s="42"/>
      <c r="O360" s="42"/>
      <c r="R360" s="37"/>
      <c r="S360" s="37"/>
      <c r="T360" s="91"/>
      <c r="U360" s="91"/>
      <c r="V360" s="41"/>
      <c r="W360" s="37"/>
      <c r="X360" s="37"/>
      <c r="Y360" s="43"/>
      <c r="Z360" s="37"/>
      <c r="AA360" s="37"/>
      <c r="AD360" s="37"/>
      <c r="AE360" s="37"/>
      <c r="AF360" s="37"/>
    </row>
    <row r="361" spans="1:32" x14ac:dyDescent="0.25">
      <c r="A361" s="37"/>
      <c r="B361" s="37"/>
      <c r="C361" s="37"/>
      <c r="F361" s="38"/>
      <c r="G361" s="38"/>
      <c r="H361" s="38"/>
      <c r="I361" s="40"/>
      <c r="J361" s="38"/>
      <c r="K361" s="38"/>
      <c r="L361" s="42"/>
      <c r="M361" s="42"/>
      <c r="N361" s="42"/>
      <c r="O361" s="42"/>
      <c r="R361" s="37"/>
      <c r="S361" s="37"/>
      <c r="T361" s="91"/>
      <c r="U361" s="91"/>
      <c r="V361" s="41"/>
      <c r="W361" s="37"/>
      <c r="X361" s="37"/>
      <c r="Y361" s="43"/>
      <c r="Z361" s="37"/>
      <c r="AA361" s="37"/>
      <c r="AD361" s="37"/>
      <c r="AE361" s="37"/>
      <c r="AF361" s="37"/>
    </row>
    <row r="362" spans="1:32" x14ac:dyDescent="0.25">
      <c r="A362" s="37"/>
      <c r="B362" s="37"/>
      <c r="C362" s="37"/>
      <c r="F362" s="38"/>
      <c r="G362" s="38"/>
      <c r="H362" s="38"/>
      <c r="I362" s="40"/>
      <c r="J362" s="38"/>
      <c r="K362" s="38"/>
      <c r="L362" s="42"/>
      <c r="M362" s="42"/>
      <c r="N362" s="42"/>
      <c r="O362" s="42"/>
      <c r="R362" s="37"/>
      <c r="S362" s="37"/>
      <c r="T362" s="91"/>
      <c r="U362" s="91"/>
      <c r="V362" s="41"/>
      <c r="W362" s="37"/>
      <c r="X362" s="37"/>
      <c r="Y362" s="43"/>
      <c r="Z362" s="37"/>
      <c r="AA362" s="37"/>
      <c r="AD362" s="37"/>
      <c r="AE362" s="37"/>
      <c r="AF362" s="37"/>
    </row>
    <row r="363" spans="1:32" x14ac:dyDescent="0.25">
      <c r="A363" s="37"/>
      <c r="B363" s="37"/>
      <c r="C363" s="37"/>
      <c r="F363" s="38"/>
      <c r="G363" s="38"/>
      <c r="H363" s="38"/>
      <c r="I363" s="40"/>
      <c r="J363" s="38"/>
      <c r="K363" s="38"/>
      <c r="L363" s="42"/>
      <c r="M363" s="42"/>
      <c r="N363" s="42"/>
      <c r="O363" s="42"/>
      <c r="R363" s="37"/>
      <c r="S363" s="37"/>
      <c r="T363" s="91"/>
      <c r="U363" s="91"/>
      <c r="V363" s="41"/>
      <c r="W363" s="37"/>
      <c r="X363" s="37"/>
      <c r="Y363" s="43"/>
      <c r="Z363" s="37"/>
      <c r="AA363" s="37"/>
      <c r="AD363" s="37"/>
      <c r="AE363" s="37"/>
      <c r="AF363" s="37"/>
    </row>
    <row r="364" spans="1:32" x14ac:dyDescent="0.25">
      <c r="A364" s="37"/>
      <c r="B364" s="37"/>
      <c r="C364" s="37"/>
      <c r="F364" s="38"/>
      <c r="G364" s="38"/>
      <c r="H364" s="38"/>
      <c r="I364" s="40"/>
      <c r="J364" s="38"/>
      <c r="K364" s="38"/>
      <c r="L364" s="42"/>
      <c r="M364" s="42"/>
      <c r="N364" s="42"/>
      <c r="O364" s="42"/>
      <c r="R364" s="37"/>
      <c r="S364" s="37"/>
      <c r="T364" s="91"/>
      <c r="U364" s="91"/>
      <c r="V364" s="41"/>
      <c r="W364" s="37"/>
      <c r="X364" s="37"/>
      <c r="Y364" s="43"/>
      <c r="Z364" s="37"/>
      <c r="AA364" s="37"/>
      <c r="AD364" s="37"/>
      <c r="AE364" s="37"/>
      <c r="AF364" s="37"/>
    </row>
    <row r="365" spans="1:32" x14ac:dyDescent="0.25">
      <c r="A365" s="37"/>
      <c r="B365" s="37"/>
      <c r="C365" s="37"/>
      <c r="F365" s="38"/>
      <c r="G365" s="38"/>
      <c r="H365" s="38"/>
      <c r="I365" s="40"/>
      <c r="J365" s="38"/>
      <c r="K365" s="38"/>
      <c r="L365" s="42"/>
      <c r="M365" s="42"/>
      <c r="N365" s="42"/>
      <c r="O365" s="42"/>
      <c r="R365" s="37"/>
      <c r="S365" s="37"/>
      <c r="T365" s="91"/>
      <c r="U365" s="91"/>
      <c r="V365" s="41"/>
      <c r="W365" s="37"/>
      <c r="X365" s="37"/>
      <c r="Y365" s="43"/>
      <c r="Z365" s="37"/>
      <c r="AA365" s="37"/>
      <c r="AD365" s="37"/>
      <c r="AE365" s="37"/>
      <c r="AF365" s="37"/>
    </row>
    <row r="366" spans="1:32" x14ac:dyDescent="0.25">
      <c r="A366" s="37"/>
      <c r="B366" s="37"/>
      <c r="C366" s="37"/>
      <c r="F366" s="38"/>
      <c r="G366" s="38"/>
      <c r="H366" s="38"/>
      <c r="I366" s="40"/>
      <c r="J366" s="38"/>
      <c r="K366" s="38"/>
      <c r="L366" s="42"/>
      <c r="M366" s="42"/>
      <c r="N366" s="42"/>
      <c r="O366" s="42"/>
      <c r="R366" s="37"/>
      <c r="S366" s="37"/>
      <c r="T366" s="91"/>
      <c r="U366" s="91"/>
      <c r="V366" s="41"/>
      <c r="W366" s="37"/>
      <c r="X366" s="37"/>
      <c r="Y366" s="43"/>
      <c r="Z366" s="37"/>
      <c r="AA366" s="37"/>
      <c r="AD366" s="37"/>
      <c r="AE366" s="37"/>
      <c r="AF366" s="37"/>
    </row>
    <row r="367" spans="1:32" x14ac:dyDescent="0.25">
      <c r="A367" s="37"/>
      <c r="B367" s="37"/>
      <c r="C367" s="37"/>
      <c r="F367" s="38"/>
      <c r="G367" s="38"/>
      <c r="H367" s="38"/>
      <c r="I367" s="40"/>
      <c r="J367" s="38"/>
      <c r="K367" s="38"/>
      <c r="L367" s="42"/>
      <c r="M367" s="42"/>
      <c r="N367" s="42"/>
      <c r="O367" s="42"/>
      <c r="R367" s="37"/>
      <c r="S367" s="37"/>
      <c r="T367" s="91"/>
      <c r="U367" s="91"/>
      <c r="V367" s="41"/>
      <c r="W367" s="37"/>
      <c r="X367" s="37"/>
      <c r="Y367" s="43"/>
      <c r="Z367" s="37"/>
      <c r="AA367" s="37"/>
      <c r="AD367" s="37"/>
      <c r="AE367" s="37"/>
      <c r="AF367" s="37"/>
    </row>
    <row r="368" spans="1:32" x14ac:dyDescent="0.25">
      <c r="A368" s="37"/>
      <c r="B368" s="37"/>
      <c r="C368" s="37"/>
      <c r="F368" s="38"/>
      <c r="G368" s="38"/>
      <c r="H368" s="38"/>
      <c r="I368" s="40"/>
      <c r="J368" s="38"/>
      <c r="K368" s="38"/>
      <c r="L368" s="42"/>
      <c r="M368" s="42"/>
      <c r="N368" s="42"/>
      <c r="O368" s="42"/>
      <c r="R368" s="37"/>
      <c r="S368" s="37"/>
      <c r="T368" s="91"/>
      <c r="U368" s="91"/>
      <c r="V368" s="41"/>
      <c r="W368" s="37"/>
      <c r="X368" s="37"/>
      <c r="Y368" s="43"/>
      <c r="Z368" s="37"/>
      <c r="AA368" s="37"/>
      <c r="AD368" s="37"/>
      <c r="AE368" s="37"/>
      <c r="AF368" s="37"/>
    </row>
    <row r="369" spans="1:32" x14ac:dyDescent="0.25">
      <c r="A369" s="37"/>
      <c r="B369" s="37"/>
      <c r="C369" s="37"/>
      <c r="F369" s="38"/>
      <c r="G369" s="38"/>
      <c r="H369" s="38"/>
      <c r="I369" s="40"/>
      <c r="J369" s="38"/>
      <c r="K369" s="38"/>
      <c r="L369" s="42"/>
      <c r="M369" s="42"/>
      <c r="N369" s="42"/>
      <c r="O369" s="42"/>
      <c r="R369" s="37"/>
      <c r="S369" s="37"/>
      <c r="T369" s="91"/>
      <c r="U369" s="91"/>
      <c r="V369" s="41"/>
      <c r="W369" s="37"/>
      <c r="X369" s="37"/>
      <c r="Y369" s="43"/>
      <c r="Z369" s="37"/>
      <c r="AA369" s="37"/>
      <c r="AD369" s="37"/>
      <c r="AE369" s="37"/>
      <c r="AF369" s="37"/>
    </row>
    <row r="370" spans="1:32" x14ac:dyDescent="0.25">
      <c r="A370" s="37"/>
      <c r="B370" s="37"/>
      <c r="C370" s="37"/>
      <c r="F370" s="38"/>
      <c r="G370" s="38"/>
      <c r="H370" s="38"/>
      <c r="I370" s="40"/>
      <c r="J370" s="38"/>
      <c r="K370" s="38"/>
      <c r="L370" s="42"/>
      <c r="M370" s="42"/>
      <c r="N370" s="42"/>
      <c r="O370" s="42"/>
      <c r="R370" s="37"/>
      <c r="S370" s="37"/>
      <c r="T370" s="91"/>
      <c r="U370" s="91"/>
      <c r="V370" s="41"/>
      <c r="W370" s="37"/>
      <c r="X370" s="37"/>
      <c r="Y370" s="43"/>
      <c r="Z370" s="37"/>
      <c r="AA370" s="37"/>
      <c r="AD370" s="37"/>
      <c r="AE370" s="37"/>
      <c r="AF370" s="37"/>
    </row>
    <row r="371" spans="1:32" x14ac:dyDescent="0.25">
      <c r="A371" s="37"/>
      <c r="B371" s="37"/>
      <c r="C371" s="37"/>
      <c r="F371" s="38"/>
      <c r="G371" s="38"/>
      <c r="H371" s="38"/>
      <c r="I371" s="40"/>
      <c r="J371" s="38"/>
      <c r="K371" s="38"/>
      <c r="L371" s="42"/>
      <c r="M371" s="42"/>
      <c r="N371" s="42"/>
      <c r="O371" s="42"/>
      <c r="R371" s="37"/>
      <c r="S371" s="37"/>
      <c r="T371" s="91"/>
      <c r="U371" s="91"/>
      <c r="V371" s="41"/>
      <c r="W371" s="37"/>
      <c r="X371" s="37"/>
      <c r="Y371" s="43"/>
      <c r="Z371" s="37"/>
      <c r="AA371" s="37"/>
      <c r="AD371" s="37"/>
      <c r="AE371" s="37"/>
      <c r="AF371" s="37"/>
    </row>
    <row r="372" spans="1:32" x14ac:dyDescent="0.25">
      <c r="A372" s="37"/>
      <c r="B372" s="37"/>
      <c r="C372" s="37"/>
      <c r="F372" s="38"/>
      <c r="G372" s="38"/>
      <c r="H372" s="38"/>
      <c r="I372" s="40"/>
      <c r="J372" s="38"/>
      <c r="K372" s="38"/>
      <c r="L372" s="42"/>
      <c r="M372" s="42"/>
      <c r="N372" s="42"/>
      <c r="O372" s="42"/>
      <c r="R372" s="37"/>
      <c r="S372" s="37"/>
      <c r="T372" s="91"/>
      <c r="U372" s="91"/>
      <c r="V372" s="41"/>
      <c r="W372" s="37"/>
      <c r="X372" s="37"/>
      <c r="Y372" s="43"/>
      <c r="Z372" s="37"/>
      <c r="AA372" s="37"/>
      <c r="AD372" s="37"/>
      <c r="AE372" s="37"/>
      <c r="AF372" s="37"/>
    </row>
    <row r="373" spans="1:32" x14ac:dyDescent="0.25">
      <c r="A373" s="37"/>
      <c r="B373" s="37"/>
      <c r="C373" s="37"/>
      <c r="F373" s="38"/>
      <c r="G373" s="38"/>
      <c r="H373" s="38"/>
      <c r="I373" s="40"/>
      <c r="J373" s="38"/>
      <c r="K373" s="38"/>
      <c r="L373" s="42"/>
      <c r="M373" s="42"/>
      <c r="N373" s="42"/>
      <c r="O373" s="42"/>
      <c r="R373" s="37"/>
      <c r="S373" s="37"/>
      <c r="T373" s="91"/>
      <c r="U373" s="91"/>
      <c r="V373" s="41"/>
      <c r="W373" s="37"/>
      <c r="X373" s="37"/>
      <c r="Y373" s="43"/>
      <c r="Z373" s="37"/>
      <c r="AA373" s="37"/>
      <c r="AD373" s="37"/>
      <c r="AE373" s="37"/>
      <c r="AF373" s="37"/>
    </row>
    <row r="374" spans="1:32" x14ac:dyDescent="0.25">
      <c r="A374" s="37"/>
      <c r="B374" s="37"/>
      <c r="C374" s="37"/>
      <c r="F374" s="38"/>
      <c r="G374" s="38"/>
      <c r="H374" s="38"/>
      <c r="I374" s="40"/>
      <c r="J374" s="38"/>
      <c r="K374" s="38"/>
      <c r="L374" s="42"/>
      <c r="M374" s="42"/>
      <c r="N374" s="42"/>
      <c r="O374" s="42"/>
      <c r="R374" s="37"/>
      <c r="S374" s="37"/>
      <c r="T374" s="91"/>
      <c r="U374" s="91"/>
      <c r="V374" s="41"/>
      <c r="W374" s="37"/>
      <c r="X374" s="37"/>
      <c r="Y374" s="43"/>
      <c r="Z374" s="37"/>
      <c r="AA374" s="37"/>
      <c r="AD374" s="37"/>
      <c r="AE374" s="37"/>
      <c r="AF374" s="37"/>
    </row>
    <row r="375" spans="1:32" x14ac:dyDescent="0.25">
      <c r="A375" s="37"/>
      <c r="B375" s="37"/>
      <c r="C375" s="37"/>
      <c r="F375" s="38"/>
      <c r="G375" s="38"/>
      <c r="H375" s="38"/>
      <c r="I375" s="40"/>
      <c r="J375" s="38"/>
      <c r="K375" s="38"/>
      <c r="L375" s="42"/>
      <c r="M375" s="42"/>
      <c r="N375" s="42"/>
      <c r="O375" s="42"/>
      <c r="R375" s="37"/>
      <c r="S375" s="37"/>
      <c r="T375" s="91"/>
      <c r="U375" s="91"/>
      <c r="V375" s="41"/>
      <c r="W375" s="37"/>
      <c r="X375" s="37"/>
      <c r="Y375" s="43"/>
      <c r="Z375" s="37"/>
      <c r="AA375" s="37"/>
      <c r="AD375" s="37"/>
      <c r="AE375" s="37"/>
      <c r="AF375" s="37"/>
    </row>
    <row r="376" spans="1:32" x14ac:dyDescent="0.25">
      <c r="A376" s="37"/>
      <c r="B376" s="37"/>
      <c r="C376" s="37"/>
      <c r="F376" s="38"/>
      <c r="G376" s="38"/>
      <c r="H376" s="38"/>
      <c r="I376" s="40"/>
      <c r="J376" s="38"/>
      <c r="K376" s="38"/>
      <c r="L376" s="42"/>
      <c r="M376" s="42"/>
      <c r="N376" s="42"/>
      <c r="O376" s="42"/>
      <c r="R376" s="37"/>
      <c r="S376" s="37"/>
      <c r="T376" s="91"/>
      <c r="U376" s="91"/>
      <c r="V376" s="41"/>
      <c r="W376" s="37"/>
      <c r="X376" s="37"/>
      <c r="Y376" s="43"/>
      <c r="Z376" s="37"/>
      <c r="AA376" s="37"/>
      <c r="AD376" s="37"/>
      <c r="AE376" s="37"/>
      <c r="AF376" s="37"/>
    </row>
    <row r="377" spans="1:32" x14ac:dyDescent="0.25">
      <c r="A377" s="37"/>
      <c r="B377" s="37"/>
      <c r="C377" s="37"/>
      <c r="F377" s="38"/>
      <c r="G377" s="38"/>
      <c r="H377" s="38"/>
      <c r="I377" s="40"/>
      <c r="J377" s="38"/>
      <c r="K377" s="38"/>
      <c r="L377" s="42"/>
      <c r="M377" s="42"/>
      <c r="N377" s="42"/>
      <c r="O377" s="42"/>
      <c r="R377" s="37"/>
      <c r="S377" s="37"/>
      <c r="T377" s="91"/>
      <c r="U377" s="91"/>
      <c r="V377" s="41"/>
      <c r="W377" s="37"/>
      <c r="X377" s="37"/>
      <c r="Y377" s="43"/>
      <c r="Z377" s="37"/>
      <c r="AA377" s="37"/>
      <c r="AD377" s="37"/>
      <c r="AE377" s="37"/>
      <c r="AF377" s="37"/>
    </row>
    <row r="378" spans="1:32" x14ac:dyDescent="0.25">
      <c r="A378" s="37"/>
      <c r="B378" s="37"/>
      <c r="C378" s="37"/>
      <c r="F378" s="38"/>
      <c r="G378" s="38"/>
      <c r="H378" s="38"/>
      <c r="I378" s="40"/>
      <c r="J378" s="38"/>
      <c r="K378" s="38"/>
      <c r="L378" s="42"/>
      <c r="M378" s="42"/>
      <c r="N378" s="42"/>
      <c r="O378" s="42"/>
      <c r="R378" s="37"/>
      <c r="S378" s="37"/>
      <c r="T378" s="91"/>
      <c r="U378" s="91"/>
      <c r="V378" s="41"/>
      <c r="W378" s="37"/>
      <c r="X378" s="37"/>
      <c r="Y378" s="43"/>
      <c r="Z378" s="37"/>
      <c r="AA378" s="37"/>
      <c r="AD378" s="37"/>
      <c r="AE378" s="37"/>
      <c r="AF378" s="37"/>
    </row>
    <row r="379" spans="1:32" x14ac:dyDescent="0.25">
      <c r="A379" s="37"/>
      <c r="B379" s="37"/>
      <c r="C379" s="37"/>
      <c r="F379" s="38"/>
      <c r="G379" s="38"/>
      <c r="H379" s="38"/>
      <c r="I379" s="40"/>
      <c r="J379" s="38"/>
      <c r="K379" s="38"/>
      <c r="L379" s="42"/>
      <c r="M379" s="42"/>
      <c r="N379" s="42"/>
      <c r="O379" s="42"/>
      <c r="R379" s="37"/>
      <c r="S379" s="37"/>
      <c r="T379" s="91"/>
      <c r="U379" s="91"/>
      <c r="V379" s="41"/>
      <c r="W379" s="37"/>
      <c r="X379" s="37"/>
      <c r="Y379" s="43"/>
      <c r="Z379" s="37"/>
      <c r="AA379" s="37"/>
      <c r="AD379" s="37"/>
      <c r="AE379" s="37"/>
      <c r="AF379" s="37"/>
    </row>
    <row r="380" spans="1:32" x14ac:dyDescent="0.25">
      <c r="A380" s="37"/>
      <c r="B380" s="37"/>
      <c r="C380" s="37"/>
      <c r="F380" s="38"/>
      <c r="G380" s="38"/>
      <c r="H380" s="38"/>
      <c r="I380" s="40"/>
      <c r="J380" s="38"/>
      <c r="K380" s="38"/>
      <c r="L380" s="42"/>
      <c r="M380" s="42"/>
      <c r="N380" s="42"/>
      <c r="O380" s="42"/>
      <c r="R380" s="37"/>
      <c r="S380" s="37"/>
      <c r="T380" s="91"/>
      <c r="U380" s="91"/>
      <c r="V380" s="41"/>
      <c r="W380" s="37"/>
      <c r="X380" s="37"/>
      <c r="Y380" s="43"/>
      <c r="Z380" s="37"/>
      <c r="AA380" s="37"/>
      <c r="AD380" s="37"/>
      <c r="AE380" s="37"/>
      <c r="AF380" s="37"/>
    </row>
    <row r="381" spans="1:32" x14ac:dyDescent="0.25">
      <c r="A381" s="37"/>
      <c r="B381" s="37"/>
      <c r="C381" s="37"/>
      <c r="F381" s="38"/>
      <c r="G381" s="38"/>
      <c r="H381" s="38"/>
      <c r="I381" s="40"/>
      <c r="J381" s="38"/>
      <c r="K381" s="38"/>
      <c r="L381" s="42"/>
      <c r="M381" s="42"/>
      <c r="N381" s="42"/>
      <c r="O381" s="42"/>
      <c r="R381" s="37"/>
      <c r="S381" s="37"/>
      <c r="T381" s="91"/>
      <c r="U381" s="91"/>
      <c r="V381" s="41"/>
      <c r="W381" s="37"/>
      <c r="X381" s="37"/>
      <c r="Y381" s="43"/>
      <c r="Z381" s="37"/>
      <c r="AA381" s="37"/>
      <c r="AD381" s="37"/>
      <c r="AE381" s="37"/>
      <c r="AF381" s="37"/>
    </row>
    <row r="382" spans="1:32" x14ac:dyDescent="0.25">
      <c r="A382" s="37"/>
      <c r="B382" s="37"/>
      <c r="C382" s="37"/>
      <c r="F382" s="38"/>
      <c r="G382" s="38"/>
      <c r="H382" s="38"/>
      <c r="I382" s="40"/>
      <c r="J382" s="38"/>
      <c r="K382" s="38"/>
      <c r="L382" s="42"/>
      <c r="M382" s="42"/>
      <c r="N382" s="42"/>
      <c r="O382" s="42"/>
      <c r="R382" s="37"/>
      <c r="S382" s="37"/>
      <c r="T382" s="91"/>
      <c r="U382" s="91"/>
      <c r="V382" s="41"/>
      <c r="W382" s="37"/>
      <c r="X382" s="37"/>
      <c r="Y382" s="43"/>
      <c r="Z382" s="37"/>
      <c r="AA382" s="37"/>
      <c r="AD382" s="37"/>
      <c r="AE382" s="37"/>
      <c r="AF382" s="37"/>
    </row>
    <row r="383" spans="1:32" x14ac:dyDescent="0.25">
      <c r="A383" s="37"/>
      <c r="B383" s="37"/>
      <c r="C383" s="37"/>
      <c r="F383" s="38"/>
      <c r="G383" s="38"/>
      <c r="H383" s="38"/>
      <c r="I383" s="40"/>
      <c r="J383" s="38"/>
      <c r="K383" s="38"/>
      <c r="L383" s="42"/>
      <c r="M383" s="42"/>
      <c r="N383" s="42"/>
      <c r="O383" s="42"/>
      <c r="R383" s="37"/>
      <c r="S383" s="37"/>
      <c r="T383" s="91"/>
      <c r="U383" s="91"/>
      <c r="V383" s="41"/>
      <c r="W383" s="37"/>
      <c r="X383" s="37"/>
      <c r="Y383" s="43"/>
      <c r="Z383" s="37"/>
      <c r="AA383" s="37"/>
      <c r="AD383" s="37"/>
      <c r="AE383" s="37"/>
      <c r="AF383" s="37"/>
    </row>
    <row r="384" spans="1:32" x14ac:dyDescent="0.25">
      <c r="A384" s="37"/>
      <c r="B384" s="37"/>
      <c r="C384" s="37"/>
      <c r="F384" s="38"/>
      <c r="G384" s="38"/>
      <c r="H384" s="38"/>
      <c r="I384" s="40"/>
      <c r="J384" s="38"/>
      <c r="K384" s="38"/>
      <c r="L384" s="42"/>
      <c r="M384" s="42"/>
      <c r="N384" s="42"/>
      <c r="O384" s="42"/>
      <c r="R384" s="37"/>
      <c r="S384" s="37"/>
      <c r="T384" s="91"/>
      <c r="U384" s="91"/>
      <c r="V384" s="41"/>
      <c r="W384" s="37"/>
      <c r="X384" s="37"/>
      <c r="Y384" s="43"/>
      <c r="Z384" s="37"/>
      <c r="AA384" s="37"/>
      <c r="AD384" s="37"/>
      <c r="AE384" s="37"/>
      <c r="AF384" s="37"/>
    </row>
    <row r="385" spans="1:32" x14ac:dyDescent="0.25">
      <c r="A385" s="37"/>
      <c r="B385" s="37"/>
      <c r="C385" s="37"/>
      <c r="F385" s="38"/>
      <c r="G385" s="38"/>
      <c r="H385" s="38"/>
      <c r="I385" s="40"/>
      <c r="J385" s="38"/>
      <c r="K385" s="38"/>
      <c r="L385" s="42"/>
      <c r="M385" s="42"/>
      <c r="N385" s="42"/>
      <c r="O385" s="42"/>
      <c r="R385" s="37"/>
      <c r="S385" s="37"/>
      <c r="T385" s="91"/>
      <c r="U385" s="91"/>
      <c r="V385" s="41"/>
      <c r="W385" s="37"/>
      <c r="X385" s="37"/>
      <c r="Y385" s="43"/>
      <c r="Z385" s="37"/>
      <c r="AA385" s="37"/>
      <c r="AD385" s="37"/>
      <c r="AE385" s="37"/>
      <c r="AF385" s="37"/>
    </row>
    <row r="386" spans="1:32" x14ac:dyDescent="0.25">
      <c r="A386" s="37"/>
      <c r="B386" s="37"/>
      <c r="C386" s="37"/>
      <c r="F386" s="38"/>
      <c r="G386" s="38"/>
      <c r="H386" s="38"/>
      <c r="I386" s="40"/>
      <c r="J386" s="38"/>
      <c r="K386" s="38"/>
      <c r="L386" s="42"/>
      <c r="M386" s="42"/>
      <c r="N386" s="42"/>
      <c r="O386" s="42"/>
      <c r="R386" s="37"/>
      <c r="S386" s="37"/>
      <c r="T386" s="91"/>
      <c r="U386" s="91"/>
      <c r="V386" s="41"/>
      <c r="W386" s="37"/>
      <c r="X386" s="37"/>
      <c r="Y386" s="43"/>
      <c r="Z386" s="37"/>
      <c r="AA386" s="37"/>
      <c r="AD386" s="37"/>
      <c r="AE386" s="37"/>
      <c r="AF386" s="37"/>
    </row>
    <row r="387" spans="1:32" x14ac:dyDescent="0.25">
      <c r="A387" s="37"/>
      <c r="B387" s="37"/>
      <c r="C387" s="37"/>
      <c r="F387" s="38"/>
      <c r="G387" s="38"/>
      <c r="H387" s="38"/>
      <c r="I387" s="40"/>
      <c r="J387" s="38"/>
      <c r="K387" s="38"/>
      <c r="L387" s="42"/>
      <c r="M387" s="42"/>
      <c r="N387" s="42"/>
      <c r="O387" s="42"/>
      <c r="R387" s="37"/>
      <c r="S387" s="37"/>
      <c r="T387" s="91"/>
      <c r="U387" s="91"/>
      <c r="V387" s="41"/>
      <c r="W387" s="37"/>
      <c r="X387" s="37"/>
      <c r="Y387" s="43"/>
      <c r="Z387" s="37"/>
      <c r="AA387" s="37"/>
      <c r="AD387" s="37"/>
      <c r="AE387" s="37"/>
      <c r="AF387" s="37"/>
    </row>
    <row r="388" spans="1:32" x14ac:dyDescent="0.25">
      <c r="A388" s="37"/>
      <c r="B388" s="37"/>
      <c r="C388" s="37"/>
      <c r="F388" s="38"/>
      <c r="G388" s="38"/>
      <c r="H388" s="38"/>
      <c r="I388" s="40"/>
      <c r="J388" s="38"/>
      <c r="K388" s="38"/>
      <c r="L388" s="42"/>
      <c r="M388" s="42"/>
      <c r="N388" s="42"/>
      <c r="O388" s="42"/>
      <c r="R388" s="37"/>
      <c r="S388" s="37"/>
      <c r="T388" s="91"/>
      <c r="U388" s="91"/>
      <c r="V388" s="41"/>
      <c r="W388" s="37"/>
      <c r="X388" s="37"/>
      <c r="Y388" s="43"/>
      <c r="Z388" s="37"/>
      <c r="AA388" s="37"/>
      <c r="AD388" s="37"/>
      <c r="AE388" s="37"/>
      <c r="AF388" s="37"/>
    </row>
    <row r="389" spans="1:32" x14ac:dyDescent="0.25">
      <c r="A389" s="37"/>
      <c r="B389" s="37"/>
      <c r="C389" s="37"/>
      <c r="F389" s="38"/>
      <c r="G389" s="38"/>
      <c r="H389" s="38"/>
      <c r="I389" s="40"/>
      <c r="J389" s="38"/>
      <c r="K389" s="38"/>
      <c r="L389" s="42"/>
      <c r="M389" s="42"/>
      <c r="N389" s="42"/>
      <c r="O389" s="42"/>
      <c r="R389" s="37"/>
      <c r="S389" s="37"/>
      <c r="T389" s="91"/>
      <c r="U389" s="91"/>
      <c r="V389" s="41"/>
      <c r="W389" s="37"/>
      <c r="X389" s="37"/>
      <c r="Y389" s="43"/>
      <c r="Z389" s="37"/>
      <c r="AA389" s="37"/>
      <c r="AD389" s="37"/>
      <c r="AE389" s="37"/>
      <c r="AF389" s="37"/>
    </row>
    <row r="390" spans="1:32" x14ac:dyDescent="0.25">
      <c r="A390" s="37"/>
      <c r="B390" s="37"/>
      <c r="C390" s="37"/>
      <c r="F390" s="38"/>
      <c r="G390" s="38"/>
      <c r="H390" s="38"/>
      <c r="I390" s="40"/>
      <c r="J390" s="38"/>
      <c r="K390" s="38"/>
      <c r="L390" s="42"/>
      <c r="M390" s="42"/>
      <c r="N390" s="42"/>
      <c r="O390" s="42"/>
      <c r="R390" s="37"/>
      <c r="S390" s="37"/>
      <c r="T390" s="91"/>
      <c r="U390" s="91"/>
      <c r="V390" s="41"/>
      <c r="W390" s="37"/>
      <c r="X390" s="37"/>
      <c r="Y390" s="43"/>
      <c r="Z390" s="37"/>
      <c r="AA390" s="37"/>
      <c r="AD390" s="37"/>
      <c r="AE390" s="37"/>
      <c r="AF390" s="37"/>
    </row>
    <row r="391" spans="1:32" x14ac:dyDescent="0.25">
      <c r="A391" s="37"/>
      <c r="B391" s="37"/>
      <c r="C391" s="37"/>
      <c r="F391" s="38"/>
      <c r="G391" s="38"/>
      <c r="H391" s="38"/>
      <c r="I391" s="40"/>
      <c r="J391" s="38"/>
      <c r="K391" s="38"/>
      <c r="L391" s="42"/>
      <c r="M391" s="42"/>
      <c r="N391" s="42"/>
      <c r="O391" s="42"/>
      <c r="R391" s="37"/>
      <c r="S391" s="37"/>
      <c r="T391" s="91"/>
      <c r="U391" s="91"/>
      <c r="V391" s="41"/>
      <c r="W391" s="37"/>
      <c r="X391" s="37"/>
      <c r="Y391" s="43"/>
      <c r="Z391" s="37"/>
      <c r="AA391" s="37"/>
      <c r="AD391" s="37"/>
      <c r="AE391" s="37"/>
      <c r="AF391" s="37"/>
    </row>
    <row r="392" spans="1:32" x14ac:dyDescent="0.25">
      <c r="A392" s="37"/>
      <c r="B392" s="37"/>
      <c r="C392" s="37"/>
      <c r="F392" s="38"/>
      <c r="G392" s="38"/>
      <c r="H392" s="38"/>
      <c r="I392" s="40"/>
      <c r="J392" s="38"/>
      <c r="K392" s="38"/>
      <c r="L392" s="42"/>
      <c r="M392" s="42"/>
      <c r="N392" s="42"/>
      <c r="O392" s="42"/>
      <c r="R392" s="37"/>
      <c r="S392" s="37"/>
      <c r="T392" s="91"/>
      <c r="U392" s="91"/>
      <c r="V392" s="41"/>
      <c r="W392" s="37"/>
      <c r="X392" s="37"/>
      <c r="Y392" s="43"/>
      <c r="Z392" s="37"/>
      <c r="AA392" s="37"/>
      <c r="AD392" s="37"/>
      <c r="AE392" s="37"/>
      <c r="AF392" s="37"/>
    </row>
    <row r="393" spans="1:32" x14ac:dyDescent="0.25">
      <c r="A393" s="37"/>
      <c r="B393" s="37"/>
      <c r="C393" s="37"/>
      <c r="F393" s="38"/>
      <c r="G393" s="38"/>
      <c r="H393" s="38"/>
      <c r="I393" s="40"/>
      <c r="J393" s="38"/>
      <c r="K393" s="38"/>
      <c r="L393" s="42"/>
      <c r="M393" s="42"/>
      <c r="N393" s="42"/>
      <c r="O393" s="42"/>
      <c r="R393" s="37"/>
      <c r="S393" s="37"/>
      <c r="T393" s="91"/>
      <c r="U393" s="91"/>
      <c r="V393" s="41"/>
      <c r="W393" s="37"/>
      <c r="X393" s="37"/>
      <c r="Y393" s="43"/>
      <c r="Z393" s="37"/>
      <c r="AA393" s="37"/>
      <c r="AD393" s="37"/>
      <c r="AE393" s="37"/>
      <c r="AF393" s="37"/>
    </row>
    <row r="394" spans="1:32" x14ac:dyDescent="0.25">
      <c r="A394" s="37"/>
      <c r="B394" s="37"/>
      <c r="C394" s="37"/>
      <c r="F394" s="38"/>
      <c r="G394" s="38"/>
      <c r="H394" s="38"/>
      <c r="I394" s="40"/>
      <c r="J394" s="38"/>
      <c r="K394" s="38"/>
      <c r="L394" s="42"/>
      <c r="M394" s="42"/>
      <c r="N394" s="42"/>
      <c r="O394" s="42"/>
      <c r="R394" s="37"/>
      <c r="S394" s="37"/>
      <c r="T394" s="91"/>
      <c r="U394" s="91"/>
      <c r="V394" s="41"/>
      <c r="W394" s="37"/>
      <c r="X394" s="37"/>
      <c r="Y394" s="43"/>
      <c r="Z394" s="37"/>
      <c r="AA394" s="37"/>
      <c r="AD394" s="37"/>
      <c r="AE394" s="37"/>
      <c r="AF394" s="37"/>
    </row>
    <row r="395" spans="1:32" x14ac:dyDescent="0.25">
      <c r="A395" s="37"/>
      <c r="B395" s="37"/>
      <c r="C395" s="37"/>
      <c r="F395" s="38"/>
      <c r="G395" s="38"/>
      <c r="H395" s="38"/>
      <c r="I395" s="40"/>
      <c r="J395" s="38"/>
      <c r="K395" s="38"/>
      <c r="L395" s="42"/>
      <c r="M395" s="42"/>
      <c r="N395" s="42"/>
      <c r="O395" s="42"/>
      <c r="R395" s="37"/>
      <c r="S395" s="37"/>
      <c r="T395" s="91"/>
      <c r="U395" s="91"/>
      <c r="V395" s="41"/>
      <c r="W395" s="37"/>
      <c r="X395" s="37"/>
      <c r="Y395" s="43"/>
      <c r="Z395" s="37"/>
      <c r="AA395" s="37"/>
      <c r="AD395" s="37"/>
      <c r="AE395" s="37"/>
      <c r="AF395" s="37"/>
    </row>
    <row r="396" spans="1:32" x14ac:dyDescent="0.25">
      <c r="A396" s="37"/>
      <c r="B396" s="37"/>
      <c r="C396" s="37"/>
      <c r="F396" s="38"/>
      <c r="G396" s="38"/>
      <c r="H396" s="38"/>
      <c r="I396" s="40"/>
      <c r="J396" s="38"/>
      <c r="K396" s="38"/>
      <c r="L396" s="42"/>
      <c r="M396" s="42"/>
      <c r="N396" s="42"/>
      <c r="O396" s="42"/>
      <c r="R396" s="37"/>
      <c r="S396" s="37"/>
      <c r="T396" s="91"/>
      <c r="U396" s="91"/>
      <c r="V396" s="41"/>
      <c r="W396" s="37"/>
      <c r="X396" s="37"/>
      <c r="Y396" s="43"/>
      <c r="Z396" s="37"/>
      <c r="AA396" s="37"/>
      <c r="AD396" s="37"/>
      <c r="AE396" s="37"/>
      <c r="AF396" s="37"/>
    </row>
    <row r="397" spans="1:32" x14ac:dyDescent="0.25">
      <c r="A397" s="37"/>
      <c r="B397" s="37"/>
      <c r="C397" s="37"/>
      <c r="F397" s="38"/>
      <c r="G397" s="38"/>
      <c r="H397" s="38"/>
      <c r="I397" s="40"/>
      <c r="J397" s="38"/>
      <c r="K397" s="38"/>
      <c r="L397" s="42"/>
      <c r="M397" s="42"/>
      <c r="N397" s="42"/>
      <c r="O397" s="42"/>
      <c r="R397" s="37"/>
      <c r="S397" s="37"/>
      <c r="T397" s="91"/>
      <c r="U397" s="91"/>
      <c r="V397" s="41"/>
      <c r="W397" s="37"/>
      <c r="X397" s="37"/>
      <c r="Y397" s="43"/>
      <c r="Z397" s="37"/>
      <c r="AA397" s="37"/>
      <c r="AD397" s="37"/>
      <c r="AE397" s="37"/>
      <c r="AF397" s="37"/>
    </row>
    <row r="398" spans="1:32" x14ac:dyDescent="0.25">
      <c r="A398" s="37"/>
      <c r="B398" s="37"/>
      <c r="C398" s="37"/>
      <c r="F398" s="38"/>
      <c r="G398" s="38"/>
      <c r="H398" s="38"/>
      <c r="I398" s="40"/>
      <c r="J398" s="38"/>
      <c r="K398" s="38"/>
      <c r="L398" s="42"/>
      <c r="M398" s="42"/>
      <c r="N398" s="42"/>
      <c r="O398" s="42"/>
      <c r="R398" s="37"/>
      <c r="S398" s="37"/>
      <c r="T398" s="91"/>
      <c r="U398" s="91"/>
      <c r="V398" s="41"/>
      <c r="W398" s="37"/>
      <c r="X398" s="37"/>
      <c r="Y398" s="43"/>
      <c r="Z398" s="37"/>
      <c r="AA398" s="37"/>
      <c r="AD398" s="37"/>
      <c r="AE398" s="37"/>
      <c r="AF398" s="37"/>
    </row>
    <row r="399" spans="1:32" x14ac:dyDescent="0.25">
      <c r="A399" s="37"/>
      <c r="B399" s="37"/>
      <c r="C399" s="37"/>
      <c r="F399" s="38"/>
      <c r="G399" s="38"/>
      <c r="H399" s="38"/>
      <c r="I399" s="40"/>
      <c r="J399" s="38"/>
      <c r="K399" s="38"/>
      <c r="L399" s="42"/>
      <c r="M399" s="42"/>
      <c r="N399" s="42"/>
      <c r="O399" s="42"/>
      <c r="R399" s="37"/>
      <c r="S399" s="37"/>
      <c r="T399" s="91"/>
      <c r="U399" s="91"/>
      <c r="V399" s="41"/>
      <c r="W399" s="37"/>
      <c r="X399" s="37"/>
      <c r="Y399" s="43"/>
      <c r="Z399" s="37"/>
      <c r="AA399" s="37"/>
      <c r="AD399" s="37"/>
      <c r="AE399" s="37"/>
      <c r="AF399" s="37"/>
    </row>
    <row r="400" spans="1:32" x14ac:dyDescent="0.25">
      <c r="A400" s="37"/>
      <c r="B400" s="37"/>
      <c r="C400" s="37"/>
      <c r="F400" s="38"/>
      <c r="G400" s="38"/>
      <c r="H400" s="38"/>
      <c r="I400" s="40"/>
      <c r="J400" s="38"/>
      <c r="K400" s="38"/>
      <c r="L400" s="42"/>
      <c r="M400" s="42"/>
      <c r="N400" s="42"/>
      <c r="O400" s="42"/>
      <c r="R400" s="37"/>
      <c r="S400" s="37"/>
      <c r="T400" s="91"/>
      <c r="U400" s="91"/>
      <c r="V400" s="41"/>
      <c r="W400" s="37"/>
      <c r="X400" s="37"/>
      <c r="Y400" s="43"/>
      <c r="Z400" s="37"/>
      <c r="AA400" s="37"/>
      <c r="AD400" s="37"/>
      <c r="AE400" s="37"/>
      <c r="AF400" s="37"/>
    </row>
    <row r="401" spans="1:32" x14ac:dyDescent="0.25">
      <c r="A401" s="37"/>
      <c r="B401" s="37"/>
      <c r="C401" s="37"/>
      <c r="F401" s="38"/>
      <c r="G401" s="38"/>
      <c r="H401" s="38"/>
      <c r="I401" s="40"/>
      <c r="J401" s="38"/>
      <c r="K401" s="38"/>
      <c r="L401" s="42"/>
      <c r="M401" s="42"/>
      <c r="N401" s="42"/>
      <c r="O401" s="42"/>
      <c r="R401" s="37"/>
      <c r="S401" s="37"/>
      <c r="T401" s="91"/>
      <c r="U401" s="91"/>
      <c r="V401" s="41"/>
      <c r="W401" s="37"/>
      <c r="X401" s="37"/>
      <c r="Y401" s="43"/>
      <c r="Z401" s="37"/>
      <c r="AA401" s="37"/>
      <c r="AD401" s="37"/>
      <c r="AE401" s="37"/>
      <c r="AF401" s="37"/>
    </row>
    <row r="402" spans="1:32" x14ac:dyDescent="0.25">
      <c r="A402" s="37"/>
      <c r="B402" s="37"/>
      <c r="C402" s="37"/>
      <c r="F402" s="38"/>
      <c r="G402" s="38"/>
      <c r="H402" s="38"/>
      <c r="I402" s="40"/>
      <c r="J402" s="38"/>
      <c r="K402" s="38"/>
      <c r="L402" s="42"/>
      <c r="M402" s="42"/>
      <c r="N402" s="42"/>
      <c r="O402" s="42"/>
      <c r="R402" s="37"/>
      <c r="S402" s="37"/>
      <c r="T402" s="91"/>
      <c r="U402" s="91"/>
      <c r="V402" s="41"/>
      <c r="W402" s="37"/>
      <c r="X402" s="37"/>
      <c r="Y402" s="43"/>
      <c r="Z402" s="37"/>
      <c r="AA402" s="37"/>
      <c r="AD402" s="37"/>
      <c r="AE402" s="37"/>
      <c r="AF402" s="37"/>
    </row>
    <row r="403" spans="1:32" x14ac:dyDescent="0.25">
      <c r="A403" s="37"/>
      <c r="B403" s="37"/>
      <c r="C403" s="37"/>
      <c r="F403" s="38"/>
      <c r="G403" s="38"/>
      <c r="H403" s="38"/>
      <c r="I403" s="40"/>
      <c r="J403" s="38"/>
      <c r="K403" s="38"/>
      <c r="L403" s="42"/>
      <c r="M403" s="42"/>
      <c r="N403" s="42"/>
      <c r="O403" s="42"/>
      <c r="R403" s="37"/>
      <c r="S403" s="37"/>
      <c r="T403" s="91"/>
      <c r="U403" s="91"/>
      <c r="V403" s="41"/>
      <c r="W403" s="37"/>
      <c r="X403" s="37"/>
      <c r="Y403" s="43"/>
      <c r="Z403" s="37"/>
      <c r="AA403" s="37"/>
      <c r="AD403" s="37"/>
      <c r="AE403" s="37"/>
      <c r="AF403" s="37"/>
    </row>
    <row r="404" spans="1:32" x14ac:dyDescent="0.25">
      <c r="A404" s="37"/>
      <c r="B404" s="37"/>
      <c r="C404" s="37"/>
      <c r="F404" s="38"/>
      <c r="G404" s="38"/>
      <c r="H404" s="38"/>
      <c r="I404" s="40"/>
      <c r="J404" s="38"/>
      <c r="K404" s="38"/>
      <c r="L404" s="42"/>
      <c r="M404" s="42"/>
      <c r="N404" s="42"/>
      <c r="O404" s="42"/>
      <c r="R404" s="37"/>
      <c r="S404" s="37"/>
      <c r="T404" s="91"/>
      <c r="U404" s="91"/>
      <c r="V404" s="41"/>
      <c r="W404" s="37"/>
      <c r="X404" s="37"/>
      <c r="Y404" s="43"/>
      <c r="Z404" s="37"/>
      <c r="AA404" s="37"/>
      <c r="AD404" s="37"/>
      <c r="AE404" s="37"/>
      <c r="AF404" s="37"/>
    </row>
    <row r="405" spans="1:32" x14ac:dyDescent="0.25">
      <c r="A405" s="37"/>
      <c r="B405" s="37"/>
      <c r="C405" s="37"/>
      <c r="F405" s="38"/>
      <c r="G405" s="38"/>
      <c r="H405" s="38"/>
      <c r="I405" s="40"/>
      <c r="J405" s="38"/>
      <c r="K405" s="38"/>
      <c r="L405" s="42"/>
      <c r="M405" s="42"/>
      <c r="N405" s="42"/>
      <c r="O405" s="42"/>
      <c r="R405" s="37"/>
      <c r="S405" s="37"/>
      <c r="T405" s="91"/>
      <c r="U405" s="91"/>
      <c r="V405" s="41"/>
      <c r="W405" s="37"/>
      <c r="X405" s="37"/>
      <c r="Y405" s="43"/>
      <c r="Z405" s="37"/>
      <c r="AA405" s="37"/>
      <c r="AD405" s="37"/>
      <c r="AE405" s="37"/>
      <c r="AF405" s="37"/>
    </row>
    <row r="406" spans="1:32" x14ac:dyDescent="0.25">
      <c r="A406" s="37"/>
      <c r="B406" s="37"/>
      <c r="C406" s="37"/>
      <c r="F406" s="38"/>
      <c r="G406" s="38"/>
      <c r="H406" s="38"/>
      <c r="I406" s="40"/>
      <c r="J406" s="38"/>
      <c r="K406" s="38"/>
      <c r="L406" s="42"/>
      <c r="M406" s="42"/>
      <c r="N406" s="42"/>
      <c r="O406" s="42"/>
      <c r="R406" s="37"/>
      <c r="S406" s="37"/>
      <c r="T406" s="91"/>
      <c r="U406" s="91"/>
      <c r="V406" s="41"/>
      <c r="W406" s="37"/>
      <c r="X406" s="37"/>
      <c r="Y406" s="43"/>
      <c r="Z406" s="37"/>
      <c r="AA406" s="37"/>
      <c r="AD406" s="37"/>
      <c r="AE406" s="37"/>
      <c r="AF406" s="37"/>
    </row>
    <row r="407" spans="1:32" x14ac:dyDescent="0.25">
      <c r="A407" s="37"/>
      <c r="B407" s="37"/>
      <c r="C407" s="37"/>
      <c r="F407" s="38"/>
      <c r="G407" s="38"/>
      <c r="H407" s="38"/>
      <c r="I407" s="40"/>
      <c r="J407" s="38"/>
      <c r="K407" s="38"/>
      <c r="L407" s="42"/>
      <c r="M407" s="42"/>
      <c r="N407" s="42"/>
      <c r="O407" s="42"/>
      <c r="R407" s="37"/>
      <c r="S407" s="37"/>
      <c r="T407" s="91"/>
      <c r="U407" s="91"/>
      <c r="V407" s="41"/>
      <c r="W407" s="37"/>
      <c r="X407" s="37"/>
      <c r="Y407" s="43"/>
      <c r="Z407" s="37"/>
      <c r="AA407" s="37"/>
      <c r="AD407" s="37"/>
      <c r="AE407" s="37"/>
      <c r="AF407" s="37"/>
    </row>
    <row r="408" spans="1:32" x14ac:dyDescent="0.25">
      <c r="A408" s="37"/>
      <c r="B408" s="37"/>
      <c r="C408" s="37"/>
      <c r="F408" s="38"/>
      <c r="G408" s="38"/>
      <c r="H408" s="38"/>
      <c r="I408" s="40"/>
      <c r="J408" s="38"/>
      <c r="K408" s="38"/>
      <c r="L408" s="42"/>
      <c r="M408" s="42"/>
      <c r="N408" s="42"/>
      <c r="O408" s="42"/>
      <c r="R408" s="37"/>
      <c r="S408" s="37"/>
      <c r="T408" s="91"/>
      <c r="U408" s="91"/>
      <c r="V408" s="41"/>
      <c r="W408" s="37"/>
      <c r="X408" s="37"/>
      <c r="Y408" s="43"/>
      <c r="Z408" s="37"/>
      <c r="AA408" s="37"/>
      <c r="AD408" s="37"/>
      <c r="AE408" s="37"/>
      <c r="AF408" s="37"/>
    </row>
    <row r="409" spans="1:32" x14ac:dyDescent="0.25">
      <c r="A409" s="37"/>
      <c r="B409" s="37"/>
      <c r="C409" s="37"/>
      <c r="F409" s="38"/>
      <c r="G409" s="38"/>
      <c r="H409" s="38"/>
      <c r="I409" s="40"/>
      <c r="J409" s="38"/>
      <c r="K409" s="38"/>
      <c r="L409" s="42"/>
      <c r="M409" s="42"/>
      <c r="N409" s="42"/>
      <c r="O409" s="42"/>
      <c r="R409" s="37"/>
      <c r="S409" s="37"/>
      <c r="T409" s="91"/>
      <c r="U409" s="91"/>
      <c r="V409" s="41"/>
      <c r="W409" s="37"/>
      <c r="X409" s="37"/>
      <c r="Y409" s="43"/>
      <c r="Z409" s="37"/>
      <c r="AA409" s="37"/>
      <c r="AD409" s="37"/>
      <c r="AE409" s="37"/>
      <c r="AF409" s="37"/>
    </row>
    <row r="410" spans="1:32" x14ac:dyDescent="0.25">
      <c r="A410" s="37"/>
      <c r="B410" s="37"/>
      <c r="C410" s="37"/>
      <c r="F410" s="38"/>
      <c r="G410" s="38"/>
      <c r="H410" s="38"/>
      <c r="I410" s="40"/>
      <c r="J410" s="38"/>
      <c r="K410" s="38"/>
      <c r="L410" s="42"/>
      <c r="M410" s="42"/>
      <c r="N410" s="42"/>
      <c r="O410" s="42"/>
      <c r="R410" s="37"/>
      <c r="S410" s="37"/>
      <c r="T410" s="91"/>
      <c r="U410" s="91"/>
      <c r="V410" s="41"/>
      <c r="W410" s="37"/>
      <c r="X410" s="37"/>
      <c r="Y410" s="43"/>
      <c r="Z410" s="37"/>
      <c r="AA410" s="37"/>
      <c r="AD410" s="37"/>
      <c r="AE410" s="37"/>
      <c r="AF410" s="37"/>
    </row>
    <row r="411" spans="1:32" x14ac:dyDescent="0.25">
      <c r="A411" s="37"/>
      <c r="B411" s="37"/>
      <c r="C411" s="37"/>
      <c r="F411" s="38"/>
      <c r="G411" s="38"/>
      <c r="H411" s="38"/>
      <c r="I411" s="40"/>
      <c r="J411" s="38"/>
      <c r="K411" s="38"/>
      <c r="L411" s="42"/>
      <c r="M411" s="42"/>
      <c r="N411" s="42"/>
      <c r="O411" s="42"/>
      <c r="R411" s="37"/>
      <c r="S411" s="37"/>
      <c r="T411" s="91"/>
      <c r="U411" s="91"/>
      <c r="V411" s="41"/>
      <c r="W411" s="37"/>
      <c r="X411" s="37"/>
      <c r="Y411" s="43"/>
      <c r="Z411" s="37"/>
      <c r="AA411" s="37"/>
      <c r="AD411" s="37"/>
      <c r="AE411" s="37"/>
      <c r="AF411" s="37"/>
    </row>
    <row r="412" spans="1:32" x14ac:dyDescent="0.25">
      <c r="A412" s="37"/>
      <c r="B412" s="37"/>
      <c r="C412" s="37"/>
      <c r="F412" s="38"/>
      <c r="G412" s="38"/>
      <c r="H412" s="38"/>
      <c r="I412" s="40"/>
      <c r="J412" s="38"/>
      <c r="K412" s="38"/>
      <c r="L412" s="42"/>
      <c r="M412" s="42"/>
      <c r="N412" s="42"/>
      <c r="O412" s="42"/>
      <c r="R412" s="37"/>
      <c r="S412" s="37"/>
      <c r="T412" s="91"/>
      <c r="U412" s="91"/>
      <c r="V412" s="41"/>
      <c r="W412" s="37"/>
      <c r="X412" s="37"/>
      <c r="Y412" s="43"/>
      <c r="Z412" s="37"/>
      <c r="AA412" s="37"/>
      <c r="AD412" s="37"/>
      <c r="AE412" s="37"/>
      <c r="AF412" s="37"/>
    </row>
    <row r="413" spans="1:32" x14ac:dyDescent="0.25">
      <c r="A413" s="37"/>
      <c r="B413" s="37"/>
      <c r="C413" s="37"/>
      <c r="F413" s="38"/>
      <c r="G413" s="38"/>
      <c r="H413" s="38"/>
      <c r="I413" s="40"/>
      <c r="J413" s="38"/>
      <c r="K413" s="38"/>
      <c r="L413" s="42"/>
      <c r="M413" s="42"/>
      <c r="N413" s="42"/>
      <c r="O413" s="42"/>
      <c r="R413" s="37"/>
      <c r="S413" s="37"/>
      <c r="T413" s="91"/>
      <c r="U413" s="91"/>
      <c r="V413" s="41"/>
      <c r="W413" s="37"/>
      <c r="X413" s="37"/>
      <c r="Y413" s="43"/>
      <c r="Z413" s="37"/>
      <c r="AA413" s="37"/>
      <c r="AD413" s="37"/>
      <c r="AE413" s="37"/>
      <c r="AF413" s="37"/>
    </row>
    <row r="414" spans="1:32" x14ac:dyDescent="0.25">
      <c r="A414" s="37"/>
      <c r="B414" s="37"/>
      <c r="C414" s="37"/>
      <c r="F414" s="38"/>
      <c r="G414" s="38"/>
      <c r="H414" s="38"/>
      <c r="I414" s="40"/>
      <c r="J414" s="38"/>
      <c r="K414" s="38"/>
      <c r="L414" s="42"/>
      <c r="M414" s="42"/>
      <c r="N414" s="42"/>
      <c r="O414" s="42"/>
      <c r="R414" s="37"/>
      <c r="S414" s="37"/>
      <c r="T414" s="91"/>
      <c r="U414" s="91"/>
      <c r="V414" s="41"/>
      <c r="W414" s="37"/>
      <c r="X414" s="37"/>
      <c r="Y414" s="43"/>
      <c r="Z414" s="37"/>
      <c r="AA414" s="37"/>
      <c r="AD414" s="37"/>
      <c r="AE414" s="37"/>
      <c r="AF414" s="37"/>
    </row>
    <row r="415" spans="1:32" x14ac:dyDescent="0.25">
      <c r="A415" s="37"/>
      <c r="B415" s="37"/>
      <c r="C415" s="37"/>
      <c r="F415" s="38"/>
      <c r="G415" s="38"/>
      <c r="H415" s="38"/>
      <c r="I415" s="40"/>
      <c r="J415" s="38"/>
      <c r="K415" s="38"/>
      <c r="L415" s="42"/>
      <c r="M415" s="42"/>
      <c r="N415" s="42"/>
      <c r="O415" s="42"/>
      <c r="R415" s="37"/>
      <c r="S415" s="37"/>
      <c r="T415" s="91"/>
      <c r="U415" s="91"/>
      <c r="V415" s="41"/>
      <c r="W415" s="37"/>
      <c r="X415" s="37"/>
      <c r="Y415" s="43"/>
      <c r="Z415" s="37"/>
      <c r="AA415" s="37"/>
      <c r="AD415" s="37"/>
      <c r="AE415" s="37"/>
      <c r="AF415" s="37"/>
    </row>
    <row r="416" spans="1:32" x14ac:dyDescent="0.25">
      <c r="A416" s="37"/>
      <c r="B416" s="37"/>
      <c r="C416" s="37"/>
      <c r="F416" s="38"/>
      <c r="G416" s="38"/>
      <c r="H416" s="38"/>
      <c r="I416" s="40"/>
      <c r="J416" s="38"/>
      <c r="K416" s="38"/>
      <c r="L416" s="42"/>
      <c r="M416" s="42"/>
      <c r="N416" s="42"/>
      <c r="O416" s="42"/>
      <c r="R416" s="37"/>
      <c r="S416" s="37"/>
      <c r="T416" s="91"/>
      <c r="U416" s="91"/>
      <c r="V416" s="41"/>
      <c r="W416" s="37"/>
      <c r="X416" s="37"/>
      <c r="Y416" s="43"/>
      <c r="Z416" s="37"/>
      <c r="AA416" s="37"/>
      <c r="AD416" s="37"/>
      <c r="AE416" s="37"/>
      <c r="AF416" s="37"/>
    </row>
    <row r="417" spans="1:32" x14ac:dyDescent="0.25">
      <c r="A417" s="37"/>
      <c r="B417" s="37"/>
      <c r="C417" s="37"/>
      <c r="F417" s="38"/>
      <c r="G417" s="38"/>
      <c r="H417" s="38"/>
      <c r="I417" s="40"/>
      <c r="J417" s="38"/>
      <c r="K417" s="38"/>
      <c r="L417" s="42"/>
      <c r="M417" s="42"/>
      <c r="N417" s="42"/>
      <c r="O417" s="42"/>
      <c r="R417" s="37"/>
      <c r="S417" s="37"/>
      <c r="T417" s="91"/>
      <c r="U417" s="91"/>
      <c r="V417" s="41"/>
      <c r="W417" s="37"/>
      <c r="X417" s="37"/>
      <c r="Y417" s="43"/>
      <c r="Z417" s="37"/>
      <c r="AA417" s="37"/>
      <c r="AD417" s="37"/>
      <c r="AE417" s="37"/>
      <c r="AF417" s="37"/>
    </row>
    <row r="418" spans="1:32" x14ac:dyDescent="0.25">
      <c r="A418" s="37"/>
      <c r="B418" s="37"/>
      <c r="C418" s="37"/>
      <c r="F418" s="38"/>
      <c r="G418" s="38"/>
      <c r="H418" s="38"/>
      <c r="I418" s="40"/>
      <c r="J418" s="38"/>
      <c r="K418" s="38"/>
      <c r="L418" s="42"/>
      <c r="M418" s="42"/>
      <c r="N418" s="42"/>
      <c r="O418" s="42"/>
      <c r="R418" s="37"/>
      <c r="S418" s="37"/>
      <c r="T418" s="91"/>
      <c r="U418" s="91"/>
      <c r="V418" s="41"/>
      <c r="W418" s="37"/>
      <c r="X418" s="37"/>
      <c r="Y418" s="43"/>
      <c r="Z418" s="37"/>
      <c r="AA418" s="37"/>
      <c r="AD418" s="37"/>
      <c r="AE418" s="37"/>
      <c r="AF418" s="37"/>
    </row>
    <row r="419" spans="1:32" x14ac:dyDescent="0.25">
      <c r="A419" s="37"/>
      <c r="B419" s="37"/>
      <c r="C419" s="37"/>
      <c r="F419" s="38"/>
      <c r="G419" s="38"/>
      <c r="H419" s="38"/>
      <c r="I419" s="40"/>
      <c r="J419" s="38"/>
      <c r="K419" s="38"/>
      <c r="L419" s="42"/>
      <c r="M419" s="42"/>
      <c r="N419" s="42"/>
      <c r="O419" s="42"/>
      <c r="R419" s="37"/>
      <c r="S419" s="37"/>
      <c r="T419" s="91"/>
      <c r="U419" s="91"/>
      <c r="V419" s="41"/>
      <c r="W419" s="37"/>
      <c r="X419" s="37"/>
      <c r="Y419" s="43"/>
      <c r="Z419" s="37"/>
      <c r="AA419" s="37"/>
      <c r="AD419" s="37"/>
      <c r="AE419" s="37"/>
      <c r="AF419" s="37"/>
    </row>
    <row r="420" spans="1:32" x14ac:dyDescent="0.25">
      <c r="A420" s="37"/>
      <c r="B420" s="37"/>
      <c r="C420" s="37"/>
      <c r="F420" s="38"/>
      <c r="G420" s="38"/>
      <c r="H420" s="38"/>
      <c r="I420" s="40"/>
      <c r="J420" s="38"/>
      <c r="K420" s="38"/>
      <c r="L420" s="42"/>
      <c r="M420" s="42"/>
      <c r="N420" s="42"/>
      <c r="O420" s="42"/>
      <c r="R420" s="37"/>
      <c r="S420" s="37"/>
      <c r="T420" s="91"/>
      <c r="U420" s="91"/>
      <c r="V420" s="41"/>
      <c r="W420" s="37"/>
      <c r="X420" s="37"/>
      <c r="Y420" s="43"/>
      <c r="Z420" s="37"/>
      <c r="AA420" s="37"/>
      <c r="AD420" s="37"/>
      <c r="AE420" s="37"/>
      <c r="AF420" s="37"/>
    </row>
    <row r="421" spans="1:32" x14ac:dyDescent="0.25">
      <c r="A421" s="37"/>
      <c r="B421" s="37"/>
      <c r="C421" s="37"/>
      <c r="F421" s="38"/>
      <c r="G421" s="38"/>
      <c r="H421" s="38"/>
      <c r="I421" s="40"/>
      <c r="J421" s="38"/>
      <c r="K421" s="38"/>
      <c r="L421" s="42"/>
      <c r="M421" s="42"/>
      <c r="N421" s="42"/>
      <c r="O421" s="42"/>
      <c r="R421" s="37"/>
      <c r="S421" s="37"/>
      <c r="T421" s="91"/>
      <c r="U421" s="91"/>
      <c r="V421" s="41"/>
      <c r="W421" s="37"/>
      <c r="X421" s="37"/>
      <c r="Y421" s="43"/>
      <c r="Z421" s="37"/>
      <c r="AA421" s="37"/>
      <c r="AD421" s="37"/>
      <c r="AE421" s="37"/>
      <c r="AF421" s="37"/>
    </row>
    <row r="422" spans="1:32" x14ac:dyDescent="0.25">
      <c r="A422" s="37"/>
      <c r="B422" s="37"/>
      <c r="C422" s="37"/>
      <c r="F422" s="38"/>
      <c r="G422" s="38"/>
      <c r="H422" s="38"/>
      <c r="I422" s="40"/>
      <c r="J422" s="38"/>
      <c r="K422" s="38"/>
      <c r="L422" s="42"/>
      <c r="M422" s="42"/>
      <c r="N422" s="42"/>
      <c r="O422" s="42"/>
      <c r="R422" s="37"/>
      <c r="S422" s="37"/>
      <c r="T422" s="91"/>
      <c r="U422" s="91"/>
      <c r="V422" s="41"/>
      <c r="W422" s="37"/>
      <c r="X422" s="37"/>
      <c r="Y422" s="43"/>
      <c r="Z422" s="37"/>
      <c r="AA422" s="37"/>
      <c r="AD422" s="37"/>
      <c r="AE422" s="37"/>
      <c r="AF422" s="37"/>
    </row>
    <row r="423" spans="1:32" x14ac:dyDescent="0.25">
      <c r="A423" s="37"/>
      <c r="B423" s="37"/>
      <c r="C423" s="37"/>
      <c r="F423" s="38"/>
      <c r="G423" s="38"/>
      <c r="H423" s="38"/>
      <c r="I423" s="40"/>
      <c r="J423" s="38"/>
      <c r="K423" s="38"/>
      <c r="L423" s="42"/>
      <c r="M423" s="42"/>
      <c r="N423" s="42"/>
      <c r="O423" s="42"/>
      <c r="R423" s="37"/>
      <c r="S423" s="37"/>
      <c r="T423" s="91"/>
      <c r="U423" s="91"/>
      <c r="V423" s="41"/>
      <c r="W423" s="37"/>
      <c r="X423" s="37"/>
      <c r="Y423" s="43"/>
      <c r="Z423" s="37"/>
      <c r="AA423" s="37"/>
      <c r="AD423" s="37"/>
      <c r="AE423" s="37"/>
      <c r="AF423" s="37"/>
    </row>
    <row r="424" spans="1:32" x14ac:dyDescent="0.25">
      <c r="A424" s="37"/>
      <c r="B424" s="37"/>
      <c r="C424" s="37"/>
      <c r="F424" s="38"/>
      <c r="G424" s="38"/>
      <c r="H424" s="38"/>
      <c r="I424" s="40"/>
      <c r="J424" s="38"/>
      <c r="K424" s="38"/>
      <c r="L424" s="42"/>
      <c r="M424" s="42"/>
      <c r="N424" s="42"/>
      <c r="O424" s="42"/>
      <c r="R424" s="37"/>
      <c r="S424" s="37"/>
      <c r="T424" s="91"/>
      <c r="U424" s="91"/>
      <c r="V424" s="41"/>
      <c r="W424" s="37"/>
      <c r="X424" s="37"/>
      <c r="Y424" s="43"/>
      <c r="Z424" s="37"/>
      <c r="AA424" s="37"/>
      <c r="AD424" s="37"/>
      <c r="AE424" s="37"/>
      <c r="AF424" s="37"/>
    </row>
    <row r="425" spans="1:32" x14ac:dyDescent="0.25">
      <c r="A425" s="37"/>
      <c r="B425" s="37"/>
      <c r="C425" s="37"/>
      <c r="F425" s="38"/>
      <c r="G425" s="38"/>
      <c r="H425" s="38"/>
      <c r="I425" s="40"/>
      <c r="J425" s="38"/>
      <c r="K425" s="38"/>
      <c r="L425" s="42"/>
      <c r="M425" s="42"/>
      <c r="N425" s="42"/>
      <c r="O425" s="42"/>
      <c r="R425" s="37"/>
      <c r="S425" s="37"/>
      <c r="T425" s="91"/>
      <c r="U425" s="91"/>
      <c r="V425" s="41"/>
      <c r="W425" s="37"/>
      <c r="X425" s="37"/>
      <c r="Y425" s="43"/>
      <c r="Z425" s="37"/>
      <c r="AA425" s="37"/>
      <c r="AD425" s="37"/>
      <c r="AE425" s="37"/>
      <c r="AF425" s="37"/>
    </row>
    <row r="426" spans="1:32" x14ac:dyDescent="0.25">
      <c r="A426" s="37"/>
      <c r="B426" s="37"/>
      <c r="C426" s="37"/>
      <c r="F426" s="38"/>
      <c r="G426" s="38"/>
      <c r="H426" s="38"/>
      <c r="I426" s="40"/>
      <c r="J426" s="38"/>
      <c r="K426" s="38"/>
      <c r="L426" s="42"/>
      <c r="M426" s="42"/>
      <c r="N426" s="42"/>
      <c r="O426" s="42"/>
      <c r="R426" s="37"/>
      <c r="S426" s="37"/>
      <c r="T426" s="91"/>
      <c r="U426" s="91"/>
      <c r="V426" s="41"/>
      <c r="W426" s="37"/>
      <c r="X426" s="37"/>
      <c r="Y426" s="43"/>
      <c r="Z426" s="37"/>
      <c r="AA426" s="37"/>
      <c r="AD426" s="37"/>
      <c r="AE426" s="37"/>
      <c r="AF426" s="37"/>
    </row>
    <row r="427" spans="1:32" x14ac:dyDescent="0.25">
      <c r="A427" s="37"/>
      <c r="B427" s="37"/>
      <c r="C427" s="37"/>
      <c r="F427" s="38"/>
      <c r="G427" s="38"/>
      <c r="H427" s="38"/>
      <c r="I427" s="40"/>
      <c r="J427" s="38"/>
      <c r="K427" s="38"/>
      <c r="L427" s="42"/>
      <c r="M427" s="42"/>
      <c r="N427" s="42"/>
      <c r="O427" s="42"/>
      <c r="R427" s="37"/>
      <c r="S427" s="37"/>
      <c r="T427" s="91"/>
      <c r="U427" s="91"/>
      <c r="V427" s="41"/>
      <c r="W427" s="37"/>
      <c r="X427" s="37"/>
      <c r="Y427" s="43"/>
      <c r="Z427" s="37"/>
      <c r="AA427" s="37"/>
      <c r="AD427" s="37"/>
      <c r="AE427" s="37"/>
      <c r="AF427" s="37"/>
    </row>
    <row r="428" spans="1:32" x14ac:dyDescent="0.25">
      <c r="A428" s="37"/>
      <c r="B428" s="37"/>
      <c r="C428" s="37"/>
      <c r="F428" s="38"/>
      <c r="G428" s="38"/>
      <c r="H428" s="38"/>
      <c r="I428" s="40"/>
      <c r="J428" s="38"/>
      <c r="K428" s="38"/>
      <c r="L428" s="42"/>
      <c r="M428" s="42"/>
      <c r="N428" s="42"/>
      <c r="O428" s="42"/>
      <c r="R428" s="37"/>
      <c r="S428" s="37"/>
      <c r="T428" s="91"/>
      <c r="U428" s="91"/>
      <c r="V428" s="41"/>
      <c r="W428" s="37"/>
      <c r="X428" s="37"/>
      <c r="Y428" s="43"/>
      <c r="Z428" s="37"/>
      <c r="AA428" s="37"/>
      <c r="AD428" s="37"/>
      <c r="AE428" s="37"/>
      <c r="AF428" s="37"/>
    </row>
    <row r="429" spans="1:32" x14ac:dyDescent="0.25">
      <c r="A429" s="37"/>
      <c r="B429" s="37"/>
      <c r="C429" s="37"/>
      <c r="F429" s="38"/>
      <c r="G429" s="38"/>
      <c r="H429" s="38"/>
      <c r="I429" s="40"/>
      <c r="J429" s="38"/>
      <c r="K429" s="38"/>
      <c r="L429" s="42"/>
      <c r="M429" s="42"/>
      <c r="N429" s="42"/>
      <c r="O429" s="42"/>
      <c r="R429" s="37"/>
      <c r="S429" s="37"/>
      <c r="T429" s="91"/>
      <c r="U429" s="91"/>
      <c r="V429" s="41"/>
      <c r="W429" s="37"/>
      <c r="X429" s="37"/>
      <c r="Y429" s="43"/>
      <c r="Z429" s="37"/>
      <c r="AA429" s="37"/>
      <c r="AD429" s="37"/>
      <c r="AE429" s="37"/>
      <c r="AF429" s="37"/>
    </row>
    <row r="430" spans="1:32" x14ac:dyDescent="0.25">
      <c r="A430" s="37"/>
      <c r="B430" s="37"/>
      <c r="C430" s="37"/>
      <c r="F430" s="38"/>
      <c r="G430" s="38"/>
      <c r="H430" s="38"/>
      <c r="I430" s="40"/>
      <c r="J430" s="38"/>
      <c r="K430" s="38"/>
      <c r="L430" s="42"/>
      <c r="M430" s="42"/>
      <c r="N430" s="42"/>
      <c r="O430" s="42"/>
      <c r="R430" s="37"/>
      <c r="S430" s="37"/>
      <c r="T430" s="91"/>
      <c r="U430" s="91"/>
      <c r="V430" s="41"/>
      <c r="W430" s="37"/>
      <c r="X430" s="37"/>
      <c r="Y430" s="43"/>
      <c r="Z430" s="37"/>
      <c r="AA430" s="37"/>
      <c r="AD430" s="37"/>
      <c r="AE430" s="37"/>
      <c r="AF430" s="37"/>
    </row>
    <row r="431" spans="1:32" x14ac:dyDescent="0.25">
      <c r="A431" s="37"/>
      <c r="B431" s="37"/>
      <c r="C431" s="37"/>
      <c r="F431" s="38"/>
      <c r="G431" s="38"/>
      <c r="H431" s="38"/>
      <c r="I431" s="40"/>
      <c r="J431" s="38"/>
      <c r="K431" s="38"/>
      <c r="L431" s="42"/>
      <c r="M431" s="42"/>
      <c r="N431" s="42"/>
      <c r="O431" s="42"/>
      <c r="R431" s="37"/>
      <c r="S431" s="37"/>
      <c r="T431" s="91"/>
      <c r="U431" s="91"/>
      <c r="V431" s="41"/>
      <c r="W431" s="37"/>
      <c r="X431" s="37"/>
      <c r="Y431" s="43"/>
      <c r="Z431" s="37"/>
      <c r="AA431" s="37"/>
      <c r="AD431" s="37"/>
      <c r="AE431" s="37"/>
      <c r="AF431" s="37"/>
    </row>
    <row r="432" spans="1:32" x14ac:dyDescent="0.25">
      <c r="A432" s="37"/>
      <c r="B432" s="37"/>
      <c r="C432" s="37"/>
      <c r="F432" s="38"/>
      <c r="G432" s="38"/>
      <c r="H432" s="38"/>
      <c r="I432" s="40"/>
      <c r="J432" s="38"/>
      <c r="K432" s="38"/>
      <c r="L432" s="42"/>
      <c r="M432" s="42"/>
      <c r="N432" s="42"/>
      <c r="O432" s="42"/>
      <c r="R432" s="37"/>
      <c r="S432" s="37"/>
      <c r="T432" s="91"/>
      <c r="U432" s="91"/>
      <c r="V432" s="41"/>
      <c r="W432" s="37"/>
      <c r="X432" s="37"/>
      <c r="Y432" s="43"/>
      <c r="Z432" s="37"/>
      <c r="AA432" s="37"/>
      <c r="AD432" s="37"/>
      <c r="AE432" s="37"/>
      <c r="AF432" s="37"/>
    </row>
    <row r="433" spans="1:32" x14ac:dyDescent="0.25">
      <c r="A433" s="37"/>
      <c r="B433" s="37"/>
      <c r="C433" s="37"/>
      <c r="F433" s="38"/>
      <c r="G433" s="38"/>
      <c r="H433" s="38"/>
      <c r="I433" s="40"/>
      <c r="J433" s="38"/>
      <c r="K433" s="38"/>
      <c r="L433" s="42"/>
      <c r="M433" s="42"/>
      <c r="N433" s="42"/>
      <c r="O433" s="42"/>
      <c r="R433" s="37"/>
      <c r="S433" s="37"/>
      <c r="T433" s="91"/>
      <c r="U433" s="91"/>
      <c r="V433" s="41"/>
      <c r="W433" s="37"/>
      <c r="X433" s="37"/>
      <c r="Y433" s="43"/>
      <c r="Z433" s="37"/>
      <c r="AA433" s="37"/>
      <c r="AD433" s="37"/>
      <c r="AE433" s="37"/>
      <c r="AF433" s="37"/>
    </row>
    <row r="434" spans="1:32" x14ac:dyDescent="0.25">
      <c r="A434" s="37"/>
      <c r="B434" s="37"/>
      <c r="C434" s="37"/>
      <c r="F434" s="38"/>
      <c r="G434" s="38"/>
      <c r="H434" s="38"/>
      <c r="I434" s="40"/>
      <c r="J434" s="38"/>
      <c r="K434" s="38"/>
      <c r="L434" s="42"/>
      <c r="M434" s="42"/>
      <c r="N434" s="42"/>
      <c r="O434" s="42"/>
      <c r="R434" s="37"/>
      <c r="S434" s="37"/>
      <c r="T434" s="91"/>
      <c r="U434" s="91"/>
      <c r="V434" s="41"/>
      <c r="W434" s="37"/>
      <c r="X434" s="37"/>
      <c r="Y434" s="43"/>
      <c r="Z434" s="37"/>
      <c r="AA434" s="37"/>
      <c r="AD434" s="37"/>
      <c r="AE434" s="37"/>
      <c r="AF434" s="37"/>
    </row>
    <row r="435" spans="1:32" x14ac:dyDescent="0.25">
      <c r="A435" s="37"/>
      <c r="B435" s="37"/>
      <c r="C435" s="37"/>
      <c r="F435" s="38"/>
      <c r="G435" s="38"/>
      <c r="H435" s="38"/>
      <c r="I435" s="40"/>
      <c r="J435" s="38"/>
      <c r="K435" s="38"/>
      <c r="L435" s="42"/>
      <c r="M435" s="42"/>
      <c r="N435" s="42"/>
      <c r="O435" s="42"/>
      <c r="R435" s="37"/>
      <c r="S435" s="37"/>
      <c r="T435" s="91"/>
      <c r="U435" s="91"/>
      <c r="V435" s="41"/>
      <c r="W435" s="37"/>
      <c r="X435" s="37"/>
      <c r="Y435" s="43"/>
      <c r="Z435" s="37"/>
      <c r="AA435" s="37"/>
      <c r="AD435" s="37"/>
      <c r="AE435" s="37"/>
      <c r="AF435" s="37"/>
    </row>
    <row r="436" spans="1:32" x14ac:dyDescent="0.25">
      <c r="A436" s="37"/>
      <c r="B436" s="37"/>
      <c r="C436" s="37"/>
      <c r="F436" s="38"/>
      <c r="G436" s="38"/>
      <c r="H436" s="38"/>
      <c r="I436" s="40"/>
      <c r="J436" s="38"/>
      <c r="K436" s="38"/>
      <c r="L436" s="42"/>
      <c r="M436" s="42"/>
      <c r="N436" s="42"/>
      <c r="O436" s="42"/>
      <c r="R436" s="37"/>
      <c r="S436" s="37"/>
      <c r="T436" s="91"/>
      <c r="U436" s="91"/>
      <c r="V436" s="41"/>
      <c r="W436" s="37"/>
      <c r="X436" s="37"/>
      <c r="Y436" s="43"/>
      <c r="Z436" s="37"/>
      <c r="AA436" s="37"/>
      <c r="AD436" s="37"/>
      <c r="AE436" s="37"/>
      <c r="AF436" s="37"/>
    </row>
    <row r="437" spans="1:32" x14ac:dyDescent="0.25">
      <c r="A437" s="37"/>
      <c r="B437" s="37"/>
      <c r="C437" s="37"/>
      <c r="F437" s="38"/>
      <c r="G437" s="38"/>
      <c r="H437" s="38"/>
      <c r="I437" s="40"/>
      <c r="J437" s="38"/>
      <c r="K437" s="38"/>
      <c r="L437" s="42"/>
      <c r="M437" s="42"/>
      <c r="N437" s="42"/>
      <c r="O437" s="42"/>
      <c r="R437" s="37"/>
      <c r="S437" s="37"/>
      <c r="T437" s="91"/>
      <c r="U437" s="91"/>
      <c r="V437" s="41"/>
      <c r="W437" s="37"/>
      <c r="X437" s="37"/>
      <c r="Y437" s="43"/>
      <c r="Z437" s="37"/>
      <c r="AA437" s="37"/>
      <c r="AD437" s="37"/>
      <c r="AE437" s="37"/>
      <c r="AF437" s="37"/>
    </row>
    <row r="438" spans="1:32" x14ac:dyDescent="0.25">
      <c r="A438" s="37"/>
      <c r="B438" s="37"/>
      <c r="C438" s="37"/>
      <c r="F438" s="38"/>
      <c r="G438" s="38"/>
      <c r="H438" s="38"/>
      <c r="I438" s="40"/>
      <c r="J438" s="38"/>
      <c r="K438" s="38"/>
      <c r="L438" s="42"/>
      <c r="M438" s="42"/>
      <c r="N438" s="42"/>
      <c r="O438" s="42"/>
      <c r="R438" s="37"/>
      <c r="S438" s="37"/>
      <c r="T438" s="91"/>
      <c r="U438" s="91"/>
      <c r="V438" s="41"/>
      <c r="W438" s="37"/>
      <c r="X438" s="37"/>
      <c r="Y438" s="43"/>
      <c r="Z438" s="37"/>
      <c r="AA438" s="37"/>
      <c r="AD438" s="37"/>
      <c r="AE438" s="37"/>
      <c r="AF438" s="37"/>
    </row>
    <row r="439" spans="1:32" x14ac:dyDescent="0.25">
      <c r="A439" s="37"/>
      <c r="B439" s="37"/>
      <c r="C439" s="37"/>
      <c r="F439" s="38"/>
      <c r="G439" s="38"/>
      <c r="H439" s="38"/>
      <c r="I439" s="40"/>
      <c r="J439" s="38"/>
      <c r="K439" s="38"/>
      <c r="L439" s="42"/>
      <c r="M439" s="42"/>
      <c r="N439" s="42"/>
      <c r="O439" s="42"/>
      <c r="R439" s="37"/>
      <c r="S439" s="37"/>
      <c r="T439" s="91"/>
      <c r="U439" s="91"/>
      <c r="V439" s="41"/>
      <c r="W439" s="37"/>
      <c r="X439" s="37"/>
      <c r="Y439" s="43"/>
      <c r="Z439" s="37"/>
      <c r="AA439" s="37"/>
      <c r="AD439" s="37"/>
      <c r="AE439" s="37"/>
      <c r="AF439" s="37"/>
    </row>
    <row r="440" spans="1:32" x14ac:dyDescent="0.25">
      <c r="A440" s="37"/>
      <c r="B440" s="37"/>
      <c r="C440" s="37"/>
      <c r="F440" s="38"/>
      <c r="G440" s="38"/>
      <c r="H440" s="38"/>
      <c r="I440" s="40"/>
      <c r="J440" s="38"/>
      <c r="K440" s="38"/>
      <c r="L440" s="42"/>
      <c r="M440" s="42"/>
      <c r="N440" s="42"/>
      <c r="O440" s="42"/>
      <c r="R440" s="37"/>
      <c r="S440" s="37"/>
      <c r="T440" s="91"/>
      <c r="U440" s="91"/>
      <c r="V440" s="41"/>
      <c r="W440" s="37"/>
      <c r="X440" s="37"/>
      <c r="Y440" s="43"/>
      <c r="Z440" s="37"/>
      <c r="AA440" s="37"/>
      <c r="AD440" s="37"/>
      <c r="AE440" s="37"/>
      <c r="AF440" s="37"/>
    </row>
    <row r="441" spans="1:32" x14ac:dyDescent="0.25">
      <c r="A441" s="37"/>
      <c r="B441" s="37"/>
      <c r="C441" s="37"/>
      <c r="F441" s="38"/>
      <c r="G441" s="38"/>
      <c r="H441" s="38"/>
      <c r="I441" s="40"/>
      <c r="J441" s="38"/>
      <c r="K441" s="38"/>
      <c r="L441" s="42"/>
      <c r="M441" s="42"/>
      <c r="N441" s="42"/>
      <c r="O441" s="42"/>
      <c r="R441" s="37"/>
      <c r="S441" s="37"/>
      <c r="T441" s="91"/>
      <c r="U441" s="91"/>
      <c r="V441" s="41"/>
      <c r="W441" s="37"/>
      <c r="X441" s="37"/>
      <c r="Y441" s="43"/>
      <c r="Z441" s="37"/>
      <c r="AA441" s="37"/>
      <c r="AD441" s="37"/>
      <c r="AE441" s="37"/>
      <c r="AF441" s="37"/>
    </row>
    <row r="442" spans="1:32" x14ac:dyDescent="0.25">
      <c r="A442" s="37"/>
      <c r="B442" s="37"/>
      <c r="C442" s="37"/>
      <c r="F442" s="38"/>
      <c r="G442" s="38"/>
      <c r="H442" s="38"/>
      <c r="I442" s="40"/>
      <c r="J442" s="38"/>
      <c r="K442" s="38"/>
      <c r="L442" s="42"/>
      <c r="M442" s="42"/>
      <c r="N442" s="42"/>
      <c r="O442" s="42"/>
      <c r="R442" s="37"/>
      <c r="S442" s="37"/>
      <c r="T442" s="91"/>
      <c r="U442" s="91"/>
      <c r="V442" s="41"/>
      <c r="W442" s="37"/>
      <c r="X442" s="37"/>
      <c r="Y442" s="43"/>
      <c r="Z442" s="37"/>
      <c r="AA442" s="37"/>
      <c r="AD442" s="37"/>
      <c r="AE442" s="37"/>
      <c r="AF442" s="37"/>
    </row>
    <row r="443" spans="1:32" x14ac:dyDescent="0.25">
      <c r="A443" s="37"/>
      <c r="B443" s="37"/>
      <c r="C443" s="37"/>
      <c r="F443" s="38"/>
      <c r="G443" s="38"/>
      <c r="H443" s="38"/>
      <c r="I443" s="40"/>
      <c r="J443" s="38"/>
      <c r="K443" s="38"/>
      <c r="L443" s="42"/>
      <c r="M443" s="42"/>
      <c r="N443" s="42"/>
      <c r="O443" s="42"/>
      <c r="R443" s="37"/>
      <c r="S443" s="37"/>
      <c r="T443" s="91"/>
      <c r="U443" s="91"/>
      <c r="V443" s="41"/>
      <c r="W443" s="37"/>
      <c r="X443" s="37"/>
      <c r="Y443" s="43"/>
      <c r="Z443" s="37"/>
      <c r="AA443" s="37"/>
      <c r="AD443" s="37"/>
      <c r="AE443" s="37"/>
      <c r="AF443" s="37"/>
    </row>
    <row r="444" spans="1:32" x14ac:dyDescent="0.25">
      <c r="A444" s="37"/>
      <c r="B444" s="37"/>
      <c r="C444" s="37"/>
      <c r="F444" s="38"/>
      <c r="G444" s="38"/>
      <c r="H444" s="38"/>
      <c r="I444" s="40"/>
      <c r="J444" s="38"/>
      <c r="K444" s="38"/>
      <c r="L444" s="42"/>
      <c r="M444" s="42"/>
      <c r="N444" s="42"/>
      <c r="O444" s="42"/>
      <c r="R444" s="37"/>
      <c r="S444" s="37"/>
      <c r="T444" s="91"/>
      <c r="U444" s="91"/>
      <c r="V444" s="41"/>
      <c r="W444" s="37"/>
      <c r="X444" s="37"/>
      <c r="Y444" s="43"/>
      <c r="Z444" s="37"/>
      <c r="AA444" s="37"/>
      <c r="AD444" s="37"/>
      <c r="AE444" s="37"/>
      <c r="AF444" s="37"/>
    </row>
    <row r="445" spans="1:32" x14ac:dyDescent="0.25">
      <c r="A445" s="37"/>
      <c r="B445" s="37"/>
      <c r="C445" s="37"/>
      <c r="F445" s="38"/>
      <c r="G445" s="38"/>
      <c r="H445" s="38"/>
      <c r="I445" s="40"/>
      <c r="J445" s="38"/>
      <c r="K445" s="38"/>
      <c r="L445" s="42"/>
      <c r="M445" s="42"/>
      <c r="N445" s="42"/>
      <c r="O445" s="42"/>
      <c r="R445" s="37"/>
      <c r="S445" s="37"/>
      <c r="T445" s="91"/>
      <c r="U445" s="91"/>
      <c r="V445" s="41"/>
      <c r="W445" s="37"/>
      <c r="X445" s="37"/>
      <c r="Y445" s="43"/>
      <c r="Z445" s="37"/>
      <c r="AA445" s="37"/>
      <c r="AD445" s="37"/>
      <c r="AE445" s="37"/>
      <c r="AF445" s="37"/>
    </row>
    <row r="446" spans="1:32" x14ac:dyDescent="0.25">
      <c r="A446" s="37"/>
      <c r="B446" s="37"/>
      <c r="C446" s="37"/>
      <c r="F446" s="38"/>
      <c r="G446" s="38"/>
      <c r="H446" s="38"/>
      <c r="I446" s="40"/>
      <c r="J446" s="38"/>
      <c r="K446" s="38"/>
      <c r="L446" s="42"/>
      <c r="M446" s="42"/>
      <c r="N446" s="42"/>
      <c r="O446" s="42"/>
      <c r="R446" s="37"/>
      <c r="S446" s="37"/>
      <c r="T446" s="91"/>
      <c r="U446" s="91"/>
      <c r="V446" s="41"/>
      <c r="W446" s="37"/>
      <c r="X446" s="37"/>
      <c r="Y446" s="43"/>
      <c r="Z446" s="37"/>
      <c r="AA446" s="37"/>
      <c r="AD446" s="37"/>
      <c r="AE446" s="37"/>
      <c r="AF446" s="37"/>
    </row>
    <row r="447" spans="1:32" x14ac:dyDescent="0.25">
      <c r="A447" s="37"/>
      <c r="B447" s="37"/>
      <c r="C447" s="37"/>
      <c r="F447" s="38"/>
      <c r="G447" s="38"/>
      <c r="H447" s="38"/>
      <c r="I447" s="40"/>
      <c r="J447" s="38"/>
      <c r="K447" s="38"/>
      <c r="L447" s="42"/>
      <c r="M447" s="42"/>
      <c r="N447" s="42"/>
      <c r="O447" s="42"/>
      <c r="R447" s="37"/>
      <c r="S447" s="37"/>
      <c r="T447" s="91"/>
      <c r="U447" s="91"/>
      <c r="V447" s="41"/>
      <c r="W447" s="37"/>
      <c r="X447" s="37"/>
      <c r="Y447" s="43"/>
      <c r="Z447" s="37"/>
      <c r="AA447" s="37"/>
      <c r="AD447" s="37"/>
      <c r="AE447" s="37"/>
      <c r="AF447" s="37"/>
    </row>
    <row r="448" spans="1:32" x14ac:dyDescent="0.25">
      <c r="A448" s="37"/>
      <c r="B448" s="37"/>
      <c r="C448" s="37"/>
      <c r="F448" s="38"/>
      <c r="G448" s="38"/>
      <c r="H448" s="38"/>
      <c r="I448" s="40"/>
      <c r="J448" s="38"/>
      <c r="K448" s="38"/>
      <c r="L448" s="42"/>
      <c r="M448" s="42"/>
      <c r="N448" s="42"/>
      <c r="O448" s="42"/>
      <c r="R448" s="37"/>
      <c r="S448" s="37"/>
      <c r="T448" s="91"/>
      <c r="U448" s="91"/>
      <c r="V448" s="41"/>
      <c r="W448" s="37"/>
      <c r="X448" s="37"/>
      <c r="Y448" s="43"/>
      <c r="Z448" s="37"/>
      <c r="AA448" s="37"/>
      <c r="AD448" s="37"/>
      <c r="AE448" s="37"/>
      <c r="AF448" s="37"/>
    </row>
    <row r="449" spans="1:32" x14ac:dyDescent="0.25">
      <c r="A449" s="37"/>
      <c r="B449" s="37"/>
      <c r="C449" s="37"/>
      <c r="F449" s="38"/>
      <c r="G449" s="38"/>
      <c r="H449" s="38"/>
      <c r="I449" s="40"/>
      <c r="J449" s="38"/>
      <c r="K449" s="38"/>
      <c r="L449" s="42"/>
      <c r="M449" s="42"/>
      <c r="N449" s="42"/>
      <c r="O449" s="42"/>
      <c r="R449" s="37"/>
      <c r="S449" s="37"/>
      <c r="T449" s="91"/>
      <c r="U449" s="91"/>
      <c r="V449" s="41"/>
      <c r="W449" s="37"/>
      <c r="X449" s="37"/>
      <c r="Y449" s="43"/>
      <c r="Z449" s="37"/>
      <c r="AA449" s="37"/>
      <c r="AD449" s="37"/>
      <c r="AE449" s="37"/>
      <c r="AF449" s="37"/>
    </row>
    <row r="450" spans="1:32" x14ac:dyDescent="0.25">
      <c r="A450" s="37"/>
      <c r="B450" s="37"/>
      <c r="C450" s="37"/>
      <c r="F450" s="38"/>
      <c r="G450" s="38"/>
      <c r="H450" s="38"/>
      <c r="I450" s="40"/>
      <c r="J450" s="38"/>
      <c r="K450" s="38"/>
      <c r="L450" s="42"/>
      <c r="M450" s="42"/>
      <c r="N450" s="42"/>
      <c r="O450" s="42"/>
      <c r="R450" s="37"/>
      <c r="S450" s="37"/>
      <c r="T450" s="91"/>
      <c r="U450" s="91"/>
      <c r="V450" s="41"/>
      <c r="W450" s="37"/>
      <c r="X450" s="37"/>
      <c r="Y450" s="43"/>
      <c r="Z450" s="37"/>
      <c r="AA450" s="37"/>
      <c r="AD450" s="37"/>
      <c r="AE450" s="37"/>
      <c r="AF450" s="37"/>
    </row>
    <row r="451" spans="1:32" x14ac:dyDescent="0.25">
      <c r="A451" s="37"/>
      <c r="B451" s="37"/>
      <c r="C451" s="37"/>
      <c r="F451" s="38"/>
      <c r="G451" s="38"/>
      <c r="H451" s="38"/>
      <c r="I451" s="40"/>
      <c r="J451" s="38"/>
      <c r="K451" s="38"/>
      <c r="L451" s="42"/>
      <c r="M451" s="42"/>
      <c r="N451" s="42"/>
      <c r="O451" s="42"/>
      <c r="R451" s="37"/>
      <c r="S451" s="37"/>
      <c r="T451" s="91"/>
      <c r="U451" s="91"/>
      <c r="V451" s="41"/>
      <c r="W451" s="37"/>
      <c r="X451" s="37"/>
      <c r="Y451" s="43"/>
      <c r="Z451" s="37"/>
      <c r="AA451" s="37"/>
      <c r="AD451" s="37"/>
      <c r="AE451" s="37"/>
      <c r="AF451" s="37"/>
    </row>
    <row r="452" spans="1:32" x14ac:dyDescent="0.25">
      <c r="A452" s="37"/>
      <c r="B452" s="37"/>
      <c r="C452" s="37"/>
      <c r="F452" s="38"/>
      <c r="G452" s="38"/>
      <c r="H452" s="38"/>
      <c r="I452" s="40"/>
      <c r="J452" s="38"/>
      <c r="K452" s="38"/>
      <c r="L452" s="42"/>
      <c r="M452" s="42"/>
      <c r="N452" s="42"/>
      <c r="O452" s="42"/>
      <c r="R452" s="37"/>
      <c r="S452" s="37"/>
      <c r="T452" s="91"/>
      <c r="U452" s="91"/>
      <c r="V452" s="41"/>
      <c r="W452" s="37"/>
      <c r="X452" s="37"/>
      <c r="Y452" s="43"/>
      <c r="Z452" s="37"/>
      <c r="AA452" s="37"/>
      <c r="AD452" s="37"/>
      <c r="AE452" s="37"/>
      <c r="AF452" s="37"/>
    </row>
    <row r="453" spans="1:32" x14ac:dyDescent="0.25">
      <c r="A453" s="37"/>
      <c r="B453" s="37"/>
      <c r="C453" s="37"/>
      <c r="F453" s="38"/>
      <c r="G453" s="38"/>
      <c r="H453" s="38"/>
      <c r="I453" s="40"/>
      <c r="J453" s="38"/>
      <c r="K453" s="38"/>
      <c r="L453" s="42"/>
      <c r="M453" s="42"/>
      <c r="N453" s="42"/>
      <c r="O453" s="42"/>
      <c r="R453" s="37"/>
      <c r="S453" s="37"/>
      <c r="T453" s="91"/>
      <c r="U453" s="91"/>
      <c r="V453" s="41"/>
      <c r="W453" s="37"/>
      <c r="X453" s="37"/>
      <c r="Y453" s="43"/>
      <c r="Z453" s="37"/>
      <c r="AA453" s="37"/>
      <c r="AD453" s="37"/>
      <c r="AE453" s="37"/>
      <c r="AF453" s="37"/>
    </row>
    <row r="454" spans="1:32" x14ac:dyDescent="0.25">
      <c r="A454" s="37"/>
      <c r="B454" s="37"/>
      <c r="C454" s="37"/>
      <c r="F454" s="38"/>
      <c r="G454" s="38"/>
      <c r="H454" s="38"/>
      <c r="I454" s="40"/>
      <c r="J454" s="38"/>
      <c r="K454" s="38"/>
      <c r="L454" s="42"/>
      <c r="M454" s="42"/>
      <c r="N454" s="42"/>
      <c r="O454" s="42"/>
      <c r="R454" s="37"/>
      <c r="S454" s="37"/>
      <c r="T454" s="91"/>
      <c r="U454" s="91"/>
      <c r="V454" s="41"/>
      <c r="W454" s="37"/>
      <c r="X454" s="37"/>
      <c r="Y454" s="43"/>
      <c r="Z454" s="37"/>
      <c r="AA454" s="37"/>
      <c r="AD454" s="37"/>
      <c r="AE454" s="37"/>
      <c r="AF454" s="37"/>
    </row>
    <row r="455" spans="1:32" x14ac:dyDescent="0.25">
      <c r="A455" s="37"/>
      <c r="B455" s="37"/>
      <c r="C455" s="37"/>
      <c r="F455" s="38"/>
      <c r="G455" s="38"/>
      <c r="H455" s="38"/>
      <c r="I455" s="40"/>
      <c r="J455" s="38"/>
      <c r="K455" s="38"/>
      <c r="L455" s="42"/>
      <c r="M455" s="42"/>
      <c r="N455" s="42"/>
      <c r="O455" s="42"/>
      <c r="R455" s="37"/>
      <c r="S455" s="37"/>
      <c r="T455" s="91"/>
      <c r="U455" s="91"/>
      <c r="V455" s="41"/>
      <c r="W455" s="37"/>
      <c r="X455" s="37"/>
      <c r="Y455" s="43"/>
      <c r="Z455" s="37"/>
      <c r="AA455" s="37"/>
      <c r="AD455" s="37"/>
      <c r="AE455" s="37"/>
      <c r="AF455" s="37"/>
    </row>
    <row r="456" spans="1:32" x14ac:dyDescent="0.25">
      <c r="A456" s="37"/>
      <c r="B456" s="37"/>
      <c r="C456" s="37"/>
      <c r="F456" s="38"/>
      <c r="G456" s="38"/>
      <c r="H456" s="38"/>
      <c r="I456" s="40"/>
      <c r="J456" s="38"/>
      <c r="K456" s="38"/>
      <c r="L456" s="42"/>
      <c r="M456" s="42"/>
      <c r="N456" s="42"/>
      <c r="O456" s="42"/>
      <c r="R456" s="37"/>
      <c r="S456" s="37"/>
      <c r="T456" s="91"/>
      <c r="U456" s="91"/>
      <c r="V456" s="41"/>
      <c r="W456" s="37"/>
      <c r="X456" s="37"/>
      <c r="Y456" s="43"/>
      <c r="Z456" s="37"/>
      <c r="AA456" s="37"/>
      <c r="AD456" s="37"/>
      <c r="AE456" s="37"/>
      <c r="AF456" s="37"/>
    </row>
    <row r="457" spans="1:32" x14ac:dyDescent="0.25">
      <c r="A457" s="37"/>
      <c r="B457" s="37"/>
      <c r="C457" s="37"/>
      <c r="F457" s="38"/>
      <c r="G457" s="38"/>
      <c r="H457" s="38"/>
      <c r="I457" s="40"/>
      <c r="J457" s="38"/>
      <c r="K457" s="38"/>
      <c r="L457" s="42"/>
      <c r="M457" s="42"/>
      <c r="N457" s="42"/>
      <c r="O457" s="42"/>
      <c r="R457" s="37"/>
      <c r="S457" s="37"/>
      <c r="T457" s="91"/>
      <c r="U457" s="91"/>
      <c r="V457" s="41"/>
      <c r="W457" s="37"/>
      <c r="X457" s="37"/>
      <c r="Y457" s="43"/>
      <c r="Z457" s="37"/>
      <c r="AA457" s="37"/>
      <c r="AD457" s="37"/>
      <c r="AE457" s="37"/>
      <c r="AF457" s="37"/>
    </row>
    <row r="458" spans="1:32" x14ac:dyDescent="0.25">
      <c r="A458" s="37"/>
      <c r="B458" s="37"/>
      <c r="C458" s="37"/>
      <c r="F458" s="38"/>
      <c r="G458" s="38"/>
      <c r="H458" s="38"/>
      <c r="I458" s="40"/>
      <c r="J458" s="38"/>
      <c r="K458" s="38"/>
      <c r="L458" s="42"/>
      <c r="M458" s="42"/>
      <c r="N458" s="42"/>
      <c r="O458" s="42"/>
      <c r="R458" s="37"/>
      <c r="S458" s="37"/>
      <c r="T458" s="91"/>
      <c r="U458" s="91"/>
      <c r="V458" s="41"/>
      <c r="W458" s="37"/>
      <c r="X458" s="37"/>
      <c r="Y458" s="43"/>
      <c r="Z458" s="37"/>
      <c r="AA458" s="37"/>
      <c r="AD458" s="37"/>
      <c r="AE458" s="37"/>
      <c r="AF458" s="37"/>
    </row>
    <row r="459" spans="1:32" x14ac:dyDescent="0.25">
      <c r="A459" s="37"/>
      <c r="B459" s="37"/>
      <c r="C459" s="37"/>
      <c r="F459" s="38"/>
      <c r="G459" s="38"/>
      <c r="H459" s="38"/>
      <c r="I459" s="40"/>
      <c r="J459" s="38"/>
      <c r="K459" s="38"/>
      <c r="L459" s="42"/>
      <c r="M459" s="42"/>
      <c r="N459" s="42"/>
      <c r="O459" s="42"/>
      <c r="R459" s="37"/>
      <c r="S459" s="37"/>
      <c r="T459" s="91"/>
      <c r="U459" s="91"/>
      <c r="V459" s="41"/>
      <c r="W459" s="37"/>
      <c r="X459" s="37"/>
      <c r="Y459" s="43"/>
      <c r="Z459" s="37"/>
      <c r="AA459" s="37"/>
      <c r="AD459" s="37"/>
      <c r="AE459" s="37"/>
      <c r="AF459" s="37"/>
    </row>
    <row r="460" spans="1:32" x14ac:dyDescent="0.25">
      <c r="A460" s="37"/>
      <c r="B460" s="37"/>
      <c r="C460" s="37"/>
      <c r="F460" s="38"/>
      <c r="G460" s="38"/>
      <c r="H460" s="38"/>
      <c r="I460" s="40"/>
      <c r="J460" s="38"/>
      <c r="K460" s="38"/>
      <c r="L460" s="42"/>
      <c r="M460" s="42"/>
      <c r="N460" s="42"/>
      <c r="O460" s="42"/>
      <c r="R460" s="37"/>
      <c r="S460" s="37"/>
      <c r="T460" s="91"/>
      <c r="U460" s="91"/>
      <c r="V460" s="41"/>
      <c r="W460" s="37"/>
      <c r="X460" s="37"/>
      <c r="Y460" s="43"/>
      <c r="Z460" s="37"/>
      <c r="AA460" s="37"/>
      <c r="AD460" s="37"/>
      <c r="AE460" s="37"/>
      <c r="AF460" s="37"/>
    </row>
    <row r="461" spans="1:32" x14ac:dyDescent="0.25">
      <c r="A461" s="37"/>
      <c r="B461" s="37"/>
      <c r="C461" s="37"/>
      <c r="F461" s="38"/>
      <c r="G461" s="38"/>
      <c r="H461" s="38"/>
      <c r="I461" s="40"/>
      <c r="J461" s="38"/>
      <c r="K461" s="38"/>
      <c r="L461" s="42"/>
      <c r="M461" s="42"/>
      <c r="N461" s="42"/>
      <c r="O461" s="42"/>
      <c r="R461" s="37"/>
      <c r="S461" s="37"/>
      <c r="T461" s="91"/>
      <c r="U461" s="91"/>
      <c r="V461" s="41"/>
      <c r="W461" s="37"/>
      <c r="X461" s="37"/>
      <c r="Y461" s="43"/>
      <c r="Z461" s="37"/>
      <c r="AA461" s="37"/>
      <c r="AD461" s="37"/>
      <c r="AE461" s="37"/>
      <c r="AF461" s="37"/>
    </row>
    <row r="462" spans="1:32" x14ac:dyDescent="0.25">
      <c r="A462" s="37"/>
      <c r="B462" s="37"/>
      <c r="C462" s="37"/>
      <c r="F462" s="38"/>
      <c r="G462" s="38"/>
      <c r="H462" s="38"/>
      <c r="I462" s="40"/>
      <c r="J462" s="38"/>
      <c r="K462" s="38"/>
      <c r="L462" s="42"/>
      <c r="M462" s="42"/>
      <c r="N462" s="42"/>
      <c r="O462" s="42"/>
      <c r="R462" s="37"/>
      <c r="S462" s="37"/>
      <c r="T462" s="91"/>
      <c r="U462" s="91"/>
      <c r="V462" s="41"/>
      <c r="W462" s="37"/>
      <c r="X462" s="37"/>
      <c r="Y462" s="43"/>
      <c r="Z462" s="37"/>
      <c r="AA462" s="37"/>
      <c r="AD462" s="37"/>
      <c r="AE462" s="37"/>
      <c r="AF462" s="37"/>
    </row>
    <row r="463" spans="1:32" x14ac:dyDescent="0.25">
      <c r="A463" s="37"/>
      <c r="B463" s="37"/>
      <c r="C463" s="37"/>
      <c r="F463" s="38"/>
      <c r="G463" s="38"/>
      <c r="H463" s="38"/>
      <c r="I463" s="40"/>
      <c r="J463" s="38"/>
      <c r="K463" s="38"/>
      <c r="L463" s="42"/>
      <c r="M463" s="42"/>
      <c r="N463" s="42"/>
      <c r="O463" s="42"/>
      <c r="R463" s="37"/>
      <c r="S463" s="37"/>
      <c r="T463" s="91"/>
      <c r="U463" s="91"/>
      <c r="V463" s="41"/>
      <c r="W463" s="37"/>
      <c r="X463" s="37"/>
      <c r="Y463" s="43"/>
      <c r="Z463" s="37"/>
      <c r="AA463" s="37"/>
      <c r="AD463" s="37"/>
      <c r="AE463" s="37"/>
      <c r="AF463" s="37"/>
    </row>
    <row r="464" spans="1:32" x14ac:dyDescent="0.25">
      <c r="A464" s="37"/>
      <c r="B464" s="37"/>
      <c r="C464" s="37"/>
      <c r="F464" s="38"/>
      <c r="G464" s="38"/>
      <c r="H464" s="38"/>
      <c r="I464" s="40"/>
      <c r="J464" s="38"/>
      <c r="K464" s="38"/>
      <c r="L464" s="42"/>
      <c r="M464" s="42"/>
      <c r="N464" s="42"/>
      <c r="O464" s="42"/>
      <c r="R464" s="37"/>
      <c r="S464" s="37"/>
      <c r="T464" s="91"/>
      <c r="U464" s="91"/>
      <c r="V464" s="41"/>
      <c r="W464" s="37"/>
      <c r="X464" s="37"/>
      <c r="Y464" s="43"/>
      <c r="Z464" s="37"/>
      <c r="AA464" s="37"/>
      <c r="AD464" s="37"/>
      <c r="AE464" s="37"/>
      <c r="AF464" s="37"/>
    </row>
    <row r="465" spans="1:32" x14ac:dyDescent="0.25">
      <c r="A465" s="37"/>
      <c r="B465" s="37"/>
      <c r="C465" s="37"/>
      <c r="F465" s="38"/>
      <c r="G465" s="38"/>
      <c r="H465" s="38"/>
      <c r="I465" s="40"/>
      <c r="J465" s="38"/>
      <c r="K465" s="38"/>
      <c r="L465" s="42"/>
      <c r="M465" s="42"/>
      <c r="N465" s="42"/>
      <c r="O465" s="42"/>
      <c r="R465" s="37"/>
      <c r="S465" s="37"/>
      <c r="T465" s="91"/>
      <c r="U465" s="91"/>
      <c r="V465" s="41"/>
      <c r="W465" s="37"/>
      <c r="X465" s="37"/>
      <c r="Y465" s="43"/>
      <c r="Z465" s="37"/>
      <c r="AA465" s="37"/>
      <c r="AD465" s="37"/>
      <c r="AE465" s="37"/>
      <c r="AF465" s="37"/>
    </row>
    <row r="466" spans="1:32" x14ac:dyDescent="0.25">
      <c r="A466" s="37"/>
      <c r="B466" s="37"/>
      <c r="C466" s="37"/>
      <c r="F466" s="38"/>
      <c r="G466" s="38"/>
      <c r="H466" s="38"/>
      <c r="I466" s="40"/>
      <c r="J466" s="38"/>
      <c r="K466" s="38"/>
      <c r="L466" s="42"/>
      <c r="M466" s="42"/>
      <c r="N466" s="42"/>
      <c r="O466" s="42"/>
      <c r="R466" s="37"/>
      <c r="S466" s="37"/>
      <c r="T466" s="91"/>
      <c r="U466" s="91"/>
      <c r="V466" s="41"/>
      <c r="W466" s="37"/>
      <c r="X466" s="37"/>
      <c r="Y466" s="43"/>
      <c r="Z466" s="37"/>
      <c r="AA466" s="37"/>
      <c r="AD466" s="37"/>
      <c r="AE466" s="37"/>
      <c r="AF466" s="37"/>
    </row>
    <row r="467" spans="1:32" x14ac:dyDescent="0.25">
      <c r="A467" s="37"/>
      <c r="B467" s="37"/>
      <c r="C467" s="37"/>
      <c r="F467" s="38"/>
      <c r="G467" s="38"/>
      <c r="H467" s="38"/>
      <c r="I467" s="40"/>
      <c r="J467" s="38"/>
      <c r="K467" s="38"/>
      <c r="L467" s="42"/>
      <c r="M467" s="42"/>
      <c r="N467" s="42"/>
      <c r="O467" s="42"/>
      <c r="R467" s="37"/>
      <c r="S467" s="37"/>
      <c r="T467" s="91"/>
      <c r="U467" s="91"/>
      <c r="V467" s="41"/>
      <c r="W467" s="37"/>
      <c r="X467" s="37"/>
      <c r="Y467" s="43"/>
      <c r="Z467" s="37"/>
      <c r="AA467" s="37"/>
      <c r="AD467" s="37"/>
      <c r="AE467" s="37"/>
      <c r="AF467" s="37"/>
    </row>
    <row r="468" spans="1:32" x14ac:dyDescent="0.25">
      <c r="A468" s="37"/>
      <c r="B468" s="37"/>
      <c r="C468" s="37"/>
      <c r="F468" s="38"/>
      <c r="G468" s="38"/>
      <c r="H468" s="38"/>
      <c r="I468" s="40"/>
      <c r="J468" s="38"/>
      <c r="K468" s="38"/>
      <c r="L468" s="42"/>
      <c r="M468" s="42"/>
      <c r="N468" s="42"/>
      <c r="O468" s="42"/>
      <c r="R468" s="37"/>
      <c r="S468" s="37"/>
      <c r="T468" s="91"/>
      <c r="U468" s="91"/>
      <c r="V468" s="41"/>
      <c r="W468" s="37"/>
      <c r="X468" s="37"/>
      <c r="Y468" s="43"/>
      <c r="Z468" s="37"/>
      <c r="AA468" s="37"/>
      <c r="AD468" s="37"/>
      <c r="AE468" s="37"/>
      <c r="AF468" s="37"/>
    </row>
    <row r="469" spans="1:32" x14ac:dyDescent="0.25">
      <c r="A469" s="37"/>
      <c r="B469" s="37"/>
      <c r="C469" s="37"/>
      <c r="F469" s="38"/>
      <c r="G469" s="38"/>
      <c r="H469" s="38"/>
      <c r="I469" s="40"/>
      <c r="J469" s="38"/>
      <c r="K469" s="38"/>
      <c r="L469" s="42"/>
      <c r="M469" s="42"/>
      <c r="N469" s="42"/>
      <c r="O469" s="42"/>
      <c r="R469" s="37"/>
      <c r="S469" s="37"/>
      <c r="T469" s="91"/>
      <c r="U469" s="91"/>
      <c r="V469" s="41"/>
      <c r="W469" s="37"/>
      <c r="X469" s="37"/>
      <c r="Y469" s="43"/>
      <c r="Z469" s="37"/>
      <c r="AA469" s="37"/>
      <c r="AD469" s="37"/>
      <c r="AE469" s="37"/>
      <c r="AF469" s="37"/>
    </row>
    <row r="470" spans="1:32" x14ac:dyDescent="0.25">
      <c r="A470" s="37"/>
      <c r="B470" s="37"/>
      <c r="C470" s="37"/>
      <c r="F470" s="38"/>
      <c r="G470" s="38"/>
      <c r="H470" s="38"/>
      <c r="I470" s="40"/>
      <c r="J470" s="38"/>
      <c r="K470" s="38"/>
      <c r="L470" s="42"/>
      <c r="M470" s="42"/>
      <c r="N470" s="42"/>
      <c r="O470" s="42"/>
      <c r="R470" s="37"/>
      <c r="S470" s="37"/>
      <c r="T470" s="91"/>
      <c r="U470" s="91"/>
      <c r="V470" s="41"/>
      <c r="W470" s="37"/>
      <c r="X470" s="37"/>
      <c r="Y470" s="43"/>
      <c r="Z470" s="37"/>
      <c r="AA470" s="37"/>
      <c r="AD470" s="37"/>
      <c r="AE470" s="37"/>
      <c r="AF470" s="37"/>
    </row>
    <row r="471" spans="1:32" x14ac:dyDescent="0.25">
      <c r="A471" s="37"/>
      <c r="B471" s="37"/>
      <c r="C471" s="37"/>
      <c r="F471" s="38"/>
      <c r="G471" s="38"/>
      <c r="H471" s="38"/>
      <c r="I471" s="40"/>
      <c r="J471" s="38"/>
      <c r="K471" s="38"/>
      <c r="L471" s="42"/>
      <c r="M471" s="42"/>
      <c r="N471" s="42"/>
      <c r="O471" s="42"/>
      <c r="R471" s="37"/>
      <c r="S471" s="37"/>
      <c r="T471" s="91"/>
      <c r="U471" s="91"/>
      <c r="V471" s="41"/>
      <c r="W471" s="37"/>
      <c r="X471" s="37"/>
      <c r="Y471" s="43"/>
      <c r="Z471" s="37"/>
      <c r="AA471" s="37"/>
      <c r="AD471" s="37"/>
      <c r="AE471" s="37"/>
      <c r="AF471" s="37"/>
    </row>
    <row r="472" spans="1:32" x14ac:dyDescent="0.25">
      <c r="A472" s="37"/>
      <c r="B472" s="37"/>
      <c r="C472" s="37"/>
      <c r="F472" s="38"/>
      <c r="G472" s="38"/>
      <c r="H472" s="38"/>
      <c r="I472" s="40"/>
      <c r="J472" s="38"/>
      <c r="K472" s="38"/>
      <c r="L472" s="42"/>
      <c r="M472" s="42"/>
      <c r="N472" s="42"/>
      <c r="O472" s="42"/>
      <c r="R472" s="37"/>
      <c r="S472" s="37"/>
      <c r="T472" s="91"/>
      <c r="U472" s="91"/>
      <c r="V472" s="41"/>
      <c r="W472" s="37"/>
      <c r="X472" s="37"/>
      <c r="Y472" s="43"/>
      <c r="Z472" s="37"/>
      <c r="AA472" s="37"/>
      <c r="AD472" s="37"/>
      <c r="AE472" s="37"/>
      <c r="AF472" s="37"/>
    </row>
    <row r="473" spans="1:32" x14ac:dyDescent="0.25">
      <c r="A473" s="37"/>
      <c r="B473" s="37"/>
      <c r="C473" s="37"/>
      <c r="F473" s="38"/>
      <c r="G473" s="38"/>
      <c r="H473" s="38"/>
      <c r="I473" s="40"/>
      <c r="J473" s="38"/>
      <c r="K473" s="38"/>
      <c r="L473" s="42"/>
      <c r="M473" s="42"/>
      <c r="N473" s="42"/>
      <c r="O473" s="42"/>
      <c r="R473" s="37"/>
      <c r="S473" s="37"/>
      <c r="T473" s="91"/>
      <c r="U473" s="91"/>
      <c r="V473" s="41"/>
      <c r="W473" s="37"/>
      <c r="X473" s="37"/>
      <c r="Y473" s="43"/>
      <c r="Z473" s="37"/>
      <c r="AA473" s="37"/>
      <c r="AD473" s="37"/>
      <c r="AE473" s="37"/>
      <c r="AF473" s="37"/>
    </row>
    <row r="474" spans="1:32" x14ac:dyDescent="0.25">
      <c r="A474" s="37"/>
      <c r="B474" s="37"/>
      <c r="C474" s="37"/>
      <c r="F474" s="38"/>
      <c r="G474" s="38"/>
      <c r="H474" s="38"/>
      <c r="I474" s="40"/>
      <c r="J474" s="38"/>
      <c r="K474" s="38"/>
      <c r="L474" s="42"/>
      <c r="M474" s="42"/>
      <c r="N474" s="42"/>
      <c r="O474" s="42"/>
      <c r="R474" s="37"/>
      <c r="S474" s="37"/>
      <c r="T474" s="91"/>
      <c r="U474" s="91"/>
      <c r="V474" s="41"/>
      <c r="W474" s="37"/>
      <c r="X474" s="37"/>
      <c r="Y474" s="43"/>
      <c r="Z474" s="37"/>
      <c r="AA474" s="37"/>
      <c r="AD474" s="37"/>
      <c r="AE474" s="37"/>
      <c r="AF474" s="37"/>
    </row>
    <row r="475" spans="1:32" x14ac:dyDescent="0.25">
      <c r="A475" s="37"/>
      <c r="B475" s="37"/>
      <c r="C475" s="37"/>
      <c r="F475" s="38"/>
      <c r="G475" s="38"/>
      <c r="H475" s="38"/>
      <c r="I475" s="40"/>
      <c r="J475" s="38"/>
      <c r="K475" s="38"/>
      <c r="L475" s="42"/>
      <c r="M475" s="42"/>
      <c r="N475" s="42"/>
      <c r="O475" s="42"/>
      <c r="R475" s="37"/>
      <c r="S475" s="37"/>
      <c r="T475" s="91"/>
      <c r="U475" s="91"/>
      <c r="V475" s="41"/>
      <c r="W475" s="37"/>
      <c r="X475" s="37"/>
      <c r="Y475" s="43"/>
      <c r="Z475" s="37"/>
      <c r="AA475" s="37"/>
      <c r="AD475" s="37"/>
      <c r="AE475" s="37"/>
      <c r="AF475" s="37"/>
    </row>
    <row r="476" spans="1:32" x14ac:dyDescent="0.25">
      <c r="A476" s="37"/>
      <c r="B476" s="37"/>
      <c r="C476" s="37"/>
      <c r="F476" s="38"/>
      <c r="G476" s="38"/>
      <c r="H476" s="38"/>
      <c r="I476" s="40"/>
      <c r="J476" s="38"/>
      <c r="K476" s="38"/>
      <c r="L476" s="42"/>
      <c r="M476" s="42"/>
      <c r="N476" s="42"/>
      <c r="O476" s="42"/>
      <c r="R476" s="37"/>
      <c r="S476" s="37"/>
      <c r="T476" s="91"/>
      <c r="U476" s="91"/>
      <c r="V476" s="41"/>
      <c r="W476" s="37"/>
      <c r="X476" s="37"/>
      <c r="Y476" s="43"/>
      <c r="Z476" s="37"/>
      <c r="AA476" s="37"/>
      <c r="AD476" s="37"/>
      <c r="AE476" s="37"/>
      <c r="AF476" s="37"/>
    </row>
    <row r="477" spans="1:32" x14ac:dyDescent="0.25">
      <c r="A477" s="37"/>
      <c r="B477" s="37"/>
      <c r="C477" s="37"/>
      <c r="F477" s="38"/>
      <c r="G477" s="38"/>
      <c r="H477" s="38"/>
      <c r="I477" s="40"/>
      <c r="J477" s="38"/>
      <c r="K477" s="38"/>
      <c r="L477" s="42"/>
      <c r="M477" s="42"/>
      <c r="N477" s="42"/>
      <c r="O477" s="42"/>
      <c r="R477" s="37"/>
      <c r="S477" s="37"/>
      <c r="T477" s="91"/>
      <c r="U477" s="91"/>
      <c r="V477" s="41"/>
      <c r="W477" s="37"/>
      <c r="X477" s="37"/>
      <c r="Y477" s="43"/>
      <c r="Z477" s="37"/>
      <c r="AA477" s="37"/>
      <c r="AD477" s="37"/>
      <c r="AE477" s="37"/>
      <c r="AF477" s="37"/>
    </row>
    <row r="478" spans="1:32" x14ac:dyDescent="0.25">
      <c r="A478" s="37"/>
      <c r="B478" s="37"/>
      <c r="C478" s="37"/>
      <c r="F478" s="38"/>
      <c r="G478" s="38"/>
      <c r="H478" s="38"/>
      <c r="I478" s="40"/>
      <c r="J478" s="38"/>
      <c r="K478" s="38"/>
      <c r="L478" s="42"/>
      <c r="M478" s="42"/>
      <c r="N478" s="42"/>
      <c r="O478" s="42"/>
      <c r="R478" s="37"/>
      <c r="S478" s="37"/>
      <c r="T478" s="91"/>
      <c r="U478" s="91"/>
      <c r="V478" s="41"/>
      <c r="W478" s="37"/>
      <c r="X478" s="37"/>
      <c r="Y478" s="43"/>
      <c r="Z478" s="37"/>
      <c r="AA478" s="37"/>
      <c r="AD478" s="37"/>
      <c r="AE478" s="37"/>
      <c r="AF478" s="37"/>
    </row>
    <row r="479" spans="1:32" x14ac:dyDescent="0.25">
      <c r="A479" s="37"/>
      <c r="B479" s="37"/>
      <c r="C479" s="37"/>
      <c r="F479" s="38"/>
      <c r="G479" s="38"/>
      <c r="H479" s="38"/>
      <c r="I479" s="40"/>
      <c r="J479" s="38"/>
      <c r="K479" s="38"/>
      <c r="L479" s="42"/>
      <c r="M479" s="42"/>
      <c r="N479" s="42"/>
      <c r="O479" s="42"/>
      <c r="R479" s="37"/>
      <c r="S479" s="37"/>
      <c r="T479" s="91"/>
      <c r="U479" s="91"/>
      <c r="V479" s="41"/>
      <c r="W479" s="37"/>
      <c r="X479" s="37"/>
      <c r="Y479" s="43"/>
      <c r="Z479" s="37"/>
      <c r="AA479" s="37"/>
      <c r="AD479" s="37"/>
      <c r="AE479" s="37"/>
      <c r="AF479" s="37"/>
    </row>
    <row r="480" spans="1:32" x14ac:dyDescent="0.25">
      <c r="A480" s="37"/>
      <c r="B480" s="37"/>
      <c r="C480" s="37"/>
      <c r="F480" s="38"/>
      <c r="G480" s="38"/>
      <c r="H480" s="38"/>
      <c r="I480" s="40"/>
      <c r="J480" s="38"/>
      <c r="K480" s="38"/>
      <c r="L480" s="42"/>
      <c r="M480" s="42"/>
      <c r="N480" s="42"/>
      <c r="O480" s="42"/>
      <c r="R480" s="37"/>
      <c r="S480" s="37"/>
      <c r="T480" s="91"/>
      <c r="U480" s="91"/>
      <c r="V480" s="41"/>
      <c r="W480" s="37"/>
      <c r="X480" s="37"/>
      <c r="Y480" s="43"/>
      <c r="Z480" s="37"/>
      <c r="AA480" s="37"/>
      <c r="AD480" s="37"/>
      <c r="AE480" s="37"/>
      <c r="AF480" s="37"/>
    </row>
    <row r="481" spans="1:32" x14ac:dyDescent="0.25">
      <c r="A481" s="37"/>
      <c r="B481" s="37"/>
      <c r="C481" s="37"/>
      <c r="F481" s="38"/>
      <c r="G481" s="38"/>
      <c r="H481" s="38"/>
      <c r="I481" s="40"/>
      <c r="J481" s="38"/>
      <c r="K481" s="38"/>
      <c r="L481" s="42"/>
      <c r="M481" s="42"/>
      <c r="N481" s="42"/>
      <c r="O481" s="42"/>
      <c r="R481" s="37"/>
      <c r="S481" s="37"/>
      <c r="T481" s="91"/>
      <c r="U481" s="91"/>
      <c r="V481" s="41"/>
      <c r="W481" s="37"/>
      <c r="X481" s="37"/>
      <c r="Y481" s="43"/>
      <c r="Z481" s="37"/>
      <c r="AA481" s="37"/>
      <c r="AD481" s="37"/>
      <c r="AE481" s="37"/>
      <c r="AF481" s="37"/>
    </row>
    <row r="482" spans="1:32" x14ac:dyDescent="0.25">
      <c r="A482" s="37"/>
      <c r="B482" s="37"/>
      <c r="C482" s="37"/>
      <c r="F482" s="38"/>
      <c r="G482" s="38"/>
      <c r="H482" s="38"/>
      <c r="I482" s="40"/>
      <c r="J482" s="38"/>
      <c r="K482" s="38"/>
      <c r="L482" s="42"/>
      <c r="M482" s="42"/>
      <c r="N482" s="42"/>
      <c r="O482" s="42"/>
      <c r="R482" s="37"/>
      <c r="S482" s="37"/>
      <c r="T482" s="91"/>
      <c r="U482" s="91"/>
      <c r="V482" s="41"/>
      <c r="W482" s="37"/>
      <c r="X482" s="37"/>
      <c r="Y482" s="43"/>
      <c r="Z482" s="37"/>
      <c r="AA482" s="37"/>
      <c r="AD482" s="37"/>
      <c r="AE482" s="37"/>
      <c r="AF482" s="37"/>
    </row>
    <row r="483" spans="1:32" x14ac:dyDescent="0.25">
      <c r="A483" s="37"/>
      <c r="B483" s="37"/>
      <c r="C483" s="37"/>
      <c r="F483" s="38"/>
      <c r="G483" s="38"/>
      <c r="H483" s="38"/>
      <c r="I483" s="40"/>
      <c r="J483" s="38"/>
      <c r="K483" s="38"/>
      <c r="L483" s="42"/>
      <c r="M483" s="42"/>
      <c r="N483" s="42"/>
      <c r="O483" s="42"/>
      <c r="R483" s="37"/>
      <c r="S483" s="37"/>
      <c r="T483" s="91"/>
      <c r="U483" s="91"/>
      <c r="V483" s="41"/>
      <c r="W483" s="37"/>
      <c r="X483" s="37"/>
      <c r="Y483" s="43"/>
      <c r="Z483" s="37"/>
      <c r="AA483" s="37"/>
      <c r="AD483" s="37"/>
      <c r="AE483" s="37"/>
      <c r="AF483" s="37"/>
    </row>
    <row r="484" spans="1:32" x14ac:dyDescent="0.25">
      <c r="A484" s="37"/>
      <c r="B484" s="37"/>
      <c r="C484" s="37"/>
      <c r="F484" s="38"/>
      <c r="G484" s="38"/>
      <c r="H484" s="38"/>
      <c r="I484" s="40"/>
      <c r="J484" s="38"/>
      <c r="K484" s="38"/>
      <c r="L484" s="42"/>
      <c r="M484" s="42"/>
      <c r="N484" s="42"/>
      <c r="O484" s="42"/>
      <c r="R484" s="37"/>
      <c r="S484" s="37"/>
      <c r="T484" s="91"/>
      <c r="U484" s="91"/>
      <c r="V484" s="41"/>
      <c r="W484" s="37"/>
      <c r="X484" s="37"/>
      <c r="Y484" s="43"/>
      <c r="Z484" s="37"/>
      <c r="AA484" s="37"/>
      <c r="AD484" s="37"/>
      <c r="AE484" s="37"/>
      <c r="AF484" s="37"/>
    </row>
    <row r="485" spans="1:32" x14ac:dyDescent="0.25">
      <c r="A485" s="37"/>
      <c r="B485" s="37"/>
      <c r="C485" s="37"/>
      <c r="F485" s="38"/>
      <c r="G485" s="38"/>
      <c r="H485" s="38"/>
      <c r="I485" s="40"/>
      <c r="J485" s="38"/>
      <c r="K485" s="38"/>
      <c r="L485" s="42"/>
      <c r="M485" s="42"/>
      <c r="N485" s="42"/>
      <c r="O485" s="42"/>
      <c r="R485" s="37"/>
      <c r="S485" s="37"/>
      <c r="T485" s="91"/>
      <c r="U485" s="91"/>
      <c r="V485" s="41"/>
      <c r="W485" s="37"/>
      <c r="X485" s="37"/>
      <c r="Y485" s="43"/>
      <c r="Z485" s="37"/>
      <c r="AA485" s="37"/>
      <c r="AD485" s="37"/>
      <c r="AE485" s="37"/>
      <c r="AF485" s="37"/>
    </row>
    <row r="486" spans="1:32" x14ac:dyDescent="0.25">
      <c r="A486" s="37"/>
      <c r="B486" s="37"/>
      <c r="C486" s="37"/>
      <c r="F486" s="38"/>
      <c r="G486" s="38"/>
      <c r="H486" s="38"/>
      <c r="I486" s="40"/>
      <c r="J486" s="38"/>
      <c r="K486" s="38"/>
      <c r="L486" s="42"/>
      <c r="M486" s="42"/>
      <c r="N486" s="42"/>
      <c r="O486" s="42"/>
      <c r="R486" s="37"/>
      <c r="S486" s="37"/>
      <c r="T486" s="91"/>
      <c r="U486" s="91"/>
      <c r="V486" s="41"/>
      <c r="W486" s="37"/>
      <c r="X486" s="37"/>
      <c r="Y486" s="43"/>
      <c r="Z486" s="37"/>
      <c r="AA486" s="37"/>
      <c r="AD486" s="37"/>
      <c r="AE486" s="37"/>
      <c r="AF486" s="37"/>
    </row>
    <row r="487" spans="1:32" x14ac:dyDescent="0.25">
      <c r="A487" s="37"/>
      <c r="B487" s="37"/>
      <c r="C487" s="37"/>
      <c r="F487" s="38"/>
      <c r="G487" s="38"/>
      <c r="H487" s="38"/>
      <c r="I487" s="40"/>
      <c r="J487" s="38"/>
      <c r="K487" s="38"/>
      <c r="L487" s="42"/>
      <c r="M487" s="42"/>
      <c r="N487" s="42"/>
      <c r="O487" s="42"/>
      <c r="R487" s="37"/>
      <c r="S487" s="37"/>
      <c r="T487" s="91"/>
      <c r="U487" s="91"/>
      <c r="V487" s="41"/>
      <c r="W487" s="37"/>
      <c r="X487" s="37"/>
      <c r="Y487" s="43"/>
      <c r="Z487" s="37"/>
      <c r="AA487" s="37"/>
      <c r="AD487" s="37"/>
      <c r="AE487" s="37"/>
      <c r="AF487" s="37"/>
    </row>
    <row r="488" spans="1:32" x14ac:dyDescent="0.25">
      <c r="A488" s="37"/>
      <c r="B488" s="37"/>
      <c r="C488" s="37"/>
      <c r="F488" s="38"/>
      <c r="G488" s="38"/>
      <c r="H488" s="38"/>
      <c r="I488" s="40"/>
      <c r="J488" s="38"/>
      <c r="K488" s="38"/>
      <c r="L488" s="42"/>
      <c r="M488" s="42"/>
      <c r="N488" s="42"/>
      <c r="O488" s="42"/>
      <c r="R488" s="37"/>
      <c r="S488" s="37"/>
      <c r="T488" s="91"/>
      <c r="U488" s="91"/>
      <c r="V488" s="41"/>
      <c r="W488" s="37"/>
      <c r="X488" s="37"/>
      <c r="Y488" s="43"/>
      <c r="Z488" s="37"/>
      <c r="AA488" s="37"/>
      <c r="AD488" s="37"/>
      <c r="AE488" s="37"/>
      <c r="AF488" s="37"/>
    </row>
    <row r="489" spans="1:32" x14ac:dyDescent="0.25">
      <c r="A489" s="37"/>
      <c r="B489" s="37"/>
      <c r="C489" s="37"/>
      <c r="F489" s="38"/>
      <c r="G489" s="38"/>
      <c r="H489" s="38"/>
      <c r="I489" s="40"/>
      <c r="J489" s="38"/>
      <c r="K489" s="38"/>
      <c r="L489" s="42"/>
      <c r="M489" s="42"/>
      <c r="N489" s="42"/>
      <c r="O489" s="42"/>
      <c r="R489" s="37"/>
      <c r="S489" s="37"/>
      <c r="T489" s="91"/>
      <c r="U489" s="91"/>
      <c r="V489" s="41"/>
      <c r="W489" s="37"/>
      <c r="X489" s="37"/>
      <c r="Y489" s="43"/>
      <c r="Z489" s="37"/>
      <c r="AA489" s="37"/>
      <c r="AD489" s="37"/>
      <c r="AE489" s="37"/>
      <c r="AF489" s="37"/>
    </row>
    <row r="490" spans="1:32" x14ac:dyDescent="0.25">
      <c r="A490" s="37"/>
      <c r="B490" s="37"/>
      <c r="C490" s="37"/>
      <c r="F490" s="38"/>
      <c r="G490" s="38"/>
      <c r="H490" s="38"/>
      <c r="I490" s="40"/>
      <c r="J490" s="38"/>
      <c r="K490" s="38"/>
      <c r="L490" s="42"/>
      <c r="M490" s="42"/>
      <c r="N490" s="42"/>
      <c r="O490" s="42"/>
      <c r="R490" s="37"/>
      <c r="S490" s="37"/>
      <c r="T490" s="91"/>
      <c r="U490" s="91"/>
      <c r="V490" s="41"/>
      <c r="W490" s="37"/>
      <c r="X490" s="37"/>
      <c r="Y490" s="43"/>
      <c r="Z490" s="37"/>
      <c r="AA490" s="37"/>
      <c r="AD490" s="37"/>
      <c r="AE490" s="37"/>
      <c r="AF490" s="37"/>
    </row>
    <row r="491" spans="1:32" x14ac:dyDescent="0.25">
      <c r="A491" s="37"/>
      <c r="B491" s="37"/>
      <c r="C491" s="37"/>
      <c r="F491" s="38"/>
      <c r="G491" s="38"/>
      <c r="H491" s="38"/>
      <c r="I491" s="40"/>
      <c r="J491" s="38"/>
      <c r="K491" s="38"/>
      <c r="L491" s="42"/>
      <c r="M491" s="42"/>
      <c r="N491" s="42"/>
      <c r="O491" s="42"/>
      <c r="R491" s="37"/>
      <c r="S491" s="37"/>
      <c r="T491" s="91"/>
      <c r="U491" s="91"/>
      <c r="V491" s="41"/>
      <c r="W491" s="37"/>
      <c r="X491" s="37"/>
      <c r="Y491" s="43"/>
      <c r="Z491" s="37"/>
      <c r="AA491" s="37"/>
      <c r="AD491" s="37"/>
      <c r="AE491" s="37"/>
      <c r="AF491" s="37"/>
    </row>
    <row r="492" spans="1:32" x14ac:dyDescent="0.25">
      <c r="A492" s="37"/>
      <c r="B492" s="37"/>
      <c r="C492" s="37"/>
      <c r="F492" s="38"/>
      <c r="G492" s="38"/>
      <c r="H492" s="38"/>
      <c r="I492" s="40"/>
      <c r="J492" s="38"/>
      <c r="K492" s="38"/>
      <c r="L492" s="42"/>
      <c r="M492" s="42"/>
      <c r="N492" s="42"/>
      <c r="O492" s="42"/>
      <c r="R492" s="37"/>
      <c r="S492" s="37"/>
      <c r="T492" s="91"/>
      <c r="U492" s="91"/>
      <c r="V492" s="41"/>
      <c r="W492" s="37"/>
      <c r="X492" s="37"/>
      <c r="Y492" s="43"/>
      <c r="Z492" s="37"/>
      <c r="AA492" s="37"/>
      <c r="AD492" s="37"/>
      <c r="AE492" s="37"/>
      <c r="AF492" s="37"/>
    </row>
    <row r="493" spans="1:32" x14ac:dyDescent="0.25">
      <c r="A493" s="37"/>
      <c r="B493" s="37"/>
      <c r="C493" s="37"/>
      <c r="F493" s="38"/>
      <c r="G493" s="38"/>
      <c r="H493" s="38"/>
      <c r="I493" s="40"/>
      <c r="J493" s="38"/>
      <c r="K493" s="38"/>
      <c r="L493" s="42"/>
      <c r="M493" s="42"/>
      <c r="N493" s="42"/>
      <c r="O493" s="42"/>
      <c r="R493" s="37"/>
      <c r="S493" s="37"/>
      <c r="T493" s="91"/>
      <c r="U493" s="91"/>
      <c r="V493" s="41"/>
      <c r="W493" s="37"/>
      <c r="X493" s="37"/>
      <c r="Y493" s="43"/>
      <c r="Z493" s="37"/>
      <c r="AA493" s="37"/>
      <c r="AD493" s="37"/>
      <c r="AE493" s="37"/>
      <c r="AF493" s="37"/>
    </row>
    <row r="494" spans="1:32" x14ac:dyDescent="0.25">
      <c r="A494" s="37"/>
      <c r="B494" s="37"/>
      <c r="C494" s="37"/>
      <c r="F494" s="38"/>
      <c r="G494" s="38"/>
      <c r="H494" s="38"/>
      <c r="I494" s="40"/>
      <c r="J494" s="38"/>
      <c r="K494" s="38"/>
      <c r="L494" s="42"/>
      <c r="M494" s="42"/>
      <c r="N494" s="42"/>
      <c r="O494" s="42"/>
      <c r="R494" s="37"/>
      <c r="S494" s="37"/>
      <c r="T494" s="91"/>
      <c r="U494" s="91"/>
      <c r="V494" s="41"/>
      <c r="W494" s="37"/>
      <c r="X494" s="37"/>
      <c r="Y494" s="43"/>
      <c r="Z494" s="37"/>
      <c r="AA494" s="37"/>
      <c r="AD494" s="37"/>
      <c r="AE494" s="37"/>
      <c r="AF494" s="37"/>
    </row>
    <row r="495" spans="1:32" x14ac:dyDescent="0.25">
      <c r="A495" s="37"/>
      <c r="B495" s="37"/>
      <c r="C495" s="37"/>
      <c r="F495" s="38"/>
      <c r="G495" s="38"/>
      <c r="H495" s="38"/>
      <c r="I495" s="40"/>
      <c r="J495" s="38"/>
      <c r="K495" s="38"/>
      <c r="L495" s="42"/>
      <c r="M495" s="42"/>
      <c r="N495" s="42"/>
      <c r="O495" s="42"/>
      <c r="R495" s="37"/>
      <c r="S495" s="37"/>
      <c r="T495" s="91"/>
      <c r="U495" s="91"/>
      <c r="V495" s="41"/>
      <c r="W495" s="37"/>
      <c r="X495" s="37"/>
      <c r="Y495" s="43"/>
      <c r="Z495" s="37"/>
      <c r="AA495" s="37"/>
      <c r="AD495" s="37"/>
      <c r="AE495" s="37"/>
      <c r="AF495" s="37"/>
    </row>
    <row r="496" spans="1:32" x14ac:dyDescent="0.25">
      <c r="A496" s="37"/>
      <c r="B496" s="37"/>
      <c r="C496" s="37"/>
      <c r="F496" s="38"/>
      <c r="G496" s="38"/>
      <c r="H496" s="38"/>
      <c r="I496" s="40"/>
      <c r="J496" s="38"/>
      <c r="K496" s="38"/>
      <c r="L496" s="42"/>
      <c r="M496" s="42"/>
      <c r="N496" s="42"/>
      <c r="O496" s="42"/>
      <c r="R496" s="37"/>
      <c r="S496" s="37"/>
      <c r="T496" s="91"/>
      <c r="U496" s="91"/>
      <c r="V496" s="41"/>
      <c r="W496" s="37"/>
      <c r="X496" s="37"/>
      <c r="Y496" s="43"/>
      <c r="Z496" s="37"/>
      <c r="AA496" s="37"/>
      <c r="AD496" s="37"/>
      <c r="AE496" s="37"/>
      <c r="AF496" s="37"/>
    </row>
    <row r="497" spans="1:32" x14ac:dyDescent="0.25">
      <c r="A497" s="37"/>
      <c r="B497" s="37"/>
      <c r="C497" s="37"/>
      <c r="F497" s="38"/>
      <c r="G497" s="38"/>
      <c r="H497" s="38"/>
      <c r="I497" s="40"/>
      <c r="J497" s="38"/>
      <c r="K497" s="38"/>
      <c r="L497" s="42"/>
      <c r="M497" s="42"/>
      <c r="N497" s="42"/>
      <c r="O497" s="42"/>
      <c r="R497" s="37"/>
      <c r="S497" s="37"/>
      <c r="T497" s="91"/>
      <c r="U497" s="91"/>
      <c r="V497" s="41"/>
      <c r="W497" s="37"/>
      <c r="X497" s="37"/>
      <c r="Y497" s="43"/>
      <c r="Z497" s="37"/>
      <c r="AA497" s="37"/>
      <c r="AD497" s="37"/>
      <c r="AE497" s="37"/>
      <c r="AF497" s="37"/>
    </row>
    <row r="498" spans="1:32" x14ac:dyDescent="0.25">
      <c r="A498" s="37"/>
      <c r="B498" s="37"/>
      <c r="C498" s="37"/>
      <c r="F498" s="38"/>
      <c r="G498" s="38"/>
      <c r="H498" s="38"/>
      <c r="I498" s="40"/>
      <c r="J498" s="38"/>
      <c r="K498" s="38"/>
      <c r="L498" s="42"/>
      <c r="M498" s="42"/>
      <c r="N498" s="42"/>
      <c r="O498" s="42"/>
      <c r="R498" s="37"/>
      <c r="S498" s="37"/>
      <c r="T498" s="91"/>
      <c r="U498" s="91"/>
      <c r="V498" s="41"/>
      <c r="W498" s="37"/>
      <c r="X498" s="37"/>
      <c r="Y498" s="43"/>
      <c r="Z498" s="37"/>
      <c r="AA498" s="37"/>
      <c r="AD498" s="37"/>
      <c r="AE498" s="37"/>
      <c r="AF498" s="37"/>
    </row>
    <row r="499" spans="1:32" x14ac:dyDescent="0.25">
      <c r="A499" s="37"/>
      <c r="B499" s="37"/>
      <c r="C499" s="37"/>
      <c r="F499" s="38"/>
      <c r="G499" s="38"/>
      <c r="H499" s="38"/>
      <c r="I499" s="40"/>
      <c r="J499" s="38"/>
      <c r="K499" s="38"/>
      <c r="L499" s="42"/>
      <c r="M499" s="42"/>
      <c r="N499" s="42"/>
      <c r="O499" s="42"/>
      <c r="R499" s="37"/>
      <c r="S499" s="37"/>
      <c r="T499" s="91"/>
      <c r="U499" s="91"/>
      <c r="V499" s="41"/>
      <c r="W499" s="37"/>
      <c r="X499" s="37"/>
      <c r="Y499" s="43"/>
      <c r="Z499" s="37"/>
      <c r="AA499" s="37"/>
      <c r="AD499" s="37"/>
      <c r="AE499" s="37"/>
      <c r="AF499" s="37"/>
    </row>
    <row r="500" spans="1:32" x14ac:dyDescent="0.25">
      <c r="A500" s="37"/>
      <c r="B500" s="37"/>
      <c r="C500" s="37"/>
      <c r="F500" s="38"/>
      <c r="G500" s="38"/>
      <c r="H500" s="38"/>
      <c r="I500" s="40"/>
      <c r="J500" s="38"/>
      <c r="K500" s="38"/>
      <c r="L500" s="42"/>
      <c r="M500" s="42"/>
      <c r="N500" s="42"/>
      <c r="O500" s="42"/>
      <c r="R500" s="37"/>
      <c r="S500" s="37"/>
      <c r="T500" s="91"/>
      <c r="U500" s="91"/>
      <c r="V500" s="41"/>
      <c r="W500" s="37"/>
      <c r="X500" s="37"/>
      <c r="Y500" s="43"/>
      <c r="Z500" s="37"/>
      <c r="AA500" s="37"/>
      <c r="AD500" s="37"/>
      <c r="AE500" s="37"/>
      <c r="AF500" s="37"/>
    </row>
    <row r="501" spans="1:32" x14ac:dyDescent="0.25">
      <c r="A501" s="37"/>
      <c r="B501" s="37"/>
      <c r="C501" s="37"/>
      <c r="F501" s="38"/>
      <c r="G501" s="38"/>
      <c r="H501" s="38"/>
      <c r="I501" s="40"/>
      <c r="J501" s="38"/>
      <c r="K501" s="38"/>
      <c r="L501" s="42"/>
      <c r="M501" s="42"/>
      <c r="N501" s="42"/>
      <c r="O501" s="42"/>
      <c r="R501" s="37"/>
      <c r="S501" s="37"/>
      <c r="T501" s="91"/>
      <c r="U501" s="91"/>
      <c r="V501" s="41"/>
      <c r="W501" s="37"/>
      <c r="X501" s="37"/>
      <c r="Y501" s="43"/>
      <c r="Z501" s="37"/>
      <c r="AA501" s="37"/>
      <c r="AD501" s="37"/>
      <c r="AE501" s="37"/>
      <c r="AF501" s="37"/>
    </row>
    <row r="502" spans="1:32" x14ac:dyDescent="0.25">
      <c r="A502" s="37"/>
      <c r="B502" s="37"/>
      <c r="C502" s="37"/>
      <c r="F502" s="38"/>
      <c r="G502" s="38"/>
      <c r="H502" s="38"/>
      <c r="I502" s="40"/>
      <c r="J502" s="38"/>
      <c r="K502" s="38"/>
      <c r="L502" s="42"/>
      <c r="M502" s="42"/>
      <c r="N502" s="42"/>
      <c r="O502" s="42"/>
      <c r="R502" s="37"/>
      <c r="S502" s="37"/>
      <c r="T502" s="91"/>
      <c r="U502" s="91"/>
      <c r="V502" s="41"/>
      <c r="W502" s="37"/>
      <c r="X502" s="37"/>
      <c r="Y502" s="43"/>
      <c r="Z502" s="37"/>
      <c r="AA502" s="37"/>
      <c r="AD502" s="37"/>
      <c r="AE502" s="37"/>
      <c r="AF502" s="37"/>
    </row>
    <row r="503" spans="1:32" x14ac:dyDescent="0.25">
      <c r="A503" s="37"/>
      <c r="B503" s="37"/>
      <c r="C503" s="37"/>
      <c r="F503" s="38"/>
      <c r="G503" s="38"/>
      <c r="H503" s="38"/>
      <c r="I503" s="40"/>
      <c r="J503" s="38"/>
      <c r="K503" s="38"/>
      <c r="L503" s="42"/>
      <c r="M503" s="42"/>
      <c r="N503" s="42"/>
      <c r="O503" s="42"/>
      <c r="R503" s="37"/>
      <c r="S503" s="37"/>
      <c r="T503" s="91"/>
      <c r="U503" s="91"/>
      <c r="V503" s="41"/>
      <c r="W503" s="37"/>
      <c r="X503" s="37"/>
      <c r="Y503" s="43"/>
      <c r="Z503" s="37"/>
      <c r="AA503" s="37"/>
      <c r="AD503" s="37"/>
      <c r="AE503" s="37"/>
      <c r="AF503" s="37"/>
    </row>
    <row r="504" spans="1:32" x14ac:dyDescent="0.25">
      <c r="A504" s="37"/>
      <c r="B504" s="37"/>
      <c r="C504" s="37"/>
      <c r="F504" s="38"/>
      <c r="G504" s="38"/>
      <c r="H504" s="38"/>
      <c r="I504" s="40"/>
      <c r="J504" s="38"/>
      <c r="K504" s="38"/>
      <c r="L504" s="42"/>
      <c r="M504" s="42"/>
      <c r="N504" s="42"/>
      <c r="O504" s="42"/>
      <c r="R504" s="37"/>
      <c r="S504" s="37"/>
      <c r="T504" s="91"/>
      <c r="U504" s="91"/>
      <c r="V504" s="41"/>
      <c r="W504" s="37"/>
      <c r="X504" s="37"/>
      <c r="Y504" s="43"/>
      <c r="Z504" s="37"/>
      <c r="AA504" s="37"/>
      <c r="AD504" s="37"/>
      <c r="AE504" s="37"/>
      <c r="AF504" s="37"/>
    </row>
    <row r="505" spans="1:32" x14ac:dyDescent="0.25">
      <c r="A505" s="37"/>
      <c r="B505" s="37"/>
      <c r="C505" s="37"/>
      <c r="F505" s="38"/>
      <c r="G505" s="38"/>
      <c r="H505" s="38"/>
      <c r="I505" s="40"/>
      <c r="J505" s="38"/>
      <c r="K505" s="38"/>
      <c r="L505" s="42"/>
      <c r="M505" s="42"/>
      <c r="N505" s="42"/>
      <c r="O505" s="42"/>
      <c r="R505" s="37"/>
      <c r="S505" s="37"/>
      <c r="T505" s="91"/>
      <c r="U505" s="91"/>
      <c r="V505" s="41"/>
      <c r="W505" s="37"/>
      <c r="X505" s="37"/>
      <c r="Y505" s="43"/>
      <c r="Z505" s="37"/>
      <c r="AA505" s="37"/>
      <c r="AD505" s="37"/>
      <c r="AE505" s="37"/>
      <c r="AF505" s="37"/>
    </row>
    <row r="506" spans="1:32" x14ac:dyDescent="0.25">
      <c r="A506" s="37"/>
      <c r="B506" s="37"/>
      <c r="C506" s="37"/>
      <c r="F506" s="38"/>
      <c r="G506" s="38"/>
      <c r="H506" s="38"/>
      <c r="I506" s="40"/>
      <c r="J506" s="38"/>
      <c r="K506" s="38"/>
      <c r="L506" s="42"/>
      <c r="M506" s="42"/>
      <c r="N506" s="42"/>
      <c r="O506" s="42"/>
      <c r="R506" s="37"/>
      <c r="S506" s="37"/>
      <c r="T506" s="91"/>
      <c r="U506" s="91"/>
      <c r="V506" s="41"/>
      <c r="W506" s="37"/>
      <c r="X506" s="37"/>
      <c r="Y506" s="43"/>
      <c r="Z506" s="37"/>
      <c r="AA506" s="37"/>
      <c r="AD506" s="37"/>
      <c r="AE506" s="37"/>
      <c r="AF506" s="37"/>
    </row>
    <row r="507" spans="1:32" x14ac:dyDescent="0.25">
      <c r="A507" s="37"/>
      <c r="B507" s="37"/>
      <c r="C507" s="37"/>
      <c r="F507" s="38"/>
      <c r="G507" s="38"/>
      <c r="H507" s="38"/>
      <c r="I507" s="40"/>
      <c r="J507" s="38"/>
      <c r="K507" s="38"/>
      <c r="L507" s="42"/>
      <c r="M507" s="42"/>
      <c r="N507" s="42"/>
      <c r="O507" s="42"/>
      <c r="R507" s="37"/>
      <c r="S507" s="37"/>
      <c r="T507" s="91"/>
      <c r="U507" s="91"/>
      <c r="V507" s="41"/>
      <c r="W507" s="37"/>
      <c r="X507" s="37"/>
      <c r="Y507" s="43"/>
      <c r="Z507" s="37"/>
      <c r="AA507" s="37"/>
      <c r="AD507" s="37"/>
      <c r="AE507" s="37"/>
      <c r="AF507" s="37"/>
    </row>
    <row r="508" spans="1:32" x14ac:dyDescent="0.25">
      <c r="A508" s="37"/>
      <c r="B508" s="37"/>
      <c r="C508" s="37"/>
      <c r="F508" s="38"/>
      <c r="G508" s="38"/>
      <c r="H508" s="38"/>
      <c r="I508" s="40"/>
      <c r="J508" s="38"/>
      <c r="K508" s="38"/>
      <c r="L508" s="42"/>
      <c r="M508" s="42"/>
      <c r="N508" s="42"/>
      <c r="O508" s="42"/>
      <c r="R508" s="37"/>
      <c r="S508" s="37"/>
      <c r="T508" s="91"/>
      <c r="U508" s="91"/>
      <c r="V508" s="41"/>
      <c r="W508" s="37"/>
      <c r="X508" s="37"/>
      <c r="Y508" s="43"/>
      <c r="Z508" s="37"/>
      <c r="AA508" s="37"/>
      <c r="AD508" s="37"/>
      <c r="AE508" s="37"/>
      <c r="AF508" s="37"/>
    </row>
    <row r="509" spans="1:32" x14ac:dyDescent="0.25">
      <c r="A509" s="37"/>
      <c r="B509" s="37"/>
      <c r="C509" s="37"/>
      <c r="F509" s="38"/>
      <c r="G509" s="38"/>
      <c r="H509" s="38"/>
      <c r="I509" s="40"/>
      <c r="J509" s="38"/>
      <c r="K509" s="38"/>
      <c r="L509" s="42"/>
      <c r="M509" s="42"/>
      <c r="N509" s="42"/>
      <c r="O509" s="42"/>
      <c r="R509" s="37"/>
      <c r="S509" s="37"/>
      <c r="T509" s="91"/>
      <c r="U509" s="91"/>
      <c r="V509" s="41"/>
      <c r="W509" s="37"/>
      <c r="X509" s="37"/>
      <c r="Y509" s="43"/>
      <c r="Z509" s="37"/>
      <c r="AA509" s="37"/>
      <c r="AD509" s="37"/>
      <c r="AE509" s="37"/>
      <c r="AF509" s="37"/>
    </row>
    <row r="510" spans="1:32" x14ac:dyDescent="0.25">
      <c r="A510" s="37"/>
      <c r="B510" s="37"/>
      <c r="C510" s="37"/>
      <c r="F510" s="38"/>
      <c r="G510" s="38"/>
      <c r="H510" s="38"/>
      <c r="I510" s="40"/>
      <c r="J510" s="38"/>
      <c r="K510" s="38"/>
      <c r="L510" s="42"/>
      <c r="M510" s="42"/>
      <c r="N510" s="42"/>
      <c r="O510" s="42"/>
      <c r="R510" s="37"/>
      <c r="S510" s="37"/>
      <c r="T510" s="91"/>
      <c r="U510" s="91"/>
      <c r="V510" s="41"/>
      <c r="W510" s="37"/>
      <c r="X510" s="37"/>
      <c r="Y510" s="43"/>
      <c r="Z510" s="37"/>
      <c r="AA510" s="37"/>
      <c r="AD510" s="37"/>
      <c r="AE510" s="37"/>
      <c r="AF510" s="37"/>
    </row>
    <row r="511" spans="1:32" x14ac:dyDescent="0.25">
      <c r="A511" s="37"/>
      <c r="B511" s="37"/>
      <c r="C511" s="37"/>
      <c r="F511" s="38"/>
      <c r="G511" s="38"/>
      <c r="H511" s="38"/>
      <c r="I511" s="40"/>
      <c r="J511" s="38"/>
      <c r="K511" s="38"/>
      <c r="L511" s="42"/>
      <c r="M511" s="42"/>
      <c r="N511" s="42"/>
      <c r="O511" s="42"/>
      <c r="R511" s="37"/>
      <c r="S511" s="37"/>
      <c r="T511" s="91"/>
      <c r="U511" s="91"/>
      <c r="V511" s="41"/>
      <c r="W511" s="37"/>
      <c r="X511" s="37"/>
      <c r="Y511" s="43"/>
      <c r="Z511" s="37"/>
      <c r="AA511" s="37"/>
      <c r="AD511" s="37"/>
      <c r="AE511" s="37"/>
      <c r="AF511" s="37"/>
    </row>
    <row r="512" spans="1:32" x14ac:dyDescent="0.25">
      <c r="A512" s="37"/>
      <c r="B512" s="37"/>
      <c r="C512" s="37"/>
      <c r="F512" s="38"/>
      <c r="G512" s="38"/>
      <c r="H512" s="38"/>
      <c r="I512" s="40"/>
      <c r="J512" s="38"/>
      <c r="K512" s="38"/>
      <c r="L512" s="42"/>
      <c r="M512" s="42"/>
      <c r="N512" s="42"/>
      <c r="O512" s="42"/>
      <c r="R512" s="37"/>
      <c r="S512" s="37"/>
      <c r="T512" s="91"/>
      <c r="U512" s="91"/>
      <c r="V512" s="41"/>
      <c r="W512" s="37"/>
      <c r="X512" s="37"/>
      <c r="Y512" s="43"/>
      <c r="Z512" s="37"/>
      <c r="AA512" s="37"/>
      <c r="AD512" s="37"/>
      <c r="AE512" s="37"/>
      <c r="AF512" s="37"/>
    </row>
    <row r="513" spans="1:32" x14ac:dyDescent="0.25">
      <c r="A513" s="37"/>
      <c r="B513" s="37"/>
      <c r="C513" s="37"/>
      <c r="F513" s="38"/>
      <c r="G513" s="38"/>
      <c r="H513" s="38"/>
      <c r="I513" s="40"/>
      <c r="J513" s="38"/>
      <c r="K513" s="38"/>
      <c r="L513" s="42"/>
      <c r="M513" s="42"/>
      <c r="N513" s="42"/>
      <c r="O513" s="42"/>
      <c r="R513" s="37"/>
      <c r="S513" s="37"/>
      <c r="T513" s="91"/>
      <c r="U513" s="91"/>
      <c r="V513" s="41"/>
      <c r="W513" s="37"/>
      <c r="X513" s="37"/>
      <c r="Y513" s="43"/>
      <c r="Z513" s="37"/>
      <c r="AA513" s="37"/>
      <c r="AD513" s="37"/>
      <c r="AE513" s="37"/>
      <c r="AF513" s="37"/>
    </row>
    <row r="514" spans="1:32" x14ac:dyDescent="0.25">
      <c r="A514" s="37"/>
      <c r="B514" s="37"/>
      <c r="C514" s="37"/>
      <c r="F514" s="38"/>
      <c r="G514" s="38"/>
      <c r="H514" s="38"/>
      <c r="I514" s="40"/>
      <c r="J514" s="38"/>
      <c r="K514" s="38"/>
      <c r="L514" s="42"/>
      <c r="M514" s="42"/>
      <c r="N514" s="42"/>
      <c r="O514" s="42"/>
      <c r="R514" s="37"/>
      <c r="S514" s="37"/>
      <c r="T514" s="91"/>
      <c r="U514" s="91"/>
      <c r="V514" s="41"/>
      <c r="W514" s="37"/>
      <c r="X514" s="37"/>
      <c r="Y514" s="43"/>
      <c r="Z514" s="37"/>
      <c r="AA514" s="37"/>
      <c r="AD514" s="37"/>
      <c r="AE514" s="37"/>
      <c r="AF514" s="37"/>
    </row>
    <row r="515" spans="1:32" x14ac:dyDescent="0.25">
      <c r="A515" s="37"/>
      <c r="B515" s="37"/>
      <c r="C515" s="37"/>
      <c r="F515" s="38"/>
      <c r="G515" s="38"/>
      <c r="H515" s="38"/>
      <c r="I515" s="40"/>
      <c r="J515" s="38"/>
      <c r="K515" s="38"/>
      <c r="L515" s="42"/>
      <c r="M515" s="42"/>
      <c r="N515" s="42"/>
      <c r="O515" s="42"/>
      <c r="R515" s="37"/>
      <c r="S515" s="37"/>
      <c r="T515" s="91"/>
      <c r="U515" s="91"/>
      <c r="V515" s="41"/>
      <c r="W515" s="37"/>
      <c r="X515" s="37"/>
      <c r="Y515" s="43"/>
      <c r="Z515" s="37"/>
      <c r="AA515" s="37"/>
      <c r="AD515" s="37"/>
      <c r="AE515" s="37"/>
      <c r="AF515" s="37"/>
    </row>
    <row r="516" spans="1:32" x14ac:dyDescent="0.25">
      <c r="A516" s="37"/>
      <c r="B516" s="37"/>
      <c r="C516" s="37"/>
      <c r="F516" s="38"/>
      <c r="G516" s="38"/>
      <c r="H516" s="38"/>
      <c r="I516" s="40"/>
      <c r="J516" s="38"/>
      <c r="K516" s="38"/>
      <c r="L516" s="42"/>
      <c r="M516" s="42"/>
      <c r="N516" s="42"/>
      <c r="O516" s="42"/>
      <c r="R516" s="37"/>
      <c r="S516" s="37"/>
      <c r="T516" s="91"/>
      <c r="U516" s="91"/>
      <c r="V516" s="41"/>
      <c r="W516" s="37"/>
      <c r="X516" s="37"/>
      <c r="Y516" s="43"/>
      <c r="Z516" s="37"/>
      <c r="AA516" s="37"/>
      <c r="AD516" s="37"/>
      <c r="AE516" s="37"/>
      <c r="AF516" s="37"/>
    </row>
    <row r="517" spans="1:32" x14ac:dyDescent="0.25">
      <c r="A517" s="37"/>
      <c r="B517" s="37"/>
      <c r="C517" s="37"/>
      <c r="F517" s="38"/>
      <c r="G517" s="38"/>
      <c r="H517" s="38"/>
      <c r="I517" s="40"/>
      <c r="J517" s="38"/>
      <c r="K517" s="38"/>
      <c r="L517" s="42"/>
      <c r="M517" s="42"/>
      <c r="N517" s="42"/>
      <c r="O517" s="42"/>
      <c r="R517" s="37"/>
      <c r="S517" s="37"/>
      <c r="T517" s="91"/>
      <c r="U517" s="91"/>
      <c r="V517" s="41"/>
      <c r="W517" s="37"/>
      <c r="X517" s="37"/>
      <c r="Y517" s="43"/>
      <c r="Z517" s="37"/>
      <c r="AA517" s="37"/>
      <c r="AD517" s="37"/>
      <c r="AE517" s="37"/>
      <c r="AF517" s="37"/>
    </row>
    <row r="518" spans="1:32" x14ac:dyDescent="0.25">
      <c r="A518" s="37"/>
      <c r="B518" s="37"/>
      <c r="C518" s="37"/>
      <c r="F518" s="38"/>
      <c r="G518" s="38"/>
      <c r="H518" s="38"/>
      <c r="I518" s="40"/>
      <c r="J518" s="38"/>
      <c r="K518" s="38"/>
      <c r="L518" s="42"/>
      <c r="M518" s="42"/>
      <c r="N518" s="42"/>
      <c r="O518" s="42"/>
      <c r="R518" s="37"/>
      <c r="S518" s="37"/>
      <c r="T518" s="91"/>
      <c r="U518" s="91"/>
      <c r="V518" s="41"/>
      <c r="W518" s="37"/>
      <c r="X518" s="37"/>
      <c r="Y518" s="43"/>
      <c r="Z518" s="37"/>
      <c r="AA518" s="37"/>
      <c r="AD518" s="37"/>
      <c r="AE518" s="37"/>
      <c r="AF518" s="37"/>
    </row>
    <row r="519" spans="1:32" x14ac:dyDescent="0.25">
      <c r="A519" s="37"/>
      <c r="B519" s="37"/>
      <c r="C519" s="37"/>
      <c r="F519" s="38"/>
      <c r="G519" s="38"/>
      <c r="H519" s="38"/>
      <c r="I519" s="40"/>
      <c r="J519" s="38"/>
      <c r="K519" s="38"/>
      <c r="L519" s="42"/>
      <c r="M519" s="42"/>
      <c r="N519" s="42"/>
      <c r="O519" s="42"/>
      <c r="R519" s="37"/>
      <c r="S519" s="37"/>
      <c r="T519" s="91"/>
      <c r="U519" s="91"/>
      <c r="V519" s="41"/>
      <c r="W519" s="37"/>
      <c r="X519" s="37"/>
      <c r="Y519" s="43"/>
      <c r="Z519" s="37"/>
      <c r="AA519" s="37"/>
      <c r="AD519" s="37"/>
      <c r="AE519" s="37"/>
      <c r="AF519" s="37"/>
    </row>
    <row r="520" spans="1:32" x14ac:dyDescent="0.25">
      <c r="A520" s="37"/>
      <c r="B520" s="37"/>
      <c r="C520" s="37"/>
      <c r="F520" s="38"/>
      <c r="G520" s="38"/>
      <c r="H520" s="38"/>
      <c r="I520" s="40"/>
      <c r="J520" s="38"/>
      <c r="K520" s="38"/>
      <c r="L520" s="42"/>
      <c r="M520" s="42"/>
      <c r="N520" s="42"/>
      <c r="O520" s="42"/>
      <c r="R520" s="37"/>
      <c r="S520" s="37"/>
      <c r="T520" s="91"/>
      <c r="U520" s="91"/>
      <c r="V520" s="41"/>
      <c r="W520" s="37"/>
      <c r="X520" s="37"/>
      <c r="Y520" s="43"/>
      <c r="Z520" s="37"/>
      <c r="AA520" s="37"/>
      <c r="AD520" s="37"/>
      <c r="AE520" s="37"/>
      <c r="AF520" s="37"/>
    </row>
    <row r="521" spans="1:32" x14ac:dyDescent="0.25">
      <c r="A521" s="37"/>
      <c r="B521" s="37"/>
      <c r="C521" s="37"/>
      <c r="F521" s="38"/>
      <c r="G521" s="38"/>
      <c r="H521" s="38"/>
      <c r="I521" s="40"/>
      <c r="J521" s="38"/>
      <c r="K521" s="38"/>
      <c r="L521" s="42"/>
      <c r="M521" s="42"/>
      <c r="N521" s="42"/>
      <c r="O521" s="42"/>
      <c r="R521" s="37"/>
      <c r="S521" s="37"/>
      <c r="T521" s="91"/>
      <c r="U521" s="91"/>
      <c r="V521" s="41"/>
      <c r="W521" s="37"/>
      <c r="X521" s="37"/>
      <c r="Y521" s="43"/>
      <c r="Z521" s="37"/>
      <c r="AA521" s="37"/>
      <c r="AD521" s="37"/>
      <c r="AE521" s="37"/>
      <c r="AF521" s="37"/>
    </row>
    <row r="522" spans="1:32" x14ac:dyDescent="0.25">
      <c r="A522" s="37"/>
      <c r="B522" s="37"/>
      <c r="C522" s="37"/>
      <c r="F522" s="38"/>
      <c r="G522" s="38"/>
      <c r="H522" s="38"/>
      <c r="I522" s="40"/>
      <c r="J522" s="38"/>
      <c r="K522" s="38"/>
      <c r="L522" s="42"/>
      <c r="M522" s="42"/>
      <c r="N522" s="42"/>
      <c r="O522" s="42"/>
      <c r="R522" s="37"/>
      <c r="S522" s="37"/>
      <c r="T522" s="91"/>
      <c r="U522" s="91"/>
      <c r="V522" s="41"/>
      <c r="W522" s="37"/>
      <c r="X522" s="37"/>
      <c r="Y522" s="43"/>
      <c r="Z522" s="37"/>
      <c r="AA522" s="37"/>
      <c r="AD522" s="37"/>
      <c r="AE522" s="37"/>
      <c r="AF522" s="37"/>
    </row>
    <row r="523" spans="1:32" x14ac:dyDescent="0.25">
      <c r="A523" s="37"/>
      <c r="B523" s="37"/>
      <c r="C523" s="37"/>
      <c r="F523" s="38"/>
      <c r="G523" s="38"/>
      <c r="H523" s="38"/>
      <c r="I523" s="40"/>
      <c r="J523" s="38"/>
      <c r="K523" s="38"/>
      <c r="L523" s="42"/>
      <c r="M523" s="42"/>
      <c r="N523" s="42"/>
      <c r="O523" s="42"/>
      <c r="R523" s="37"/>
      <c r="S523" s="37"/>
      <c r="T523" s="91"/>
      <c r="U523" s="91"/>
      <c r="V523" s="41"/>
      <c r="W523" s="37"/>
      <c r="X523" s="37"/>
      <c r="Y523" s="43"/>
      <c r="Z523" s="37"/>
      <c r="AA523" s="37"/>
      <c r="AD523" s="37"/>
      <c r="AE523" s="37"/>
      <c r="AF523" s="37"/>
    </row>
    <row r="524" spans="1:32" x14ac:dyDescent="0.25">
      <c r="A524" s="37"/>
      <c r="B524" s="37"/>
      <c r="C524" s="37"/>
      <c r="F524" s="38"/>
      <c r="G524" s="38"/>
      <c r="H524" s="38"/>
      <c r="I524" s="40"/>
      <c r="J524" s="38"/>
      <c r="K524" s="38"/>
      <c r="L524" s="42"/>
      <c r="M524" s="42"/>
      <c r="N524" s="42"/>
      <c r="O524" s="42"/>
      <c r="R524" s="37"/>
      <c r="S524" s="37"/>
      <c r="T524" s="91"/>
      <c r="U524" s="91"/>
      <c r="V524" s="41"/>
      <c r="W524" s="37"/>
      <c r="X524" s="37"/>
      <c r="Y524" s="43"/>
      <c r="Z524" s="37"/>
      <c r="AA524" s="37"/>
      <c r="AD524" s="37"/>
      <c r="AE524" s="37"/>
      <c r="AF524" s="37"/>
    </row>
    <row r="525" spans="1:32" x14ac:dyDescent="0.25">
      <c r="A525" s="37"/>
      <c r="B525" s="37"/>
      <c r="C525" s="37"/>
      <c r="F525" s="38"/>
      <c r="G525" s="38"/>
      <c r="H525" s="38"/>
      <c r="I525" s="40"/>
      <c r="J525" s="38"/>
      <c r="K525" s="38"/>
      <c r="L525" s="42"/>
      <c r="M525" s="42"/>
      <c r="N525" s="42"/>
      <c r="O525" s="42"/>
      <c r="R525" s="37"/>
      <c r="S525" s="37"/>
      <c r="T525" s="91"/>
      <c r="U525" s="91"/>
      <c r="V525" s="41"/>
      <c r="W525" s="37"/>
      <c r="X525" s="37"/>
      <c r="Y525" s="43"/>
      <c r="Z525" s="37"/>
      <c r="AA525" s="37"/>
      <c r="AD525" s="37"/>
      <c r="AE525" s="37"/>
      <c r="AF525" s="37"/>
    </row>
    <row r="526" spans="1:32" x14ac:dyDescent="0.25">
      <c r="A526" s="37"/>
      <c r="B526" s="37"/>
      <c r="C526" s="37"/>
      <c r="F526" s="38"/>
      <c r="G526" s="38"/>
      <c r="H526" s="38"/>
      <c r="I526" s="40"/>
      <c r="J526" s="38"/>
      <c r="K526" s="38"/>
      <c r="L526" s="42"/>
      <c r="M526" s="42"/>
      <c r="N526" s="42"/>
      <c r="O526" s="42"/>
      <c r="R526" s="37"/>
      <c r="S526" s="37"/>
      <c r="T526" s="91"/>
      <c r="U526" s="91"/>
      <c r="V526" s="41"/>
      <c r="W526" s="37"/>
      <c r="X526" s="37"/>
      <c r="Y526" s="43"/>
      <c r="Z526" s="37"/>
      <c r="AA526" s="37"/>
      <c r="AD526" s="37"/>
      <c r="AE526" s="37"/>
      <c r="AF526" s="37"/>
    </row>
    <row r="527" spans="1:32" x14ac:dyDescent="0.25">
      <c r="A527" s="37"/>
      <c r="B527" s="37"/>
      <c r="C527" s="37"/>
      <c r="F527" s="38"/>
      <c r="G527" s="38"/>
      <c r="H527" s="38"/>
      <c r="I527" s="40"/>
      <c r="J527" s="38"/>
      <c r="K527" s="38"/>
      <c r="L527" s="42"/>
      <c r="M527" s="42"/>
      <c r="N527" s="42"/>
      <c r="O527" s="42"/>
      <c r="R527" s="37"/>
      <c r="S527" s="37"/>
      <c r="T527" s="91"/>
      <c r="U527" s="91"/>
      <c r="V527" s="41"/>
      <c r="W527" s="37"/>
      <c r="X527" s="37"/>
      <c r="Y527" s="43"/>
      <c r="Z527" s="37"/>
      <c r="AA527" s="37"/>
      <c r="AD527" s="37"/>
      <c r="AE527" s="37"/>
      <c r="AF527" s="37"/>
    </row>
    <row r="528" spans="1:32" x14ac:dyDescent="0.25">
      <c r="A528" s="37"/>
      <c r="B528" s="37"/>
      <c r="C528" s="37"/>
      <c r="F528" s="38"/>
      <c r="G528" s="38"/>
      <c r="H528" s="38"/>
      <c r="I528" s="40"/>
      <c r="J528" s="38"/>
      <c r="K528" s="38"/>
      <c r="L528" s="42"/>
      <c r="M528" s="42"/>
      <c r="N528" s="42"/>
      <c r="O528" s="42"/>
      <c r="R528" s="37"/>
      <c r="S528" s="37"/>
      <c r="T528" s="91"/>
      <c r="U528" s="91"/>
      <c r="V528" s="41"/>
      <c r="W528" s="37"/>
      <c r="X528" s="37"/>
      <c r="Y528" s="43"/>
      <c r="Z528" s="37"/>
      <c r="AA528" s="37"/>
      <c r="AD528" s="37"/>
      <c r="AE528" s="37"/>
      <c r="AF528" s="37"/>
    </row>
    <row r="529" spans="1:32" x14ac:dyDescent="0.25">
      <c r="A529" s="37"/>
      <c r="B529" s="37"/>
      <c r="C529" s="37"/>
      <c r="F529" s="38"/>
      <c r="G529" s="38"/>
      <c r="H529" s="38"/>
      <c r="I529" s="40"/>
      <c r="J529" s="38"/>
      <c r="K529" s="38"/>
      <c r="L529" s="42"/>
      <c r="M529" s="42"/>
      <c r="N529" s="42"/>
      <c r="O529" s="42"/>
      <c r="R529" s="37"/>
      <c r="S529" s="37"/>
      <c r="T529" s="91"/>
      <c r="U529" s="91"/>
      <c r="V529" s="41"/>
      <c r="W529" s="37"/>
      <c r="X529" s="37"/>
      <c r="Y529" s="43"/>
      <c r="Z529" s="37"/>
      <c r="AA529" s="37"/>
      <c r="AD529" s="37"/>
      <c r="AE529" s="37"/>
      <c r="AF529" s="37"/>
    </row>
    <row r="530" spans="1:32" x14ac:dyDescent="0.25">
      <c r="A530" s="37"/>
      <c r="B530" s="37"/>
      <c r="C530" s="37"/>
      <c r="F530" s="38"/>
      <c r="G530" s="38"/>
      <c r="H530" s="38"/>
      <c r="I530" s="40"/>
      <c r="J530" s="38"/>
      <c r="K530" s="38"/>
      <c r="L530" s="42"/>
      <c r="M530" s="42"/>
      <c r="N530" s="42"/>
      <c r="O530" s="42"/>
      <c r="R530" s="37"/>
      <c r="S530" s="37"/>
      <c r="T530" s="91"/>
      <c r="U530" s="91"/>
      <c r="V530" s="41"/>
      <c r="W530" s="37"/>
      <c r="X530" s="37"/>
      <c r="Y530" s="43"/>
      <c r="Z530" s="37"/>
      <c r="AA530" s="37"/>
      <c r="AD530" s="37"/>
      <c r="AE530" s="37"/>
      <c r="AF530" s="37"/>
    </row>
    <row r="531" spans="1:32" x14ac:dyDescent="0.25">
      <c r="A531" s="37"/>
      <c r="B531" s="37"/>
      <c r="C531" s="37"/>
      <c r="F531" s="38"/>
      <c r="G531" s="38"/>
      <c r="H531" s="38"/>
      <c r="I531" s="40"/>
      <c r="J531" s="38"/>
      <c r="K531" s="38"/>
      <c r="L531" s="42"/>
      <c r="M531" s="42"/>
      <c r="N531" s="42"/>
      <c r="O531" s="42"/>
      <c r="R531" s="37"/>
      <c r="S531" s="37"/>
      <c r="T531" s="91"/>
      <c r="U531" s="91"/>
      <c r="V531" s="41"/>
      <c r="W531" s="37"/>
      <c r="X531" s="37"/>
      <c r="Y531" s="43"/>
      <c r="Z531" s="37"/>
      <c r="AA531" s="37"/>
      <c r="AD531" s="37"/>
      <c r="AE531" s="37"/>
      <c r="AF531" s="37"/>
    </row>
    <row r="532" spans="1:32" x14ac:dyDescent="0.25">
      <c r="A532" s="37"/>
      <c r="B532" s="37"/>
      <c r="C532" s="37"/>
      <c r="F532" s="38"/>
      <c r="G532" s="38"/>
      <c r="H532" s="38"/>
      <c r="I532" s="40"/>
      <c r="J532" s="38"/>
      <c r="K532" s="38"/>
      <c r="L532" s="42"/>
      <c r="M532" s="42"/>
      <c r="N532" s="42"/>
      <c r="O532" s="42"/>
      <c r="R532" s="37"/>
      <c r="S532" s="37"/>
      <c r="T532" s="91"/>
      <c r="U532" s="91"/>
      <c r="V532" s="41"/>
      <c r="W532" s="37"/>
      <c r="X532" s="37"/>
      <c r="Y532" s="43"/>
      <c r="Z532" s="37"/>
      <c r="AA532" s="37"/>
      <c r="AD532" s="37"/>
      <c r="AE532" s="37"/>
      <c r="AF532" s="37"/>
    </row>
    <row r="533" spans="1:32" x14ac:dyDescent="0.25">
      <c r="A533" s="37"/>
      <c r="B533" s="37"/>
      <c r="C533" s="37"/>
      <c r="F533" s="38"/>
      <c r="G533" s="38"/>
      <c r="H533" s="38"/>
      <c r="I533" s="40"/>
      <c r="J533" s="38"/>
      <c r="K533" s="38"/>
      <c r="L533" s="42"/>
      <c r="M533" s="42"/>
      <c r="N533" s="42"/>
      <c r="O533" s="42"/>
      <c r="R533" s="37"/>
      <c r="S533" s="37"/>
      <c r="T533" s="91"/>
      <c r="U533" s="91"/>
      <c r="V533" s="41"/>
      <c r="W533" s="37"/>
      <c r="X533" s="37"/>
      <c r="Y533" s="43"/>
      <c r="Z533" s="37"/>
      <c r="AA533" s="37"/>
      <c r="AD533" s="37"/>
      <c r="AE533" s="37"/>
      <c r="AF533" s="37"/>
    </row>
    <row r="534" spans="1:32" x14ac:dyDescent="0.25">
      <c r="A534" s="37"/>
      <c r="B534" s="37"/>
      <c r="C534" s="37"/>
      <c r="F534" s="38"/>
      <c r="G534" s="38"/>
      <c r="H534" s="38"/>
      <c r="I534" s="40"/>
      <c r="J534" s="38"/>
      <c r="K534" s="38"/>
      <c r="L534" s="42"/>
      <c r="M534" s="42"/>
      <c r="N534" s="42"/>
      <c r="O534" s="42"/>
      <c r="R534" s="37"/>
      <c r="S534" s="37"/>
      <c r="T534" s="91"/>
      <c r="U534" s="91"/>
      <c r="V534" s="41"/>
      <c r="W534" s="37"/>
      <c r="X534" s="37"/>
      <c r="Y534" s="43"/>
      <c r="Z534" s="37"/>
      <c r="AA534" s="37"/>
      <c r="AD534" s="37"/>
      <c r="AE534" s="37"/>
      <c r="AF534" s="37"/>
    </row>
    <row r="535" spans="1:32" x14ac:dyDescent="0.25">
      <c r="A535" s="37"/>
      <c r="B535" s="37"/>
      <c r="C535" s="37"/>
      <c r="F535" s="38"/>
      <c r="G535" s="38"/>
      <c r="H535" s="38"/>
      <c r="I535" s="40"/>
      <c r="J535" s="38"/>
      <c r="K535" s="38"/>
      <c r="L535" s="42"/>
      <c r="M535" s="42"/>
      <c r="N535" s="42"/>
      <c r="O535" s="42"/>
      <c r="R535" s="37"/>
      <c r="S535" s="37"/>
      <c r="T535" s="91"/>
      <c r="U535" s="91"/>
      <c r="V535" s="41"/>
      <c r="W535" s="37"/>
      <c r="X535" s="37"/>
      <c r="Y535" s="43"/>
      <c r="Z535" s="37"/>
      <c r="AA535" s="37"/>
      <c r="AD535" s="37"/>
      <c r="AE535" s="37"/>
      <c r="AF535" s="37"/>
    </row>
    <row r="536" spans="1:32" x14ac:dyDescent="0.25">
      <c r="A536" s="37"/>
      <c r="B536" s="37"/>
      <c r="C536" s="37"/>
      <c r="F536" s="38"/>
      <c r="G536" s="38"/>
      <c r="H536" s="38"/>
      <c r="I536" s="40"/>
      <c r="J536" s="38"/>
      <c r="K536" s="38"/>
      <c r="L536" s="42"/>
      <c r="M536" s="42"/>
      <c r="N536" s="42"/>
      <c r="O536" s="42"/>
      <c r="R536" s="37"/>
      <c r="S536" s="37"/>
      <c r="T536" s="91"/>
      <c r="U536" s="91"/>
      <c r="V536" s="41"/>
      <c r="W536" s="37"/>
      <c r="X536" s="37"/>
      <c r="Y536" s="43"/>
      <c r="Z536" s="37"/>
      <c r="AA536" s="37"/>
      <c r="AD536" s="37"/>
      <c r="AE536" s="37"/>
      <c r="AF536" s="37"/>
    </row>
    <row r="537" spans="1:32" x14ac:dyDescent="0.25">
      <c r="A537" s="37"/>
      <c r="B537" s="37"/>
      <c r="C537" s="37"/>
      <c r="F537" s="38"/>
      <c r="G537" s="38"/>
      <c r="H537" s="38"/>
      <c r="I537" s="40"/>
      <c r="J537" s="38"/>
      <c r="K537" s="38"/>
      <c r="L537" s="42"/>
      <c r="M537" s="42"/>
      <c r="N537" s="42"/>
      <c r="O537" s="42"/>
      <c r="R537" s="37"/>
      <c r="S537" s="37"/>
      <c r="T537" s="91"/>
      <c r="U537" s="91"/>
      <c r="V537" s="41"/>
      <c r="W537" s="37"/>
      <c r="X537" s="37"/>
      <c r="Y537" s="43"/>
      <c r="Z537" s="37"/>
      <c r="AA537" s="37"/>
      <c r="AD537" s="37"/>
      <c r="AE537" s="37"/>
      <c r="AF537" s="37"/>
    </row>
    <row r="538" spans="1:32" x14ac:dyDescent="0.25">
      <c r="A538" s="37"/>
      <c r="B538" s="37"/>
      <c r="C538" s="37"/>
      <c r="F538" s="38"/>
      <c r="G538" s="38"/>
      <c r="H538" s="38"/>
      <c r="I538" s="40"/>
      <c r="J538" s="38"/>
      <c r="K538" s="38"/>
      <c r="L538" s="42"/>
      <c r="M538" s="42"/>
      <c r="N538" s="42"/>
      <c r="O538" s="42"/>
      <c r="R538" s="37"/>
      <c r="S538" s="37"/>
      <c r="T538" s="91"/>
      <c r="U538" s="91"/>
      <c r="V538" s="41"/>
      <c r="W538" s="37"/>
      <c r="X538" s="37"/>
      <c r="Y538" s="43"/>
      <c r="Z538" s="37"/>
      <c r="AA538" s="37"/>
      <c r="AD538" s="37"/>
      <c r="AE538" s="37"/>
      <c r="AF538" s="37"/>
    </row>
    <row r="539" spans="1:32" x14ac:dyDescent="0.25">
      <c r="A539" s="37"/>
      <c r="B539" s="37"/>
      <c r="C539" s="37"/>
      <c r="F539" s="38"/>
      <c r="G539" s="38"/>
      <c r="H539" s="38"/>
      <c r="I539" s="40"/>
      <c r="J539" s="38"/>
      <c r="K539" s="38"/>
      <c r="L539" s="42"/>
      <c r="M539" s="42"/>
      <c r="N539" s="42"/>
      <c r="O539" s="42"/>
      <c r="R539" s="37"/>
      <c r="S539" s="37"/>
      <c r="T539" s="91"/>
      <c r="U539" s="91"/>
      <c r="V539" s="41"/>
      <c r="W539" s="37"/>
      <c r="X539" s="37"/>
      <c r="Y539" s="43"/>
      <c r="Z539" s="37"/>
      <c r="AA539" s="37"/>
      <c r="AD539" s="37"/>
      <c r="AE539" s="37"/>
      <c r="AF539" s="37"/>
    </row>
    <row r="540" spans="1:32" x14ac:dyDescent="0.25">
      <c r="A540" s="37"/>
      <c r="B540" s="37"/>
      <c r="C540" s="37"/>
      <c r="F540" s="38"/>
      <c r="G540" s="38"/>
      <c r="H540" s="38"/>
      <c r="I540" s="40"/>
      <c r="J540" s="38"/>
      <c r="K540" s="38"/>
      <c r="L540" s="42"/>
      <c r="M540" s="42"/>
      <c r="N540" s="42"/>
      <c r="O540" s="42"/>
      <c r="R540" s="37"/>
      <c r="S540" s="37"/>
      <c r="T540" s="91"/>
      <c r="U540" s="91"/>
      <c r="V540" s="41"/>
      <c r="W540" s="37"/>
      <c r="X540" s="37"/>
      <c r="Y540" s="43"/>
      <c r="Z540" s="37"/>
      <c r="AA540" s="37"/>
      <c r="AD540" s="37"/>
      <c r="AE540" s="37"/>
      <c r="AF540" s="37"/>
    </row>
    <row r="541" spans="1:32" x14ac:dyDescent="0.25">
      <c r="A541" s="37"/>
      <c r="B541" s="37"/>
      <c r="C541" s="37"/>
      <c r="F541" s="38"/>
      <c r="G541" s="38"/>
      <c r="H541" s="38"/>
      <c r="I541" s="40"/>
      <c r="J541" s="38"/>
      <c r="K541" s="38"/>
      <c r="L541" s="42"/>
      <c r="M541" s="42"/>
      <c r="N541" s="42"/>
      <c r="O541" s="42"/>
      <c r="R541" s="37"/>
      <c r="S541" s="37"/>
      <c r="T541" s="91"/>
      <c r="U541" s="91"/>
      <c r="V541" s="41"/>
      <c r="W541" s="37"/>
      <c r="X541" s="37"/>
      <c r="Y541" s="43"/>
      <c r="Z541" s="37"/>
      <c r="AA541" s="37"/>
      <c r="AD541" s="37"/>
      <c r="AE541" s="37"/>
      <c r="AF541" s="37"/>
    </row>
    <row r="542" spans="1:32" x14ac:dyDescent="0.25">
      <c r="A542" s="37"/>
      <c r="B542" s="37"/>
      <c r="C542" s="37"/>
      <c r="F542" s="38"/>
      <c r="G542" s="38"/>
      <c r="H542" s="38"/>
      <c r="I542" s="40"/>
      <c r="J542" s="38"/>
      <c r="K542" s="38"/>
      <c r="L542" s="42"/>
      <c r="M542" s="42"/>
      <c r="N542" s="42"/>
      <c r="O542" s="42"/>
      <c r="R542" s="37"/>
      <c r="S542" s="37"/>
      <c r="T542" s="91"/>
      <c r="U542" s="91"/>
      <c r="V542" s="41"/>
      <c r="W542" s="37"/>
      <c r="X542" s="37"/>
      <c r="Y542" s="43"/>
      <c r="Z542" s="37"/>
      <c r="AA542" s="37"/>
      <c r="AD542" s="37"/>
      <c r="AE542" s="37"/>
      <c r="AF542" s="37"/>
    </row>
    <row r="543" spans="1:32" x14ac:dyDescent="0.25">
      <c r="A543" s="37"/>
      <c r="B543" s="37"/>
      <c r="C543" s="37"/>
      <c r="F543" s="38"/>
      <c r="G543" s="38"/>
      <c r="H543" s="38"/>
      <c r="I543" s="40"/>
      <c r="J543" s="38"/>
      <c r="K543" s="38"/>
      <c r="L543" s="42"/>
      <c r="M543" s="42"/>
      <c r="N543" s="42"/>
      <c r="O543" s="42"/>
      <c r="R543" s="37"/>
      <c r="S543" s="37"/>
      <c r="T543" s="91"/>
      <c r="U543" s="91"/>
      <c r="V543" s="41"/>
      <c r="W543" s="37"/>
      <c r="X543" s="37"/>
      <c r="Y543" s="43"/>
      <c r="Z543" s="37"/>
      <c r="AA543" s="37"/>
      <c r="AD543" s="37"/>
      <c r="AE543" s="37"/>
      <c r="AF543" s="37"/>
    </row>
    <row r="544" spans="1:32" x14ac:dyDescent="0.25">
      <c r="A544" s="37"/>
      <c r="B544" s="37"/>
      <c r="C544" s="37"/>
      <c r="F544" s="38"/>
      <c r="G544" s="38"/>
      <c r="H544" s="38"/>
      <c r="I544" s="40"/>
      <c r="J544" s="38"/>
      <c r="K544" s="38"/>
      <c r="L544" s="42"/>
      <c r="M544" s="42"/>
      <c r="N544" s="42"/>
      <c r="O544" s="42"/>
      <c r="R544" s="37"/>
      <c r="S544" s="37"/>
      <c r="T544" s="91"/>
      <c r="U544" s="91"/>
      <c r="V544" s="41"/>
      <c r="W544" s="37"/>
      <c r="X544" s="37"/>
      <c r="Y544" s="43"/>
      <c r="Z544" s="37"/>
      <c r="AA544" s="37"/>
      <c r="AD544" s="37"/>
      <c r="AE544" s="37"/>
      <c r="AF544" s="37"/>
    </row>
    <row r="545" spans="1:32" x14ac:dyDescent="0.25">
      <c r="A545" s="37"/>
      <c r="B545" s="37"/>
      <c r="C545" s="37"/>
      <c r="F545" s="38"/>
      <c r="G545" s="38"/>
      <c r="H545" s="38"/>
      <c r="I545" s="40"/>
      <c r="J545" s="38"/>
      <c r="K545" s="38"/>
      <c r="L545" s="42"/>
      <c r="M545" s="42"/>
      <c r="N545" s="42"/>
      <c r="O545" s="42"/>
      <c r="R545" s="37"/>
      <c r="S545" s="37"/>
      <c r="T545" s="91"/>
      <c r="U545" s="91"/>
      <c r="V545" s="41"/>
      <c r="W545" s="37"/>
      <c r="X545" s="37"/>
      <c r="Y545" s="43"/>
      <c r="Z545" s="37"/>
      <c r="AA545" s="37"/>
      <c r="AD545" s="37"/>
      <c r="AE545" s="37"/>
      <c r="AF545" s="37"/>
    </row>
    <row r="546" spans="1:32" x14ac:dyDescent="0.25">
      <c r="A546" s="37"/>
      <c r="B546" s="37"/>
      <c r="C546" s="37"/>
      <c r="F546" s="38"/>
      <c r="G546" s="38"/>
      <c r="H546" s="38"/>
      <c r="I546" s="40"/>
      <c r="J546" s="38"/>
      <c r="K546" s="38"/>
      <c r="L546" s="42"/>
      <c r="M546" s="42"/>
      <c r="N546" s="42"/>
      <c r="O546" s="42"/>
      <c r="R546" s="37"/>
      <c r="S546" s="37"/>
      <c r="T546" s="91"/>
      <c r="U546" s="91"/>
      <c r="V546" s="41"/>
      <c r="W546" s="37"/>
      <c r="X546" s="37"/>
      <c r="Y546" s="43"/>
      <c r="Z546" s="37"/>
      <c r="AA546" s="37"/>
      <c r="AD546" s="37"/>
      <c r="AE546" s="37"/>
      <c r="AF546" s="37"/>
    </row>
    <row r="547" spans="1:32" x14ac:dyDescent="0.25">
      <c r="A547" s="37"/>
      <c r="B547" s="37"/>
      <c r="C547" s="37"/>
      <c r="F547" s="38"/>
      <c r="G547" s="38"/>
      <c r="H547" s="38"/>
      <c r="I547" s="40"/>
      <c r="J547" s="38"/>
      <c r="K547" s="38"/>
      <c r="L547" s="42"/>
      <c r="M547" s="42"/>
      <c r="N547" s="42"/>
      <c r="O547" s="42"/>
      <c r="R547" s="37"/>
      <c r="S547" s="37"/>
      <c r="T547" s="91"/>
      <c r="U547" s="91"/>
      <c r="V547" s="41"/>
      <c r="W547" s="37"/>
      <c r="X547" s="37"/>
      <c r="Y547" s="43"/>
      <c r="Z547" s="37"/>
      <c r="AA547" s="37"/>
      <c r="AD547" s="37"/>
      <c r="AE547" s="37"/>
      <c r="AF547" s="37"/>
    </row>
    <row r="548" spans="1:32" x14ac:dyDescent="0.25">
      <c r="A548" s="37"/>
      <c r="B548" s="37"/>
      <c r="C548" s="37"/>
      <c r="F548" s="38"/>
      <c r="G548" s="38"/>
      <c r="H548" s="38"/>
      <c r="I548" s="40"/>
      <c r="J548" s="38"/>
      <c r="K548" s="38"/>
      <c r="L548" s="42"/>
      <c r="M548" s="42"/>
      <c r="N548" s="42"/>
      <c r="O548" s="42"/>
      <c r="R548" s="37"/>
      <c r="S548" s="37"/>
      <c r="T548" s="91"/>
      <c r="U548" s="91"/>
      <c r="V548" s="41"/>
      <c r="W548" s="37"/>
      <c r="X548" s="37"/>
      <c r="Y548" s="43"/>
      <c r="Z548" s="37"/>
      <c r="AA548" s="37"/>
      <c r="AD548" s="37"/>
      <c r="AE548" s="37"/>
      <c r="AF548" s="37"/>
    </row>
    <row r="549" spans="1:32" x14ac:dyDescent="0.25">
      <c r="A549" s="37"/>
      <c r="B549" s="37"/>
      <c r="C549" s="37"/>
      <c r="F549" s="38"/>
      <c r="G549" s="38"/>
      <c r="H549" s="38"/>
      <c r="I549" s="40"/>
      <c r="J549" s="38"/>
      <c r="K549" s="38"/>
      <c r="L549" s="42"/>
      <c r="M549" s="42"/>
      <c r="N549" s="42"/>
      <c r="O549" s="42"/>
      <c r="R549" s="37"/>
      <c r="S549" s="37"/>
      <c r="T549" s="91"/>
      <c r="U549" s="91"/>
      <c r="V549" s="41"/>
      <c r="W549" s="37"/>
      <c r="X549" s="37"/>
      <c r="Y549" s="43"/>
      <c r="Z549" s="37"/>
      <c r="AA549" s="37"/>
      <c r="AD549" s="37"/>
      <c r="AE549" s="37"/>
      <c r="AF549" s="37"/>
    </row>
    <row r="550" spans="1:32" x14ac:dyDescent="0.25">
      <c r="A550" s="37"/>
      <c r="B550" s="37"/>
      <c r="C550" s="37"/>
      <c r="F550" s="38"/>
      <c r="G550" s="38"/>
      <c r="H550" s="38"/>
      <c r="I550" s="40"/>
      <c r="J550" s="38"/>
      <c r="K550" s="38"/>
      <c r="L550" s="42"/>
      <c r="M550" s="42"/>
      <c r="N550" s="42"/>
      <c r="O550" s="42"/>
      <c r="R550" s="37"/>
      <c r="S550" s="37"/>
      <c r="T550" s="91"/>
      <c r="U550" s="91"/>
      <c r="V550" s="41"/>
      <c r="W550" s="37"/>
      <c r="X550" s="37"/>
      <c r="Y550" s="43"/>
      <c r="Z550" s="37"/>
      <c r="AA550" s="37"/>
      <c r="AD550" s="37"/>
      <c r="AE550" s="37"/>
      <c r="AF550" s="37"/>
    </row>
    <row r="551" spans="1:32" x14ac:dyDescent="0.25">
      <c r="A551" s="37"/>
      <c r="B551" s="37"/>
      <c r="C551" s="37"/>
      <c r="F551" s="38"/>
      <c r="G551" s="38"/>
      <c r="H551" s="38"/>
      <c r="I551" s="40"/>
      <c r="J551" s="38"/>
      <c r="K551" s="38"/>
      <c r="L551" s="42"/>
      <c r="M551" s="42"/>
      <c r="N551" s="42"/>
      <c r="O551" s="42"/>
      <c r="R551" s="37"/>
      <c r="S551" s="37"/>
      <c r="T551" s="91"/>
      <c r="U551" s="91"/>
      <c r="V551" s="41"/>
      <c r="W551" s="37"/>
      <c r="X551" s="37"/>
      <c r="Y551" s="43"/>
      <c r="Z551" s="37"/>
      <c r="AA551" s="37"/>
      <c r="AD551" s="37"/>
      <c r="AE551" s="37"/>
      <c r="AF551" s="37"/>
    </row>
    <row r="552" spans="1:32" x14ac:dyDescent="0.25">
      <c r="A552" s="37"/>
      <c r="B552" s="37"/>
      <c r="C552" s="37"/>
      <c r="F552" s="38"/>
      <c r="G552" s="38"/>
      <c r="H552" s="38"/>
      <c r="I552" s="40"/>
      <c r="J552" s="38"/>
      <c r="K552" s="38"/>
      <c r="L552" s="42"/>
      <c r="M552" s="42"/>
      <c r="N552" s="42"/>
      <c r="O552" s="42"/>
      <c r="R552" s="37"/>
      <c r="S552" s="37"/>
      <c r="T552" s="91"/>
      <c r="U552" s="91"/>
      <c r="V552" s="41"/>
      <c r="W552" s="37"/>
      <c r="X552" s="37"/>
      <c r="Y552" s="43"/>
      <c r="Z552" s="37"/>
      <c r="AA552" s="37"/>
      <c r="AD552" s="37"/>
      <c r="AE552" s="37"/>
      <c r="AF552" s="37"/>
    </row>
    <row r="553" spans="1:32" x14ac:dyDescent="0.25">
      <c r="A553" s="37"/>
      <c r="B553" s="37"/>
      <c r="C553" s="37"/>
      <c r="F553" s="38"/>
      <c r="G553" s="38"/>
      <c r="H553" s="38"/>
      <c r="I553" s="40"/>
      <c r="J553" s="38"/>
      <c r="K553" s="38"/>
      <c r="L553" s="42"/>
      <c r="M553" s="42"/>
      <c r="N553" s="42"/>
      <c r="O553" s="42"/>
      <c r="R553" s="37"/>
      <c r="S553" s="37"/>
      <c r="T553" s="91"/>
      <c r="U553" s="91"/>
      <c r="V553" s="41"/>
      <c r="W553" s="37"/>
      <c r="X553" s="37"/>
      <c r="Y553" s="43"/>
      <c r="Z553" s="37"/>
      <c r="AA553" s="37"/>
      <c r="AD553" s="37"/>
      <c r="AE553" s="37"/>
      <c r="AF553" s="37"/>
    </row>
    <row r="554" spans="1:32" x14ac:dyDescent="0.25">
      <c r="A554" s="37"/>
      <c r="B554" s="37"/>
      <c r="C554" s="37"/>
      <c r="F554" s="38"/>
      <c r="G554" s="38"/>
      <c r="H554" s="38"/>
      <c r="I554" s="40"/>
      <c r="J554" s="38"/>
      <c r="K554" s="38"/>
      <c r="L554" s="42"/>
      <c r="M554" s="42"/>
      <c r="N554" s="42"/>
      <c r="O554" s="42"/>
      <c r="R554" s="37"/>
      <c r="S554" s="37"/>
      <c r="T554" s="91"/>
      <c r="U554" s="91"/>
      <c r="V554" s="41"/>
      <c r="W554" s="37"/>
      <c r="X554" s="37"/>
      <c r="Y554" s="43"/>
      <c r="Z554" s="37"/>
      <c r="AA554" s="37"/>
      <c r="AD554" s="37"/>
      <c r="AE554" s="37"/>
      <c r="AF554" s="37"/>
    </row>
    <row r="555" spans="1:32" x14ac:dyDescent="0.25">
      <c r="A555" s="37"/>
      <c r="B555" s="37"/>
      <c r="C555" s="37"/>
      <c r="F555" s="38"/>
      <c r="G555" s="38"/>
      <c r="H555" s="38"/>
      <c r="I555" s="40"/>
      <c r="J555" s="38"/>
      <c r="K555" s="38"/>
      <c r="L555" s="42"/>
      <c r="M555" s="42"/>
      <c r="N555" s="42"/>
      <c r="O555" s="42"/>
      <c r="R555" s="37"/>
      <c r="S555" s="37"/>
      <c r="T555" s="91"/>
      <c r="U555" s="91"/>
      <c r="V555" s="41"/>
      <c r="W555" s="37"/>
      <c r="X555" s="37"/>
      <c r="Y555" s="43"/>
      <c r="Z555" s="37"/>
      <c r="AA555" s="37"/>
      <c r="AD555" s="37"/>
      <c r="AE555" s="37"/>
      <c r="AF555" s="37"/>
    </row>
    <row r="556" spans="1:32" x14ac:dyDescent="0.25">
      <c r="A556" s="37"/>
      <c r="B556" s="37"/>
      <c r="C556" s="37"/>
      <c r="F556" s="38"/>
      <c r="G556" s="38"/>
      <c r="H556" s="38"/>
      <c r="I556" s="40"/>
      <c r="J556" s="38"/>
      <c r="K556" s="38"/>
      <c r="L556" s="42"/>
      <c r="M556" s="42"/>
      <c r="N556" s="42"/>
      <c r="O556" s="42"/>
      <c r="R556" s="37"/>
      <c r="S556" s="37"/>
      <c r="T556" s="91"/>
      <c r="U556" s="91"/>
      <c r="V556" s="41"/>
      <c r="W556" s="37"/>
      <c r="X556" s="37"/>
      <c r="Y556" s="43"/>
      <c r="Z556" s="37"/>
      <c r="AA556" s="37"/>
      <c r="AD556" s="37"/>
      <c r="AE556" s="37"/>
      <c r="AF556" s="37"/>
    </row>
    <row r="557" spans="1:32" x14ac:dyDescent="0.25">
      <c r="A557" s="37"/>
      <c r="B557" s="37"/>
      <c r="C557" s="37"/>
      <c r="F557" s="38"/>
      <c r="G557" s="38"/>
      <c r="H557" s="38"/>
      <c r="I557" s="40"/>
      <c r="J557" s="38"/>
      <c r="K557" s="38"/>
      <c r="L557" s="42"/>
      <c r="M557" s="42"/>
      <c r="N557" s="42"/>
      <c r="O557" s="42"/>
      <c r="R557" s="37"/>
      <c r="S557" s="37"/>
      <c r="T557" s="91"/>
      <c r="U557" s="91"/>
      <c r="V557" s="41"/>
      <c r="W557" s="37"/>
      <c r="X557" s="37"/>
      <c r="Y557" s="43"/>
      <c r="Z557" s="37"/>
      <c r="AA557" s="37"/>
      <c r="AD557" s="37"/>
      <c r="AE557" s="37"/>
      <c r="AF557" s="37"/>
    </row>
    <row r="558" spans="1:32" x14ac:dyDescent="0.25">
      <c r="A558" s="37"/>
      <c r="B558" s="37"/>
      <c r="C558" s="37"/>
      <c r="F558" s="38"/>
      <c r="G558" s="38"/>
      <c r="H558" s="38"/>
      <c r="I558" s="40"/>
      <c r="J558" s="38"/>
      <c r="K558" s="38"/>
      <c r="L558" s="42"/>
      <c r="M558" s="42"/>
      <c r="N558" s="42"/>
      <c r="O558" s="42"/>
      <c r="R558" s="37"/>
      <c r="S558" s="37"/>
      <c r="T558" s="91"/>
      <c r="U558" s="91"/>
      <c r="V558" s="41"/>
      <c r="W558" s="37"/>
      <c r="X558" s="37"/>
      <c r="Y558" s="43"/>
      <c r="Z558" s="37"/>
      <c r="AA558" s="37"/>
      <c r="AD558" s="37"/>
      <c r="AE558" s="37"/>
      <c r="AF558" s="37"/>
    </row>
    <row r="559" spans="1:32" x14ac:dyDescent="0.25">
      <c r="A559" s="37"/>
      <c r="B559" s="37"/>
      <c r="C559" s="37"/>
      <c r="F559" s="38"/>
      <c r="G559" s="38"/>
      <c r="H559" s="38"/>
      <c r="I559" s="40"/>
      <c r="J559" s="38"/>
      <c r="K559" s="38"/>
      <c r="L559" s="42"/>
      <c r="M559" s="42"/>
      <c r="N559" s="42"/>
      <c r="O559" s="42"/>
      <c r="R559" s="37"/>
      <c r="S559" s="37"/>
      <c r="T559" s="91"/>
      <c r="U559" s="91"/>
      <c r="V559" s="41"/>
      <c r="W559" s="37"/>
      <c r="X559" s="37"/>
      <c r="Y559" s="43"/>
      <c r="Z559" s="37"/>
      <c r="AA559" s="37"/>
      <c r="AD559" s="37"/>
      <c r="AE559" s="37"/>
      <c r="AF559" s="37"/>
    </row>
    <row r="560" spans="1:32" x14ac:dyDescent="0.25">
      <c r="A560" s="37"/>
      <c r="B560" s="37"/>
      <c r="C560" s="37"/>
      <c r="F560" s="38"/>
      <c r="G560" s="38"/>
      <c r="H560" s="38"/>
      <c r="I560" s="40"/>
      <c r="J560" s="38"/>
      <c r="K560" s="38"/>
      <c r="L560" s="42"/>
      <c r="M560" s="42"/>
      <c r="N560" s="42"/>
      <c r="O560" s="42"/>
      <c r="R560" s="37"/>
      <c r="S560" s="37"/>
      <c r="T560" s="91"/>
      <c r="U560" s="91"/>
      <c r="V560" s="41"/>
      <c r="W560" s="37"/>
      <c r="X560" s="37"/>
      <c r="Y560" s="43"/>
      <c r="Z560" s="37"/>
      <c r="AA560" s="37"/>
      <c r="AD560" s="37"/>
      <c r="AE560" s="37"/>
      <c r="AF560" s="37"/>
    </row>
    <row r="561" spans="1:32" x14ac:dyDescent="0.25">
      <c r="A561" s="37"/>
      <c r="B561" s="37"/>
      <c r="C561" s="37"/>
      <c r="F561" s="38"/>
      <c r="G561" s="38"/>
      <c r="H561" s="38"/>
      <c r="I561" s="40"/>
      <c r="J561" s="38"/>
      <c r="K561" s="38"/>
      <c r="L561" s="42"/>
      <c r="M561" s="42"/>
      <c r="N561" s="42"/>
      <c r="O561" s="42"/>
      <c r="R561" s="37"/>
      <c r="S561" s="37"/>
      <c r="T561" s="91"/>
      <c r="U561" s="91"/>
      <c r="V561" s="41"/>
      <c r="W561" s="37"/>
      <c r="X561" s="37"/>
      <c r="Y561" s="43"/>
      <c r="Z561" s="37"/>
      <c r="AA561" s="37"/>
      <c r="AD561" s="37"/>
      <c r="AE561" s="37"/>
      <c r="AF561" s="37"/>
    </row>
    <row r="562" spans="1:32" x14ac:dyDescent="0.25">
      <c r="A562" s="37"/>
      <c r="B562" s="37"/>
      <c r="C562" s="37"/>
      <c r="F562" s="38"/>
      <c r="G562" s="38"/>
      <c r="H562" s="38"/>
      <c r="I562" s="40"/>
      <c r="J562" s="38"/>
      <c r="K562" s="38"/>
      <c r="L562" s="42"/>
      <c r="M562" s="42"/>
      <c r="N562" s="42"/>
      <c r="O562" s="42"/>
      <c r="R562" s="37"/>
      <c r="S562" s="37"/>
      <c r="T562" s="91"/>
      <c r="U562" s="91"/>
      <c r="V562" s="41"/>
      <c r="W562" s="37"/>
      <c r="X562" s="37"/>
      <c r="Y562" s="43"/>
      <c r="Z562" s="37"/>
      <c r="AA562" s="37"/>
      <c r="AD562" s="37"/>
      <c r="AE562" s="37"/>
      <c r="AF562" s="37"/>
    </row>
    <row r="563" spans="1:32" x14ac:dyDescent="0.25">
      <c r="A563" s="37"/>
      <c r="B563" s="37"/>
      <c r="C563" s="37"/>
      <c r="F563" s="38"/>
      <c r="G563" s="38"/>
      <c r="H563" s="38"/>
      <c r="I563" s="40"/>
      <c r="J563" s="38"/>
      <c r="K563" s="38"/>
      <c r="L563" s="42"/>
      <c r="M563" s="42"/>
      <c r="N563" s="42"/>
      <c r="O563" s="42"/>
      <c r="R563" s="37"/>
      <c r="S563" s="37"/>
      <c r="T563" s="91"/>
      <c r="U563" s="91"/>
      <c r="V563" s="41"/>
      <c r="W563" s="37"/>
      <c r="X563" s="37"/>
      <c r="Y563" s="43"/>
      <c r="Z563" s="37"/>
      <c r="AA563" s="37"/>
      <c r="AD563" s="37"/>
      <c r="AE563" s="37"/>
      <c r="AF563" s="37"/>
    </row>
    <row r="564" spans="1:32" x14ac:dyDescent="0.25">
      <c r="A564" s="37"/>
      <c r="B564" s="37"/>
      <c r="C564" s="37"/>
      <c r="F564" s="38"/>
      <c r="G564" s="38"/>
      <c r="H564" s="38"/>
      <c r="I564" s="40"/>
      <c r="J564" s="38"/>
      <c r="K564" s="38"/>
      <c r="L564" s="42"/>
      <c r="M564" s="42"/>
      <c r="N564" s="42"/>
      <c r="O564" s="42"/>
      <c r="R564" s="37"/>
      <c r="S564" s="37"/>
      <c r="T564" s="91"/>
      <c r="U564" s="91"/>
      <c r="V564" s="41"/>
      <c r="W564" s="37"/>
      <c r="X564" s="37"/>
      <c r="Y564" s="43"/>
      <c r="Z564" s="37"/>
      <c r="AA564" s="37"/>
      <c r="AD564" s="37"/>
      <c r="AE564" s="37"/>
      <c r="AF564" s="37"/>
    </row>
    <row r="565" spans="1:32" x14ac:dyDescent="0.25">
      <c r="A565" s="37"/>
      <c r="B565" s="37"/>
      <c r="C565" s="37"/>
      <c r="F565" s="38"/>
      <c r="G565" s="38"/>
      <c r="H565" s="38"/>
      <c r="I565" s="40"/>
      <c r="J565" s="38"/>
      <c r="K565" s="38"/>
      <c r="L565" s="42"/>
      <c r="M565" s="42"/>
      <c r="N565" s="42"/>
      <c r="O565" s="42"/>
      <c r="R565" s="37"/>
      <c r="S565" s="37"/>
      <c r="T565" s="91"/>
      <c r="U565" s="91"/>
      <c r="V565" s="41"/>
      <c r="W565" s="37"/>
      <c r="X565" s="37"/>
      <c r="Y565" s="43"/>
      <c r="Z565" s="37"/>
      <c r="AA565" s="37"/>
      <c r="AD565" s="37"/>
      <c r="AE565" s="37"/>
      <c r="AF565" s="37"/>
    </row>
    <row r="566" spans="1:32" x14ac:dyDescent="0.25">
      <c r="A566" s="37"/>
      <c r="B566" s="37"/>
      <c r="C566" s="37"/>
      <c r="F566" s="38"/>
      <c r="G566" s="38"/>
      <c r="H566" s="38"/>
      <c r="I566" s="40"/>
      <c r="J566" s="38"/>
      <c r="K566" s="38"/>
      <c r="L566" s="42"/>
      <c r="M566" s="42"/>
      <c r="N566" s="42"/>
      <c r="O566" s="42"/>
      <c r="R566" s="37"/>
      <c r="S566" s="37"/>
      <c r="T566" s="91"/>
      <c r="U566" s="91"/>
      <c r="V566" s="41"/>
      <c r="W566" s="37"/>
      <c r="X566" s="37"/>
      <c r="Y566" s="43"/>
      <c r="Z566" s="37"/>
      <c r="AA566" s="37"/>
      <c r="AD566" s="37"/>
      <c r="AE566" s="37"/>
      <c r="AF566" s="37"/>
    </row>
    <row r="567" spans="1:32" x14ac:dyDescent="0.25">
      <c r="A567" s="37"/>
      <c r="B567" s="37"/>
      <c r="C567" s="37"/>
      <c r="F567" s="38"/>
      <c r="G567" s="38"/>
      <c r="H567" s="38"/>
      <c r="I567" s="40"/>
      <c r="J567" s="38"/>
      <c r="K567" s="38"/>
      <c r="L567" s="42"/>
      <c r="M567" s="42"/>
      <c r="N567" s="42"/>
      <c r="O567" s="42"/>
      <c r="R567" s="37"/>
      <c r="S567" s="37"/>
      <c r="T567" s="91"/>
      <c r="U567" s="91"/>
      <c r="V567" s="41"/>
      <c r="W567" s="37"/>
      <c r="X567" s="37"/>
      <c r="Y567" s="43"/>
      <c r="Z567" s="37"/>
      <c r="AA567" s="37"/>
      <c r="AD567" s="37"/>
      <c r="AE567" s="37"/>
      <c r="AF567" s="37"/>
    </row>
    <row r="568" spans="1:32" x14ac:dyDescent="0.25">
      <c r="A568" s="37"/>
      <c r="B568" s="37"/>
      <c r="C568" s="37"/>
      <c r="F568" s="38"/>
      <c r="G568" s="38"/>
      <c r="H568" s="38"/>
      <c r="I568" s="40"/>
      <c r="J568" s="38"/>
      <c r="K568" s="38"/>
      <c r="L568" s="42"/>
      <c r="M568" s="42"/>
      <c r="N568" s="42"/>
      <c r="O568" s="42"/>
      <c r="R568" s="37"/>
      <c r="S568" s="37"/>
      <c r="T568" s="91"/>
      <c r="U568" s="91"/>
      <c r="V568" s="41"/>
      <c r="W568" s="37"/>
      <c r="X568" s="37"/>
      <c r="Y568" s="43"/>
      <c r="Z568" s="37"/>
      <c r="AA568" s="37"/>
      <c r="AD568" s="37"/>
      <c r="AE568" s="37"/>
      <c r="AF568" s="37"/>
    </row>
    <row r="569" spans="1:32" x14ac:dyDescent="0.25">
      <c r="A569" s="37"/>
      <c r="B569" s="37"/>
      <c r="C569" s="37"/>
      <c r="F569" s="38"/>
      <c r="G569" s="38"/>
      <c r="H569" s="38"/>
      <c r="I569" s="40"/>
      <c r="J569" s="38"/>
      <c r="K569" s="38"/>
      <c r="L569" s="42"/>
      <c r="M569" s="42"/>
      <c r="N569" s="42"/>
      <c r="O569" s="42"/>
      <c r="R569" s="37"/>
      <c r="S569" s="37"/>
      <c r="T569" s="91"/>
      <c r="U569" s="91"/>
      <c r="V569" s="41"/>
      <c r="W569" s="37"/>
      <c r="X569" s="37"/>
      <c r="Y569" s="43"/>
      <c r="Z569" s="37"/>
      <c r="AA569" s="37"/>
      <c r="AD569" s="37"/>
      <c r="AE569" s="37"/>
      <c r="AF569" s="37"/>
    </row>
    <row r="570" spans="1:32" x14ac:dyDescent="0.25">
      <c r="A570" s="37"/>
      <c r="B570" s="37"/>
      <c r="C570" s="37"/>
      <c r="F570" s="38"/>
      <c r="G570" s="38"/>
      <c r="H570" s="38"/>
      <c r="I570" s="40"/>
      <c r="J570" s="38"/>
      <c r="K570" s="38"/>
      <c r="L570" s="42"/>
      <c r="M570" s="42"/>
      <c r="N570" s="42"/>
      <c r="O570" s="42"/>
      <c r="R570" s="37"/>
      <c r="S570" s="37"/>
      <c r="T570" s="91"/>
      <c r="U570" s="91"/>
      <c r="V570" s="41"/>
      <c r="W570" s="37"/>
      <c r="X570" s="37"/>
      <c r="Y570" s="43"/>
      <c r="Z570" s="37"/>
      <c r="AA570" s="37"/>
      <c r="AD570" s="37"/>
      <c r="AE570" s="37"/>
      <c r="AF570" s="37"/>
    </row>
    <row r="571" spans="1:32" x14ac:dyDescent="0.25">
      <c r="A571" s="37"/>
      <c r="B571" s="37"/>
      <c r="C571" s="37"/>
      <c r="F571" s="38"/>
      <c r="G571" s="38"/>
      <c r="H571" s="38"/>
      <c r="I571" s="40"/>
      <c r="J571" s="38"/>
      <c r="K571" s="38"/>
      <c r="L571" s="42"/>
      <c r="M571" s="42"/>
      <c r="N571" s="42"/>
      <c r="O571" s="42"/>
      <c r="R571" s="37"/>
      <c r="S571" s="37"/>
      <c r="T571" s="91"/>
      <c r="U571" s="91"/>
      <c r="V571" s="41"/>
      <c r="W571" s="37"/>
      <c r="X571" s="37"/>
      <c r="Y571" s="43"/>
      <c r="Z571" s="37"/>
      <c r="AA571" s="37"/>
      <c r="AD571" s="37"/>
      <c r="AE571" s="37"/>
      <c r="AF571" s="37"/>
    </row>
    <row r="572" spans="1:32" x14ac:dyDescent="0.25">
      <c r="A572" s="37"/>
      <c r="B572" s="37"/>
      <c r="C572" s="37"/>
      <c r="F572" s="38"/>
      <c r="G572" s="38"/>
      <c r="H572" s="38"/>
      <c r="I572" s="40"/>
      <c r="J572" s="38"/>
      <c r="K572" s="38"/>
      <c r="L572" s="42"/>
      <c r="M572" s="42"/>
      <c r="N572" s="42"/>
      <c r="O572" s="42"/>
      <c r="R572" s="37"/>
      <c r="S572" s="37"/>
      <c r="T572" s="91"/>
      <c r="U572" s="91"/>
      <c r="V572" s="41"/>
      <c r="W572" s="37"/>
      <c r="X572" s="37"/>
      <c r="Y572" s="43"/>
      <c r="Z572" s="37"/>
      <c r="AA572" s="37"/>
      <c r="AD572" s="37"/>
      <c r="AE572" s="37"/>
      <c r="AF572" s="37"/>
    </row>
    <row r="573" spans="1:32" x14ac:dyDescent="0.25">
      <c r="A573" s="37"/>
      <c r="B573" s="37"/>
      <c r="C573" s="37"/>
      <c r="F573" s="38"/>
      <c r="G573" s="38"/>
      <c r="H573" s="38"/>
      <c r="I573" s="40"/>
      <c r="J573" s="38"/>
      <c r="K573" s="38"/>
      <c r="L573" s="42"/>
      <c r="M573" s="42"/>
      <c r="N573" s="42"/>
      <c r="O573" s="42"/>
      <c r="R573" s="37"/>
      <c r="S573" s="37"/>
      <c r="T573" s="91"/>
      <c r="U573" s="91"/>
      <c r="V573" s="41"/>
      <c r="W573" s="37"/>
      <c r="X573" s="37"/>
      <c r="Y573" s="43"/>
      <c r="Z573" s="37"/>
      <c r="AA573" s="37"/>
      <c r="AD573" s="37"/>
      <c r="AE573" s="37"/>
      <c r="AF573" s="37"/>
    </row>
    <row r="574" spans="1:32" x14ac:dyDescent="0.25">
      <c r="A574" s="37"/>
      <c r="B574" s="37"/>
      <c r="C574" s="37"/>
      <c r="F574" s="38"/>
      <c r="G574" s="38"/>
      <c r="H574" s="38"/>
      <c r="I574" s="40"/>
      <c r="J574" s="38"/>
      <c r="K574" s="38"/>
      <c r="L574" s="42"/>
      <c r="M574" s="42"/>
      <c r="N574" s="42"/>
      <c r="O574" s="42"/>
      <c r="R574" s="37"/>
      <c r="S574" s="37"/>
      <c r="T574" s="91"/>
      <c r="U574" s="91"/>
      <c r="V574" s="41"/>
      <c r="W574" s="37"/>
      <c r="X574" s="37"/>
      <c r="Y574" s="43"/>
      <c r="Z574" s="37"/>
      <c r="AA574" s="37"/>
      <c r="AD574" s="37"/>
      <c r="AE574" s="37"/>
      <c r="AF574" s="37"/>
    </row>
    <row r="575" spans="1:32" x14ac:dyDescent="0.25">
      <c r="A575" s="37"/>
      <c r="B575" s="37"/>
      <c r="C575" s="37"/>
      <c r="F575" s="38"/>
      <c r="G575" s="38"/>
      <c r="H575" s="38"/>
      <c r="I575" s="40"/>
      <c r="J575" s="38"/>
      <c r="K575" s="38"/>
      <c r="L575" s="42"/>
      <c r="M575" s="42"/>
      <c r="N575" s="42"/>
      <c r="O575" s="42"/>
      <c r="R575" s="37"/>
      <c r="S575" s="37"/>
      <c r="T575" s="91"/>
      <c r="U575" s="91"/>
      <c r="V575" s="41"/>
      <c r="W575" s="37"/>
      <c r="X575" s="37"/>
      <c r="Y575" s="43"/>
      <c r="Z575" s="37"/>
      <c r="AA575" s="37"/>
      <c r="AD575" s="37"/>
      <c r="AE575" s="37"/>
      <c r="AF575" s="37"/>
    </row>
    <row r="576" spans="1:32" x14ac:dyDescent="0.25">
      <c r="A576" s="37"/>
      <c r="B576" s="37"/>
      <c r="C576" s="37"/>
      <c r="F576" s="38"/>
      <c r="G576" s="38"/>
      <c r="H576" s="38"/>
      <c r="I576" s="40"/>
      <c r="J576" s="38"/>
      <c r="K576" s="38"/>
      <c r="L576" s="42"/>
      <c r="M576" s="42"/>
      <c r="N576" s="42"/>
      <c r="O576" s="42"/>
      <c r="R576" s="37"/>
      <c r="S576" s="37"/>
      <c r="T576" s="91"/>
      <c r="U576" s="91"/>
      <c r="V576" s="41"/>
      <c r="W576" s="37"/>
      <c r="X576" s="37"/>
      <c r="Y576" s="43"/>
      <c r="Z576" s="37"/>
      <c r="AA576" s="37"/>
      <c r="AD576" s="37"/>
      <c r="AE576" s="37"/>
      <c r="AF576" s="37"/>
    </row>
    <row r="577" spans="1:32" x14ac:dyDescent="0.25">
      <c r="A577" s="37"/>
      <c r="B577" s="37"/>
      <c r="C577" s="37"/>
      <c r="F577" s="38"/>
      <c r="G577" s="38"/>
      <c r="H577" s="38"/>
      <c r="I577" s="40"/>
      <c r="J577" s="38"/>
      <c r="K577" s="38"/>
      <c r="L577" s="42"/>
      <c r="M577" s="42"/>
      <c r="N577" s="42"/>
      <c r="O577" s="42"/>
      <c r="R577" s="37"/>
      <c r="S577" s="37"/>
      <c r="T577" s="91"/>
      <c r="U577" s="91"/>
      <c r="V577" s="41"/>
      <c r="W577" s="37"/>
      <c r="X577" s="37"/>
      <c r="Y577" s="43"/>
      <c r="Z577" s="37"/>
      <c r="AA577" s="37"/>
      <c r="AD577" s="37"/>
      <c r="AE577" s="37"/>
      <c r="AF577" s="37"/>
    </row>
    <row r="578" spans="1:32" x14ac:dyDescent="0.25">
      <c r="A578" s="37"/>
      <c r="B578" s="37"/>
      <c r="C578" s="37"/>
      <c r="F578" s="38"/>
      <c r="G578" s="38"/>
      <c r="H578" s="38"/>
      <c r="I578" s="40"/>
      <c r="J578" s="38"/>
      <c r="K578" s="38"/>
      <c r="L578" s="42"/>
      <c r="M578" s="42"/>
      <c r="N578" s="42"/>
      <c r="O578" s="42"/>
      <c r="R578" s="37"/>
      <c r="S578" s="37"/>
      <c r="T578" s="91"/>
      <c r="U578" s="91"/>
      <c r="V578" s="41"/>
      <c r="W578" s="37"/>
      <c r="X578" s="37"/>
      <c r="Y578" s="43"/>
      <c r="Z578" s="37"/>
      <c r="AA578" s="37"/>
      <c r="AD578" s="37"/>
      <c r="AE578" s="37"/>
      <c r="AF578" s="37"/>
    </row>
    <row r="579" spans="1:32" x14ac:dyDescent="0.25">
      <c r="A579" s="37"/>
      <c r="B579" s="37"/>
      <c r="C579" s="37"/>
      <c r="F579" s="38"/>
      <c r="G579" s="38"/>
      <c r="H579" s="38"/>
      <c r="I579" s="40"/>
      <c r="J579" s="38"/>
      <c r="K579" s="38"/>
      <c r="L579" s="42"/>
      <c r="M579" s="42"/>
      <c r="N579" s="42"/>
      <c r="O579" s="42"/>
      <c r="R579" s="37"/>
      <c r="S579" s="37"/>
      <c r="T579" s="91"/>
      <c r="U579" s="91"/>
      <c r="V579" s="41"/>
      <c r="W579" s="37"/>
      <c r="X579" s="37"/>
      <c r="Y579" s="43"/>
      <c r="Z579" s="37"/>
      <c r="AA579" s="37"/>
      <c r="AD579" s="37"/>
      <c r="AE579" s="37"/>
      <c r="AF579" s="37"/>
    </row>
    <row r="580" spans="1:32" x14ac:dyDescent="0.25">
      <c r="A580" s="37"/>
      <c r="B580" s="37"/>
      <c r="C580" s="37"/>
      <c r="F580" s="38"/>
      <c r="G580" s="38"/>
      <c r="H580" s="38"/>
      <c r="I580" s="40"/>
      <c r="J580" s="38"/>
      <c r="K580" s="38"/>
      <c r="L580" s="42"/>
      <c r="M580" s="42"/>
      <c r="N580" s="42"/>
      <c r="O580" s="42"/>
      <c r="R580" s="37"/>
      <c r="S580" s="37"/>
      <c r="T580" s="91"/>
      <c r="U580" s="91"/>
      <c r="V580" s="41"/>
      <c r="W580" s="37"/>
      <c r="X580" s="37"/>
      <c r="Y580" s="43"/>
      <c r="Z580" s="37"/>
      <c r="AA580" s="37"/>
      <c r="AD580" s="37"/>
      <c r="AE580" s="37"/>
      <c r="AF580" s="37"/>
    </row>
    <row r="581" spans="1:32" x14ac:dyDescent="0.25">
      <c r="A581" s="37"/>
      <c r="B581" s="37"/>
      <c r="C581" s="37"/>
      <c r="F581" s="38"/>
      <c r="G581" s="38"/>
      <c r="H581" s="38"/>
      <c r="I581" s="40"/>
      <c r="J581" s="38"/>
      <c r="K581" s="38"/>
      <c r="L581" s="42"/>
      <c r="M581" s="42"/>
      <c r="N581" s="42"/>
      <c r="O581" s="42"/>
      <c r="R581" s="37"/>
      <c r="S581" s="37"/>
      <c r="T581" s="91"/>
      <c r="U581" s="91"/>
      <c r="V581" s="41"/>
      <c r="W581" s="37"/>
      <c r="X581" s="37"/>
      <c r="Y581" s="43"/>
      <c r="Z581" s="37"/>
      <c r="AA581" s="37"/>
      <c r="AD581" s="37"/>
      <c r="AE581" s="37"/>
      <c r="AF581" s="37"/>
    </row>
    <row r="582" spans="1:32" x14ac:dyDescent="0.25">
      <c r="A582" s="37"/>
      <c r="B582" s="37"/>
      <c r="C582" s="37"/>
      <c r="F582" s="38"/>
      <c r="G582" s="38"/>
      <c r="H582" s="38"/>
      <c r="I582" s="40"/>
      <c r="J582" s="38"/>
      <c r="K582" s="38"/>
      <c r="L582" s="42"/>
      <c r="M582" s="42"/>
      <c r="N582" s="42"/>
      <c r="O582" s="42"/>
      <c r="R582" s="37"/>
      <c r="S582" s="37"/>
      <c r="T582" s="91"/>
      <c r="U582" s="91"/>
      <c r="V582" s="41"/>
      <c r="W582" s="37"/>
      <c r="X582" s="37"/>
      <c r="Y582" s="43"/>
      <c r="Z582" s="37"/>
      <c r="AA582" s="37"/>
      <c r="AD582" s="37"/>
      <c r="AE582" s="37"/>
      <c r="AF582" s="37"/>
    </row>
    <row r="583" spans="1:32" x14ac:dyDescent="0.25">
      <c r="A583" s="37"/>
      <c r="B583" s="37"/>
      <c r="C583" s="37"/>
      <c r="F583" s="38"/>
      <c r="G583" s="38"/>
      <c r="H583" s="38"/>
      <c r="I583" s="40"/>
      <c r="J583" s="38"/>
      <c r="K583" s="38"/>
      <c r="L583" s="42"/>
      <c r="M583" s="42"/>
      <c r="N583" s="42"/>
      <c r="O583" s="42"/>
      <c r="R583" s="37"/>
      <c r="S583" s="37"/>
      <c r="T583" s="91"/>
      <c r="U583" s="91"/>
      <c r="V583" s="41"/>
      <c r="W583" s="37"/>
      <c r="X583" s="37"/>
      <c r="Y583" s="43"/>
      <c r="Z583" s="37"/>
      <c r="AA583" s="37"/>
      <c r="AD583" s="37"/>
      <c r="AE583" s="37"/>
      <c r="AF583" s="37"/>
    </row>
    <row r="584" spans="1:32" x14ac:dyDescent="0.25">
      <c r="A584" s="37"/>
      <c r="B584" s="37"/>
      <c r="C584" s="37"/>
      <c r="F584" s="38"/>
      <c r="G584" s="38"/>
      <c r="H584" s="38"/>
      <c r="I584" s="40"/>
      <c r="J584" s="38"/>
      <c r="K584" s="38"/>
      <c r="L584" s="42"/>
      <c r="M584" s="42"/>
      <c r="N584" s="42"/>
      <c r="O584" s="42"/>
      <c r="R584" s="37"/>
      <c r="S584" s="37"/>
      <c r="T584" s="91"/>
      <c r="U584" s="91"/>
      <c r="V584" s="41"/>
      <c r="W584" s="37"/>
      <c r="X584" s="37"/>
      <c r="Y584" s="43"/>
      <c r="Z584" s="37"/>
      <c r="AA584" s="37"/>
      <c r="AD584" s="37"/>
      <c r="AE584" s="37"/>
      <c r="AF584" s="37"/>
    </row>
    <row r="585" spans="1:32" x14ac:dyDescent="0.25">
      <c r="A585" s="37"/>
      <c r="B585" s="37"/>
      <c r="C585" s="37"/>
      <c r="F585" s="38"/>
      <c r="G585" s="38"/>
      <c r="H585" s="38"/>
      <c r="I585" s="40"/>
      <c r="J585" s="38"/>
      <c r="K585" s="38"/>
      <c r="L585" s="42"/>
      <c r="M585" s="42"/>
      <c r="N585" s="42"/>
      <c r="O585" s="42"/>
      <c r="R585" s="37"/>
      <c r="S585" s="37"/>
      <c r="T585" s="91"/>
      <c r="U585" s="91"/>
      <c r="V585" s="41"/>
      <c r="W585" s="37"/>
      <c r="X585" s="37"/>
      <c r="Y585" s="43"/>
      <c r="Z585" s="37"/>
      <c r="AA585" s="37"/>
      <c r="AD585" s="37"/>
      <c r="AE585" s="37"/>
      <c r="AF585" s="37"/>
    </row>
    <row r="586" spans="1:32" x14ac:dyDescent="0.25">
      <c r="A586" s="37"/>
      <c r="B586" s="37"/>
      <c r="C586" s="37"/>
      <c r="F586" s="38"/>
      <c r="G586" s="38"/>
      <c r="H586" s="38"/>
      <c r="I586" s="40"/>
      <c r="J586" s="38"/>
      <c r="K586" s="38"/>
      <c r="L586" s="42"/>
      <c r="M586" s="42"/>
      <c r="N586" s="42"/>
      <c r="O586" s="42"/>
      <c r="R586" s="37"/>
      <c r="S586" s="37"/>
      <c r="T586" s="91"/>
      <c r="U586" s="91"/>
      <c r="V586" s="41"/>
      <c r="W586" s="37"/>
      <c r="X586" s="37"/>
      <c r="Y586" s="43"/>
      <c r="Z586" s="37"/>
      <c r="AA586" s="37"/>
      <c r="AD586" s="37"/>
      <c r="AE586" s="37"/>
      <c r="AF586" s="37"/>
    </row>
    <row r="587" spans="1:32" x14ac:dyDescent="0.25">
      <c r="A587" s="37"/>
      <c r="B587" s="37"/>
      <c r="C587" s="37"/>
      <c r="F587" s="38"/>
      <c r="G587" s="38"/>
      <c r="H587" s="38"/>
      <c r="I587" s="40"/>
      <c r="J587" s="38"/>
      <c r="K587" s="38"/>
      <c r="L587" s="42"/>
      <c r="M587" s="42"/>
      <c r="N587" s="42"/>
      <c r="O587" s="42"/>
      <c r="R587" s="37"/>
      <c r="S587" s="37"/>
      <c r="T587" s="91"/>
      <c r="U587" s="91"/>
      <c r="V587" s="41"/>
      <c r="W587" s="37"/>
      <c r="X587" s="37"/>
      <c r="Y587" s="43"/>
      <c r="Z587" s="37"/>
      <c r="AA587" s="37"/>
      <c r="AD587" s="37"/>
      <c r="AE587" s="37"/>
      <c r="AF587" s="37"/>
    </row>
    <row r="588" spans="1:32" x14ac:dyDescent="0.25">
      <c r="A588" s="37"/>
      <c r="B588" s="37"/>
      <c r="C588" s="37"/>
      <c r="F588" s="38"/>
      <c r="G588" s="38"/>
      <c r="H588" s="38"/>
      <c r="I588" s="40"/>
      <c r="J588" s="38"/>
      <c r="K588" s="38"/>
      <c r="L588" s="42"/>
      <c r="M588" s="42"/>
      <c r="N588" s="42"/>
      <c r="O588" s="42"/>
      <c r="R588" s="37"/>
      <c r="S588" s="37"/>
      <c r="T588" s="91"/>
      <c r="U588" s="91"/>
      <c r="V588" s="41"/>
      <c r="W588" s="37"/>
      <c r="X588" s="37"/>
      <c r="Y588" s="43"/>
      <c r="Z588" s="37"/>
      <c r="AA588" s="37"/>
      <c r="AD588" s="37"/>
      <c r="AE588" s="37"/>
      <c r="AF588" s="37"/>
    </row>
    <row r="589" spans="1:32" x14ac:dyDescent="0.25">
      <c r="A589" s="37"/>
      <c r="B589" s="37"/>
      <c r="C589" s="37"/>
      <c r="F589" s="38"/>
      <c r="G589" s="38"/>
      <c r="H589" s="38"/>
      <c r="I589" s="40"/>
      <c r="J589" s="38"/>
      <c r="K589" s="38"/>
      <c r="L589" s="42"/>
      <c r="M589" s="42"/>
      <c r="N589" s="42"/>
      <c r="O589" s="42"/>
      <c r="R589" s="37"/>
      <c r="S589" s="37"/>
      <c r="T589" s="91"/>
      <c r="U589" s="91"/>
      <c r="V589" s="41"/>
      <c r="W589" s="37"/>
      <c r="X589" s="37"/>
      <c r="Y589" s="43"/>
      <c r="Z589" s="37"/>
      <c r="AA589" s="37"/>
      <c r="AD589" s="37"/>
      <c r="AE589" s="37"/>
      <c r="AF589" s="37"/>
    </row>
    <row r="590" spans="1:32" x14ac:dyDescent="0.25">
      <c r="A590" s="37"/>
      <c r="B590" s="37"/>
      <c r="C590" s="37"/>
      <c r="F590" s="38"/>
      <c r="G590" s="38"/>
      <c r="H590" s="38"/>
      <c r="I590" s="40"/>
      <c r="J590" s="38"/>
      <c r="K590" s="38"/>
      <c r="L590" s="42"/>
      <c r="M590" s="42"/>
      <c r="N590" s="42"/>
      <c r="O590" s="42"/>
      <c r="R590" s="37"/>
      <c r="S590" s="37"/>
      <c r="T590" s="91"/>
      <c r="U590" s="91"/>
      <c r="V590" s="41"/>
      <c r="W590" s="37"/>
      <c r="X590" s="37"/>
      <c r="Y590" s="43"/>
      <c r="Z590" s="37"/>
      <c r="AA590" s="37"/>
      <c r="AD590" s="37"/>
      <c r="AE590" s="37"/>
      <c r="AF590" s="37"/>
    </row>
    <row r="591" spans="1:32" x14ac:dyDescent="0.25">
      <c r="A591" s="37"/>
      <c r="B591" s="37"/>
      <c r="C591" s="37"/>
      <c r="F591" s="38"/>
      <c r="G591" s="38"/>
      <c r="H591" s="38"/>
      <c r="I591" s="40"/>
      <c r="J591" s="38"/>
      <c r="K591" s="38"/>
      <c r="L591" s="42"/>
      <c r="M591" s="42"/>
      <c r="N591" s="42"/>
      <c r="O591" s="42"/>
      <c r="R591" s="37"/>
      <c r="S591" s="37"/>
      <c r="T591" s="91"/>
      <c r="U591" s="91"/>
      <c r="V591" s="41"/>
      <c r="W591" s="37"/>
      <c r="X591" s="37"/>
      <c r="Y591" s="43"/>
      <c r="Z591" s="37"/>
      <c r="AA591" s="37"/>
      <c r="AD591" s="37"/>
      <c r="AE591" s="37"/>
      <c r="AF591" s="37"/>
    </row>
    <row r="592" spans="1:32" x14ac:dyDescent="0.25">
      <c r="A592" s="37"/>
      <c r="B592" s="37"/>
      <c r="C592" s="37"/>
      <c r="F592" s="38"/>
      <c r="G592" s="38"/>
      <c r="H592" s="38"/>
      <c r="I592" s="40"/>
      <c r="J592" s="38"/>
      <c r="K592" s="38"/>
      <c r="L592" s="42"/>
      <c r="M592" s="42"/>
      <c r="N592" s="42"/>
      <c r="O592" s="42"/>
      <c r="R592" s="37"/>
      <c r="S592" s="37"/>
      <c r="T592" s="91"/>
      <c r="U592" s="91"/>
      <c r="V592" s="41"/>
      <c r="W592" s="37"/>
      <c r="X592" s="37"/>
      <c r="Y592" s="43"/>
      <c r="Z592" s="37"/>
      <c r="AA592" s="37"/>
      <c r="AD592" s="37"/>
      <c r="AE592" s="37"/>
      <c r="AF592" s="37"/>
    </row>
    <row r="593" spans="1:32" x14ac:dyDescent="0.25">
      <c r="A593" s="37"/>
      <c r="B593" s="37"/>
      <c r="C593" s="37"/>
      <c r="F593" s="38"/>
      <c r="G593" s="38"/>
      <c r="H593" s="38"/>
      <c r="I593" s="40"/>
      <c r="J593" s="38"/>
      <c r="K593" s="38"/>
      <c r="L593" s="42"/>
      <c r="M593" s="42"/>
      <c r="N593" s="42"/>
      <c r="O593" s="42"/>
      <c r="R593" s="37"/>
      <c r="S593" s="37"/>
      <c r="T593" s="91"/>
      <c r="U593" s="91"/>
      <c r="V593" s="41"/>
      <c r="W593" s="37"/>
      <c r="X593" s="37"/>
      <c r="Y593" s="43"/>
      <c r="Z593" s="37"/>
      <c r="AA593" s="37"/>
      <c r="AD593" s="37"/>
      <c r="AE593" s="37"/>
      <c r="AF593" s="37"/>
    </row>
    <row r="594" spans="1:32" x14ac:dyDescent="0.25">
      <c r="A594" s="37"/>
      <c r="B594" s="37"/>
      <c r="C594" s="37"/>
      <c r="F594" s="38"/>
      <c r="G594" s="38"/>
      <c r="H594" s="38"/>
      <c r="I594" s="40"/>
      <c r="J594" s="38"/>
      <c r="K594" s="38"/>
      <c r="L594" s="42"/>
      <c r="M594" s="42"/>
      <c r="N594" s="42"/>
      <c r="O594" s="42"/>
      <c r="R594" s="37"/>
      <c r="S594" s="37"/>
      <c r="T594" s="91"/>
      <c r="U594" s="91"/>
      <c r="V594" s="41"/>
      <c r="W594" s="37"/>
      <c r="X594" s="37"/>
      <c r="Y594" s="43"/>
      <c r="Z594" s="37"/>
      <c r="AA594" s="37"/>
      <c r="AD594" s="37"/>
      <c r="AE594" s="37"/>
      <c r="AF594" s="37"/>
    </row>
    <row r="595" spans="1:32" x14ac:dyDescent="0.25">
      <c r="A595" s="37"/>
      <c r="B595" s="37"/>
      <c r="C595" s="37"/>
      <c r="F595" s="38"/>
      <c r="G595" s="38"/>
      <c r="H595" s="38"/>
      <c r="I595" s="40"/>
      <c r="J595" s="38"/>
      <c r="K595" s="38"/>
      <c r="L595" s="42"/>
      <c r="M595" s="42"/>
      <c r="N595" s="42"/>
      <c r="O595" s="42"/>
      <c r="R595" s="37"/>
      <c r="S595" s="37"/>
      <c r="T595" s="91"/>
      <c r="U595" s="91"/>
      <c r="V595" s="41"/>
      <c r="W595" s="37"/>
      <c r="X595" s="37"/>
      <c r="Y595" s="43"/>
      <c r="Z595" s="37"/>
      <c r="AA595" s="37"/>
      <c r="AD595" s="37"/>
      <c r="AE595" s="37"/>
      <c r="AF595" s="37"/>
    </row>
    <row r="596" spans="1:32" x14ac:dyDescent="0.25">
      <c r="A596" s="37"/>
      <c r="B596" s="37"/>
      <c r="C596" s="37"/>
      <c r="F596" s="38"/>
      <c r="G596" s="38"/>
      <c r="H596" s="38"/>
      <c r="I596" s="40"/>
      <c r="J596" s="38"/>
      <c r="K596" s="38"/>
      <c r="L596" s="42"/>
      <c r="M596" s="42"/>
      <c r="N596" s="42"/>
      <c r="O596" s="42"/>
      <c r="R596" s="37"/>
      <c r="S596" s="37"/>
      <c r="T596" s="91"/>
      <c r="U596" s="91"/>
      <c r="V596" s="41"/>
      <c r="W596" s="37"/>
      <c r="X596" s="37"/>
      <c r="Y596" s="43"/>
      <c r="Z596" s="37"/>
      <c r="AA596" s="37"/>
      <c r="AD596" s="37"/>
      <c r="AE596" s="37"/>
      <c r="AF596" s="37"/>
    </row>
    <row r="597" spans="1:32" x14ac:dyDescent="0.25">
      <c r="A597" s="37"/>
      <c r="B597" s="37"/>
      <c r="C597" s="37"/>
      <c r="F597" s="38"/>
      <c r="G597" s="38"/>
      <c r="H597" s="38"/>
      <c r="I597" s="40"/>
      <c r="J597" s="38"/>
      <c r="K597" s="38"/>
      <c r="L597" s="42"/>
      <c r="M597" s="42"/>
      <c r="N597" s="42"/>
      <c r="O597" s="42"/>
      <c r="R597" s="37"/>
      <c r="S597" s="37"/>
      <c r="T597" s="91"/>
      <c r="U597" s="91"/>
      <c r="V597" s="41"/>
      <c r="W597" s="37"/>
      <c r="X597" s="37"/>
      <c r="Y597" s="43"/>
      <c r="Z597" s="37"/>
      <c r="AA597" s="37"/>
      <c r="AD597" s="37"/>
      <c r="AE597" s="37"/>
      <c r="AF597" s="37"/>
    </row>
    <row r="598" spans="1:32" x14ac:dyDescent="0.25">
      <c r="A598" s="37"/>
      <c r="B598" s="37"/>
      <c r="C598" s="37"/>
      <c r="F598" s="38"/>
      <c r="G598" s="38"/>
      <c r="H598" s="38"/>
      <c r="I598" s="40"/>
      <c r="J598" s="38"/>
      <c r="K598" s="38"/>
      <c r="L598" s="42"/>
      <c r="M598" s="42"/>
      <c r="N598" s="42"/>
      <c r="O598" s="42"/>
      <c r="R598" s="37"/>
      <c r="S598" s="37"/>
      <c r="T598" s="91"/>
      <c r="U598" s="91"/>
      <c r="V598" s="41"/>
      <c r="W598" s="37"/>
      <c r="X598" s="37"/>
      <c r="Y598" s="43"/>
      <c r="Z598" s="37"/>
      <c r="AA598" s="37"/>
      <c r="AD598" s="37"/>
      <c r="AE598" s="37"/>
      <c r="AF598" s="37"/>
    </row>
    <row r="599" spans="1:32" x14ac:dyDescent="0.25">
      <c r="A599" s="37"/>
      <c r="B599" s="37"/>
      <c r="C599" s="37"/>
      <c r="F599" s="38"/>
      <c r="G599" s="38"/>
      <c r="H599" s="38"/>
      <c r="I599" s="40"/>
      <c r="J599" s="38"/>
      <c r="K599" s="38"/>
      <c r="L599" s="42"/>
      <c r="M599" s="42"/>
      <c r="N599" s="42"/>
      <c r="O599" s="42"/>
      <c r="R599" s="37"/>
      <c r="S599" s="37"/>
      <c r="T599" s="91"/>
      <c r="U599" s="91"/>
      <c r="V599" s="41"/>
      <c r="W599" s="37"/>
      <c r="X599" s="37"/>
      <c r="Y599" s="43"/>
      <c r="Z599" s="37"/>
      <c r="AA599" s="37"/>
      <c r="AD599" s="37"/>
      <c r="AE599" s="37"/>
      <c r="AF599" s="37"/>
    </row>
    <row r="600" spans="1:32" x14ac:dyDescent="0.25">
      <c r="A600" s="37"/>
      <c r="B600" s="37"/>
      <c r="C600" s="37"/>
      <c r="F600" s="38"/>
      <c r="G600" s="38"/>
      <c r="H600" s="38"/>
      <c r="I600" s="40"/>
      <c r="J600" s="38"/>
      <c r="K600" s="38"/>
      <c r="L600" s="42"/>
      <c r="M600" s="42"/>
      <c r="N600" s="42"/>
      <c r="O600" s="42"/>
      <c r="R600" s="37"/>
      <c r="S600" s="37"/>
      <c r="T600" s="91"/>
      <c r="U600" s="91"/>
      <c r="V600" s="41"/>
      <c r="W600" s="37"/>
      <c r="X600" s="37"/>
      <c r="Y600" s="43"/>
      <c r="Z600" s="37"/>
      <c r="AA600" s="37"/>
      <c r="AD600" s="37"/>
      <c r="AE600" s="37"/>
      <c r="AF600" s="37"/>
    </row>
    <row r="601" spans="1:32" x14ac:dyDescent="0.25">
      <c r="A601" s="37"/>
      <c r="B601" s="37"/>
      <c r="C601" s="37"/>
      <c r="F601" s="38"/>
      <c r="G601" s="38"/>
      <c r="H601" s="38"/>
      <c r="I601" s="40"/>
      <c r="J601" s="38"/>
      <c r="K601" s="38"/>
      <c r="L601" s="42"/>
      <c r="M601" s="42"/>
      <c r="N601" s="42"/>
      <c r="O601" s="42"/>
      <c r="R601" s="37"/>
      <c r="S601" s="37"/>
      <c r="T601" s="91"/>
      <c r="U601" s="91"/>
      <c r="V601" s="41"/>
      <c r="W601" s="37"/>
      <c r="X601" s="37"/>
      <c r="Y601" s="43"/>
      <c r="Z601" s="37"/>
      <c r="AA601" s="37"/>
      <c r="AD601" s="37"/>
      <c r="AE601" s="37"/>
      <c r="AF601" s="37"/>
    </row>
    <row r="602" spans="1:32" x14ac:dyDescent="0.25">
      <c r="A602" s="37"/>
      <c r="B602" s="37"/>
      <c r="C602" s="37"/>
      <c r="F602" s="38"/>
      <c r="G602" s="38"/>
      <c r="H602" s="38"/>
      <c r="I602" s="40"/>
      <c r="J602" s="38"/>
      <c r="K602" s="38"/>
      <c r="L602" s="42"/>
      <c r="M602" s="42"/>
      <c r="N602" s="42"/>
      <c r="O602" s="42"/>
      <c r="R602" s="37"/>
      <c r="S602" s="37"/>
      <c r="T602" s="91"/>
      <c r="U602" s="91"/>
      <c r="V602" s="41"/>
      <c r="W602" s="37"/>
      <c r="X602" s="37"/>
      <c r="Y602" s="43"/>
      <c r="Z602" s="37"/>
      <c r="AA602" s="37"/>
      <c r="AD602" s="37"/>
      <c r="AE602" s="37"/>
      <c r="AF602" s="37"/>
    </row>
    <row r="603" spans="1:32" x14ac:dyDescent="0.25">
      <c r="A603" s="37"/>
      <c r="B603" s="37"/>
      <c r="C603" s="37"/>
      <c r="F603" s="38"/>
      <c r="G603" s="38"/>
      <c r="H603" s="38"/>
      <c r="I603" s="40"/>
      <c r="J603" s="38"/>
      <c r="K603" s="38"/>
      <c r="L603" s="42"/>
      <c r="M603" s="42"/>
      <c r="N603" s="42"/>
      <c r="O603" s="42"/>
      <c r="R603" s="37"/>
      <c r="S603" s="37"/>
      <c r="T603" s="91"/>
      <c r="U603" s="91"/>
      <c r="V603" s="41"/>
      <c r="W603" s="37"/>
      <c r="X603" s="37"/>
      <c r="Y603" s="43"/>
      <c r="Z603" s="37"/>
      <c r="AA603" s="37"/>
      <c r="AD603" s="37"/>
      <c r="AE603" s="37"/>
      <c r="AF603" s="37"/>
    </row>
    <row r="604" spans="1:32" x14ac:dyDescent="0.25">
      <c r="A604" s="37"/>
      <c r="B604" s="37"/>
      <c r="C604" s="37"/>
      <c r="F604" s="38"/>
      <c r="G604" s="38"/>
      <c r="H604" s="38"/>
      <c r="I604" s="40"/>
      <c r="J604" s="38"/>
      <c r="K604" s="38"/>
      <c r="L604" s="42"/>
      <c r="M604" s="42"/>
      <c r="N604" s="42"/>
      <c r="O604" s="42"/>
      <c r="R604" s="37"/>
      <c r="S604" s="37"/>
      <c r="T604" s="91"/>
      <c r="U604" s="91"/>
      <c r="V604" s="41"/>
      <c r="W604" s="37"/>
      <c r="X604" s="37"/>
      <c r="Y604" s="43"/>
      <c r="Z604" s="37"/>
      <c r="AA604" s="37"/>
      <c r="AD604" s="37"/>
      <c r="AE604" s="37"/>
      <c r="AF604" s="37"/>
    </row>
    <row r="605" spans="1:32" x14ac:dyDescent="0.25">
      <c r="A605" s="37"/>
      <c r="B605" s="37"/>
      <c r="C605" s="37"/>
      <c r="F605" s="38"/>
      <c r="G605" s="38"/>
      <c r="H605" s="38"/>
      <c r="I605" s="40"/>
      <c r="J605" s="38"/>
      <c r="K605" s="38"/>
      <c r="L605" s="42"/>
      <c r="M605" s="42"/>
      <c r="N605" s="42"/>
      <c r="O605" s="42"/>
      <c r="R605" s="37"/>
      <c r="S605" s="37"/>
      <c r="T605" s="91"/>
      <c r="U605" s="91"/>
      <c r="V605" s="41"/>
      <c r="W605" s="37"/>
      <c r="X605" s="37"/>
      <c r="Y605" s="43"/>
      <c r="Z605" s="37"/>
      <c r="AA605" s="37"/>
      <c r="AD605" s="37"/>
      <c r="AE605" s="37"/>
      <c r="AF605" s="37"/>
    </row>
    <row r="606" spans="1:32" x14ac:dyDescent="0.25">
      <c r="A606" s="37"/>
      <c r="B606" s="37"/>
      <c r="C606" s="37"/>
      <c r="F606" s="38"/>
      <c r="G606" s="38"/>
      <c r="H606" s="38"/>
      <c r="I606" s="40"/>
      <c r="J606" s="38"/>
      <c r="K606" s="38"/>
      <c r="L606" s="42"/>
      <c r="M606" s="42"/>
      <c r="N606" s="42"/>
      <c r="O606" s="42"/>
      <c r="R606" s="37"/>
      <c r="S606" s="37"/>
      <c r="T606" s="91"/>
      <c r="U606" s="91"/>
      <c r="V606" s="41"/>
      <c r="W606" s="37"/>
      <c r="X606" s="37"/>
      <c r="Y606" s="43"/>
      <c r="Z606" s="37"/>
      <c r="AA606" s="37"/>
      <c r="AD606" s="37"/>
      <c r="AE606" s="37"/>
      <c r="AF606" s="37"/>
    </row>
    <row r="607" spans="1:32" x14ac:dyDescent="0.25">
      <c r="A607" s="37"/>
      <c r="B607" s="37"/>
      <c r="C607" s="37"/>
      <c r="F607" s="38"/>
      <c r="G607" s="38"/>
      <c r="H607" s="38"/>
      <c r="I607" s="40"/>
      <c r="J607" s="38"/>
      <c r="K607" s="38"/>
      <c r="L607" s="42"/>
      <c r="M607" s="42"/>
      <c r="N607" s="42"/>
      <c r="O607" s="42"/>
      <c r="R607" s="37"/>
      <c r="S607" s="37"/>
      <c r="T607" s="91"/>
      <c r="U607" s="91"/>
      <c r="V607" s="41"/>
      <c r="W607" s="37"/>
      <c r="X607" s="37"/>
      <c r="Y607" s="43"/>
      <c r="Z607" s="37"/>
      <c r="AA607" s="37"/>
      <c r="AD607" s="37"/>
      <c r="AE607" s="37"/>
      <c r="AF607" s="37"/>
    </row>
    <row r="608" spans="1:32" x14ac:dyDescent="0.25">
      <c r="A608" s="37"/>
      <c r="B608" s="37"/>
      <c r="C608" s="37"/>
      <c r="F608" s="38"/>
      <c r="G608" s="38"/>
      <c r="H608" s="38"/>
      <c r="I608" s="40"/>
      <c r="J608" s="38"/>
      <c r="K608" s="38"/>
      <c r="L608" s="42"/>
      <c r="M608" s="42"/>
      <c r="N608" s="42"/>
      <c r="O608" s="42"/>
      <c r="R608" s="37"/>
      <c r="S608" s="37"/>
      <c r="T608" s="91"/>
      <c r="U608" s="91"/>
      <c r="V608" s="41"/>
      <c r="W608" s="37"/>
      <c r="X608" s="37"/>
      <c r="Y608" s="43"/>
      <c r="Z608" s="37"/>
      <c r="AA608" s="37"/>
      <c r="AD608" s="37"/>
      <c r="AE608" s="37"/>
      <c r="AF608" s="37"/>
    </row>
    <row r="609" spans="1:32" x14ac:dyDescent="0.25">
      <c r="A609" s="37"/>
      <c r="B609" s="37"/>
      <c r="C609" s="37"/>
      <c r="F609" s="38"/>
      <c r="G609" s="38"/>
      <c r="H609" s="38"/>
      <c r="I609" s="40"/>
      <c r="J609" s="38"/>
      <c r="K609" s="38"/>
      <c r="L609" s="42"/>
      <c r="M609" s="42"/>
      <c r="N609" s="42"/>
      <c r="O609" s="42"/>
      <c r="R609" s="37"/>
      <c r="S609" s="37"/>
      <c r="T609" s="91"/>
      <c r="U609" s="91"/>
      <c r="V609" s="41"/>
      <c r="W609" s="37"/>
      <c r="X609" s="37"/>
      <c r="Y609" s="43"/>
      <c r="Z609" s="37"/>
      <c r="AA609" s="37"/>
      <c r="AD609" s="37"/>
      <c r="AE609" s="37"/>
      <c r="AF609" s="37"/>
    </row>
    <row r="610" spans="1:32" x14ac:dyDescent="0.25">
      <c r="A610" s="37"/>
      <c r="B610" s="37"/>
      <c r="C610" s="37"/>
      <c r="F610" s="38"/>
      <c r="G610" s="38"/>
      <c r="H610" s="38"/>
      <c r="I610" s="40"/>
      <c r="J610" s="38"/>
      <c r="K610" s="38"/>
      <c r="L610" s="42"/>
      <c r="M610" s="42"/>
      <c r="N610" s="42"/>
      <c r="O610" s="42"/>
      <c r="R610" s="37"/>
      <c r="S610" s="37"/>
      <c r="T610" s="91"/>
      <c r="U610" s="91"/>
      <c r="V610" s="41"/>
      <c r="W610" s="37"/>
      <c r="X610" s="37"/>
      <c r="Y610" s="43"/>
      <c r="Z610" s="37"/>
      <c r="AA610" s="37"/>
      <c r="AD610" s="37"/>
      <c r="AE610" s="37"/>
      <c r="AF610" s="37"/>
    </row>
    <row r="611" spans="1:32" x14ac:dyDescent="0.25">
      <c r="A611" s="37"/>
      <c r="B611" s="37"/>
      <c r="C611" s="37"/>
      <c r="F611" s="38"/>
      <c r="G611" s="38"/>
      <c r="H611" s="38"/>
      <c r="I611" s="40"/>
      <c r="J611" s="38"/>
      <c r="K611" s="38"/>
      <c r="L611" s="42"/>
      <c r="M611" s="42"/>
      <c r="N611" s="42"/>
      <c r="O611" s="42"/>
      <c r="R611" s="37"/>
      <c r="S611" s="37"/>
      <c r="T611" s="91"/>
      <c r="U611" s="91"/>
      <c r="V611" s="41"/>
      <c r="W611" s="37"/>
      <c r="X611" s="37"/>
      <c r="Y611" s="43"/>
      <c r="Z611" s="37"/>
      <c r="AA611" s="37"/>
      <c r="AD611" s="37"/>
      <c r="AE611" s="37"/>
      <c r="AF611" s="37"/>
    </row>
    <row r="612" spans="1:32" x14ac:dyDescent="0.25">
      <c r="A612" s="37"/>
      <c r="B612" s="37"/>
      <c r="C612" s="37"/>
      <c r="F612" s="38"/>
      <c r="G612" s="38"/>
      <c r="H612" s="38"/>
      <c r="I612" s="40"/>
      <c r="J612" s="38"/>
      <c r="K612" s="38"/>
      <c r="L612" s="42"/>
      <c r="M612" s="42"/>
      <c r="N612" s="42"/>
      <c r="O612" s="42"/>
      <c r="R612" s="37"/>
      <c r="S612" s="37"/>
      <c r="T612" s="91"/>
      <c r="U612" s="91"/>
      <c r="V612" s="41"/>
      <c r="W612" s="37"/>
      <c r="X612" s="37"/>
      <c r="Y612" s="43"/>
      <c r="Z612" s="37"/>
      <c r="AA612" s="37"/>
      <c r="AD612" s="37"/>
      <c r="AE612" s="37"/>
      <c r="AF612" s="37"/>
    </row>
    <row r="613" spans="1:32" x14ac:dyDescent="0.25">
      <c r="A613" s="37"/>
      <c r="B613" s="37"/>
      <c r="C613" s="37"/>
      <c r="F613" s="38"/>
      <c r="G613" s="38"/>
      <c r="H613" s="38"/>
      <c r="I613" s="40"/>
      <c r="J613" s="38"/>
      <c r="K613" s="38"/>
      <c r="L613" s="42"/>
      <c r="M613" s="42"/>
      <c r="N613" s="42"/>
      <c r="O613" s="42"/>
      <c r="R613" s="37"/>
      <c r="S613" s="37"/>
      <c r="T613" s="91"/>
      <c r="U613" s="91"/>
      <c r="V613" s="41"/>
      <c r="W613" s="37"/>
      <c r="X613" s="37"/>
      <c r="Y613" s="43"/>
      <c r="Z613" s="37"/>
      <c r="AA613" s="37"/>
      <c r="AD613" s="37"/>
      <c r="AE613" s="37"/>
      <c r="AF613" s="37"/>
    </row>
    <row r="614" spans="1:32" x14ac:dyDescent="0.25">
      <c r="A614" s="37"/>
      <c r="B614" s="37"/>
      <c r="C614" s="37"/>
      <c r="F614" s="38"/>
      <c r="G614" s="38"/>
      <c r="H614" s="38"/>
      <c r="I614" s="40"/>
      <c r="J614" s="38"/>
      <c r="K614" s="38"/>
      <c r="L614" s="42"/>
      <c r="M614" s="42"/>
      <c r="N614" s="42"/>
      <c r="O614" s="42"/>
      <c r="R614" s="37"/>
      <c r="S614" s="37"/>
      <c r="T614" s="91"/>
      <c r="U614" s="91"/>
      <c r="V614" s="41"/>
      <c r="W614" s="37"/>
      <c r="X614" s="37"/>
      <c r="Y614" s="43"/>
      <c r="Z614" s="37"/>
      <c r="AA614" s="37"/>
      <c r="AD614" s="37"/>
      <c r="AE614" s="37"/>
      <c r="AF614" s="37"/>
    </row>
    <row r="615" spans="1:32" x14ac:dyDescent="0.25">
      <c r="A615" s="37"/>
      <c r="B615" s="37"/>
      <c r="C615" s="37"/>
      <c r="F615" s="38"/>
      <c r="G615" s="38"/>
      <c r="H615" s="38"/>
      <c r="I615" s="40"/>
      <c r="J615" s="38"/>
      <c r="K615" s="38"/>
      <c r="L615" s="42"/>
      <c r="M615" s="42"/>
      <c r="N615" s="42"/>
      <c r="O615" s="42"/>
      <c r="R615" s="37"/>
      <c r="S615" s="37"/>
      <c r="T615" s="91"/>
      <c r="U615" s="91"/>
      <c r="V615" s="41"/>
      <c r="W615" s="37"/>
      <c r="X615" s="37"/>
      <c r="Y615" s="43"/>
      <c r="Z615" s="37"/>
      <c r="AA615" s="37"/>
      <c r="AD615" s="37"/>
      <c r="AE615" s="37"/>
      <c r="AF615" s="37"/>
    </row>
    <row r="616" spans="1:32" x14ac:dyDescent="0.25">
      <c r="A616" s="37"/>
      <c r="B616" s="37"/>
      <c r="C616" s="37"/>
      <c r="F616" s="38"/>
      <c r="G616" s="38"/>
      <c r="H616" s="38"/>
      <c r="I616" s="40"/>
      <c r="J616" s="38"/>
      <c r="K616" s="38"/>
      <c r="L616" s="42"/>
      <c r="M616" s="42"/>
      <c r="N616" s="42"/>
      <c r="O616" s="42"/>
      <c r="R616" s="37"/>
      <c r="S616" s="37"/>
      <c r="T616" s="91"/>
      <c r="U616" s="91"/>
      <c r="V616" s="41"/>
      <c r="W616" s="37"/>
      <c r="X616" s="37"/>
      <c r="Y616" s="43"/>
      <c r="Z616" s="37"/>
      <c r="AA616" s="37"/>
      <c r="AD616" s="37"/>
      <c r="AE616" s="37"/>
      <c r="AF616" s="37"/>
    </row>
    <row r="617" spans="1:32" x14ac:dyDescent="0.25">
      <c r="A617" s="37"/>
      <c r="B617" s="37"/>
      <c r="C617" s="37"/>
      <c r="F617" s="38"/>
      <c r="G617" s="38"/>
      <c r="H617" s="38"/>
      <c r="I617" s="40"/>
      <c r="J617" s="38"/>
      <c r="K617" s="38"/>
      <c r="L617" s="42"/>
      <c r="M617" s="42"/>
      <c r="N617" s="42"/>
      <c r="O617" s="42"/>
      <c r="R617" s="37"/>
      <c r="S617" s="37"/>
      <c r="T617" s="91"/>
      <c r="U617" s="91"/>
      <c r="V617" s="41"/>
      <c r="W617" s="37"/>
      <c r="X617" s="37"/>
      <c r="Y617" s="43"/>
      <c r="Z617" s="37"/>
      <c r="AA617" s="37"/>
      <c r="AD617" s="37"/>
      <c r="AE617" s="37"/>
      <c r="AF617" s="37"/>
    </row>
    <row r="618" spans="1:32" x14ac:dyDescent="0.25">
      <c r="A618" s="37"/>
      <c r="B618" s="37"/>
      <c r="C618" s="37"/>
      <c r="F618" s="38"/>
      <c r="G618" s="38"/>
      <c r="H618" s="38"/>
      <c r="I618" s="40"/>
      <c r="J618" s="38"/>
      <c r="K618" s="38"/>
      <c r="L618" s="42"/>
      <c r="M618" s="42"/>
      <c r="N618" s="42"/>
      <c r="O618" s="42"/>
      <c r="R618" s="37"/>
      <c r="S618" s="37"/>
      <c r="T618" s="91"/>
      <c r="U618" s="91"/>
      <c r="V618" s="41"/>
      <c r="W618" s="37"/>
      <c r="X618" s="37"/>
      <c r="Y618" s="43"/>
      <c r="Z618" s="37"/>
      <c r="AA618" s="37"/>
      <c r="AD618" s="37"/>
      <c r="AE618" s="37"/>
      <c r="AF618" s="37"/>
    </row>
    <row r="619" spans="1:32" x14ac:dyDescent="0.25">
      <c r="A619" s="37"/>
      <c r="B619" s="37"/>
      <c r="C619" s="37"/>
      <c r="F619" s="38"/>
      <c r="G619" s="38"/>
      <c r="H619" s="38"/>
      <c r="I619" s="40"/>
      <c r="J619" s="38"/>
      <c r="K619" s="38"/>
      <c r="L619" s="42"/>
      <c r="M619" s="42"/>
      <c r="N619" s="42"/>
      <c r="O619" s="42"/>
      <c r="R619" s="37"/>
      <c r="S619" s="37"/>
      <c r="T619" s="91"/>
      <c r="U619" s="91"/>
      <c r="V619" s="41"/>
      <c r="W619" s="37"/>
      <c r="X619" s="37"/>
      <c r="Y619" s="43"/>
      <c r="Z619" s="37"/>
      <c r="AA619" s="37"/>
      <c r="AD619" s="37"/>
      <c r="AE619" s="37"/>
      <c r="AF619" s="37"/>
    </row>
    <row r="620" spans="1:32" x14ac:dyDescent="0.25">
      <c r="A620" s="37"/>
      <c r="B620" s="37"/>
      <c r="C620" s="37"/>
      <c r="F620" s="38"/>
      <c r="G620" s="38"/>
      <c r="H620" s="38"/>
      <c r="I620" s="40"/>
      <c r="J620" s="38"/>
      <c r="K620" s="38"/>
      <c r="L620" s="42"/>
      <c r="M620" s="42"/>
      <c r="N620" s="42"/>
      <c r="O620" s="42"/>
      <c r="R620" s="37"/>
      <c r="S620" s="37"/>
      <c r="T620" s="91"/>
      <c r="U620" s="91"/>
      <c r="V620" s="41"/>
      <c r="W620" s="37"/>
      <c r="X620" s="37"/>
      <c r="Y620" s="43"/>
      <c r="Z620" s="37"/>
      <c r="AA620" s="37"/>
      <c r="AD620" s="37"/>
      <c r="AE620" s="37"/>
      <c r="AF620" s="37"/>
    </row>
    <row r="621" spans="1:32" x14ac:dyDescent="0.25">
      <c r="A621" s="37"/>
      <c r="B621" s="37"/>
      <c r="C621" s="37"/>
      <c r="F621" s="38"/>
      <c r="G621" s="38"/>
      <c r="H621" s="38"/>
      <c r="I621" s="40"/>
      <c r="J621" s="38"/>
      <c r="K621" s="38"/>
      <c r="L621" s="42"/>
      <c r="M621" s="42"/>
      <c r="N621" s="42"/>
      <c r="O621" s="42"/>
      <c r="R621" s="37"/>
      <c r="S621" s="37"/>
      <c r="T621" s="91"/>
      <c r="U621" s="91"/>
      <c r="V621" s="41"/>
      <c r="W621" s="37"/>
      <c r="X621" s="37"/>
      <c r="Y621" s="43"/>
      <c r="Z621" s="37"/>
      <c r="AA621" s="37"/>
      <c r="AD621" s="37"/>
      <c r="AE621" s="37"/>
      <c r="AF621" s="37"/>
    </row>
    <row r="622" spans="1:32" x14ac:dyDescent="0.25">
      <c r="A622" s="37"/>
      <c r="B622" s="37"/>
      <c r="C622" s="37"/>
      <c r="F622" s="38"/>
      <c r="G622" s="38"/>
      <c r="H622" s="38"/>
      <c r="I622" s="40"/>
      <c r="J622" s="38"/>
      <c r="K622" s="38"/>
      <c r="L622" s="42"/>
      <c r="M622" s="42"/>
      <c r="N622" s="42"/>
      <c r="O622" s="42"/>
      <c r="R622" s="37"/>
      <c r="S622" s="37"/>
      <c r="T622" s="91"/>
      <c r="U622" s="91"/>
      <c r="V622" s="41"/>
      <c r="W622" s="37"/>
      <c r="X622" s="37"/>
      <c r="Y622" s="43"/>
      <c r="Z622" s="37"/>
      <c r="AA622" s="37"/>
      <c r="AD622" s="37"/>
      <c r="AE622" s="37"/>
      <c r="AF622" s="37"/>
    </row>
    <row r="623" spans="1:32" x14ac:dyDescent="0.25">
      <c r="A623" s="37"/>
      <c r="B623" s="37"/>
      <c r="C623" s="37"/>
      <c r="F623" s="38"/>
      <c r="G623" s="38"/>
      <c r="H623" s="38"/>
      <c r="I623" s="40"/>
      <c r="J623" s="38"/>
      <c r="K623" s="38"/>
      <c r="L623" s="42"/>
      <c r="M623" s="42"/>
      <c r="N623" s="42"/>
      <c r="O623" s="42"/>
      <c r="R623" s="37"/>
      <c r="S623" s="37"/>
      <c r="T623" s="91"/>
      <c r="U623" s="91"/>
      <c r="V623" s="41"/>
      <c r="W623" s="37"/>
      <c r="X623" s="37"/>
      <c r="Y623" s="43"/>
      <c r="Z623" s="37"/>
      <c r="AA623" s="37"/>
      <c r="AD623" s="37"/>
      <c r="AE623" s="37"/>
      <c r="AF623" s="37"/>
    </row>
    <row r="624" spans="1:32" x14ac:dyDescent="0.25">
      <c r="A624" s="37"/>
      <c r="B624" s="37"/>
      <c r="C624" s="37"/>
      <c r="F624" s="38"/>
      <c r="G624" s="38"/>
      <c r="H624" s="38"/>
      <c r="I624" s="40"/>
      <c r="J624" s="38"/>
      <c r="K624" s="38"/>
      <c r="L624" s="42"/>
      <c r="M624" s="42"/>
      <c r="N624" s="42"/>
      <c r="O624" s="42"/>
      <c r="R624" s="37"/>
      <c r="S624" s="37"/>
      <c r="T624" s="91"/>
      <c r="U624" s="91"/>
      <c r="V624" s="41"/>
      <c r="W624" s="37"/>
      <c r="X624" s="37"/>
      <c r="Y624" s="43"/>
      <c r="Z624" s="37"/>
      <c r="AA624" s="37"/>
      <c r="AD624" s="37"/>
      <c r="AE624" s="37"/>
      <c r="AF624" s="37"/>
    </row>
    <row r="625" spans="1:32" x14ac:dyDescent="0.25">
      <c r="A625" s="37"/>
      <c r="B625" s="37"/>
      <c r="C625" s="37"/>
      <c r="F625" s="38"/>
      <c r="G625" s="38"/>
      <c r="H625" s="38"/>
      <c r="I625" s="40"/>
      <c r="J625" s="38"/>
      <c r="K625" s="38"/>
      <c r="L625" s="42"/>
      <c r="M625" s="42"/>
      <c r="N625" s="42"/>
      <c r="O625" s="42"/>
      <c r="R625" s="37"/>
      <c r="S625" s="37"/>
      <c r="T625" s="91"/>
      <c r="U625" s="91"/>
      <c r="V625" s="41"/>
      <c r="W625" s="37"/>
      <c r="X625" s="37"/>
      <c r="Y625" s="43"/>
      <c r="Z625" s="37"/>
      <c r="AA625" s="37"/>
      <c r="AD625" s="37"/>
      <c r="AE625" s="37"/>
      <c r="AF625" s="37"/>
    </row>
    <row r="626" spans="1:32" x14ac:dyDescent="0.25">
      <c r="A626" s="37"/>
      <c r="B626" s="37"/>
      <c r="C626" s="37"/>
      <c r="F626" s="38"/>
      <c r="G626" s="38"/>
      <c r="H626" s="38"/>
      <c r="I626" s="40"/>
      <c r="J626" s="38"/>
      <c r="K626" s="38"/>
      <c r="L626" s="42"/>
      <c r="M626" s="42"/>
      <c r="N626" s="42"/>
      <c r="O626" s="42"/>
      <c r="R626" s="37"/>
      <c r="S626" s="37"/>
      <c r="T626" s="91"/>
      <c r="U626" s="91"/>
      <c r="V626" s="41"/>
      <c r="W626" s="37"/>
      <c r="X626" s="37"/>
      <c r="Y626" s="43"/>
      <c r="Z626" s="37"/>
      <c r="AA626" s="37"/>
      <c r="AD626" s="37"/>
      <c r="AE626" s="37"/>
      <c r="AF626" s="37"/>
    </row>
    <row r="627" spans="1:32" x14ac:dyDescent="0.25">
      <c r="A627" s="37"/>
      <c r="B627" s="37"/>
      <c r="C627" s="37"/>
      <c r="F627" s="38"/>
      <c r="G627" s="38"/>
      <c r="H627" s="38"/>
      <c r="I627" s="40"/>
      <c r="J627" s="38"/>
      <c r="K627" s="38"/>
      <c r="L627" s="42"/>
      <c r="M627" s="42"/>
      <c r="N627" s="42"/>
      <c r="O627" s="42"/>
      <c r="R627" s="37"/>
      <c r="S627" s="37"/>
      <c r="T627" s="91"/>
      <c r="U627" s="91"/>
      <c r="V627" s="41"/>
      <c r="W627" s="37"/>
      <c r="X627" s="37"/>
      <c r="Y627" s="43"/>
      <c r="Z627" s="37"/>
      <c r="AA627" s="37"/>
      <c r="AD627" s="37"/>
      <c r="AE627" s="37"/>
      <c r="AF627" s="37"/>
    </row>
    <row r="628" spans="1:32" x14ac:dyDescent="0.25">
      <c r="A628" s="37"/>
      <c r="B628" s="37"/>
      <c r="C628" s="37"/>
      <c r="F628" s="38"/>
      <c r="G628" s="38"/>
      <c r="H628" s="38"/>
      <c r="I628" s="40"/>
      <c r="J628" s="38"/>
      <c r="K628" s="38"/>
      <c r="L628" s="42"/>
      <c r="M628" s="42"/>
      <c r="N628" s="42"/>
      <c r="O628" s="42"/>
      <c r="R628" s="37"/>
      <c r="S628" s="37"/>
      <c r="T628" s="91"/>
      <c r="U628" s="91"/>
      <c r="V628" s="41"/>
      <c r="W628" s="37"/>
      <c r="X628" s="37"/>
      <c r="Y628" s="43"/>
      <c r="Z628" s="37"/>
      <c r="AA628" s="37"/>
      <c r="AD628" s="37"/>
      <c r="AE628" s="37"/>
      <c r="AF628" s="37"/>
    </row>
    <row r="629" spans="1:32" x14ac:dyDescent="0.25">
      <c r="A629" s="37"/>
      <c r="B629" s="37"/>
      <c r="C629" s="37"/>
      <c r="F629" s="38"/>
      <c r="G629" s="38"/>
      <c r="H629" s="38"/>
      <c r="I629" s="40"/>
      <c r="J629" s="38"/>
      <c r="K629" s="38"/>
      <c r="L629" s="42"/>
      <c r="M629" s="42"/>
      <c r="N629" s="42"/>
      <c r="O629" s="42"/>
      <c r="R629" s="37"/>
      <c r="S629" s="37"/>
      <c r="T629" s="91"/>
      <c r="U629" s="91"/>
      <c r="V629" s="41"/>
      <c r="W629" s="37"/>
      <c r="X629" s="37"/>
      <c r="Y629" s="43"/>
      <c r="Z629" s="37"/>
      <c r="AA629" s="37"/>
      <c r="AD629" s="37"/>
      <c r="AE629" s="37"/>
      <c r="AF629" s="37"/>
    </row>
    <row r="630" spans="1:32" x14ac:dyDescent="0.25">
      <c r="A630" s="37"/>
      <c r="B630" s="37"/>
      <c r="C630" s="37"/>
      <c r="F630" s="38"/>
      <c r="G630" s="38"/>
      <c r="H630" s="38"/>
      <c r="I630" s="40"/>
      <c r="J630" s="38"/>
      <c r="K630" s="38"/>
      <c r="L630" s="42"/>
      <c r="M630" s="42"/>
      <c r="N630" s="42"/>
      <c r="O630" s="42"/>
      <c r="R630" s="37"/>
      <c r="S630" s="37"/>
      <c r="T630" s="91"/>
      <c r="U630" s="91"/>
      <c r="V630" s="41"/>
      <c r="W630" s="37"/>
      <c r="X630" s="37"/>
      <c r="Y630" s="43"/>
      <c r="Z630" s="37"/>
      <c r="AA630" s="37"/>
      <c r="AD630" s="37"/>
      <c r="AE630" s="37"/>
      <c r="AF630" s="37"/>
    </row>
    <row r="631" spans="1:32" x14ac:dyDescent="0.25">
      <c r="A631" s="37"/>
      <c r="B631" s="37"/>
      <c r="C631" s="37"/>
      <c r="F631" s="38"/>
      <c r="G631" s="38"/>
      <c r="H631" s="38"/>
      <c r="I631" s="40"/>
      <c r="J631" s="38"/>
      <c r="K631" s="38"/>
      <c r="L631" s="42"/>
      <c r="M631" s="42"/>
      <c r="N631" s="42"/>
      <c r="O631" s="42"/>
      <c r="R631" s="37"/>
      <c r="S631" s="37"/>
      <c r="T631" s="91"/>
      <c r="U631" s="91"/>
      <c r="V631" s="41"/>
      <c r="W631" s="37"/>
      <c r="X631" s="37"/>
      <c r="Y631" s="43"/>
      <c r="Z631" s="37"/>
      <c r="AA631" s="37"/>
      <c r="AD631" s="37"/>
      <c r="AE631" s="37"/>
      <c r="AF631" s="37"/>
    </row>
    <row r="632" spans="1:32" x14ac:dyDescent="0.25">
      <c r="A632" s="37"/>
      <c r="B632" s="37"/>
      <c r="C632" s="37"/>
      <c r="F632" s="38"/>
      <c r="G632" s="38"/>
      <c r="H632" s="38"/>
      <c r="I632" s="37"/>
      <c r="J632" s="38"/>
      <c r="K632" s="38"/>
      <c r="L632" s="42"/>
      <c r="M632" s="42"/>
      <c r="N632" s="42"/>
      <c r="O632" s="42"/>
      <c r="R632" s="37"/>
      <c r="S632" s="37"/>
      <c r="T632" s="91"/>
      <c r="U632" s="91"/>
      <c r="V632" s="41"/>
      <c r="W632" s="37"/>
      <c r="X632" s="37"/>
      <c r="Y632" s="43"/>
      <c r="Z632" s="37"/>
      <c r="AA632" s="37"/>
      <c r="AD632" s="37"/>
      <c r="AE632" s="37"/>
      <c r="AF632" s="37"/>
    </row>
    <row r="633" spans="1:32" x14ac:dyDescent="0.25">
      <c r="A633" s="37"/>
      <c r="B633" s="37"/>
      <c r="C633" s="37"/>
      <c r="F633" s="38"/>
      <c r="G633" s="38"/>
      <c r="H633" s="38"/>
      <c r="I633" s="37"/>
      <c r="J633" s="38"/>
      <c r="K633" s="38"/>
      <c r="L633" s="42"/>
      <c r="M633" s="42"/>
      <c r="N633" s="42"/>
      <c r="O633" s="42"/>
      <c r="R633" s="37"/>
      <c r="S633" s="37"/>
      <c r="T633" s="91"/>
      <c r="U633" s="91"/>
      <c r="V633" s="41"/>
      <c r="W633" s="37"/>
      <c r="X633" s="37"/>
      <c r="Y633" s="43"/>
      <c r="Z633" s="37"/>
      <c r="AA633" s="37"/>
      <c r="AD633" s="37"/>
      <c r="AE633" s="37"/>
      <c r="AF633" s="37"/>
    </row>
    <row r="634" spans="1:32" x14ac:dyDescent="0.25">
      <c r="A634" s="37"/>
      <c r="B634" s="37"/>
      <c r="C634" s="37"/>
      <c r="F634" s="38"/>
      <c r="G634" s="38"/>
      <c r="H634" s="38"/>
      <c r="I634" s="37"/>
      <c r="J634" s="38"/>
      <c r="K634" s="38"/>
      <c r="L634" s="42"/>
      <c r="M634" s="42"/>
      <c r="N634" s="42"/>
      <c r="O634" s="42"/>
      <c r="R634" s="37"/>
      <c r="S634" s="37"/>
      <c r="T634" s="91"/>
      <c r="U634" s="91"/>
      <c r="V634" s="41"/>
      <c r="W634" s="37"/>
      <c r="X634" s="37"/>
      <c r="Y634" s="43"/>
      <c r="Z634" s="37"/>
      <c r="AA634" s="37"/>
      <c r="AD634" s="37"/>
      <c r="AE634" s="37"/>
      <c r="AF634" s="37"/>
    </row>
    <row r="635" spans="1:32" x14ac:dyDescent="0.25">
      <c r="A635" s="37"/>
      <c r="B635" s="37"/>
      <c r="C635" s="37"/>
      <c r="F635" s="38"/>
      <c r="G635" s="38"/>
      <c r="H635" s="38"/>
      <c r="I635" s="37"/>
      <c r="J635" s="38"/>
      <c r="K635" s="38"/>
      <c r="L635" s="42"/>
      <c r="M635" s="42"/>
      <c r="N635" s="42"/>
      <c r="O635" s="42"/>
      <c r="R635" s="37"/>
      <c r="S635" s="37"/>
      <c r="T635" s="91"/>
      <c r="U635" s="91"/>
      <c r="V635" s="41"/>
      <c r="W635" s="37"/>
      <c r="X635" s="37"/>
      <c r="Y635" s="43"/>
      <c r="Z635" s="37"/>
      <c r="AA635" s="37"/>
      <c r="AD635" s="37"/>
      <c r="AE635" s="37"/>
      <c r="AF635" s="37"/>
    </row>
    <row r="636" spans="1:32" x14ac:dyDescent="0.25">
      <c r="A636" s="37"/>
      <c r="B636" s="37"/>
      <c r="C636" s="37"/>
      <c r="F636" s="38"/>
      <c r="G636" s="38"/>
      <c r="H636" s="38"/>
      <c r="I636" s="37"/>
      <c r="J636" s="38"/>
      <c r="K636" s="38"/>
      <c r="L636" s="42"/>
      <c r="M636" s="42"/>
      <c r="N636" s="42"/>
      <c r="O636" s="42"/>
      <c r="R636" s="37"/>
      <c r="S636" s="37"/>
      <c r="T636" s="91"/>
      <c r="U636" s="91"/>
      <c r="V636" s="41"/>
      <c r="W636" s="37"/>
      <c r="X636" s="37"/>
      <c r="Y636" s="43"/>
      <c r="Z636" s="37"/>
      <c r="AA636" s="37"/>
      <c r="AD636" s="37"/>
      <c r="AE636" s="37"/>
      <c r="AF636" s="37"/>
    </row>
    <row r="637" spans="1:32" x14ac:dyDescent="0.25">
      <c r="A637" s="37"/>
      <c r="B637" s="37"/>
      <c r="C637" s="37"/>
      <c r="F637" s="38"/>
      <c r="G637" s="38"/>
      <c r="H637" s="38"/>
      <c r="I637" s="37"/>
      <c r="J637" s="38"/>
      <c r="K637" s="38"/>
      <c r="L637" s="42"/>
      <c r="M637" s="42"/>
      <c r="N637" s="42"/>
      <c r="O637" s="42"/>
      <c r="R637" s="37"/>
      <c r="S637" s="37"/>
      <c r="T637" s="91"/>
      <c r="U637" s="91"/>
      <c r="V637" s="41"/>
      <c r="W637" s="37"/>
      <c r="X637" s="37"/>
      <c r="Y637" s="43"/>
      <c r="Z637" s="37"/>
      <c r="AA637" s="37"/>
      <c r="AD637" s="37"/>
      <c r="AE637" s="37"/>
      <c r="AF637" s="37"/>
    </row>
    <row r="638" spans="1:32" x14ac:dyDescent="0.25">
      <c r="A638" s="37"/>
      <c r="B638" s="37"/>
      <c r="C638" s="37"/>
      <c r="F638" s="38"/>
      <c r="G638" s="38"/>
      <c r="H638" s="38"/>
      <c r="I638" s="37"/>
      <c r="J638" s="38"/>
      <c r="K638" s="38"/>
      <c r="L638" s="42"/>
      <c r="M638" s="42"/>
      <c r="N638" s="42"/>
      <c r="O638" s="42"/>
      <c r="R638" s="37"/>
      <c r="S638" s="37"/>
      <c r="T638" s="91"/>
      <c r="U638" s="91"/>
      <c r="V638" s="41"/>
      <c r="W638" s="37"/>
      <c r="X638" s="37"/>
      <c r="Y638" s="43"/>
      <c r="Z638" s="37"/>
      <c r="AA638" s="37"/>
      <c r="AD638" s="37"/>
      <c r="AE638" s="37"/>
      <c r="AF638" s="37"/>
    </row>
    <row r="639" spans="1:32" x14ac:dyDescent="0.25">
      <c r="A639" s="37"/>
      <c r="B639" s="37"/>
      <c r="C639" s="37"/>
      <c r="F639" s="38"/>
      <c r="G639" s="38"/>
      <c r="H639" s="38"/>
      <c r="I639" s="37"/>
      <c r="J639" s="38"/>
      <c r="K639" s="38"/>
      <c r="L639" s="42"/>
      <c r="M639" s="42"/>
      <c r="N639" s="42"/>
      <c r="O639" s="42"/>
      <c r="R639" s="37"/>
      <c r="S639" s="37"/>
      <c r="T639" s="91"/>
      <c r="U639" s="91"/>
      <c r="V639" s="41"/>
      <c r="W639" s="37"/>
      <c r="X639" s="37"/>
      <c r="Y639" s="43"/>
      <c r="Z639" s="37"/>
      <c r="AA639" s="37"/>
      <c r="AD639" s="37"/>
      <c r="AE639" s="37"/>
      <c r="AF639" s="37"/>
    </row>
    <row r="640" spans="1:32" x14ac:dyDescent="0.25">
      <c r="A640" s="37"/>
      <c r="B640" s="37"/>
      <c r="C640" s="37"/>
      <c r="F640" s="38"/>
      <c r="G640" s="38"/>
      <c r="H640" s="38"/>
      <c r="I640" s="37"/>
      <c r="J640" s="38"/>
      <c r="K640" s="38"/>
      <c r="L640" s="42"/>
      <c r="M640" s="42"/>
      <c r="N640" s="42"/>
      <c r="O640" s="42"/>
      <c r="R640" s="37"/>
      <c r="S640" s="37"/>
      <c r="T640" s="91"/>
      <c r="U640" s="91"/>
      <c r="V640" s="41"/>
      <c r="W640" s="37"/>
      <c r="X640" s="37"/>
      <c r="Y640" s="43"/>
      <c r="Z640" s="37"/>
      <c r="AA640" s="37"/>
      <c r="AD640" s="37"/>
      <c r="AE640" s="37"/>
      <c r="AF640" s="37"/>
    </row>
    <row r="641" spans="1:32" x14ac:dyDescent="0.25">
      <c r="A641" s="37"/>
      <c r="B641" s="37"/>
      <c r="C641" s="37"/>
      <c r="F641" s="38"/>
      <c r="G641" s="38"/>
      <c r="H641" s="38"/>
      <c r="I641" s="37"/>
      <c r="J641" s="38"/>
      <c r="K641" s="38"/>
      <c r="L641" s="42"/>
      <c r="M641" s="42"/>
      <c r="N641" s="42"/>
      <c r="O641" s="42"/>
      <c r="R641" s="37"/>
      <c r="S641" s="37"/>
      <c r="T641" s="91"/>
      <c r="U641" s="91"/>
      <c r="V641" s="41"/>
      <c r="W641" s="37"/>
      <c r="X641" s="37"/>
      <c r="Y641" s="43"/>
      <c r="Z641" s="37"/>
      <c r="AA641" s="37"/>
      <c r="AD641" s="37"/>
      <c r="AE641" s="37"/>
      <c r="AF641" s="37"/>
    </row>
    <row r="642" spans="1:32" x14ac:dyDescent="0.25">
      <c r="A642" s="37"/>
      <c r="B642" s="37"/>
      <c r="C642" s="37"/>
      <c r="F642" s="38"/>
      <c r="G642" s="38"/>
      <c r="H642" s="38"/>
      <c r="I642" s="37"/>
      <c r="J642" s="38"/>
      <c r="K642" s="38"/>
      <c r="L642" s="42"/>
      <c r="M642" s="42"/>
      <c r="N642" s="42"/>
      <c r="O642" s="42"/>
      <c r="R642" s="37"/>
      <c r="S642" s="37"/>
      <c r="T642" s="91"/>
      <c r="U642" s="91"/>
      <c r="V642" s="41"/>
      <c r="W642" s="37"/>
      <c r="X642" s="37"/>
      <c r="Y642" s="43"/>
      <c r="Z642" s="37"/>
      <c r="AA642" s="37"/>
      <c r="AD642" s="37"/>
      <c r="AE642" s="37"/>
      <c r="AF642" s="37"/>
    </row>
    <row r="643" spans="1:32" x14ac:dyDescent="0.25">
      <c r="A643" s="37"/>
      <c r="B643" s="37"/>
      <c r="C643" s="37"/>
      <c r="F643" s="38"/>
      <c r="G643" s="38"/>
      <c r="H643" s="38"/>
      <c r="I643" s="37"/>
      <c r="J643" s="38"/>
      <c r="K643" s="38"/>
      <c r="L643" s="42"/>
      <c r="M643" s="42"/>
      <c r="N643" s="42"/>
      <c r="O643" s="42"/>
      <c r="R643" s="37"/>
      <c r="S643" s="37"/>
      <c r="T643" s="91"/>
      <c r="U643" s="91"/>
      <c r="V643" s="41"/>
      <c r="W643" s="37"/>
      <c r="X643" s="37"/>
      <c r="Y643" s="43"/>
      <c r="Z643" s="37"/>
      <c r="AA643" s="37"/>
      <c r="AD643" s="37"/>
      <c r="AE643" s="37"/>
      <c r="AF643" s="37"/>
    </row>
    <row r="644" spans="1:32" x14ac:dyDescent="0.25">
      <c r="A644" s="37"/>
      <c r="B644" s="37"/>
      <c r="C644" s="37"/>
      <c r="F644" s="38"/>
      <c r="G644" s="38"/>
      <c r="H644" s="38"/>
      <c r="I644" s="37"/>
      <c r="J644" s="38"/>
      <c r="K644" s="38"/>
      <c r="L644" s="42"/>
      <c r="M644" s="42"/>
      <c r="N644" s="42"/>
      <c r="O644" s="42"/>
      <c r="R644" s="37"/>
      <c r="S644" s="37"/>
      <c r="T644" s="91"/>
      <c r="U644" s="91"/>
      <c r="V644" s="41"/>
      <c r="W644" s="37"/>
      <c r="X644" s="37"/>
      <c r="Y644" s="43"/>
      <c r="Z644" s="37"/>
      <c r="AA644" s="37"/>
      <c r="AD644" s="37"/>
      <c r="AE644" s="37"/>
      <c r="AF644" s="37"/>
    </row>
    <row r="645" spans="1:32" x14ac:dyDescent="0.25">
      <c r="A645" s="37"/>
      <c r="B645" s="37"/>
      <c r="C645" s="37"/>
      <c r="F645" s="38"/>
      <c r="G645" s="38"/>
      <c r="H645" s="38"/>
      <c r="I645" s="37"/>
      <c r="J645" s="38"/>
      <c r="K645" s="38"/>
      <c r="L645" s="42"/>
      <c r="M645" s="42"/>
      <c r="N645" s="42"/>
      <c r="O645" s="42"/>
      <c r="R645" s="37"/>
      <c r="S645" s="37"/>
      <c r="T645" s="91"/>
      <c r="U645" s="91"/>
      <c r="V645" s="41"/>
      <c r="W645" s="37"/>
      <c r="X645" s="37"/>
      <c r="Y645" s="43"/>
      <c r="Z645" s="37"/>
      <c r="AA645" s="37"/>
      <c r="AD645" s="37"/>
      <c r="AE645" s="37"/>
      <c r="AF645" s="37"/>
    </row>
    <row r="646" spans="1:32" x14ac:dyDescent="0.25">
      <c r="A646" s="37"/>
      <c r="B646" s="37"/>
      <c r="C646" s="37"/>
      <c r="F646" s="38"/>
      <c r="G646" s="38"/>
      <c r="H646" s="38"/>
      <c r="I646" s="37"/>
      <c r="J646" s="38"/>
      <c r="K646" s="38"/>
      <c r="L646" s="42"/>
      <c r="M646" s="42"/>
      <c r="N646" s="42"/>
      <c r="O646" s="42"/>
      <c r="R646" s="37"/>
      <c r="S646" s="37"/>
      <c r="T646" s="91"/>
      <c r="U646" s="91"/>
      <c r="V646" s="41"/>
      <c r="W646" s="37"/>
      <c r="X646" s="37"/>
      <c r="Y646" s="43"/>
      <c r="Z646" s="37"/>
      <c r="AA646" s="37"/>
      <c r="AD646" s="37"/>
      <c r="AE646" s="37"/>
      <c r="AF646" s="37"/>
    </row>
    <row r="647" spans="1:32" x14ac:dyDescent="0.25">
      <c r="A647" s="37"/>
      <c r="B647" s="37"/>
      <c r="C647" s="37"/>
      <c r="F647" s="38"/>
      <c r="G647" s="38"/>
      <c r="H647" s="38"/>
      <c r="I647" s="37"/>
      <c r="J647" s="38"/>
      <c r="K647" s="38"/>
      <c r="L647" s="42"/>
      <c r="M647" s="42"/>
      <c r="N647" s="42"/>
      <c r="O647" s="42"/>
      <c r="R647" s="37"/>
      <c r="S647" s="37"/>
      <c r="T647" s="91"/>
      <c r="U647" s="91"/>
      <c r="V647" s="41"/>
      <c r="W647" s="37"/>
      <c r="X647" s="37"/>
      <c r="Y647" s="43"/>
      <c r="Z647" s="37"/>
      <c r="AA647" s="37"/>
      <c r="AD647" s="37"/>
      <c r="AE647" s="37"/>
      <c r="AF647" s="37"/>
    </row>
    <row r="648" spans="1:32" x14ac:dyDescent="0.25">
      <c r="A648" s="37"/>
      <c r="B648" s="37"/>
      <c r="C648" s="37"/>
      <c r="F648" s="38"/>
      <c r="G648" s="38"/>
      <c r="H648" s="38"/>
      <c r="I648" s="37"/>
      <c r="J648" s="38"/>
      <c r="K648" s="38"/>
      <c r="L648" s="42"/>
      <c r="M648" s="42"/>
      <c r="N648" s="42"/>
      <c r="O648" s="42"/>
      <c r="R648" s="37"/>
      <c r="S648" s="37"/>
      <c r="T648" s="91"/>
      <c r="U648" s="91"/>
      <c r="V648" s="41"/>
      <c r="W648" s="37"/>
      <c r="X648" s="37"/>
      <c r="Y648" s="43"/>
      <c r="Z648" s="37"/>
      <c r="AA648" s="37"/>
      <c r="AD648" s="37"/>
      <c r="AE648" s="37"/>
      <c r="AF648" s="37"/>
    </row>
    <row r="649" spans="1:32" x14ac:dyDescent="0.25">
      <c r="A649" s="37"/>
      <c r="B649" s="37"/>
      <c r="C649" s="37"/>
      <c r="F649" s="38"/>
      <c r="G649" s="38"/>
      <c r="H649" s="38"/>
      <c r="I649" s="37"/>
      <c r="J649" s="38"/>
      <c r="K649" s="38"/>
      <c r="L649" s="42"/>
      <c r="M649" s="42"/>
      <c r="N649" s="42"/>
      <c r="O649" s="42"/>
      <c r="R649" s="37"/>
      <c r="S649" s="37"/>
      <c r="T649" s="91"/>
      <c r="U649" s="91"/>
      <c r="V649" s="41"/>
      <c r="W649" s="37"/>
      <c r="X649" s="37"/>
      <c r="Y649" s="43"/>
      <c r="Z649" s="37"/>
      <c r="AA649" s="37"/>
      <c r="AD649" s="37"/>
      <c r="AE649" s="37"/>
      <c r="AF649" s="37"/>
    </row>
    <row r="650" spans="1:32" x14ac:dyDescent="0.25">
      <c r="A650" s="37"/>
      <c r="B650" s="37"/>
      <c r="C650" s="37"/>
      <c r="F650" s="38"/>
      <c r="G650" s="38"/>
      <c r="H650" s="38"/>
      <c r="I650" s="37"/>
      <c r="J650" s="38"/>
      <c r="K650" s="38"/>
      <c r="L650" s="42"/>
      <c r="M650" s="42"/>
      <c r="N650" s="42"/>
      <c r="O650" s="42"/>
      <c r="R650" s="37"/>
      <c r="S650" s="37"/>
      <c r="T650" s="91"/>
      <c r="U650" s="91"/>
      <c r="V650" s="41"/>
      <c r="W650" s="37"/>
      <c r="X650" s="37"/>
      <c r="Y650" s="43"/>
      <c r="Z650" s="37"/>
      <c r="AA650" s="37"/>
      <c r="AD650" s="37"/>
      <c r="AE650" s="37"/>
      <c r="AF650" s="37"/>
    </row>
    <row r="651" spans="1:32" x14ac:dyDescent="0.25">
      <c r="A651" s="37"/>
      <c r="B651" s="37"/>
      <c r="C651" s="37"/>
      <c r="F651" s="38"/>
      <c r="G651" s="38"/>
      <c r="H651" s="38"/>
      <c r="I651" s="37"/>
      <c r="J651" s="38"/>
      <c r="K651" s="38"/>
      <c r="L651" s="42"/>
      <c r="M651" s="42"/>
      <c r="N651" s="42"/>
      <c r="O651" s="42"/>
      <c r="R651" s="37"/>
      <c r="S651" s="37"/>
      <c r="T651" s="91"/>
      <c r="U651" s="91"/>
      <c r="V651" s="41"/>
      <c r="W651" s="37"/>
      <c r="X651" s="37"/>
      <c r="Y651" s="43"/>
      <c r="Z651" s="37"/>
      <c r="AA651" s="37"/>
      <c r="AD651" s="37"/>
      <c r="AE651" s="37"/>
      <c r="AF651" s="37"/>
    </row>
    <row r="652" spans="1:32" x14ac:dyDescent="0.25">
      <c r="A652" s="37"/>
      <c r="B652" s="37"/>
      <c r="C652" s="37"/>
      <c r="F652" s="38"/>
      <c r="G652" s="38"/>
      <c r="H652" s="38"/>
      <c r="I652" s="37"/>
      <c r="J652" s="38"/>
      <c r="K652" s="38"/>
      <c r="L652" s="42"/>
      <c r="M652" s="42"/>
      <c r="N652" s="42"/>
      <c r="O652" s="42"/>
      <c r="R652" s="37"/>
      <c r="S652" s="37"/>
      <c r="T652" s="91"/>
      <c r="U652" s="91"/>
      <c r="V652" s="41"/>
      <c r="W652" s="37"/>
      <c r="X652" s="37"/>
      <c r="Y652" s="43"/>
      <c r="Z652" s="37"/>
      <c r="AA652" s="37"/>
      <c r="AD652" s="37"/>
      <c r="AE652" s="37"/>
      <c r="AF652" s="37"/>
    </row>
    <row r="653" spans="1:32" x14ac:dyDescent="0.25">
      <c r="A653" s="37"/>
      <c r="B653" s="37"/>
      <c r="C653" s="37"/>
      <c r="F653" s="38"/>
      <c r="G653" s="38"/>
      <c r="H653" s="38"/>
      <c r="I653" s="37"/>
      <c r="J653" s="38"/>
      <c r="K653" s="38"/>
      <c r="L653" s="42"/>
      <c r="M653" s="42"/>
      <c r="N653" s="42"/>
      <c r="O653" s="42"/>
      <c r="R653" s="37"/>
      <c r="S653" s="37"/>
      <c r="T653" s="91"/>
      <c r="U653" s="91"/>
      <c r="V653" s="41"/>
      <c r="W653" s="37"/>
      <c r="X653" s="37"/>
      <c r="Y653" s="43"/>
      <c r="Z653" s="37"/>
      <c r="AA653" s="37"/>
      <c r="AD653" s="37"/>
      <c r="AE653" s="37"/>
      <c r="AF653" s="37"/>
    </row>
    <row r="654" spans="1:32" x14ac:dyDescent="0.25">
      <c r="A654" s="37"/>
      <c r="B654" s="37"/>
      <c r="C654" s="37"/>
      <c r="F654" s="38"/>
      <c r="G654" s="38"/>
      <c r="H654" s="38"/>
      <c r="I654" s="37"/>
      <c r="J654" s="38"/>
      <c r="K654" s="38"/>
      <c r="L654" s="42"/>
      <c r="M654" s="42"/>
      <c r="N654" s="42"/>
      <c r="O654" s="42"/>
      <c r="R654" s="37"/>
      <c r="S654" s="37"/>
      <c r="T654" s="91"/>
      <c r="U654" s="91"/>
      <c r="V654" s="41"/>
      <c r="W654" s="37"/>
      <c r="X654" s="37"/>
      <c r="Y654" s="43"/>
      <c r="Z654" s="37"/>
      <c r="AA654" s="37"/>
      <c r="AD654" s="37"/>
      <c r="AE654" s="37"/>
      <c r="AF654" s="37"/>
    </row>
    <row r="655" spans="1:32" x14ac:dyDescent="0.25">
      <c r="A655" s="37"/>
      <c r="B655" s="37"/>
      <c r="C655" s="37"/>
      <c r="F655" s="38"/>
      <c r="G655" s="38"/>
      <c r="H655" s="38"/>
      <c r="I655" s="37"/>
      <c r="J655" s="38"/>
      <c r="K655" s="38"/>
      <c r="L655" s="42"/>
      <c r="M655" s="42"/>
      <c r="N655" s="42"/>
      <c r="O655" s="42"/>
      <c r="R655" s="37"/>
      <c r="S655" s="37"/>
      <c r="T655" s="91"/>
      <c r="U655" s="91"/>
      <c r="V655" s="41"/>
      <c r="W655" s="37"/>
      <c r="X655" s="37"/>
      <c r="Y655" s="43"/>
      <c r="Z655" s="37"/>
      <c r="AA655" s="37"/>
      <c r="AD655" s="37"/>
      <c r="AE655" s="37"/>
      <c r="AF655" s="37"/>
    </row>
    <row r="656" spans="1:32" x14ac:dyDescent="0.25">
      <c r="A656" s="37"/>
      <c r="B656" s="37"/>
      <c r="C656" s="37"/>
      <c r="F656" s="38"/>
      <c r="G656" s="38"/>
      <c r="H656" s="38"/>
      <c r="I656" s="37"/>
      <c r="J656" s="38"/>
      <c r="K656" s="38"/>
      <c r="L656" s="42"/>
      <c r="M656" s="42"/>
      <c r="N656" s="42"/>
      <c r="O656" s="42"/>
      <c r="R656" s="37"/>
      <c r="S656" s="37"/>
      <c r="T656" s="91"/>
      <c r="U656" s="91"/>
      <c r="V656" s="41"/>
      <c r="W656" s="37"/>
      <c r="X656" s="37"/>
      <c r="Y656" s="43"/>
      <c r="Z656" s="37"/>
      <c r="AA656" s="37"/>
      <c r="AD656" s="37"/>
      <c r="AE656" s="37"/>
      <c r="AF656" s="37"/>
    </row>
    <row r="657" spans="1:32" x14ac:dyDescent="0.25">
      <c r="A657" s="37"/>
      <c r="B657" s="37"/>
      <c r="C657" s="37"/>
      <c r="F657" s="38"/>
      <c r="G657" s="38"/>
      <c r="H657" s="38"/>
      <c r="I657" s="37"/>
      <c r="J657" s="38"/>
      <c r="K657" s="38"/>
      <c r="L657" s="42"/>
      <c r="M657" s="42"/>
      <c r="N657" s="42"/>
      <c r="O657" s="42"/>
      <c r="R657" s="37"/>
      <c r="S657" s="37"/>
      <c r="T657" s="91"/>
      <c r="U657" s="91"/>
      <c r="V657" s="41"/>
      <c r="W657" s="37"/>
      <c r="X657" s="37"/>
      <c r="Y657" s="43"/>
      <c r="Z657" s="37"/>
      <c r="AA657" s="37"/>
      <c r="AD657" s="37"/>
      <c r="AE657" s="37"/>
      <c r="AF657" s="37"/>
    </row>
    <row r="658" spans="1:32" x14ac:dyDescent="0.25">
      <c r="A658" s="37"/>
      <c r="B658" s="37"/>
      <c r="C658" s="37"/>
      <c r="F658" s="38"/>
      <c r="G658" s="38"/>
      <c r="H658" s="38"/>
      <c r="I658" s="37"/>
      <c r="J658" s="38"/>
      <c r="K658" s="38"/>
      <c r="L658" s="42"/>
      <c r="M658" s="42"/>
      <c r="N658" s="42"/>
      <c r="O658" s="42"/>
      <c r="R658" s="37"/>
      <c r="S658" s="37"/>
      <c r="T658" s="91"/>
      <c r="U658" s="91"/>
      <c r="V658" s="41"/>
      <c r="W658" s="37"/>
      <c r="X658" s="37"/>
      <c r="Y658" s="43"/>
      <c r="Z658" s="37"/>
      <c r="AA658" s="37"/>
      <c r="AD658" s="37"/>
      <c r="AE658" s="37"/>
      <c r="AF658" s="37"/>
    </row>
    <row r="659" spans="1:32" x14ac:dyDescent="0.25">
      <c r="A659" s="37"/>
      <c r="B659" s="37"/>
      <c r="C659" s="37"/>
      <c r="F659" s="38"/>
      <c r="G659" s="38"/>
      <c r="H659" s="38"/>
      <c r="I659" s="37"/>
      <c r="J659" s="38"/>
      <c r="K659" s="38"/>
      <c r="L659" s="42"/>
      <c r="M659" s="42"/>
      <c r="N659" s="42"/>
      <c r="O659" s="42"/>
      <c r="R659" s="37"/>
      <c r="S659" s="37"/>
      <c r="T659" s="91"/>
      <c r="U659" s="91"/>
      <c r="V659" s="41"/>
      <c r="W659" s="37"/>
      <c r="X659" s="37"/>
      <c r="Y659" s="43"/>
      <c r="Z659" s="37"/>
      <c r="AA659" s="37"/>
      <c r="AD659" s="37"/>
      <c r="AE659" s="37"/>
      <c r="AF659" s="37"/>
    </row>
    <row r="660" spans="1:32" x14ac:dyDescent="0.25">
      <c r="A660" s="37"/>
      <c r="B660" s="37"/>
      <c r="C660" s="37"/>
      <c r="F660" s="38"/>
      <c r="G660" s="38"/>
      <c r="H660" s="38"/>
      <c r="I660" s="37"/>
      <c r="J660" s="38"/>
      <c r="K660" s="38"/>
      <c r="L660" s="42"/>
      <c r="M660" s="42"/>
      <c r="N660" s="42"/>
      <c r="O660" s="42"/>
      <c r="R660" s="37"/>
      <c r="S660" s="37"/>
      <c r="T660" s="91"/>
      <c r="U660" s="91"/>
      <c r="V660" s="41"/>
      <c r="W660" s="37"/>
      <c r="X660" s="37"/>
      <c r="Y660" s="43"/>
      <c r="Z660" s="37"/>
      <c r="AA660" s="37"/>
      <c r="AD660" s="37"/>
      <c r="AE660" s="37"/>
      <c r="AF660" s="37"/>
    </row>
    <row r="661" spans="1:32" x14ac:dyDescent="0.25">
      <c r="A661" s="37"/>
      <c r="B661" s="37"/>
      <c r="C661" s="37"/>
      <c r="F661" s="38"/>
      <c r="G661" s="38"/>
      <c r="H661" s="38"/>
      <c r="I661" s="37"/>
      <c r="J661" s="38"/>
      <c r="K661" s="38"/>
      <c r="L661" s="42"/>
      <c r="M661" s="42"/>
      <c r="N661" s="42"/>
      <c r="O661" s="42"/>
      <c r="R661" s="37"/>
      <c r="S661" s="37"/>
      <c r="T661" s="91"/>
      <c r="U661" s="91"/>
      <c r="V661" s="41"/>
      <c r="W661" s="37"/>
      <c r="X661" s="37"/>
      <c r="Y661" s="43"/>
      <c r="Z661" s="37"/>
      <c r="AA661" s="37"/>
      <c r="AD661" s="37"/>
      <c r="AE661" s="37"/>
      <c r="AF661" s="37"/>
    </row>
    <row r="662" spans="1:32" x14ac:dyDescent="0.25">
      <c r="A662" s="37"/>
      <c r="B662" s="37"/>
      <c r="C662" s="37"/>
      <c r="F662" s="38"/>
      <c r="G662" s="38"/>
      <c r="H662" s="38"/>
      <c r="I662" s="37"/>
      <c r="J662" s="38"/>
      <c r="K662" s="38"/>
      <c r="L662" s="42"/>
      <c r="M662" s="42"/>
      <c r="N662" s="42"/>
      <c r="O662" s="42"/>
      <c r="R662" s="37"/>
      <c r="S662" s="37"/>
      <c r="T662" s="91"/>
      <c r="U662" s="91"/>
      <c r="V662" s="41"/>
      <c r="W662" s="37"/>
      <c r="X662" s="37"/>
      <c r="Y662" s="43"/>
      <c r="Z662" s="37"/>
      <c r="AA662" s="37"/>
      <c r="AD662" s="37"/>
      <c r="AE662" s="37"/>
      <c r="AF662" s="37"/>
    </row>
    <row r="663" spans="1:32" x14ac:dyDescent="0.25">
      <c r="A663" s="37"/>
      <c r="B663" s="37"/>
      <c r="C663" s="37"/>
      <c r="F663" s="38"/>
      <c r="G663" s="38"/>
      <c r="H663" s="38"/>
      <c r="I663" s="37"/>
      <c r="J663" s="38"/>
      <c r="K663" s="38"/>
      <c r="L663" s="42"/>
      <c r="M663" s="42"/>
      <c r="N663" s="42"/>
      <c r="O663" s="42"/>
      <c r="R663" s="37"/>
      <c r="S663" s="37"/>
      <c r="T663" s="91"/>
      <c r="U663" s="91"/>
      <c r="V663" s="41"/>
      <c r="W663" s="37"/>
      <c r="X663" s="37"/>
      <c r="Y663" s="43"/>
      <c r="Z663" s="37"/>
      <c r="AA663" s="37"/>
      <c r="AD663" s="37"/>
      <c r="AE663" s="37"/>
      <c r="AF663" s="37"/>
    </row>
    <row r="664" spans="1:32" x14ac:dyDescent="0.25">
      <c r="A664" s="37"/>
      <c r="B664" s="37"/>
      <c r="C664" s="37"/>
      <c r="F664" s="38"/>
      <c r="G664" s="38"/>
      <c r="H664" s="38"/>
      <c r="I664" s="37"/>
      <c r="J664" s="38"/>
      <c r="K664" s="38"/>
      <c r="L664" s="42"/>
      <c r="M664" s="42"/>
      <c r="N664" s="42"/>
      <c r="O664" s="42"/>
      <c r="R664" s="37"/>
      <c r="S664" s="37"/>
      <c r="T664" s="91"/>
      <c r="U664" s="91"/>
      <c r="V664" s="41"/>
      <c r="W664" s="37"/>
      <c r="X664" s="37"/>
      <c r="Y664" s="43"/>
      <c r="Z664" s="37"/>
      <c r="AA664" s="37"/>
      <c r="AD664" s="37"/>
      <c r="AE664" s="37"/>
      <c r="AF664" s="37"/>
    </row>
    <row r="665" spans="1:32" x14ac:dyDescent="0.25">
      <c r="A665" s="37"/>
      <c r="B665" s="37"/>
      <c r="C665" s="37"/>
      <c r="F665" s="38"/>
      <c r="G665" s="38"/>
      <c r="H665" s="38"/>
      <c r="I665" s="37"/>
      <c r="J665" s="38"/>
      <c r="K665" s="38"/>
      <c r="L665" s="42"/>
      <c r="M665" s="42"/>
      <c r="N665" s="42"/>
      <c r="O665" s="42"/>
      <c r="R665" s="37"/>
      <c r="S665" s="37"/>
      <c r="T665" s="91"/>
      <c r="U665" s="91"/>
      <c r="V665" s="41"/>
      <c r="W665" s="37"/>
      <c r="X665" s="37"/>
      <c r="Y665" s="43"/>
      <c r="Z665" s="37"/>
      <c r="AA665" s="37"/>
      <c r="AD665" s="37"/>
      <c r="AE665" s="37"/>
      <c r="AF665" s="37"/>
    </row>
    <row r="666" spans="1:32" x14ac:dyDescent="0.25">
      <c r="A666" s="37"/>
      <c r="B666" s="37"/>
      <c r="C666" s="37"/>
      <c r="F666" s="38"/>
      <c r="G666" s="38"/>
      <c r="H666" s="38"/>
      <c r="I666" s="37"/>
      <c r="J666" s="38"/>
      <c r="K666" s="38"/>
      <c r="L666" s="42"/>
      <c r="M666" s="42"/>
      <c r="N666" s="42"/>
      <c r="O666" s="42"/>
      <c r="R666" s="37"/>
      <c r="S666" s="37"/>
      <c r="T666" s="91"/>
      <c r="U666" s="91"/>
      <c r="V666" s="41"/>
      <c r="W666" s="37"/>
      <c r="X666" s="37"/>
      <c r="Y666" s="43"/>
      <c r="Z666" s="37"/>
      <c r="AA666" s="37"/>
      <c r="AD666" s="37"/>
      <c r="AE666" s="37"/>
      <c r="AF666" s="37"/>
    </row>
    <row r="667" spans="1:32" x14ac:dyDescent="0.25">
      <c r="A667" s="37"/>
      <c r="B667" s="37"/>
      <c r="C667" s="37"/>
      <c r="F667" s="38"/>
      <c r="G667" s="38"/>
      <c r="H667" s="38"/>
      <c r="I667" s="37"/>
      <c r="J667" s="38"/>
      <c r="K667" s="38"/>
      <c r="L667" s="42"/>
      <c r="M667" s="42"/>
      <c r="N667" s="42"/>
      <c r="O667" s="42"/>
      <c r="R667" s="37"/>
      <c r="S667" s="37"/>
      <c r="T667" s="91"/>
      <c r="U667" s="91"/>
      <c r="V667" s="41"/>
      <c r="W667" s="37"/>
      <c r="X667" s="37"/>
      <c r="Y667" s="43"/>
      <c r="Z667" s="37"/>
      <c r="AA667" s="37"/>
      <c r="AD667" s="37"/>
      <c r="AE667" s="37"/>
      <c r="AF667" s="37"/>
    </row>
    <row r="668" spans="1:32" x14ac:dyDescent="0.25">
      <c r="A668" s="37"/>
      <c r="B668" s="37"/>
      <c r="C668" s="37"/>
      <c r="F668" s="38"/>
      <c r="G668" s="38"/>
      <c r="H668" s="38"/>
      <c r="I668" s="37"/>
      <c r="J668" s="38"/>
      <c r="K668" s="38"/>
      <c r="L668" s="42"/>
      <c r="M668" s="42"/>
      <c r="N668" s="42"/>
      <c r="O668" s="42"/>
      <c r="R668" s="37"/>
      <c r="S668" s="37"/>
      <c r="T668" s="91"/>
      <c r="U668" s="91"/>
      <c r="V668" s="41"/>
      <c r="W668" s="37"/>
      <c r="X668" s="37"/>
      <c r="Y668" s="43"/>
      <c r="Z668" s="37"/>
      <c r="AA668" s="37"/>
      <c r="AD668" s="37"/>
      <c r="AE668" s="37"/>
      <c r="AF668" s="37"/>
    </row>
    <row r="669" spans="1:32" x14ac:dyDescent="0.25">
      <c r="A669" s="37"/>
      <c r="B669" s="37"/>
      <c r="C669" s="37"/>
      <c r="F669" s="38"/>
      <c r="G669" s="38"/>
      <c r="H669" s="38"/>
      <c r="I669" s="37"/>
      <c r="J669" s="38"/>
      <c r="K669" s="38"/>
      <c r="L669" s="42"/>
      <c r="M669" s="42"/>
      <c r="N669" s="42"/>
      <c r="O669" s="42"/>
      <c r="R669" s="37"/>
      <c r="S669" s="37"/>
      <c r="T669" s="91"/>
      <c r="U669" s="91"/>
      <c r="V669" s="41"/>
      <c r="W669" s="37"/>
      <c r="X669" s="37"/>
      <c r="Y669" s="43"/>
      <c r="Z669" s="37"/>
      <c r="AA669" s="37"/>
      <c r="AD669" s="37"/>
      <c r="AE669" s="37"/>
      <c r="AF669" s="37"/>
    </row>
    <row r="670" spans="1:32" x14ac:dyDescent="0.25">
      <c r="A670" s="37"/>
      <c r="B670" s="37"/>
      <c r="C670" s="37"/>
      <c r="F670" s="38"/>
      <c r="G670" s="38"/>
      <c r="H670" s="38"/>
      <c r="I670" s="37"/>
      <c r="J670" s="38"/>
      <c r="K670" s="38"/>
      <c r="L670" s="42"/>
      <c r="M670" s="42"/>
      <c r="N670" s="42"/>
      <c r="O670" s="42"/>
      <c r="R670" s="37"/>
      <c r="S670" s="37"/>
      <c r="T670" s="91"/>
      <c r="U670" s="91"/>
      <c r="V670" s="41"/>
      <c r="W670" s="37"/>
      <c r="X670" s="37"/>
      <c r="Y670" s="43"/>
      <c r="Z670" s="37"/>
      <c r="AA670" s="37"/>
      <c r="AD670" s="37"/>
      <c r="AE670" s="37"/>
      <c r="AF670" s="37"/>
    </row>
    <row r="671" spans="1:32" x14ac:dyDescent="0.25">
      <c r="A671" s="37"/>
      <c r="B671" s="37"/>
      <c r="C671" s="37"/>
      <c r="F671" s="38"/>
      <c r="G671" s="38"/>
      <c r="H671" s="38"/>
      <c r="I671" s="37"/>
      <c r="J671" s="38"/>
      <c r="K671" s="38"/>
      <c r="L671" s="42"/>
      <c r="M671" s="42"/>
      <c r="N671" s="42"/>
      <c r="O671" s="42"/>
      <c r="R671" s="37"/>
      <c r="S671" s="37"/>
      <c r="T671" s="91"/>
      <c r="U671" s="91"/>
      <c r="V671" s="41"/>
      <c r="W671" s="37"/>
      <c r="X671" s="37"/>
      <c r="Y671" s="43"/>
      <c r="Z671" s="37"/>
      <c r="AA671" s="37"/>
      <c r="AD671" s="37"/>
      <c r="AE671" s="37"/>
      <c r="AF671" s="37"/>
    </row>
    <row r="672" spans="1:32" x14ac:dyDescent="0.25">
      <c r="A672" s="37"/>
      <c r="B672" s="37"/>
      <c r="C672" s="37"/>
      <c r="F672" s="38"/>
      <c r="G672" s="38"/>
      <c r="H672" s="38"/>
      <c r="I672" s="37"/>
      <c r="J672" s="38"/>
      <c r="K672" s="38"/>
      <c r="L672" s="42"/>
      <c r="M672" s="42"/>
      <c r="N672" s="42"/>
      <c r="O672" s="42"/>
      <c r="R672" s="37"/>
      <c r="S672" s="37"/>
      <c r="T672" s="91"/>
      <c r="U672" s="91"/>
      <c r="V672" s="41"/>
      <c r="W672" s="37"/>
      <c r="X672" s="37"/>
      <c r="Y672" s="43"/>
      <c r="Z672" s="37"/>
      <c r="AA672" s="37"/>
      <c r="AD672" s="37"/>
      <c r="AE672" s="37"/>
      <c r="AF672" s="37"/>
    </row>
    <row r="673" spans="1:32" x14ac:dyDescent="0.25">
      <c r="A673" s="37"/>
      <c r="B673" s="37"/>
      <c r="C673" s="37"/>
      <c r="F673" s="38"/>
      <c r="G673" s="38"/>
      <c r="H673" s="38"/>
      <c r="I673" s="37"/>
      <c r="J673" s="38"/>
      <c r="K673" s="38"/>
      <c r="L673" s="42"/>
      <c r="M673" s="42"/>
      <c r="N673" s="42"/>
      <c r="O673" s="42"/>
      <c r="R673" s="37"/>
      <c r="S673" s="37"/>
      <c r="T673" s="91"/>
      <c r="U673" s="91"/>
      <c r="V673" s="41"/>
      <c r="W673" s="37"/>
      <c r="X673" s="37"/>
      <c r="Y673" s="43"/>
      <c r="Z673" s="37"/>
      <c r="AA673" s="37"/>
      <c r="AD673" s="37"/>
      <c r="AE673" s="37"/>
      <c r="AF673" s="37"/>
    </row>
    <row r="674" spans="1:32" x14ac:dyDescent="0.25">
      <c r="A674" s="37"/>
      <c r="B674" s="37"/>
      <c r="C674" s="37"/>
      <c r="F674" s="38"/>
      <c r="G674" s="38"/>
      <c r="H674" s="38"/>
      <c r="I674" s="37"/>
      <c r="J674" s="38"/>
      <c r="K674" s="38"/>
      <c r="L674" s="42"/>
      <c r="M674" s="42"/>
      <c r="N674" s="42"/>
      <c r="O674" s="42"/>
      <c r="R674" s="37"/>
      <c r="S674" s="37"/>
      <c r="T674" s="91"/>
      <c r="U674" s="91"/>
      <c r="V674" s="41"/>
      <c r="W674" s="37"/>
      <c r="X674" s="37"/>
      <c r="Y674" s="43"/>
      <c r="Z674" s="37"/>
      <c r="AA674" s="37"/>
      <c r="AD674" s="37"/>
      <c r="AE674" s="37"/>
      <c r="AF674" s="37"/>
    </row>
    <row r="675" spans="1:32" x14ac:dyDescent="0.25">
      <c r="A675" s="37"/>
      <c r="B675" s="37"/>
      <c r="C675" s="37"/>
      <c r="F675" s="38"/>
      <c r="G675" s="38"/>
      <c r="H675" s="38"/>
      <c r="I675" s="37"/>
      <c r="J675" s="38"/>
      <c r="K675" s="38"/>
      <c r="L675" s="42"/>
      <c r="M675" s="42"/>
      <c r="N675" s="42"/>
      <c r="O675" s="42"/>
      <c r="R675" s="37"/>
      <c r="S675" s="37"/>
      <c r="T675" s="91"/>
      <c r="U675" s="91"/>
      <c r="V675" s="41"/>
      <c r="W675" s="37"/>
      <c r="X675" s="37"/>
      <c r="Y675" s="43"/>
      <c r="Z675" s="37"/>
      <c r="AA675" s="37"/>
      <c r="AD675" s="37"/>
      <c r="AE675" s="37"/>
      <c r="AF675" s="37"/>
    </row>
    <row r="676" spans="1:32" x14ac:dyDescent="0.25">
      <c r="A676" s="37"/>
      <c r="B676" s="37"/>
      <c r="C676" s="37"/>
      <c r="F676" s="38"/>
      <c r="G676" s="38"/>
      <c r="H676" s="38"/>
      <c r="I676" s="37"/>
      <c r="J676" s="38"/>
      <c r="K676" s="38"/>
      <c r="L676" s="42"/>
      <c r="M676" s="42"/>
      <c r="N676" s="42"/>
      <c r="O676" s="42"/>
      <c r="R676" s="37"/>
      <c r="S676" s="37"/>
      <c r="T676" s="91"/>
      <c r="U676" s="91"/>
      <c r="V676" s="41"/>
      <c r="W676" s="37"/>
      <c r="X676" s="37"/>
      <c r="Y676" s="43"/>
      <c r="Z676" s="37"/>
      <c r="AA676" s="37"/>
      <c r="AD676" s="37"/>
      <c r="AE676" s="37"/>
      <c r="AF676" s="37"/>
    </row>
    <row r="677" spans="1:32" x14ac:dyDescent="0.25">
      <c r="A677" s="37"/>
      <c r="B677" s="37"/>
      <c r="C677" s="37"/>
      <c r="F677" s="38"/>
      <c r="G677" s="38"/>
      <c r="H677" s="38"/>
      <c r="I677" s="37"/>
      <c r="J677" s="38"/>
      <c r="K677" s="38"/>
      <c r="L677" s="42"/>
      <c r="M677" s="42"/>
      <c r="N677" s="42"/>
      <c r="O677" s="42"/>
      <c r="R677" s="37"/>
      <c r="S677" s="37"/>
      <c r="T677" s="91"/>
      <c r="U677" s="91"/>
      <c r="V677" s="41"/>
      <c r="W677" s="37"/>
      <c r="X677" s="37"/>
      <c r="Y677" s="43"/>
      <c r="Z677" s="37"/>
      <c r="AA677" s="37"/>
      <c r="AD677" s="37"/>
      <c r="AE677" s="37"/>
      <c r="AF677" s="37"/>
    </row>
    <row r="678" spans="1:32" x14ac:dyDescent="0.25">
      <c r="A678" s="37"/>
      <c r="B678" s="37"/>
      <c r="C678" s="37"/>
      <c r="F678" s="38"/>
      <c r="G678" s="38"/>
      <c r="H678" s="38"/>
      <c r="I678" s="37"/>
      <c r="J678" s="38"/>
      <c r="K678" s="38"/>
      <c r="L678" s="42"/>
      <c r="M678" s="42"/>
      <c r="N678" s="42"/>
      <c r="O678" s="42"/>
      <c r="R678" s="37"/>
      <c r="S678" s="37"/>
      <c r="T678" s="91"/>
      <c r="U678" s="91"/>
      <c r="V678" s="41"/>
      <c r="W678" s="37"/>
      <c r="X678" s="37"/>
      <c r="Y678" s="43"/>
      <c r="Z678" s="37"/>
      <c r="AA678" s="37"/>
      <c r="AD678" s="37"/>
      <c r="AE678" s="37"/>
      <c r="AF678" s="37"/>
    </row>
    <row r="679" spans="1:32" x14ac:dyDescent="0.25">
      <c r="A679" s="37"/>
      <c r="B679" s="37"/>
      <c r="C679" s="37"/>
      <c r="F679" s="38"/>
      <c r="G679" s="38"/>
      <c r="H679" s="38"/>
      <c r="I679" s="37"/>
      <c r="J679" s="38"/>
      <c r="K679" s="38"/>
      <c r="L679" s="42"/>
      <c r="M679" s="42"/>
      <c r="N679" s="42"/>
      <c r="O679" s="42"/>
      <c r="R679" s="37"/>
      <c r="S679" s="37"/>
      <c r="T679" s="91"/>
      <c r="U679" s="91"/>
      <c r="V679" s="41"/>
      <c r="W679" s="37"/>
      <c r="X679" s="37"/>
      <c r="Y679" s="43"/>
      <c r="Z679" s="37"/>
      <c r="AA679" s="37"/>
      <c r="AD679" s="37"/>
      <c r="AE679" s="37"/>
      <c r="AF679" s="37"/>
    </row>
    <row r="680" spans="1:32" x14ac:dyDescent="0.25">
      <c r="A680" s="37"/>
      <c r="B680" s="37"/>
      <c r="C680" s="37"/>
      <c r="F680" s="38"/>
      <c r="G680" s="38"/>
      <c r="H680" s="38"/>
      <c r="I680" s="37"/>
      <c r="J680" s="38"/>
      <c r="K680" s="38"/>
      <c r="L680" s="42"/>
      <c r="M680" s="42"/>
      <c r="N680" s="42"/>
      <c r="O680" s="42"/>
      <c r="R680" s="37"/>
      <c r="S680" s="37"/>
      <c r="T680" s="91"/>
      <c r="U680" s="91"/>
      <c r="V680" s="41"/>
      <c r="W680" s="37"/>
      <c r="X680" s="37"/>
      <c r="Y680" s="43"/>
      <c r="Z680" s="37"/>
      <c r="AA680" s="37"/>
      <c r="AD680" s="37"/>
      <c r="AE680" s="37"/>
      <c r="AF680" s="37"/>
    </row>
    <row r="681" spans="1:32" x14ac:dyDescent="0.25">
      <c r="A681" s="37"/>
      <c r="B681" s="37"/>
      <c r="C681" s="37"/>
      <c r="F681" s="38"/>
      <c r="G681" s="38"/>
      <c r="H681" s="38"/>
      <c r="I681" s="37"/>
      <c r="J681" s="38"/>
      <c r="K681" s="38"/>
      <c r="L681" s="42"/>
      <c r="M681" s="42"/>
      <c r="N681" s="42"/>
      <c r="O681" s="42"/>
      <c r="R681" s="37"/>
      <c r="S681" s="37"/>
      <c r="T681" s="91"/>
      <c r="U681" s="91"/>
      <c r="V681" s="41"/>
      <c r="W681" s="37"/>
      <c r="X681" s="37"/>
      <c r="Y681" s="43"/>
      <c r="Z681" s="37"/>
      <c r="AA681" s="37"/>
      <c r="AD681" s="37"/>
      <c r="AE681" s="37"/>
      <c r="AF681" s="37"/>
    </row>
    <row r="682" spans="1:32" x14ac:dyDescent="0.25">
      <c r="A682" s="37"/>
      <c r="B682" s="37"/>
      <c r="C682" s="37"/>
      <c r="F682" s="38"/>
      <c r="G682" s="38"/>
      <c r="H682" s="38"/>
      <c r="I682" s="37"/>
      <c r="J682" s="38"/>
      <c r="K682" s="38"/>
      <c r="L682" s="42"/>
      <c r="M682" s="42"/>
      <c r="N682" s="42"/>
      <c r="O682" s="42"/>
      <c r="R682" s="37"/>
      <c r="S682" s="37"/>
      <c r="T682" s="91"/>
      <c r="U682" s="91"/>
      <c r="V682" s="41"/>
      <c r="W682" s="37"/>
      <c r="X682" s="37"/>
      <c r="Y682" s="43"/>
      <c r="Z682" s="37"/>
      <c r="AA682" s="37"/>
      <c r="AD682" s="37"/>
      <c r="AE682" s="37"/>
      <c r="AF682" s="37"/>
    </row>
    <row r="683" spans="1:32" x14ac:dyDescent="0.25">
      <c r="A683" s="37"/>
      <c r="B683" s="37"/>
      <c r="C683" s="37"/>
      <c r="F683" s="38"/>
      <c r="G683" s="38"/>
      <c r="H683" s="38"/>
      <c r="I683" s="37"/>
      <c r="J683" s="38"/>
      <c r="K683" s="38"/>
      <c r="L683" s="42"/>
      <c r="M683" s="42"/>
      <c r="N683" s="42"/>
      <c r="O683" s="42"/>
      <c r="R683" s="37"/>
      <c r="S683" s="37"/>
      <c r="T683" s="91"/>
      <c r="U683" s="91"/>
      <c r="V683" s="41"/>
      <c r="W683" s="37"/>
      <c r="X683" s="37"/>
      <c r="Y683" s="43"/>
      <c r="Z683" s="37"/>
      <c r="AA683" s="37"/>
      <c r="AD683" s="37"/>
      <c r="AE683" s="37"/>
      <c r="AF683" s="37"/>
    </row>
    <row r="684" spans="1:32" x14ac:dyDescent="0.25">
      <c r="A684" s="37"/>
      <c r="B684" s="37"/>
      <c r="C684" s="37"/>
      <c r="F684" s="38"/>
      <c r="G684" s="38"/>
      <c r="H684" s="38"/>
      <c r="I684" s="37"/>
      <c r="J684" s="38"/>
      <c r="K684" s="38"/>
      <c r="L684" s="42"/>
      <c r="M684" s="42"/>
      <c r="N684" s="42"/>
      <c r="O684" s="42"/>
      <c r="R684" s="37"/>
      <c r="S684" s="37"/>
      <c r="T684" s="91"/>
      <c r="U684" s="91"/>
      <c r="V684" s="41"/>
      <c r="W684" s="37"/>
      <c r="X684" s="37"/>
      <c r="Y684" s="43"/>
      <c r="Z684" s="37"/>
      <c r="AA684" s="37"/>
      <c r="AD684" s="37"/>
      <c r="AE684" s="37"/>
      <c r="AF684" s="37"/>
    </row>
    <row r="685" spans="1:32" x14ac:dyDescent="0.25">
      <c r="A685" s="37"/>
      <c r="B685" s="37"/>
      <c r="C685" s="37"/>
      <c r="F685" s="38"/>
      <c r="G685" s="38"/>
      <c r="H685" s="38"/>
      <c r="I685" s="37"/>
      <c r="J685" s="38"/>
      <c r="K685" s="38"/>
      <c r="L685" s="42"/>
      <c r="M685" s="42"/>
      <c r="N685" s="42"/>
      <c r="O685" s="42"/>
      <c r="R685" s="37"/>
      <c r="S685" s="37"/>
      <c r="T685" s="91"/>
      <c r="U685" s="91"/>
      <c r="V685" s="41"/>
      <c r="W685" s="37"/>
      <c r="X685" s="37"/>
      <c r="Y685" s="43"/>
      <c r="Z685" s="37"/>
      <c r="AA685" s="37"/>
      <c r="AD685" s="37"/>
      <c r="AE685" s="37"/>
      <c r="AF685" s="37"/>
    </row>
    <row r="686" spans="1:32" x14ac:dyDescent="0.25">
      <c r="A686" s="37"/>
      <c r="B686" s="37"/>
      <c r="C686" s="37"/>
      <c r="F686" s="38"/>
      <c r="G686" s="38"/>
      <c r="H686" s="38"/>
      <c r="I686" s="37"/>
      <c r="J686" s="38"/>
      <c r="K686" s="38"/>
      <c r="L686" s="42"/>
      <c r="M686" s="42"/>
      <c r="N686" s="42"/>
      <c r="O686" s="42"/>
      <c r="R686" s="37"/>
      <c r="S686" s="37"/>
      <c r="T686" s="91"/>
      <c r="U686" s="91"/>
      <c r="V686" s="41"/>
      <c r="W686" s="37"/>
      <c r="X686" s="37"/>
      <c r="Y686" s="43"/>
      <c r="Z686" s="37"/>
      <c r="AA686" s="37"/>
      <c r="AD686" s="37"/>
      <c r="AE686" s="37"/>
      <c r="AF686" s="37"/>
    </row>
    <row r="687" spans="1:32" x14ac:dyDescent="0.25">
      <c r="A687" s="37"/>
      <c r="B687" s="37"/>
      <c r="C687" s="37"/>
      <c r="F687" s="38"/>
      <c r="G687" s="38"/>
      <c r="H687" s="38"/>
      <c r="I687" s="37"/>
      <c r="J687" s="38"/>
      <c r="K687" s="38"/>
      <c r="L687" s="42"/>
      <c r="M687" s="42"/>
      <c r="N687" s="42"/>
      <c r="O687" s="42"/>
      <c r="R687" s="37"/>
      <c r="S687" s="37"/>
      <c r="T687" s="91"/>
      <c r="U687" s="91"/>
      <c r="V687" s="41"/>
      <c r="W687" s="37"/>
      <c r="X687" s="37"/>
      <c r="Y687" s="43"/>
      <c r="Z687" s="37"/>
      <c r="AA687" s="37"/>
      <c r="AD687" s="37"/>
      <c r="AE687" s="37"/>
      <c r="AF687" s="37"/>
    </row>
    <row r="688" spans="1:32" x14ac:dyDescent="0.25">
      <c r="A688" s="37"/>
      <c r="B688" s="37"/>
      <c r="C688" s="37"/>
      <c r="F688" s="38"/>
      <c r="G688" s="38"/>
      <c r="H688" s="38"/>
      <c r="I688" s="37"/>
      <c r="J688" s="38"/>
      <c r="K688" s="38"/>
      <c r="L688" s="42"/>
      <c r="M688" s="42"/>
      <c r="N688" s="42"/>
      <c r="O688" s="42"/>
      <c r="R688" s="37"/>
      <c r="S688" s="37"/>
      <c r="T688" s="91"/>
      <c r="U688" s="91"/>
      <c r="V688" s="41"/>
      <c r="W688" s="37"/>
      <c r="X688" s="37"/>
      <c r="Y688" s="43"/>
      <c r="Z688" s="37"/>
      <c r="AA688" s="37"/>
      <c r="AD688" s="37"/>
      <c r="AE688" s="37"/>
      <c r="AF688" s="37"/>
    </row>
    <row r="689" spans="1:32" x14ac:dyDescent="0.25">
      <c r="A689" s="37"/>
      <c r="B689" s="37"/>
      <c r="C689" s="37"/>
      <c r="F689" s="38"/>
      <c r="G689" s="38"/>
      <c r="H689" s="38"/>
      <c r="I689" s="37"/>
      <c r="J689" s="38"/>
      <c r="K689" s="38"/>
      <c r="L689" s="42"/>
      <c r="M689" s="42"/>
      <c r="N689" s="42"/>
      <c r="O689" s="42"/>
      <c r="R689" s="37"/>
      <c r="S689" s="37"/>
      <c r="T689" s="91"/>
      <c r="U689" s="91"/>
      <c r="V689" s="41"/>
      <c r="W689" s="37"/>
      <c r="X689" s="37"/>
      <c r="Y689" s="43"/>
      <c r="Z689" s="37"/>
      <c r="AA689" s="37"/>
      <c r="AD689" s="37"/>
      <c r="AE689" s="37"/>
      <c r="AF689" s="37"/>
    </row>
    <row r="690" spans="1:32" x14ac:dyDescent="0.25">
      <c r="A690" s="37"/>
      <c r="B690" s="37"/>
      <c r="C690" s="37"/>
      <c r="F690" s="38"/>
      <c r="G690" s="38"/>
      <c r="H690" s="38"/>
      <c r="I690" s="37"/>
      <c r="J690" s="38"/>
      <c r="K690" s="38"/>
      <c r="L690" s="42"/>
      <c r="M690" s="42"/>
      <c r="N690" s="42"/>
      <c r="O690" s="42"/>
      <c r="R690" s="37"/>
      <c r="S690" s="37"/>
      <c r="T690" s="91"/>
      <c r="U690" s="91"/>
      <c r="V690" s="41"/>
      <c r="W690" s="37"/>
      <c r="X690" s="37"/>
      <c r="Y690" s="43"/>
      <c r="Z690" s="37"/>
      <c r="AA690" s="37"/>
      <c r="AD690" s="37"/>
      <c r="AE690" s="37"/>
      <c r="AF690" s="37"/>
    </row>
    <row r="691" spans="1:32" x14ac:dyDescent="0.25">
      <c r="A691" s="37"/>
      <c r="B691" s="37"/>
      <c r="C691" s="37"/>
      <c r="F691" s="38"/>
      <c r="G691" s="38"/>
      <c r="H691" s="38"/>
      <c r="I691" s="37"/>
      <c r="J691" s="38"/>
      <c r="K691" s="38"/>
      <c r="L691" s="42"/>
      <c r="M691" s="42"/>
      <c r="N691" s="42"/>
      <c r="O691" s="42"/>
      <c r="R691" s="37"/>
      <c r="S691" s="37"/>
      <c r="T691" s="91"/>
      <c r="U691" s="91"/>
      <c r="V691" s="41"/>
      <c r="W691" s="37"/>
      <c r="X691" s="37"/>
      <c r="Y691" s="43"/>
      <c r="Z691" s="37"/>
      <c r="AA691" s="37"/>
      <c r="AD691" s="37"/>
      <c r="AE691" s="37"/>
      <c r="AF691" s="37"/>
    </row>
    <row r="692" spans="1:32" x14ac:dyDescent="0.25">
      <c r="A692" s="37"/>
      <c r="B692" s="37"/>
      <c r="C692" s="37"/>
      <c r="F692" s="38"/>
      <c r="G692" s="38"/>
      <c r="H692" s="38"/>
      <c r="I692" s="37"/>
      <c r="J692" s="38"/>
      <c r="K692" s="38"/>
      <c r="L692" s="42"/>
      <c r="M692" s="42"/>
      <c r="N692" s="42"/>
      <c r="O692" s="42"/>
      <c r="R692" s="37"/>
      <c r="S692" s="37"/>
      <c r="T692" s="91"/>
      <c r="U692" s="91"/>
      <c r="V692" s="41"/>
      <c r="W692" s="37"/>
      <c r="X692" s="37"/>
      <c r="Y692" s="43"/>
      <c r="Z692" s="37"/>
      <c r="AA692" s="37"/>
      <c r="AD692" s="37"/>
      <c r="AE692" s="37"/>
      <c r="AF692" s="37"/>
    </row>
    <row r="693" spans="1:32" x14ac:dyDescent="0.25">
      <c r="A693" s="37"/>
      <c r="B693" s="37"/>
      <c r="C693" s="37"/>
      <c r="F693" s="38"/>
      <c r="G693" s="38"/>
      <c r="H693" s="38"/>
      <c r="I693" s="37"/>
      <c r="J693" s="38"/>
      <c r="K693" s="38"/>
      <c r="L693" s="42"/>
      <c r="M693" s="42"/>
      <c r="N693" s="42"/>
      <c r="O693" s="42"/>
      <c r="R693" s="37"/>
      <c r="S693" s="37"/>
      <c r="T693" s="91"/>
      <c r="U693" s="91"/>
      <c r="V693" s="41"/>
      <c r="W693" s="37"/>
      <c r="X693" s="37"/>
      <c r="Y693" s="43"/>
      <c r="Z693" s="37"/>
      <c r="AA693" s="37"/>
      <c r="AD693" s="37"/>
      <c r="AE693" s="37"/>
      <c r="AF693" s="37"/>
    </row>
    <row r="694" spans="1:32" x14ac:dyDescent="0.25">
      <c r="A694" s="37"/>
      <c r="B694" s="37"/>
      <c r="C694" s="37"/>
      <c r="F694" s="38"/>
      <c r="G694" s="38"/>
      <c r="H694" s="38"/>
      <c r="I694" s="37"/>
      <c r="J694" s="38"/>
      <c r="K694" s="38"/>
      <c r="L694" s="42"/>
      <c r="M694" s="42"/>
      <c r="N694" s="42"/>
      <c r="O694" s="42"/>
      <c r="R694" s="37"/>
      <c r="S694" s="37"/>
      <c r="T694" s="91"/>
      <c r="U694" s="91"/>
      <c r="V694" s="41"/>
      <c r="W694" s="37"/>
      <c r="X694" s="37"/>
      <c r="Y694" s="43"/>
      <c r="Z694" s="37"/>
      <c r="AA694" s="37"/>
      <c r="AD694" s="37"/>
      <c r="AE694" s="37"/>
      <c r="AF694" s="37"/>
    </row>
    <row r="695" spans="1:32" x14ac:dyDescent="0.25">
      <c r="A695" s="37"/>
      <c r="B695" s="37"/>
      <c r="C695" s="37"/>
      <c r="F695" s="38"/>
      <c r="G695" s="38"/>
      <c r="H695" s="38"/>
      <c r="I695" s="37"/>
      <c r="J695" s="38"/>
      <c r="K695" s="38"/>
      <c r="L695" s="42"/>
      <c r="M695" s="42"/>
      <c r="N695" s="42"/>
      <c r="O695" s="42"/>
      <c r="R695" s="37"/>
      <c r="S695" s="37"/>
      <c r="T695" s="91"/>
      <c r="U695" s="91"/>
      <c r="V695" s="41"/>
      <c r="W695" s="37"/>
      <c r="X695" s="37"/>
      <c r="Y695" s="43"/>
      <c r="Z695" s="37"/>
      <c r="AA695" s="37"/>
      <c r="AD695" s="37"/>
      <c r="AE695" s="37"/>
      <c r="AF695" s="37"/>
    </row>
    <row r="696" spans="1:32" x14ac:dyDescent="0.25">
      <c r="A696" s="37"/>
      <c r="B696" s="37"/>
      <c r="C696" s="37"/>
      <c r="F696" s="38"/>
      <c r="G696" s="38"/>
      <c r="H696" s="38"/>
      <c r="I696" s="37"/>
      <c r="J696" s="38"/>
      <c r="K696" s="38"/>
      <c r="L696" s="42"/>
      <c r="M696" s="42"/>
      <c r="N696" s="42"/>
      <c r="O696" s="42"/>
      <c r="R696" s="37"/>
      <c r="S696" s="37"/>
      <c r="T696" s="91"/>
      <c r="U696" s="91"/>
      <c r="V696" s="41"/>
      <c r="W696" s="37"/>
      <c r="X696" s="37"/>
      <c r="Y696" s="43"/>
      <c r="Z696" s="37"/>
      <c r="AA696" s="37"/>
      <c r="AD696" s="37"/>
      <c r="AE696" s="37"/>
      <c r="AF696" s="37"/>
    </row>
    <row r="697" spans="1:32" x14ac:dyDescent="0.25">
      <c r="A697" s="37"/>
      <c r="B697" s="37"/>
      <c r="C697" s="37"/>
      <c r="F697" s="38"/>
      <c r="G697" s="38"/>
      <c r="H697" s="38"/>
      <c r="I697" s="37"/>
      <c r="J697" s="38"/>
      <c r="K697" s="38"/>
      <c r="L697" s="42"/>
      <c r="M697" s="42"/>
      <c r="N697" s="42"/>
      <c r="O697" s="42"/>
      <c r="R697" s="37"/>
      <c r="S697" s="37"/>
      <c r="T697" s="91"/>
      <c r="U697" s="91"/>
      <c r="V697" s="41"/>
      <c r="W697" s="37"/>
      <c r="X697" s="37"/>
      <c r="Y697" s="43"/>
      <c r="Z697" s="37"/>
      <c r="AA697" s="37"/>
      <c r="AD697" s="37"/>
      <c r="AE697" s="37"/>
      <c r="AF697" s="37"/>
    </row>
    <row r="698" spans="1:32" x14ac:dyDescent="0.25">
      <c r="A698" s="37"/>
      <c r="B698" s="37"/>
      <c r="C698" s="37"/>
      <c r="F698" s="38"/>
      <c r="G698" s="38"/>
      <c r="H698" s="38"/>
      <c r="I698" s="37"/>
      <c r="J698" s="38"/>
      <c r="K698" s="38"/>
      <c r="L698" s="42"/>
      <c r="M698" s="42"/>
      <c r="N698" s="42"/>
      <c r="O698" s="42"/>
      <c r="R698" s="37"/>
      <c r="S698" s="37"/>
      <c r="T698" s="91"/>
      <c r="U698" s="91"/>
      <c r="V698" s="41"/>
      <c r="W698" s="37"/>
      <c r="X698" s="37"/>
      <c r="Y698" s="43"/>
      <c r="Z698" s="37"/>
      <c r="AA698" s="37"/>
      <c r="AD698" s="37"/>
      <c r="AE698" s="37"/>
      <c r="AF698" s="37"/>
    </row>
    <row r="699" spans="1:32" x14ac:dyDescent="0.25">
      <c r="A699" s="37"/>
      <c r="B699" s="37"/>
      <c r="C699" s="37"/>
      <c r="F699" s="38"/>
      <c r="G699" s="38"/>
      <c r="H699" s="38"/>
      <c r="I699" s="37"/>
      <c r="J699" s="38"/>
      <c r="K699" s="38"/>
      <c r="L699" s="42"/>
      <c r="M699" s="42"/>
      <c r="N699" s="42"/>
      <c r="O699" s="42"/>
      <c r="R699" s="37"/>
      <c r="S699" s="37"/>
      <c r="T699" s="91"/>
      <c r="U699" s="91"/>
      <c r="V699" s="41"/>
      <c r="W699" s="37"/>
      <c r="X699" s="37"/>
      <c r="Y699" s="43"/>
      <c r="Z699" s="37"/>
      <c r="AA699" s="37"/>
      <c r="AD699" s="37"/>
      <c r="AE699" s="37"/>
      <c r="AF699" s="37"/>
    </row>
    <row r="700" spans="1:32" x14ac:dyDescent="0.25">
      <c r="A700" s="37"/>
      <c r="B700" s="37"/>
      <c r="C700" s="37"/>
      <c r="F700" s="38"/>
      <c r="G700" s="38"/>
      <c r="H700" s="38"/>
      <c r="I700" s="37"/>
      <c r="J700" s="38"/>
      <c r="K700" s="38"/>
      <c r="L700" s="42"/>
      <c r="M700" s="42"/>
      <c r="N700" s="42"/>
      <c r="O700" s="42"/>
      <c r="R700" s="37"/>
      <c r="S700" s="37"/>
      <c r="T700" s="91"/>
      <c r="U700" s="91"/>
      <c r="V700" s="41"/>
      <c r="W700" s="37"/>
      <c r="X700" s="37"/>
      <c r="Y700" s="43"/>
      <c r="Z700" s="37"/>
      <c r="AA700" s="37"/>
      <c r="AD700" s="37"/>
      <c r="AE700" s="37"/>
      <c r="AF700" s="37"/>
    </row>
    <row r="701" spans="1:32" x14ac:dyDescent="0.25">
      <c r="A701" s="37"/>
      <c r="B701" s="37"/>
      <c r="C701" s="37"/>
      <c r="F701" s="38"/>
      <c r="G701" s="38"/>
      <c r="H701" s="38"/>
      <c r="I701" s="37"/>
      <c r="J701" s="38"/>
      <c r="K701" s="38"/>
      <c r="L701" s="42"/>
      <c r="M701" s="42"/>
      <c r="N701" s="42"/>
      <c r="O701" s="42"/>
      <c r="R701" s="37"/>
      <c r="S701" s="37"/>
      <c r="T701" s="91"/>
      <c r="U701" s="91"/>
      <c r="V701" s="41"/>
      <c r="W701" s="37"/>
      <c r="X701" s="37"/>
      <c r="Y701" s="43"/>
      <c r="Z701" s="37"/>
      <c r="AA701" s="37"/>
      <c r="AD701" s="37"/>
      <c r="AE701" s="37"/>
      <c r="AF701" s="37"/>
    </row>
    <row r="702" spans="1:32" x14ac:dyDescent="0.25">
      <c r="A702" s="37"/>
      <c r="B702" s="37"/>
      <c r="C702" s="37"/>
      <c r="F702" s="38"/>
      <c r="G702" s="38"/>
      <c r="H702" s="38"/>
      <c r="I702" s="37"/>
      <c r="J702" s="38"/>
      <c r="K702" s="38"/>
      <c r="L702" s="42"/>
      <c r="M702" s="42"/>
      <c r="N702" s="42"/>
      <c r="O702" s="42"/>
      <c r="R702" s="37"/>
      <c r="S702" s="37"/>
      <c r="T702" s="91"/>
      <c r="U702" s="91"/>
      <c r="V702" s="41"/>
      <c r="W702" s="37"/>
      <c r="X702" s="37"/>
      <c r="Y702" s="43"/>
      <c r="Z702" s="37"/>
      <c r="AA702" s="37"/>
      <c r="AD702" s="37"/>
      <c r="AE702" s="37"/>
      <c r="AF702" s="37"/>
    </row>
    <row r="703" spans="1:32" x14ac:dyDescent="0.25">
      <c r="A703" s="37"/>
      <c r="B703" s="37"/>
      <c r="C703" s="37"/>
      <c r="F703" s="38"/>
      <c r="G703" s="38"/>
      <c r="H703" s="38"/>
      <c r="I703" s="37"/>
      <c r="J703" s="38"/>
      <c r="K703" s="38"/>
      <c r="L703" s="42"/>
      <c r="M703" s="42"/>
      <c r="N703" s="42"/>
      <c r="O703" s="42"/>
      <c r="R703" s="37"/>
      <c r="S703" s="37"/>
      <c r="T703" s="91"/>
      <c r="U703" s="91"/>
      <c r="V703" s="41"/>
      <c r="W703" s="37"/>
      <c r="X703" s="37"/>
      <c r="Y703" s="43"/>
      <c r="Z703" s="37"/>
      <c r="AA703" s="37"/>
      <c r="AD703" s="37"/>
      <c r="AE703" s="37"/>
      <c r="AF703" s="37"/>
    </row>
    <row r="704" spans="1:32" x14ac:dyDescent="0.25">
      <c r="A704" s="37"/>
      <c r="B704" s="37"/>
      <c r="C704" s="37"/>
      <c r="F704" s="38"/>
      <c r="G704" s="38"/>
      <c r="H704" s="38"/>
      <c r="I704" s="37"/>
      <c r="J704" s="38"/>
      <c r="K704" s="38"/>
      <c r="L704" s="42"/>
      <c r="M704" s="42"/>
      <c r="N704" s="42"/>
      <c r="O704" s="42"/>
      <c r="R704" s="37"/>
      <c r="S704" s="37"/>
      <c r="T704" s="91"/>
      <c r="U704" s="91"/>
      <c r="V704" s="41"/>
      <c r="W704" s="37"/>
      <c r="X704" s="37"/>
      <c r="Y704" s="43"/>
      <c r="Z704" s="37"/>
      <c r="AA704" s="37"/>
      <c r="AD704" s="37"/>
      <c r="AE704" s="37"/>
      <c r="AF704" s="37"/>
    </row>
    <row r="705" spans="1:32" x14ac:dyDescent="0.25">
      <c r="A705" s="37"/>
      <c r="B705" s="37"/>
      <c r="C705" s="37"/>
      <c r="F705" s="38"/>
      <c r="G705" s="38"/>
      <c r="H705" s="38"/>
      <c r="I705" s="37"/>
      <c r="J705" s="38"/>
      <c r="K705" s="38"/>
      <c r="L705" s="42"/>
      <c r="M705" s="42"/>
      <c r="N705" s="42"/>
      <c r="O705" s="42"/>
      <c r="R705" s="37"/>
      <c r="S705" s="37"/>
      <c r="T705" s="91"/>
      <c r="U705" s="91"/>
      <c r="V705" s="41"/>
      <c r="W705" s="37"/>
      <c r="X705" s="37"/>
      <c r="Y705" s="43"/>
      <c r="Z705" s="37"/>
      <c r="AA705" s="37"/>
      <c r="AD705" s="37"/>
      <c r="AE705" s="37"/>
      <c r="AF705" s="37"/>
    </row>
    <row r="706" spans="1:32" x14ac:dyDescent="0.25">
      <c r="A706" s="37"/>
      <c r="B706" s="37"/>
      <c r="C706" s="37"/>
      <c r="F706" s="38"/>
      <c r="G706" s="38"/>
      <c r="H706" s="38"/>
      <c r="I706" s="37"/>
      <c r="J706" s="38"/>
      <c r="K706" s="38"/>
      <c r="L706" s="42"/>
      <c r="M706" s="42"/>
      <c r="N706" s="42"/>
      <c r="O706" s="42"/>
      <c r="R706" s="37"/>
      <c r="S706" s="37"/>
      <c r="T706" s="91"/>
      <c r="U706" s="91"/>
      <c r="V706" s="41"/>
      <c r="W706" s="37"/>
      <c r="X706" s="37"/>
      <c r="Y706" s="43"/>
      <c r="Z706" s="37"/>
      <c r="AA706" s="37"/>
      <c r="AD706" s="37"/>
      <c r="AE706" s="37"/>
      <c r="AF706" s="37"/>
    </row>
    <row r="707" spans="1:32" x14ac:dyDescent="0.25">
      <c r="A707" s="37"/>
      <c r="B707" s="37"/>
      <c r="C707" s="37"/>
      <c r="F707" s="38"/>
      <c r="G707" s="38"/>
      <c r="H707" s="38"/>
      <c r="I707" s="37"/>
      <c r="J707" s="38"/>
      <c r="K707" s="38"/>
      <c r="L707" s="42"/>
      <c r="M707" s="42"/>
      <c r="N707" s="42"/>
      <c r="O707" s="42"/>
      <c r="R707" s="37"/>
      <c r="S707" s="37"/>
      <c r="T707" s="91"/>
      <c r="U707" s="91"/>
      <c r="V707" s="41"/>
      <c r="W707" s="37"/>
      <c r="X707" s="37"/>
      <c r="Y707" s="43"/>
      <c r="Z707" s="37"/>
      <c r="AA707" s="37"/>
      <c r="AD707" s="37"/>
      <c r="AE707" s="37"/>
      <c r="AF707" s="37"/>
    </row>
    <row r="708" spans="1:32" x14ac:dyDescent="0.25">
      <c r="A708" s="37"/>
      <c r="B708" s="37"/>
      <c r="C708" s="37"/>
      <c r="F708" s="38"/>
      <c r="G708" s="38"/>
      <c r="H708" s="38"/>
      <c r="I708" s="37"/>
      <c r="J708" s="38"/>
      <c r="K708" s="38"/>
      <c r="L708" s="42"/>
      <c r="M708" s="42"/>
      <c r="N708" s="42"/>
      <c r="O708" s="42"/>
      <c r="R708" s="37"/>
      <c r="S708" s="37"/>
      <c r="T708" s="91"/>
      <c r="U708" s="91"/>
      <c r="V708" s="41"/>
      <c r="W708" s="37"/>
      <c r="X708" s="37"/>
      <c r="Y708" s="43"/>
      <c r="Z708" s="37"/>
      <c r="AA708" s="37"/>
      <c r="AD708" s="37"/>
      <c r="AE708" s="37"/>
      <c r="AF708" s="37"/>
    </row>
    <row r="709" spans="1:32" x14ac:dyDescent="0.25">
      <c r="A709" s="37"/>
      <c r="B709" s="37"/>
      <c r="C709" s="37"/>
      <c r="F709" s="38"/>
      <c r="G709" s="38"/>
      <c r="H709" s="38"/>
      <c r="I709" s="37"/>
      <c r="J709" s="38"/>
      <c r="K709" s="38"/>
      <c r="L709" s="42"/>
      <c r="M709" s="42"/>
      <c r="N709" s="42"/>
      <c r="O709" s="42"/>
      <c r="R709" s="37"/>
      <c r="S709" s="37"/>
      <c r="T709" s="91"/>
      <c r="U709" s="91"/>
      <c r="V709" s="41"/>
      <c r="W709" s="37"/>
      <c r="X709" s="37"/>
      <c r="Y709" s="43"/>
      <c r="Z709" s="37"/>
      <c r="AA709" s="37"/>
      <c r="AD709" s="37"/>
      <c r="AE709" s="37"/>
      <c r="AF709" s="37"/>
    </row>
    <row r="710" spans="1:32" x14ac:dyDescent="0.25">
      <c r="A710" s="37"/>
      <c r="B710" s="37"/>
      <c r="C710" s="37"/>
      <c r="F710" s="38"/>
      <c r="G710" s="38"/>
      <c r="H710" s="38"/>
      <c r="I710" s="37"/>
      <c r="J710" s="38"/>
      <c r="K710" s="38"/>
      <c r="L710" s="42"/>
      <c r="M710" s="42"/>
      <c r="N710" s="42"/>
      <c r="O710" s="42"/>
      <c r="R710" s="37"/>
      <c r="S710" s="37"/>
      <c r="T710" s="91"/>
      <c r="U710" s="91"/>
      <c r="V710" s="41"/>
      <c r="W710" s="37"/>
      <c r="X710" s="37"/>
      <c r="Y710" s="43"/>
      <c r="Z710" s="37"/>
      <c r="AA710" s="37"/>
      <c r="AD710" s="37"/>
      <c r="AE710" s="37"/>
      <c r="AF710" s="37"/>
    </row>
    <row r="711" spans="1:32" x14ac:dyDescent="0.25">
      <c r="A711" s="37"/>
      <c r="B711" s="37"/>
      <c r="C711" s="37"/>
      <c r="F711" s="38"/>
      <c r="G711" s="38"/>
      <c r="H711" s="38"/>
      <c r="I711" s="37"/>
      <c r="J711" s="38"/>
      <c r="K711" s="38"/>
      <c r="L711" s="42"/>
      <c r="M711" s="42"/>
      <c r="N711" s="42"/>
      <c r="O711" s="42"/>
      <c r="R711" s="37"/>
      <c r="S711" s="37"/>
      <c r="T711" s="91"/>
      <c r="U711" s="91"/>
      <c r="V711" s="41"/>
      <c r="W711" s="37"/>
      <c r="X711" s="37"/>
      <c r="Y711" s="43"/>
      <c r="Z711" s="37"/>
      <c r="AA711" s="37"/>
      <c r="AD711" s="37"/>
      <c r="AE711" s="37"/>
      <c r="AF711" s="37"/>
    </row>
    <row r="712" spans="1:32" x14ac:dyDescent="0.25">
      <c r="A712" s="37"/>
      <c r="B712" s="37"/>
      <c r="C712" s="37"/>
      <c r="F712" s="38"/>
      <c r="G712" s="38"/>
      <c r="H712" s="38"/>
      <c r="I712" s="37"/>
      <c r="J712" s="38"/>
      <c r="K712" s="38"/>
      <c r="L712" s="42"/>
      <c r="M712" s="42"/>
      <c r="N712" s="42"/>
      <c r="O712" s="42"/>
      <c r="R712" s="37"/>
      <c r="S712" s="37"/>
      <c r="T712" s="91"/>
      <c r="U712" s="91"/>
      <c r="V712" s="41"/>
      <c r="W712" s="37"/>
      <c r="X712" s="37"/>
      <c r="Y712" s="43"/>
      <c r="Z712" s="37"/>
      <c r="AA712" s="37"/>
      <c r="AD712" s="37"/>
      <c r="AE712" s="37"/>
      <c r="AF712" s="37"/>
    </row>
    <row r="713" spans="1:32" x14ac:dyDescent="0.25">
      <c r="A713" s="37"/>
      <c r="B713" s="37"/>
      <c r="C713" s="37"/>
      <c r="F713" s="38"/>
      <c r="G713" s="38"/>
      <c r="H713" s="38"/>
      <c r="I713" s="37"/>
      <c r="J713" s="38"/>
      <c r="K713" s="38"/>
      <c r="L713" s="42"/>
      <c r="M713" s="42"/>
      <c r="N713" s="42"/>
      <c r="O713" s="42"/>
      <c r="R713" s="37"/>
      <c r="S713" s="37"/>
      <c r="T713" s="91"/>
      <c r="U713" s="91"/>
      <c r="V713" s="41"/>
      <c r="W713" s="37"/>
      <c r="X713" s="37"/>
      <c r="Y713" s="43"/>
      <c r="Z713" s="37"/>
      <c r="AA713" s="37"/>
      <c r="AD713" s="37"/>
      <c r="AE713" s="37"/>
      <c r="AF713" s="37"/>
    </row>
    <row r="714" spans="1:32" x14ac:dyDescent="0.25">
      <c r="A714" s="37"/>
      <c r="B714" s="37"/>
      <c r="C714" s="37"/>
      <c r="F714" s="38"/>
      <c r="G714" s="38"/>
      <c r="H714" s="38"/>
      <c r="I714" s="37"/>
      <c r="J714" s="38"/>
      <c r="K714" s="38"/>
      <c r="L714" s="42"/>
      <c r="M714" s="42"/>
      <c r="N714" s="42"/>
      <c r="O714" s="42"/>
      <c r="R714" s="37"/>
      <c r="S714" s="37"/>
      <c r="T714" s="91"/>
      <c r="U714" s="91"/>
      <c r="V714" s="41"/>
      <c r="W714" s="37"/>
      <c r="X714" s="37"/>
      <c r="Y714" s="43"/>
      <c r="Z714" s="37"/>
      <c r="AA714" s="37"/>
      <c r="AD714" s="37"/>
      <c r="AE714" s="37"/>
      <c r="AF714" s="37"/>
    </row>
    <row r="715" spans="1:32" x14ac:dyDescent="0.25">
      <c r="A715" s="37"/>
      <c r="B715" s="37"/>
      <c r="C715" s="37"/>
      <c r="F715" s="38"/>
      <c r="G715" s="38"/>
      <c r="H715" s="38"/>
      <c r="I715" s="37"/>
      <c r="J715" s="38"/>
      <c r="K715" s="38"/>
      <c r="L715" s="42"/>
      <c r="M715" s="42"/>
      <c r="N715" s="42"/>
      <c r="O715" s="42"/>
      <c r="R715" s="37"/>
      <c r="S715" s="37"/>
      <c r="T715" s="91"/>
      <c r="U715" s="91"/>
      <c r="V715" s="41"/>
      <c r="W715" s="37"/>
      <c r="X715" s="37"/>
      <c r="Y715" s="43"/>
      <c r="Z715" s="37"/>
      <c r="AA715" s="37"/>
      <c r="AD715" s="37"/>
      <c r="AE715" s="37"/>
      <c r="AF715" s="37"/>
    </row>
    <row r="716" spans="1:32" x14ac:dyDescent="0.25">
      <c r="A716" s="37"/>
      <c r="B716" s="37"/>
      <c r="C716" s="37"/>
      <c r="F716" s="38"/>
      <c r="G716" s="38"/>
      <c r="H716" s="38"/>
      <c r="I716" s="37"/>
      <c r="J716" s="38"/>
      <c r="K716" s="38"/>
      <c r="L716" s="42"/>
      <c r="M716" s="42"/>
      <c r="N716" s="42"/>
      <c r="O716" s="42"/>
      <c r="R716" s="37"/>
      <c r="S716" s="37"/>
      <c r="T716" s="91"/>
      <c r="U716" s="91"/>
      <c r="V716" s="41"/>
      <c r="W716" s="37"/>
      <c r="X716" s="37"/>
      <c r="Y716" s="43"/>
      <c r="Z716" s="37"/>
      <c r="AA716" s="37"/>
      <c r="AD716" s="37"/>
      <c r="AE716" s="37"/>
      <c r="AF716" s="37"/>
    </row>
    <row r="717" spans="1:32" x14ac:dyDescent="0.25">
      <c r="A717" s="37"/>
      <c r="B717" s="37"/>
      <c r="C717" s="37"/>
      <c r="F717" s="38"/>
      <c r="G717" s="38"/>
      <c r="H717" s="38"/>
      <c r="I717" s="37"/>
      <c r="J717" s="38"/>
      <c r="K717" s="38"/>
      <c r="L717" s="42"/>
      <c r="M717" s="42"/>
      <c r="N717" s="42"/>
      <c r="O717" s="42"/>
      <c r="R717" s="37"/>
      <c r="S717" s="37"/>
      <c r="T717" s="91"/>
      <c r="U717" s="91"/>
      <c r="V717" s="41"/>
      <c r="W717" s="37"/>
      <c r="X717" s="37"/>
      <c r="Y717" s="43"/>
      <c r="Z717" s="37"/>
      <c r="AA717" s="37"/>
      <c r="AD717" s="37"/>
      <c r="AE717" s="37"/>
      <c r="AF717" s="37"/>
    </row>
    <row r="718" spans="1:32" x14ac:dyDescent="0.25">
      <c r="A718" s="37"/>
      <c r="B718" s="37"/>
      <c r="C718" s="37"/>
      <c r="F718" s="38"/>
      <c r="G718" s="38"/>
      <c r="H718" s="38"/>
      <c r="I718" s="37"/>
      <c r="J718" s="38"/>
      <c r="K718" s="38"/>
      <c r="L718" s="42"/>
      <c r="M718" s="42"/>
      <c r="N718" s="42"/>
      <c r="O718" s="42"/>
      <c r="R718" s="37"/>
      <c r="S718" s="37"/>
      <c r="T718" s="91"/>
      <c r="U718" s="91"/>
      <c r="V718" s="41"/>
      <c r="W718" s="37"/>
      <c r="X718" s="37"/>
      <c r="Y718" s="43"/>
      <c r="Z718" s="37"/>
      <c r="AA718" s="37"/>
      <c r="AD718" s="37"/>
      <c r="AE718" s="37"/>
      <c r="AF718" s="37"/>
    </row>
    <row r="719" spans="1:32" x14ac:dyDescent="0.25">
      <c r="A719" s="37"/>
      <c r="B719" s="37"/>
      <c r="C719" s="37"/>
      <c r="F719" s="38"/>
      <c r="G719" s="38"/>
      <c r="H719" s="38"/>
      <c r="I719" s="37"/>
      <c r="J719" s="38"/>
      <c r="K719" s="38"/>
      <c r="L719" s="42"/>
      <c r="M719" s="42"/>
      <c r="N719" s="42"/>
      <c r="O719" s="42"/>
      <c r="R719" s="37"/>
      <c r="S719" s="37"/>
      <c r="T719" s="91"/>
      <c r="U719" s="91"/>
      <c r="V719" s="41"/>
      <c r="W719" s="37"/>
      <c r="X719" s="37"/>
      <c r="Y719" s="43"/>
      <c r="Z719" s="37"/>
      <c r="AA719" s="37"/>
      <c r="AD719" s="37"/>
      <c r="AE719" s="37"/>
      <c r="AF719" s="37"/>
    </row>
    <row r="720" spans="1:32" x14ac:dyDescent="0.25">
      <c r="A720" s="37"/>
      <c r="B720" s="37"/>
      <c r="C720" s="37"/>
      <c r="F720" s="38"/>
      <c r="G720" s="38"/>
      <c r="H720" s="38"/>
      <c r="I720" s="37"/>
      <c r="J720" s="38"/>
      <c r="K720" s="38"/>
      <c r="L720" s="42"/>
      <c r="M720" s="42"/>
      <c r="N720" s="42"/>
      <c r="O720" s="42"/>
      <c r="R720" s="37"/>
      <c r="S720" s="37"/>
      <c r="T720" s="91"/>
      <c r="U720" s="91"/>
      <c r="V720" s="41"/>
      <c r="W720" s="37"/>
      <c r="X720" s="37"/>
      <c r="Y720" s="43"/>
      <c r="Z720" s="37"/>
      <c r="AA720" s="37"/>
      <c r="AD720" s="37"/>
      <c r="AE720" s="37"/>
      <c r="AF720" s="37"/>
    </row>
    <row r="721" spans="1:32" x14ac:dyDescent="0.25">
      <c r="A721" s="37"/>
      <c r="B721" s="37"/>
      <c r="C721" s="37"/>
      <c r="F721" s="38"/>
      <c r="G721" s="38"/>
      <c r="H721" s="38"/>
      <c r="I721" s="37"/>
      <c r="J721" s="38"/>
      <c r="K721" s="38"/>
      <c r="L721" s="42"/>
      <c r="M721" s="42"/>
      <c r="N721" s="42"/>
      <c r="O721" s="42"/>
      <c r="R721" s="37"/>
      <c r="S721" s="37"/>
      <c r="T721" s="91"/>
      <c r="U721" s="91"/>
      <c r="V721" s="41"/>
      <c r="W721" s="37"/>
      <c r="X721" s="37"/>
      <c r="Y721" s="43"/>
      <c r="Z721" s="37"/>
      <c r="AA721" s="37"/>
      <c r="AD721" s="37"/>
      <c r="AE721" s="37"/>
      <c r="AF721" s="37"/>
    </row>
    <row r="722" spans="1:32" x14ac:dyDescent="0.25">
      <c r="A722" s="37"/>
      <c r="B722" s="37"/>
      <c r="C722" s="37"/>
      <c r="F722" s="38"/>
      <c r="G722" s="38"/>
      <c r="H722" s="38"/>
      <c r="I722" s="37"/>
      <c r="J722" s="38"/>
      <c r="K722" s="38"/>
      <c r="L722" s="42"/>
      <c r="M722" s="42"/>
      <c r="N722" s="42"/>
      <c r="O722" s="42"/>
      <c r="R722" s="37"/>
      <c r="S722" s="37"/>
      <c r="T722" s="91"/>
      <c r="U722" s="91"/>
      <c r="V722" s="41"/>
      <c r="W722" s="37"/>
      <c r="X722" s="37"/>
      <c r="Y722" s="43"/>
      <c r="Z722" s="37"/>
      <c r="AA722" s="37"/>
      <c r="AD722" s="37"/>
      <c r="AE722" s="37"/>
      <c r="AF722" s="37"/>
    </row>
    <row r="723" spans="1:32" x14ac:dyDescent="0.25">
      <c r="A723" s="37"/>
      <c r="B723" s="37"/>
      <c r="C723" s="37"/>
      <c r="F723" s="38"/>
      <c r="G723" s="38"/>
      <c r="H723" s="38"/>
      <c r="I723" s="37"/>
      <c r="J723" s="38"/>
      <c r="K723" s="38"/>
      <c r="L723" s="42"/>
      <c r="M723" s="42"/>
      <c r="N723" s="42"/>
      <c r="O723" s="42"/>
      <c r="R723" s="37"/>
      <c r="S723" s="37"/>
      <c r="T723" s="91"/>
      <c r="U723" s="91"/>
      <c r="V723" s="41"/>
      <c r="W723" s="37"/>
      <c r="X723" s="37"/>
      <c r="Y723" s="43"/>
      <c r="Z723" s="37"/>
      <c r="AA723" s="37"/>
      <c r="AD723" s="37"/>
      <c r="AE723" s="37"/>
      <c r="AF723" s="37"/>
    </row>
    <row r="724" spans="1:32" x14ac:dyDescent="0.25">
      <c r="A724" s="37"/>
      <c r="B724" s="37"/>
      <c r="C724" s="37"/>
      <c r="F724" s="38"/>
      <c r="G724" s="38"/>
      <c r="H724" s="38"/>
      <c r="I724" s="37"/>
      <c r="J724" s="38"/>
      <c r="K724" s="38"/>
      <c r="L724" s="42"/>
      <c r="M724" s="42"/>
      <c r="N724" s="42"/>
      <c r="O724" s="42"/>
      <c r="R724" s="37"/>
      <c r="S724" s="37"/>
      <c r="T724" s="91"/>
      <c r="U724" s="91"/>
      <c r="V724" s="41"/>
      <c r="W724" s="37"/>
      <c r="X724" s="37"/>
      <c r="Y724" s="43"/>
      <c r="Z724" s="37"/>
      <c r="AA724" s="37"/>
      <c r="AD724" s="37"/>
      <c r="AE724" s="37"/>
      <c r="AF724" s="37"/>
    </row>
    <row r="725" spans="1:32" x14ac:dyDescent="0.25">
      <c r="A725" s="37"/>
      <c r="B725" s="37"/>
      <c r="C725" s="37"/>
      <c r="F725" s="38"/>
      <c r="G725" s="38"/>
      <c r="H725" s="38"/>
      <c r="I725" s="37"/>
      <c r="J725" s="38"/>
      <c r="K725" s="38"/>
      <c r="L725" s="42"/>
      <c r="M725" s="42"/>
      <c r="N725" s="42"/>
      <c r="O725" s="42"/>
      <c r="R725" s="37"/>
      <c r="S725" s="37"/>
      <c r="T725" s="91"/>
      <c r="U725" s="91"/>
      <c r="V725" s="41"/>
      <c r="W725" s="37"/>
      <c r="X725" s="37"/>
      <c r="Y725" s="43"/>
      <c r="Z725" s="37"/>
      <c r="AA725" s="37"/>
      <c r="AD725" s="37"/>
      <c r="AE725" s="37"/>
      <c r="AF725" s="37"/>
    </row>
    <row r="726" spans="1:32" x14ac:dyDescent="0.25">
      <c r="A726" s="37"/>
      <c r="B726" s="37"/>
      <c r="C726" s="37"/>
      <c r="F726" s="38"/>
      <c r="G726" s="38"/>
      <c r="H726" s="38"/>
      <c r="I726" s="37"/>
      <c r="J726" s="38"/>
      <c r="K726" s="38"/>
      <c r="L726" s="42"/>
      <c r="M726" s="42"/>
      <c r="N726" s="42"/>
      <c r="O726" s="42"/>
      <c r="R726" s="37"/>
      <c r="S726" s="37"/>
      <c r="T726" s="91"/>
      <c r="U726" s="91"/>
      <c r="V726" s="41"/>
      <c r="W726" s="37"/>
      <c r="X726" s="37"/>
      <c r="Y726" s="43"/>
      <c r="Z726" s="37"/>
      <c r="AA726" s="37"/>
      <c r="AD726" s="37"/>
      <c r="AE726" s="37"/>
      <c r="AF726" s="37"/>
    </row>
    <row r="727" spans="1:32" x14ac:dyDescent="0.25">
      <c r="A727" s="37"/>
      <c r="B727" s="37"/>
      <c r="C727" s="37"/>
      <c r="F727" s="38"/>
      <c r="G727" s="38"/>
      <c r="H727" s="38"/>
      <c r="I727" s="37"/>
      <c r="J727" s="38"/>
      <c r="K727" s="38"/>
      <c r="L727" s="42"/>
      <c r="M727" s="42"/>
      <c r="N727" s="42"/>
      <c r="O727" s="42"/>
      <c r="R727" s="37"/>
      <c r="S727" s="37"/>
      <c r="T727" s="91"/>
      <c r="U727" s="91"/>
      <c r="V727" s="41"/>
      <c r="W727" s="37"/>
      <c r="X727" s="37"/>
      <c r="Y727" s="43"/>
      <c r="Z727" s="37"/>
      <c r="AA727" s="37"/>
      <c r="AD727" s="37"/>
      <c r="AE727" s="37"/>
      <c r="AF727" s="37"/>
    </row>
    <row r="728" spans="1:32" x14ac:dyDescent="0.25">
      <c r="A728" s="37"/>
      <c r="B728" s="37"/>
      <c r="C728" s="37"/>
      <c r="F728" s="38"/>
      <c r="G728" s="38"/>
      <c r="H728" s="38"/>
      <c r="I728" s="37"/>
      <c r="J728" s="38"/>
      <c r="K728" s="38"/>
      <c r="L728" s="42"/>
      <c r="M728" s="42"/>
      <c r="N728" s="42"/>
      <c r="O728" s="42"/>
      <c r="R728" s="37"/>
      <c r="S728" s="37"/>
      <c r="T728" s="91"/>
      <c r="U728" s="91"/>
      <c r="V728" s="41"/>
      <c r="W728" s="37"/>
      <c r="X728" s="37"/>
      <c r="Y728" s="43"/>
      <c r="Z728" s="37"/>
      <c r="AA728" s="37"/>
      <c r="AD728" s="37"/>
      <c r="AE728" s="37"/>
      <c r="AF728" s="37"/>
    </row>
    <row r="729" spans="1:32" x14ac:dyDescent="0.25">
      <c r="A729" s="37"/>
      <c r="B729" s="37"/>
      <c r="C729" s="37"/>
      <c r="F729" s="38"/>
      <c r="G729" s="38"/>
      <c r="H729" s="38"/>
      <c r="I729" s="37"/>
      <c r="J729" s="38"/>
      <c r="K729" s="38"/>
      <c r="L729" s="42"/>
      <c r="M729" s="42"/>
      <c r="N729" s="42"/>
      <c r="O729" s="42"/>
      <c r="R729" s="37"/>
      <c r="S729" s="37"/>
      <c r="T729" s="91"/>
      <c r="U729" s="91"/>
      <c r="V729" s="41"/>
      <c r="W729" s="37"/>
      <c r="X729" s="37"/>
      <c r="Y729" s="43"/>
      <c r="Z729" s="37"/>
      <c r="AA729" s="37"/>
      <c r="AD729" s="37"/>
      <c r="AE729" s="37"/>
      <c r="AF729" s="37"/>
    </row>
    <row r="730" spans="1:32" x14ac:dyDescent="0.25">
      <c r="A730" s="37"/>
      <c r="B730" s="37"/>
      <c r="C730" s="37"/>
      <c r="F730" s="38"/>
      <c r="G730" s="38"/>
      <c r="H730" s="38"/>
      <c r="I730" s="37"/>
      <c r="J730" s="38"/>
      <c r="K730" s="38"/>
      <c r="L730" s="42"/>
      <c r="M730" s="42"/>
      <c r="N730" s="42"/>
      <c r="O730" s="42"/>
      <c r="R730" s="37"/>
      <c r="S730" s="37"/>
      <c r="T730" s="91"/>
      <c r="U730" s="91"/>
      <c r="V730" s="41"/>
      <c r="W730" s="37"/>
      <c r="X730" s="37"/>
      <c r="Y730" s="43"/>
      <c r="Z730" s="37"/>
      <c r="AA730" s="37"/>
      <c r="AD730" s="37"/>
      <c r="AE730" s="37"/>
      <c r="AF730" s="37"/>
    </row>
    <row r="731" spans="1:32" x14ac:dyDescent="0.25">
      <c r="A731" s="37"/>
      <c r="B731" s="37"/>
      <c r="C731" s="37"/>
      <c r="F731" s="38"/>
      <c r="G731" s="38"/>
      <c r="H731" s="38"/>
      <c r="I731" s="37"/>
      <c r="J731" s="38"/>
      <c r="K731" s="38"/>
      <c r="L731" s="42"/>
      <c r="M731" s="42"/>
      <c r="N731" s="42"/>
      <c r="O731" s="42"/>
      <c r="R731" s="37"/>
      <c r="S731" s="37"/>
      <c r="T731" s="91"/>
      <c r="U731" s="91"/>
      <c r="V731" s="41"/>
      <c r="W731" s="37"/>
      <c r="X731" s="37"/>
      <c r="Y731" s="43"/>
      <c r="Z731" s="37"/>
      <c r="AA731" s="37"/>
      <c r="AD731" s="37"/>
      <c r="AE731" s="37"/>
      <c r="AF731" s="37"/>
    </row>
    <row r="732" spans="1:32" x14ac:dyDescent="0.25">
      <c r="A732" s="37"/>
      <c r="B732" s="37"/>
      <c r="C732" s="37"/>
      <c r="F732" s="38"/>
      <c r="G732" s="38"/>
      <c r="H732" s="38"/>
      <c r="I732" s="37"/>
      <c r="J732" s="38"/>
      <c r="K732" s="38"/>
      <c r="L732" s="42"/>
      <c r="M732" s="42"/>
      <c r="N732" s="42"/>
      <c r="O732" s="42"/>
      <c r="R732" s="37"/>
      <c r="S732" s="37"/>
      <c r="T732" s="91"/>
      <c r="U732" s="91"/>
      <c r="V732" s="41"/>
      <c r="W732" s="37"/>
      <c r="X732" s="37"/>
      <c r="Y732" s="43"/>
      <c r="Z732" s="37"/>
      <c r="AA732" s="37"/>
      <c r="AD732" s="37"/>
      <c r="AE732" s="37"/>
      <c r="AF732" s="37"/>
    </row>
    <row r="733" spans="1:32" x14ac:dyDescent="0.25">
      <c r="A733" s="37"/>
      <c r="B733" s="37"/>
      <c r="C733" s="37"/>
      <c r="F733" s="38"/>
      <c r="G733" s="38"/>
      <c r="H733" s="38"/>
      <c r="I733" s="37"/>
      <c r="J733" s="38"/>
      <c r="K733" s="38"/>
      <c r="L733" s="42"/>
      <c r="M733" s="42"/>
      <c r="N733" s="42"/>
      <c r="O733" s="42"/>
      <c r="R733" s="37"/>
      <c r="S733" s="37"/>
      <c r="T733" s="91"/>
      <c r="U733" s="91"/>
      <c r="V733" s="41"/>
      <c r="W733" s="37"/>
      <c r="X733" s="37"/>
      <c r="Y733" s="43"/>
      <c r="Z733" s="37"/>
      <c r="AA733" s="37"/>
      <c r="AD733" s="37"/>
      <c r="AE733" s="37"/>
      <c r="AF733" s="37"/>
    </row>
    <row r="734" spans="1:32" x14ac:dyDescent="0.25">
      <c r="A734" s="37"/>
      <c r="B734" s="37"/>
      <c r="C734" s="37"/>
      <c r="F734" s="38"/>
      <c r="G734" s="38"/>
      <c r="H734" s="38"/>
      <c r="I734" s="37"/>
      <c r="J734" s="38"/>
      <c r="K734" s="38"/>
      <c r="L734" s="42"/>
      <c r="M734" s="42"/>
      <c r="N734" s="42"/>
      <c r="O734" s="42"/>
      <c r="R734" s="37"/>
      <c r="S734" s="37"/>
      <c r="T734" s="91"/>
      <c r="U734" s="91"/>
      <c r="V734" s="41"/>
      <c r="W734" s="37"/>
      <c r="X734" s="37"/>
      <c r="Y734" s="43"/>
      <c r="Z734" s="37"/>
      <c r="AA734" s="37"/>
      <c r="AD734" s="37"/>
      <c r="AE734" s="37"/>
      <c r="AF734" s="37"/>
    </row>
    <row r="735" spans="1:32" x14ac:dyDescent="0.25">
      <c r="A735" s="37"/>
      <c r="B735" s="37"/>
      <c r="C735" s="37"/>
      <c r="F735" s="38"/>
      <c r="G735" s="38"/>
      <c r="H735" s="38"/>
      <c r="I735" s="37"/>
      <c r="J735" s="38"/>
      <c r="K735" s="38"/>
      <c r="L735" s="42"/>
      <c r="M735" s="42"/>
      <c r="N735" s="42"/>
      <c r="O735" s="42"/>
      <c r="R735" s="37"/>
      <c r="S735" s="37"/>
      <c r="T735" s="91"/>
      <c r="U735" s="91"/>
      <c r="V735" s="41"/>
      <c r="W735" s="37"/>
      <c r="X735" s="37"/>
      <c r="Y735" s="43"/>
      <c r="Z735" s="37"/>
      <c r="AA735" s="37"/>
      <c r="AD735" s="37"/>
      <c r="AE735" s="37"/>
      <c r="AF735" s="37"/>
    </row>
    <row r="736" spans="1:32" x14ac:dyDescent="0.25">
      <c r="A736" s="37"/>
      <c r="B736" s="37"/>
      <c r="C736" s="37"/>
      <c r="F736" s="38"/>
      <c r="G736" s="38"/>
      <c r="H736" s="38"/>
      <c r="I736" s="37"/>
      <c r="J736" s="38"/>
      <c r="K736" s="38"/>
      <c r="L736" s="42"/>
      <c r="M736" s="42"/>
      <c r="N736" s="42"/>
      <c r="O736" s="42"/>
      <c r="R736" s="37"/>
      <c r="S736" s="37"/>
      <c r="T736" s="91"/>
      <c r="U736" s="91"/>
      <c r="V736" s="41"/>
      <c r="W736" s="37"/>
      <c r="X736" s="37"/>
      <c r="Y736" s="43"/>
      <c r="Z736" s="37"/>
      <c r="AA736" s="37"/>
      <c r="AD736" s="37"/>
      <c r="AE736" s="37"/>
      <c r="AF736" s="37"/>
    </row>
    <row r="737" spans="1:32" x14ac:dyDescent="0.25">
      <c r="A737" s="37"/>
      <c r="B737" s="37"/>
      <c r="C737" s="37"/>
      <c r="F737" s="38"/>
      <c r="G737" s="38"/>
      <c r="H737" s="38"/>
      <c r="I737" s="37"/>
      <c r="J737" s="38"/>
      <c r="K737" s="38"/>
      <c r="L737" s="42"/>
      <c r="M737" s="42"/>
      <c r="N737" s="42"/>
      <c r="O737" s="42"/>
      <c r="R737" s="37"/>
      <c r="S737" s="37"/>
      <c r="T737" s="91"/>
      <c r="U737" s="91"/>
      <c r="V737" s="41"/>
      <c r="W737" s="37"/>
      <c r="X737" s="37"/>
      <c r="Y737" s="43"/>
      <c r="Z737" s="37"/>
      <c r="AA737" s="37"/>
      <c r="AD737" s="37"/>
      <c r="AE737" s="37"/>
      <c r="AF737" s="37"/>
    </row>
    <row r="738" spans="1:32" x14ac:dyDescent="0.25">
      <c r="A738" s="37"/>
      <c r="B738" s="37"/>
      <c r="C738" s="37"/>
      <c r="F738" s="38"/>
      <c r="G738" s="38"/>
      <c r="H738" s="38"/>
      <c r="I738" s="37"/>
      <c r="J738" s="38"/>
      <c r="K738" s="38"/>
      <c r="L738" s="42"/>
      <c r="M738" s="42"/>
      <c r="N738" s="42"/>
      <c r="O738" s="42"/>
      <c r="R738" s="37"/>
      <c r="S738" s="37"/>
      <c r="T738" s="91"/>
      <c r="U738" s="91"/>
      <c r="V738" s="41"/>
      <c r="W738" s="37"/>
      <c r="X738" s="37"/>
      <c r="Y738" s="43"/>
      <c r="Z738" s="37"/>
      <c r="AA738" s="37"/>
      <c r="AD738" s="37"/>
      <c r="AE738" s="37"/>
      <c r="AF738" s="37"/>
    </row>
    <row r="739" spans="1:32" x14ac:dyDescent="0.25">
      <c r="A739" s="37"/>
      <c r="B739" s="37"/>
      <c r="C739" s="37"/>
      <c r="F739" s="38"/>
      <c r="G739" s="38"/>
      <c r="H739" s="38"/>
      <c r="I739" s="37"/>
      <c r="J739" s="38"/>
      <c r="K739" s="38"/>
      <c r="L739" s="42"/>
      <c r="M739" s="42"/>
      <c r="N739" s="42"/>
      <c r="O739" s="42"/>
      <c r="R739" s="37"/>
      <c r="S739" s="37"/>
      <c r="T739" s="91"/>
      <c r="U739" s="91"/>
      <c r="V739" s="41"/>
      <c r="W739" s="37"/>
      <c r="X739" s="37"/>
      <c r="Y739" s="43"/>
      <c r="Z739" s="37"/>
      <c r="AA739" s="37"/>
      <c r="AD739" s="37"/>
      <c r="AE739" s="37"/>
      <c r="AF739" s="37"/>
    </row>
    <row r="740" spans="1:32" x14ac:dyDescent="0.25">
      <c r="A740" s="37"/>
      <c r="B740" s="37"/>
      <c r="C740" s="37"/>
      <c r="F740" s="38"/>
      <c r="G740" s="38"/>
      <c r="H740" s="38"/>
      <c r="I740" s="37"/>
      <c r="J740" s="38"/>
      <c r="K740" s="38"/>
      <c r="L740" s="42"/>
      <c r="M740" s="42"/>
      <c r="N740" s="42"/>
      <c r="O740" s="42"/>
      <c r="R740" s="37"/>
      <c r="S740" s="37"/>
      <c r="T740" s="91"/>
      <c r="U740" s="91"/>
      <c r="V740" s="41"/>
      <c r="W740" s="37"/>
      <c r="X740" s="37"/>
      <c r="Y740" s="43"/>
      <c r="Z740" s="37"/>
      <c r="AA740" s="37"/>
      <c r="AD740" s="37"/>
      <c r="AE740" s="37"/>
      <c r="AF740" s="37"/>
    </row>
    <row r="741" spans="1:32" x14ac:dyDescent="0.25">
      <c r="A741" s="37"/>
      <c r="B741" s="37"/>
      <c r="C741" s="37"/>
      <c r="F741" s="38"/>
      <c r="G741" s="38"/>
      <c r="H741" s="38"/>
      <c r="I741" s="37"/>
      <c r="J741" s="38"/>
      <c r="K741" s="38"/>
      <c r="L741" s="42"/>
      <c r="M741" s="42"/>
      <c r="N741" s="42"/>
      <c r="O741" s="42"/>
      <c r="R741" s="37"/>
      <c r="S741" s="37"/>
      <c r="T741" s="91"/>
      <c r="U741" s="91"/>
      <c r="V741" s="41"/>
      <c r="W741" s="37"/>
      <c r="X741" s="37"/>
      <c r="Y741" s="43"/>
      <c r="Z741" s="37"/>
      <c r="AA741" s="37"/>
      <c r="AD741" s="37"/>
      <c r="AE741" s="37"/>
      <c r="AF741" s="37"/>
    </row>
    <row r="742" spans="1:32" x14ac:dyDescent="0.25">
      <c r="A742" s="37"/>
      <c r="B742" s="37"/>
      <c r="C742" s="37"/>
      <c r="F742" s="38"/>
      <c r="G742" s="38"/>
      <c r="H742" s="38"/>
      <c r="I742" s="37"/>
      <c r="J742" s="38"/>
      <c r="K742" s="38"/>
      <c r="L742" s="42"/>
      <c r="M742" s="42"/>
      <c r="N742" s="42"/>
      <c r="O742" s="42"/>
      <c r="R742" s="37"/>
      <c r="S742" s="37"/>
      <c r="T742" s="91"/>
      <c r="U742" s="91"/>
      <c r="V742" s="41"/>
      <c r="W742" s="37"/>
      <c r="X742" s="37"/>
      <c r="Y742" s="43"/>
      <c r="Z742" s="37"/>
      <c r="AA742" s="37"/>
      <c r="AD742" s="37"/>
      <c r="AE742" s="37"/>
      <c r="AF742" s="37"/>
    </row>
    <row r="743" spans="1:32" x14ac:dyDescent="0.25">
      <c r="A743" s="37"/>
      <c r="B743" s="37"/>
      <c r="C743" s="37"/>
      <c r="F743" s="38"/>
      <c r="G743" s="38"/>
      <c r="H743" s="38"/>
      <c r="I743" s="37"/>
      <c r="J743" s="38"/>
      <c r="K743" s="38"/>
      <c r="L743" s="42"/>
      <c r="M743" s="42"/>
      <c r="N743" s="42"/>
      <c r="O743" s="42"/>
      <c r="R743" s="37"/>
      <c r="S743" s="37"/>
      <c r="T743" s="91"/>
      <c r="U743" s="91"/>
      <c r="V743" s="41"/>
      <c r="W743" s="37"/>
      <c r="X743" s="37"/>
      <c r="Y743" s="43"/>
      <c r="Z743" s="37"/>
      <c r="AA743" s="37"/>
      <c r="AD743" s="37"/>
      <c r="AE743" s="37"/>
      <c r="AF743" s="37"/>
    </row>
    <row r="744" spans="1:32" x14ac:dyDescent="0.25">
      <c r="A744" s="37"/>
      <c r="B744" s="37"/>
      <c r="C744" s="37"/>
      <c r="F744" s="38"/>
      <c r="G744" s="38"/>
      <c r="H744" s="38"/>
      <c r="I744" s="37"/>
      <c r="J744" s="38"/>
      <c r="K744" s="38"/>
      <c r="L744" s="42"/>
      <c r="M744" s="42"/>
      <c r="N744" s="42"/>
      <c r="O744" s="42"/>
      <c r="R744" s="37"/>
      <c r="S744" s="37"/>
      <c r="T744" s="91"/>
      <c r="U744" s="91"/>
      <c r="V744" s="41"/>
      <c r="W744" s="37"/>
      <c r="X744" s="37"/>
      <c r="Y744" s="43"/>
      <c r="Z744" s="37"/>
      <c r="AA744" s="37"/>
      <c r="AD744" s="37"/>
      <c r="AE744" s="37"/>
      <c r="AF744" s="37"/>
    </row>
    <row r="745" spans="1:32" x14ac:dyDescent="0.25">
      <c r="A745" s="37"/>
      <c r="B745" s="37"/>
      <c r="C745" s="37"/>
      <c r="F745" s="38"/>
      <c r="G745" s="38"/>
      <c r="H745" s="38"/>
      <c r="I745" s="37"/>
      <c r="J745" s="38"/>
      <c r="K745" s="38"/>
      <c r="L745" s="42"/>
      <c r="M745" s="42"/>
      <c r="N745" s="42"/>
      <c r="O745" s="42"/>
      <c r="R745" s="37"/>
      <c r="S745" s="37"/>
      <c r="T745" s="91"/>
      <c r="U745" s="91"/>
      <c r="V745" s="41"/>
      <c r="W745" s="37"/>
      <c r="X745" s="37"/>
      <c r="Y745" s="43"/>
      <c r="Z745" s="37"/>
      <c r="AA745" s="37"/>
      <c r="AD745" s="37"/>
      <c r="AE745" s="37"/>
      <c r="AF745" s="37"/>
    </row>
    <row r="746" spans="1:32" x14ac:dyDescent="0.25">
      <c r="A746" s="37"/>
      <c r="B746" s="37"/>
      <c r="C746" s="37"/>
      <c r="F746" s="38"/>
      <c r="G746" s="38"/>
      <c r="H746" s="38"/>
      <c r="I746" s="37"/>
      <c r="J746" s="38"/>
      <c r="K746" s="38"/>
      <c r="L746" s="42"/>
      <c r="M746" s="42"/>
      <c r="N746" s="42"/>
      <c r="O746" s="42"/>
      <c r="R746" s="37"/>
      <c r="S746" s="37"/>
      <c r="T746" s="91"/>
      <c r="U746" s="91"/>
      <c r="V746" s="41"/>
      <c r="W746" s="37"/>
      <c r="X746" s="37"/>
      <c r="Y746" s="43"/>
      <c r="Z746" s="37"/>
      <c r="AA746" s="37"/>
      <c r="AD746" s="37"/>
      <c r="AE746" s="37"/>
      <c r="AF746" s="37"/>
    </row>
    <row r="747" spans="1:32" x14ac:dyDescent="0.25">
      <c r="A747" s="37"/>
      <c r="B747" s="37"/>
      <c r="C747" s="37"/>
      <c r="F747" s="38"/>
      <c r="G747" s="38"/>
      <c r="H747" s="38"/>
      <c r="I747" s="37"/>
      <c r="J747" s="38"/>
      <c r="K747" s="38"/>
      <c r="L747" s="42"/>
      <c r="M747" s="42"/>
      <c r="N747" s="42"/>
      <c r="O747" s="42"/>
      <c r="R747" s="37"/>
      <c r="S747" s="37"/>
      <c r="T747" s="91"/>
      <c r="U747" s="91"/>
      <c r="V747" s="41"/>
      <c r="W747" s="37"/>
      <c r="X747" s="37"/>
      <c r="Y747" s="43"/>
      <c r="Z747" s="37"/>
      <c r="AA747" s="37"/>
      <c r="AD747" s="37"/>
      <c r="AE747" s="37"/>
      <c r="AF747" s="37"/>
    </row>
    <row r="748" spans="1:32" x14ac:dyDescent="0.25">
      <c r="A748" s="37"/>
      <c r="B748" s="37"/>
      <c r="C748" s="37"/>
      <c r="F748" s="38"/>
      <c r="G748" s="38"/>
      <c r="H748" s="38"/>
      <c r="I748" s="37"/>
      <c r="J748" s="38"/>
      <c r="K748" s="38"/>
      <c r="L748" s="42"/>
      <c r="M748" s="42"/>
      <c r="N748" s="42"/>
      <c r="O748" s="42"/>
      <c r="R748" s="37"/>
      <c r="S748" s="37"/>
      <c r="T748" s="91"/>
      <c r="U748" s="91"/>
      <c r="V748" s="41"/>
      <c r="W748" s="37"/>
      <c r="X748" s="37"/>
      <c r="Y748" s="43"/>
      <c r="Z748" s="37"/>
      <c r="AA748" s="37"/>
      <c r="AD748" s="37"/>
      <c r="AE748" s="37"/>
      <c r="AF748" s="37"/>
    </row>
    <row r="749" spans="1:32" x14ac:dyDescent="0.25">
      <c r="A749" s="37"/>
      <c r="B749" s="37"/>
      <c r="C749" s="37"/>
      <c r="F749" s="38"/>
      <c r="G749" s="38"/>
      <c r="H749" s="38"/>
      <c r="I749" s="37"/>
      <c r="J749" s="38"/>
      <c r="K749" s="38"/>
      <c r="L749" s="42"/>
      <c r="M749" s="42"/>
      <c r="N749" s="42"/>
      <c r="O749" s="42"/>
      <c r="R749" s="37"/>
      <c r="S749" s="37"/>
      <c r="T749" s="91"/>
      <c r="U749" s="91"/>
      <c r="V749" s="41"/>
      <c r="W749" s="37"/>
      <c r="X749" s="37"/>
      <c r="Y749" s="43"/>
      <c r="Z749" s="37"/>
      <c r="AA749" s="37"/>
      <c r="AD749" s="37"/>
      <c r="AE749" s="37"/>
      <c r="AF749" s="37"/>
    </row>
    <row r="750" spans="1:32" x14ac:dyDescent="0.25">
      <c r="A750" s="37"/>
      <c r="B750" s="37"/>
      <c r="C750" s="37"/>
      <c r="F750" s="38"/>
      <c r="G750" s="38"/>
      <c r="H750" s="38"/>
      <c r="I750" s="37"/>
      <c r="J750" s="38"/>
      <c r="K750" s="38"/>
      <c r="L750" s="42"/>
      <c r="M750" s="42"/>
      <c r="N750" s="42"/>
      <c r="O750" s="42"/>
      <c r="R750" s="37"/>
      <c r="S750" s="37"/>
      <c r="T750" s="91"/>
      <c r="U750" s="91"/>
      <c r="V750" s="41"/>
      <c r="W750" s="37"/>
      <c r="X750" s="37"/>
      <c r="Y750" s="43"/>
      <c r="Z750" s="37"/>
      <c r="AA750" s="37"/>
      <c r="AD750" s="37"/>
      <c r="AE750" s="37"/>
      <c r="AF750" s="37"/>
    </row>
    <row r="751" spans="1:32" x14ac:dyDescent="0.25">
      <c r="A751" s="37"/>
      <c r="B751" s="37"/>
      <c r="C751" s="37"/>
      <c r="F751" s="38"/>
      <c r="G751" s="38"/>
      <c r="H751" s="38"/>
      <c r="I751" s="37"/>
      <c r="J751" s="38"/>
      <c r="K751" s="38"/>
      <c r="L751" s="42"/>
      <c r="M751" s="42"/>
      <c r="N751" s="42"/>
      <c r="O751" s="42"/>
      <c r="R751" s="37"/>
      <c r="S751" s="37"/>
      <c r="T751" s="91"/>
      <c r="U751" s="91"/>
      <c r="V751" s="41"/>
      <c r="W751" s="37"/>
      <c r="X751" s="37"/>
      <c r="Y751" s="43"/>
      <c r="Z751" s="37"/>
      <c r="AA751" s="37"/>
      <c r="AD751" s="37"/>
      <c r="AE751" s="37"/>
      <c r="AF751" s="37"/>
    </row>
    <row r="752" spans="1:32" x14ac:dyDescent="0.25">
      <c r="A752" s="37"/>
      <c r="B752" s="37"/>
      <c r="C752" s="37"/>
      <c r="F752" s="38"/>
      <c r="G752" s="38"/>
      <c r="H752" s="38"/>
      <c r="I752" s="37"/>
      <c r="J752" s="38"/>
      <c r="K752" s="38"/>
      <c r="L752" s="42"/>
      <c r="M752" s="42"/>
      <c r="N752" s="42"/>
      <c r="O752" s="42"/>
      <c r="R752" s="37"/>
      <c r="S752" s="37"/>
      <c r="T752" s="91"/>
      <c r="U752" s="91"/>
      <c r="V752" s="41"/>
      <c r="W752" s="37"/>
      <c r="X752" s="37"/>
      <c r="Y752" s="43"/>
      <c r="Z752" s="37"/>
      <c r="AA752" s="37"/>
      <c r="AD752" s="37"/>
      <c r="AE752" s="37"/>
      <c r="AF752" s="37"/>
    </row>
    <row r="753" spans="1:32" x14ac:dyDescent="0.25">
      <c r="A753" s="37"/>
      <c r="B753" s="37"/>
      <c r="C753" s="37"/>
      <c r="F753" s="38"/>
      <c r="G753" s="38"/>
      <c r="H753" s="38"/>
      <c r="I753" s="37"/>
      <c r="J753" s="38"/>
      <c r="K753" s="38"/>
      <c r="L753" s="42"/>
      <c r="M753" s="42"/>
      <c r="N753" s="42"/>
      <c r="O753" s="42"/>
      <c r="R753" s="37"/>
      <c r="S753" s="37"/>
      <c r="T753" s="91"/>
      <c r="U753" s="91"/>
      <c r="V753" s="41"/>
      <c r="W753" s="37"/>
      <c r="X753" s="37"/>
      <c r="Y753" s="43"/>
      <c r="Z753" s="37"/>
      <c r="AA753" s="37"/>
      <c r="AD753" s="37"/>
      <c r="AE753" s="37"/>
      <c r="AF753" s="37"/>
    </row>
    <row r="754" spans="1:32" x14ac:dyDescent="0.25">
      <c r="A754" s="37"/>
      <c r="B754" s="37"/>
      <c r="C754" s="37"/>
      <c r="F754" s="38"/>
      <c r="G754" s="38"/>
      <c r="H754" s="38"/>
      <c r="I754" s="37"/>
      <c r="J754" s="38"/>
      <c r="K754" s="38"/>
      <c r="L754" s="42"/>
      <c r="M754" s="42"/>
      <c r="N754" s="42"/>
      <c r="O754" s="42"/>
      <c r="R754" s="37"/>
      <c r="S754" s="37"/>
      <c r="T754" s="91"/>
      <c r="U754" s="91"/>
      <c r="V754" s="41"/>
      <c r="W754" s="37"/>
      <c r="X754" s="37"/>
      <c r="Y754" s="43"/>
      <c r="Z754" s="37"/>
      <c r="AA754" s="37"/>
      <c r="AD754" s="37"/>
      <c r="AE754" s="37"/>
      <c r="AF754" s="37"/>
    </row>
    <row r="755" spans="1:32" x14ac:dyDescent="0.25">
      <c r="A755" s="37"/>
      <c r="B755" s="37"/>
      <c r="C755" s="37"/>
      <c r="F755" s="38"/>
      <c r="G755" s="38"/>
      <c r="H755" s="38"/>
      <c r="I755" s="37"/>
      <c r="J755" s="38"/>
      <c r="K755" s="38"/>
      <c r="L755" s="42"/>
      <c r="M755" s="42"/>
      <c r="N755" s="42"/>
      <c r="O755" s="42"/>
      <c r="R755" s="37"/>
      <c r="S755" s="37"/>
      <c r="T755" s="91"/>
      <c r="U755" s="91"/>
      <c r="V755" s="41"/>
      <c r="W755" s="37"/>
      <c r="X755" s="37"/>
      <c r="Y755" s="43"/>
      <c r="Z755" s="37"/>
      <c r="AA755" s="37"/>
      <c r="AD755" s="37"/>
      <c r="AE755" s="37"/>
      <c r="AF755" s="37"/>
    </row>
    <row r="756" spans="1:32" x14ac:dyDescent="0.25">
      <c r="A756" s="37"/>
      <c r="B756" s="37"/>
      <c r="C756" s="37"/>
      <c r="F756" s="38"/>
      <c r="G756" s="38"/>
      <c r="H756" s="38"/>
      <c r="I756" s="37"/>
      <c r="J756" s="38"/>
      <c r="K756" s="38"/>
      <c r="L756" s="42"/>
      <c r="M756" s="42"/>
      <c r="N756" s="42"/>
      <c r="O756" s="42"/>
      <c r="R756" s="37"/>
      <c r="S756" s="37"/>
      <c r="T756" s="91"/>
      <c r="U756" s="91"/>
      <c r="V756" s="41"/>
      <c r="W756" s="37"/>
      <c r="X756" s="37"/>
      <c r="Y756" s="43"/>
      <c r="Z756" s="37"/>
      <c r="AA756" s="37"/>
      <c r="AD756" s="37"/>
      <c r="AE756" s="37"/>
      <c r="AF756" s="37"/>
    </row>
    <row r="757" spans="1:32" x14ac:dyDescent="0.25">
      <c r="A757" s="37"/>
      <c r="B757" s="37"/>
      <c r="C757" s="37"/>
      <c r="F757" s="38"/>
      <c r="G757" s="38"/>
      <c r="H757" s="38"/>
      <c r="I757" s="37"/>
      <c r="J757" s="38"/>
      <c r="K757" s="38"/>
      <c r="L757" s="42"/>
      <c r="M757" s="42"/>
      <c r="N757" s="42"/>
      <c r="O757" s="42"/>
      <c r="R757" s="37"/>
      <c r="S757" s="37"/>
      <c r="T757" s="91"/>
      <c r="U757" s="91"/>
      <c r="V757" s="41"/>
      <c r="W757" s="37"/>
      <c r="X757" s="37"/>
      <c r="Y757" s="43"/>
      <c r="Z757" s="37"/>
      <c r="AA757" s="37"/>
      <c r="AD757" s="37"/>
      <c r="AE757" s="37"/>
      <c r="AF757" s="37"/>
    </row>
    <row r="758" spans="1:32" x14ac:dyDescent="0.25">
      <c r="A758" s="37"/>
      <c r="B758" s="37"/>
      <c r="C758" s="37"/>
      <c r="F758" s="38"/>
      <c r="G758" s="38"/>
      <c r="H758" s="38"/>
      <c r="I758" s="37"/>
      <c r="J758" s="38"/>
      <c r="K758" s="38"/>
      <c r="L758" s="42"/>
      <c r="M758" s="42"/>
      <c r="N758" s="42"/>
      <c r="O758" s="42"/>
      <c r="R758" s="37"/>
      <c r="S758" s="37"/>
      <c r="T758" s="91"/>
      <c r="U758" s="91"/>
      <c r="V758" s="41"/>
      <c r="W758" s="37"/>
      <c r="X758" s="37"/>
      <c r="Y758" s="43"/>
      <c r="Z758" s="37"/>
      <c r="AA758" s="37"/>
      <c r="AD758" s="37"/>
      <c r="AE758" s="37"/>
      <c r="AF758" s="37"/>
    </row>
    <row r="759" spans="1:32" x14ac:dyDescent="0.25">
      <c r="A759" s="37"/>
      <c r="B759" s="37"/>
      <c r="C759" s="37"/>
      <c r="F759" s="38"/>
      <c r="G759" s="38"/>
      <c r="H759" s="38"/>
      <c r="I759" s="37"/>
      <c r="J759" s="38"/>
      <c r="K759" s="38"/>
      <c r="L759" s="42"/>
      <c r="M759" s="42"/>
      <c r="N759" s="42"/>
      <c r="O759" s="42"/>
      <c r="R759" s="37"/>
      <c r="S759" s="37"/>
      <c r="T759" s="91"/>
      <c r="U759" s="91"/>
      <c r="V759" s="41"/>
      <c r="W759" s="37"/>
      <c r="X759" s="37"/>
      <c r="Y759" s="43"/>
      <c r="Z759" s="37"/>
      <c r="AA759" s="37"/>
      <c r="AD759" s="37"/>
      <c r="AE759" s="37"/>
      <c r="AF759" s="37"/>
    </row>
    <row r="760" spans="1:32" x14ac:dyDescent="0.25">
      <c r="A760" s="37"/>
      <c r="B760" s="37"/>
      <c r="C760" s="37"/>
      <c r="F760" s="38"/>
      <c r="G760" s="38"/>
      <c r="H760" s="38"/>
      <c r="I760" s="37"/>
      <c r="J760" s="38"/>
      <c r="K760" s="38"/>
      <c r="L760" s="42"/>
      <c r="M760" s="42"/>
      <c r="N760" s="42"/>
      <c r="O760" s="42"/>
      <c r="R760" s="37"/>
      <c r="S760" s="37"/>
      <c r="T760" s="91"/>
      <c r="U760" s="91"/>
      <c r="V760" s="41"/>
      <c r="W760" s="37"/>
      <c r="X760" s="37"/>
      <c r="Y760" s="43"/>
      <c r="Z760" s="37"/>
      <c r="AA760" s="37"/>
      <c r="AD760" s="37"/>
      <c r="AE760" s="37"/>
      <c r="AF760" s="37"/>
    </row>
    <row r="761" spans="1:32" x14ac:dyDescent="0.25">
      <c r="A761" s="37"/>
      <c r="B761" s="37"/>
      <c r="C761" s="37"/>
      <c r="F761" s="38"/>
      <c r="G761" s="38"/>
      <c r="H761" s="38"/>
      <c r="I761" s="37"/>
      <c r="J761" s="38"/>
      <c r="K761" s="38"/>
      <c r="L761" s="42"/>
      <c r="M761" s="42"/>
      <c r="N761" s="42"/>
      <c r="O761" s="42"/>
      <c r="R761" s="37"/>
      <c r="S761" s="37"/>
      <c r="T761" s="91"/>
      <c r="U761" s="91"/>
      <c r="V761" s="41"/>
      <c r="W761" s="37"/>
      <c r="X761" s="37"/>
      <c r="Y761" s="43"/>
      <c r="Z761" s="37"/>
      <c r="AA761" s="37"/>
      <c r="AD761" s="37"/>
      <c r="AE761" s="37"/>
      <c r="AF761" s="37"/>
    </row>
    <row r="762" spans="1:32" x14ac:dyDescent="0.25">
      <c r="A762" s="37"/>
      <c r="B762" s="37"/>
      <c r="C762" s="37"/>
      <c r="F762" s="38"/>
      <c r="G762" s="38"/>
      <c r="H762" s="38"/>
      <c r="I762" s="37"/>
      <c r="J762" s="38"/>
      <c r="K762" s="38"/>
      <c r="L762" s="42"/>
      <c r="M762" s="42"/>
      <c r="N762" s="42"/>
      <c r="O762" s="42"/>
      <c r="R762" s="37"/>
      <c r="S762" s="37"/>
      <c r="T762" s="91"/>
      <c r="U762" s="91"/>
      <c r="V762" s="41"/>
      <c r="W762" s="37"/>
      <c r="X762" s="37"/>
      <c r="Y762" s="43"/>
      <c r="Z762" s="37"/>
      <c r="AA762" s="37"/>
      <c r="AD762" s="37"/>
      <c r="AE762" s="37"/>
      <c r="AF762" s="37"/>
    </row>
    <row r="763" spans="1:32" x14ac:dyDescent="0.25">
      <c r="A763" s="37"/>
      <c r="B763" s="37"/>
      <c r="C763" s="37"/>
      <c r="F763" s="38"/>
      <c r="G763" s="38"/>
      <c r="H763" s="38"/>
      <c r="I763" s="37"/>
      <c r="J763" s="38"/>
      <c r="K763" s="38"/>
      <c r="L763" s="42"/>
      <c r="M763" s="42"/>
      <c r="N763" s="42"/>
      <c r="O763" s="42"/>
      <c r="R763" s="37"/>
      <c r="S763" s="37"/>
      <c r="T763" s="91"/>
      <c r="U763" s="91"/>
      <c r="V763" s="41"/>
      <c r="W763" s="37"/>
      <c r="X763" s="37"/>
      <c r="Y763" s="43"/>
      <c r="Z763" s="37"/>
      <c r="AA763" s="37"/>
      <c r="AD763" s="37"/>
      <c r="AE763" s="37"/>
      <c r="AF763" s="37"/>
    </row>
    <row r="764" spans="1:32" x14ac:dyDescent="0.25">
      <c r="A764" s="37"/>
      <c r="B764" s="37"/>
      <c r="C764" s="37"/>
      <c r="F764" s="38"/>
      <c r="G764" s="38"/>
      <c r="H764" s="38"/>
      <c r="I764" s="37"/>
      <c r="J764" s="38"/>
      <c r="K764" s="38"/>
      <c r="L764" s="42"/>
      <c r="M764" s="42"/>
      <c r="N764" s="42"/>
      <c r="O764" s="42"/>
      <c r="R764" s="37"/>
      <c r="S764" s="37"/>
      <c r="T764" s="91"/>
      <c r="U764" s="91"/>
      <c r="V764" s="41"/>
      <c r="W764" s="37"/>
      <c r="X764" s="37"/>
      <c r="Y764" s="43"/>
      <c r="Z764" s="37"/>
      <c r="AA764" s="37"/>
      <c r="AD764" s="37"/>
      <c r="AE764" s="37"/>
      <c r="AF764" s="37"/>
    </row>
    <row r="765" spans="1:32" x14ac:dyDescent="0.25">
      <c r="A765" s="37"/>
      <c r="B765" s="37"/>
      <c r="C765" s="37"/>
      <c r="F765" s="38"/>
      <c r="G765" s="38"/>
      <c r="H765" s="38"/>
      <c r="I765" s="37"/>
      <c r="J765" s="38"/>
      <c r="K765" s="38"/>
      <c r="L765" s="42"/>
      <c r="M765" s="42"/>
      <c r="N765" s="42"/>
      <c r="O765" s="42"/>
      <c r="R765" s="37"/>
      <c r="S765" s="37"/>
      <c r="T765" s="91"/>
      <c r="U765" s="91"/>
      <c r="V765" s="41"/>
      <c r="W765" s="37"/>
      <c r="X765" s="37"/>
      <c r="Y765" s="43"/>
      <c r="Z765" s="37"/>
      <c r="AA765" s="37"/>
      <c r="AD765" s="37"/>
      <c r="AE765" s="37"/>
      <c r="AF765" s="37"/>
    </row>
    <row r="766" spans="1:32" x14ac:dyDescent="0.25">
      <c r="A766" s="37"/>
      <c r="B766" s="37"/>
      <c r="C766" s="37"/>
      <c r="F766" s="38"/>
      <c r="G766" s="38"/>
      <c r="H766" s="38"/>
      <c r="I766" s="37"/>
      <c r="J766" s="38"/>
      <c r="K766" s="38"/>
      <c r="L766" s="42"/>
      <c r="M766" s="42"/>
      <c r="N766" s="42"/>
      <c r="O766" s="42"/>
      <c r="R766" s="37"/>
      <c r="S766" s="37"/>
      <c r="T766" s="91"/>
      <c r="U766" s="91"/>
      <c r="V766" s="41"/>
      <c r="W766" s="37"/>
      <c r="X766" s="37"/>
      <c r="Y766" s="43"/>
      <c r="Z766" s="37"/>
      <c r="AA766" s="37"/>
      <c r="AD766" s="37"/>
      <c r="AE766" s="37"/>
      <c r="AF766" s="37"/>
    </row>
    <row r="767" spans="1:32" x14ac:dyDescent="0.25">
      <c r="A767" s="37"/>
      <c r="B767" s="37"/>
      <c r="C767" s="37"/>
      <c r="F767" s="38"/>
      <c r="G767" s="38"/>
      <c r="H767" s="38"/>
      <c r="I767" s="37"/>
      <c r="J767" s="38"/>
      <c r="K767" s="38"/>
      <c r="L767" s="42"/>
      <c r="M767" s="42"/>
      <c r="N767" s="42"/>
      <c r="O767" s="42"/>
      <c r="R767" s="37"/>
      <c r="S767" s="37"/>
      <c r="T767" s="91"/>
      <c r="U767" s="91"/>
      <c r="V767" s="41"/>
      <c r="W767" s="37"/>
      <c r="X767" s="37"/>
      <c r="Y767" s="43"/>
      <c r="Z767" s="37"/>
      <c r="AA767" s="37"/>
      <c r="AD767" s="37"/>
      <c r="AE767" s="37"/>
      <c r="AF767" s="37"/>
    </row>
    <row r="768" spans="1:32" x14ac:dyDescent="0.25">
      <c r="A768" s="37"/>
      <c r="B768" s="37"/>
      <c r="C768" s="37"/>
      <c r="F768" s="38"/>
      <c r="G768" s="38"/>
      <c r="H768" s="38"/>
      <c r="I768" s="37"/>
      <c r="J768" s="38"/>
      <c r="K768" s="38"/>
      <c r="L768" s="42"/>
      <c r="M768" s="42"/>
      <c r="N768" s="42"/>
      <c r="O768" s="42"/>
      <c r="R768" s="37"/>
      <c r="S768" s="37"/>
      <c r="T768" s="91"/>
      <c r="U768" s="91"/>
      <c r="V768" s="41"/>
      <c r="W768" s="37"/>
      <c r="X768" s="37"/>
      <c r="Y768" s="43"/>
      <c r="Z768" s="37"/>
      <c r="AA768" s="37"/>
      <c r="AD768" s="37"/>
      <c r="AE768" s="37"/>
      <c r="AF768" s="37"/>
    </row>
    <row r="769" spans="1:32" x14ac:dyDescent="0.25">
      <c r="A769" s="37"/>
      <c r="B769" s="37"/>
      <c r="C769" s="37"/>
      <c r="F769" s="38"/>
      <c r="G769" s="38"/>
      <c r="H769" s="38"/>
      <c r="I769" s="37"/>
      <c r="J769" s="38"/>
      <c r="K769" s="38"/>
      <c r="L769" s="42"/>
      <c r="M769" s="42"/>
      <c r="N769" s="42"/>
      <c r="O769" s="42"/>
      <c r="R769" s="37"/>
      <c r="S769" s="37"/>
      <c r="T769" s="91"/>
      <c r="U769" s="91"/>
      <c r="V769" s="41"/>
      <c r="W769" s="37"/>
      <c r="X769" s="37"/>
      <c r="Y769" s="43"/>
      <c r="Z769" s="37"/>
      <c r="AA769" s="37"/>
      <c r="AD769" s="37"/>
      <c r="AE769" s="37"/>
      <c r="AF769" s="37"/>
    </row>
    <row r="770" spans="1:32" x14ac:dyDescent="0.25">
      <c r="A770" s="37"/>
      <c r="B770" s="37"/>
      <c r="C770" s="37"/>
      <c r="F770" s="38"/>
      <c r="G770" s="38"/>
      <c r="H770" s="38"/>
      <c r="I770" s="37"/>
      <c r="J770" s="38"/>
      <c r="K770" s="38"/>
      <c r="L770" s="42"/>
      <c r="M770" s="42"/>
      <c r="N770" s="42"/>
      <c r="O770" s="42"/>
      <c r="R770" s="37"/>
      <c r="S770" s="37"/>
      <c r="T770" s="91"/>
      <c r="U770" s="91"/>
      <c r="V770" s="41"/>
      <c r="W770" s="37"/>
      <c r="X770" s="37"/>
      <c r="Y770" s="43"/>
      <c r="Z770" s="37"/>
      <c r="AA770" s="37"/>
      <c r="AD770" s="37"/>
      <c r="AE770" s="37"/>
      <c r="AF770" s="37"/>
    </row>
    <row r="771" spans="1:32" x14ac:dyDescent="0.25">
      <c r="A771" s="37"/>
      <c r="B771" s="37"/>
      <c r="C771" s="37"/>
      <c r="F771" s="38"/>
      <c r="G771" s="38"/>
      <c r="H771" s="38"/>
      <c r="I771" s="37"/>
      <c r="J771" s="38"/>
      <c r="K771" s="38"/>
      <c r="L771" s="42"/>
      <c r="M771" s="42"/>
      <c r="N771" s="42"/>
      <c r="O771" s="42"/>
      <c r="R771" s="37"/>
      <c r="S771" s="37"/>
      <c r="T771" s="91"/>
      <c r="U771" s="91"/>
      <c r="V771" s="41"/>
      <c r="W771" s="37"/>
      <c r="X771" s="37"/>
      <c r="Y771" s="43"/>
      <c r="Z771" s="37"/>
      <c r="AA771" s="37"/>
      <c r="AD771" s="37"/>
      <c r="AE771" s="37"/>
      <c r="AF771" s="37"/>
    </row>
    <row r="772" spans="1:32" x14ac:dyDescent="0.25">
      <c r="A772" s="37"/>
      <c r="B772" s="37"/>
      <c r="C772" s="37"/>
      <c r="F772" s="38"/>
      <c r="G772" s="38"/>
      <c r="H772" s="38"/>
      <c r="I772" s="37"/>
      <c r="J772" s="38"/>
      <c r="K772" s="38"/>
      <c r="L772" s="42"/>
      <c r="M772" s="42"/>
      <c r="N772" s="42"/>
      <c r="O772" s="42"/>
      <c r="R772" s="37"/>
      <c r="S772" s="37"/>
      <c r="T772" s="91"/>
      <c r="U772" s="91"/>
      <c r="V772" s="41"/>
      <c r="W772" s="37"/>
      <c r="X772" s="37"/>
      <c r="Y772" s="43"/>
      <c r="Z772" s="37"/>
      <c r="AA772" s="37"/>
      <c r="AD772" s="37"/>
      <c r="AE772" s="37"/>
      <c r="AF772" s="37"/>
    </row>
    <row r="773" spans="1:32" x14ac:dyDescent="0.25">
      <c r="A773" s="37"/>
      <c r="B773" s="37"/>
      <c r="C773" s="37"/>
      <c r="F773" s="38"/>
      <c r="G773" s="38"/>
      <c r="H773" s="38"/>
      <c r="I773" s="37"/>
      <c r="J773" s="38"/>
      <c r="K773" s="38"/>
      <c r="L773" s="42"/>
      <c r="M773" s="42"/>
      <c r="N773" s="42"/>
      <c r="O773" s="42"/>
      <c r="R773" s="37"/>
      <c r="S773" s="37"/>
      <c r="T773" s="91"/>
      <c r="U773" s="91"/>
      <c r="V773" s="41"/>
      <c r="W773" s="37"/>
      <c r="X773" s="37"/>
      <c r="Y773" s="43"/>
      <c r="Z773" s="37"/>
      <c r="AA773" s="37"/>
      <c r="AD773" s="37"/>
      <c r="AE773" s="37"/>
      <c r="AF773" s="37"/>
    </row>
    <row r="774" spans="1:32" x14ac:dyDescent="0.25">
      <c r="A774" s="37"/>
      <c r="B774" s="37"/>
      <c r="C774" s="37"/>
      <c r="F774" s="38"/>
      <c r="G774" s="38"/>
      <c r="H774" s="38"/>
      <c r="I774" s="37"/>
      <c r="J774" s="38"/>
      <c r="K774" s="38"/>
      <c r="L774" s="42"/>
      <c r="M774" s="42"/>
      <c r="N774" s="42"/>
      <c r="O774" s="42"/>
      <c r="R774" s="37"/>
      <c r="S774" s="37"/>
      <c r="T774" s="91"/>
      <c r="U774" s="91"/>
      <c r="V774" s="41"/>
      <c r="W774" s="37"/>
      <c r="X774" s="37"/>
      <c r="Y774" s="43"/>
      <c r="Z774" s="37"/>
      <c r="AA774" s="37"/>
      <c r="AD774" s="37"/>
      <c r="AE774" s="37"/>
      <c r="AF774" s="37"/>
    </row>
    <row r="775" spans="1:32" x14ac:dyDescent="0.25">
      <c r="A775" s="37"/>
      <c r="B775" s="37"/>
      <c r="C775" s="37"/>
      <c r="F775" s="38"/>
      <c r="G775" s="38"/>
      <c r="H775" s="38"/>
      <c r="I775" s="37"/>
      <c r="J775" s="38"/>
      <c r="K775" s="38"/>
      <c r="L775" s="42"/>
      <c r="M775" s="42"/>
      <c r="N775" s="42"/>
      <c r="O775" s="42"/>
      <c r="R775" s="37"/>
      <c r="S775" s="37"/>
      <c r="T775" s="91"/>
      <c r="U775" s="91"/>
      <c r="V775" s="41"/>
      <c r="W775" s="37"/>
      <c r="X775" s="37"/>
      <c r="Y775" s="43"/>
      <c r="Z775" s="37"/>
      <c r="AA775" s="37"/>
      <c r="AD775" s="37"/>
      <c r="AE775" s="37"/>
      <c r="AF775" s="37"/>
    </row>
    <row r="776" spans="1:32" x14ac:dyDescent="0.25">
      <c r="A776" s="37"/>
      <c r="B776" s="37"/>
      <c r="C776" s="37"/>
      <c r="F776" s="38"/>
      <c r="G776" s="38"/>
      <c r="H776" s="38"/>
      <c r="I776" s="37"/>
      <c r="J776" s="38"/>
      <c r="K776" s="38"/>
      <c r="L776" s="42"/>
      <c r="M776" s="42"/>
      <c r="N776" s="42"/>
      <c r="O776" s="42"/>
      <c r="R776" s="37"/>
      <c r="S776" s="37"/>
      <c r="T776" s="91"/>
      <c r="U776" s="91"/>
      <c r="V776" s="41"/>
      <c r="W776" s="37"/>
      <c r="X776" s="37"/>
      <c r="Y776" s="43"/>
      <c r="Z776" s="37"/>
      <c r="AA776" s="37"/>
      <c r="AD776" s="37"/>
      <c r="AE776" s="37"/>
      <c r="AF776" s="37"/>
    </row>
    <row r="777" spans="1:32" x14ac:dyDescent="0.25">
      <c r="A777" s="37"/>
      <c r="B777" s="37"/>
      <c r="C777" s="37"/>
      <c r="F777" s="38"/>
      <c r="G777" s="38"/>
      <c r="H777" s="38"/>
      <c r="I777" s="37"/>
      <c r="J777" s="38"/>
      <c r="K777" s="38"/>
      <c r="L777" s="42"/>
      <c r="M777" s="42"/>
      <c r="N777" s="42"/>
      <c r="O777" s="42"/>
      <c r="R777" s="37"/>
      <c r="S777" s="37"/>
      <c r="T777" s="91"/>
      <c r="U777" s="91"/>
      <c r="V777" s="41"/>
      <c r="W777" s="37"/>
      <c r="X777" s="37"/>
      <c r="Y777" s="43"/>
      <c r="Z777" s="37"/>
      <c r="AA777" s="37"/>
      <c r="AD777" s="37"/>
      <c r="AE777" s="37"/>
      <c r="AF777" s="37"/>
    </row>
    <row r="778" spans="1:32" x14ac:dyDescent="0.25">
      <c r="A778" s="37"/>
      <c r="B778" s="37"/>
      <c r="C778" s="37"/>
      <c r="F778" s="38"/>
      <c r="G778" s="38"/>
      <c r="H778" s="38"/>
      <c r="I778" s="37"/>
      <c r="J778" s="38"/>
      <c r="K778" s="38"/>
      <c r="L778" s="42"/>
      <c r="M778" s="42"/>
      <c r="N778" s="42"/>
      <c r="O778" s="42"/>
      <c r="R778" s="37"/>
      <c r="S778" s="37"/>
      <c r="T778" s="91"/>
      <c r="U778" s="91"/>
      <c r="V778" s="41"/>
      <c r="W778" s="37"/>
      <c r="X778" s="37"/>
      <c r="Y778" s="43"/>
      <c r="Z778" s="37"/>
      <c r="AA778" s="37"/>
      <c r="AD778" s="37"/>
      <c r="AE778" s="37"/>
      <c r="AF778" s="37"/>
    </row>
    <row r="779" spans="1:32" x14ac:dyDescent="0.25">
      <c r="A779" s="37"/>
      <c r="B779" s="37"/>
      <c r="C779" s="37"/>
      <c r="F779" s="38"/>
      <c r="G779" s="38"/>
      <c r="H779" s="38"/>
      <c r="I779" s="37"/>
      <c r="J779" s="38"/>
      <c r="K779" s="38"/>
      <c r="L779" s="42"/>
      <c r="M779" s="42"/>
      <c r="N779" s="42"/>
      <c r="O779" s="42"/>
      <c r="R779" s="37"/>
      <c r="S779" s="37"/>
      <c r="T779" s="91"/>
      <c r="U779" s="91"/>
      <c r="V779" s="41"/>
      <c r="W779" s="37"/>
      <c r="X779" s="37"/>
      <c r="Y779" s="43"/>
      <c r="Z779" s="37"/>
      <c r="AA779" s="37"/>
      <c r="AD779" s="37"/>
      <c r="AE779" s="37"/>
      <c r="AF779" s="37"/>
    </row>
    <row r="780" spans="1:32" x14ac:dyDescent="0.25">
      <c r="A780" s="37"/>
      <c r="B780" s="37"/>
      <c r="C780" s="37"/>
      <c r="F780" s="38"/>
      <c r="G780" s="38"/>
      <c r="H780" s="38"/>
      <c r="I780" s="37"/>
      <c r="J780" s="38"/>
      <c r="K780" s="38"/>
      <c r="L780" s="42"/>
      <c r="M780" s="42"/>
      <c r="N780" s="42"/>
      <c r="O780" s="42"/>
      <c r="R780" s="37"/>
      <c r="S780" s="37"/>
      <c r="T780" s="91"/>
      <c r="U780" s="91"/>
      <c r="V780" s="41"/>
      <c r="W780" s="37"/>
      <c r="X780" s="37"/>
      <c r="Y780" s="43"/>
      <c r="Z780" s="37"/>
      <c r="AA780" s="37"/>
      <c r="AD780" s="37"/>
      <c r="AE780" s="37"/>
      <c r="AF780" s="37"/>
    </row>
    <row r="781" spans="1:32" x14ac:dyDescent="0.25">
      <c r="A781" s="37"/>
      <c r="B781" s="37"/>
      <c r="C781" s="37"/>
      <c r="F781" s="38"/>
      <c r="G781" s="38"/>
      <c r="H781" s="38"/>
      <c r="I781" s="37"/>
      <c r="J781" s="38"/>
      <c r="K781" s="38"/>
      <c r="L781" s="42"/>
      <c r="M781" s="42"/>
      <c r="N781" s="42"/>
      <c r="O781" s="42"/>
      <c r="R781" s="37"/>
      <c r="S781" s="37"/>
      <c r="T781" s="91"/>
      <c r="U781" s="91"/>
      <c r="V781" s="41"/>
      <c r="W781" s="37"/>
      <c r="X781" s="37"/>
      <c r="Y781" s="43"/>
      <c r="Z781" s="37"/>
      <c r="AA781" s="37"/>
      <c r="AD781" s="37"/>
      <c r="AE781" s="37"/>
      <c r="AF781" s="37"/>
    </row>
    <row r="782" spans="1:32" x14ac:dyDescent="0.25">
      <c r="A782" s="37"/>
      <c r="B782" s="37"/>
      <c r="C782" s="37"/>
      <c r="F782" s="38"/>
      <c r="G782" s="38"/>
      <c r="H782" s="38"/>
      <c r="I782" s="37"/>
      <c r="J782" s="38"/>
      <c r="K782" s="38"/>
      <c r="L782" s="42"/>
      <c r="M782" s="42"/>
      <c r="N782" s="42"/>
      <c r="O782" s="42"/>
      <c r="R782" s="37"/>
      <c r="S782" s="37"/>
      <c r="T782" s="91"/>
      <c r="U782" s="91"/>
      <c r="V782" s="41"/>
      <c r="W782" s="37"/>
      <c r="X782" s="37"/>
      <c r="Y782" s="43"/>
      <c r="Z782" s="37"/>
      <c r="AA782" s="37"/>
      <c r="AD782" s="37"/>
      <c r="AE782" s="37"/>
      <c r="AF782" s="37"/>
    </row>
    <row r="783" spans="1:32" x14ac:dyDescent="0.25">
      <c r="A783" s="37"/>
      <c r="B783" s="37"/>
      <c r="C783" s="37"/>
      <c r="F783" s="38"/>
      <c r="G783" s="38"/>
      <c r="H783" s="38"/>
      <c r="I783" s="37"/>
      <c r="J783" s="38"/>
      <c r="K783" s="38"/>
      <c r="L783" s="42"/>
      <c r="M783" s="42"/>
      <c r="N783" s="42"/>
      <c r="O783" s="42"/>
      <c r="R783" s="37"/>
      <c r="S783" s="37"/>
      <c r="T783" s="91"/>
      <c r="U783" s="91"/>
      <c r="V783" s="41"/>
      <c r="W783" s="37"/>
      <c r="X783" s="37"/>
      <c r="Y783" s="43"/>
      <c r="Z783" s="37"/>
      <c r="AA783" s="37"/>
      <c r="AD783" s="37"/>
      <c r="AE783" s="37"/>
      <c r="AF783" s="37"/>
    </row>
    <row r="784" spans="1:32" x14ac:dyDescent="0.25">
      <c r="A784" s="37"/>
      <c r="B784" s="37"/>
      <c r="C784" s="37"/>
      <c r="F784" s="38"/>
      <c r="G784" s="38"/>
      <c r="H784" s="38"/>
      <c r="I784" s="37"/>
      <c r="J784" s="38"/>
      <c r="K784" s="38"/>
      <c r="L784" s="42"/>
      <c r="M784" s="42"/>
      <c r="N784" s="42"/>
      <c r="O784" s="42"/>
      <c r="R784" s="37"/>
      <c r="S784" s="37"/>
      <c r="T784" s="91"/>
      <c r="U784" s="91"/>
      <c r="V784" s="41"/>
      <c r="W784" s="37"/>
      <c r="X784" s="37"/>
      <c r="Y784" s="43"/>
      <c r="Z784" s="37"/>
      <c r="AA784" s="37"/>
      <c r="AD784" s="37"/>
      <c r="AE784" s="37"/>
      <c r="AF784" s="37"/>
    </row>
    <row r="785" spans="1:32" x14ac:dyDescent="0.25">
      <c r="A785" s="37"/>
      <c r="B785" s="37"/>
      <c r="C785" s="37"/>
      <c r="F785" s="38"/>
      <c r="G785" s="38"/>
      <c r="H785" s="38"/>
      <c r="I785" s="37"/>
      <c r="J785" s="38"/>
      <c r="K785" s="38"/>
      <c r="L785" s="42"/>
      <c r="M785" s="42"/>
      <c r="N785" s="42"/>
      <c r="O785" s="42"/>
      <c r="R785" s="37"/>
      <c r="S785" s="37"/>
      <c r="T785" s="91"/>
      <c r="U785" s="91"/>
      <c r="V785" s="41"/>
      <c r="W785" s="37"/>
      <c r="X785" s="37"/>
      <c r="Y785" s="43"/>
      <c r="Z785" s="37"/>
      <c r="AA785" s="37"/>
      <c r="AD785" s="37"/>
      <c r="AE785" s="37"/>
      <c r="AF785" s="37"/>
    </row>
    <row r="786" spans="1:32" x14ac:dyDescent="0.25">
      <c r="A786" s="37"/>
      <c r="B786" s="37"/>
      <c r="C786" s="37"/>
      <c r="F786" s="38"/>
      <c r="G786" s="38"/>
      <c r="H786" s="38"/>
      <c r="I786" s="37"/>
      <c r="J786" s="38"/>
      <c r="K786" s="38"/>
      <c r="L786" s="42"/>
      <c r="M786" s="42"/>
      <c r="N786" s="42"/>
      <c r="O786" s="42"/>
      <c r="R786" s="37"/>
      <c r="S786" s="37"/>
      <c r="T786" s="91"/>
      <c r="U786" s="91"/>
      <c r="V786" s="41"/>
      <c r="W786" s="37"/>
      <c r="X786" s="37"/>
      <c r="Y786" s="43"/>
      <c r="Z786" s="37"/>
      <c r="AA786" s="37"/>
      <c r="AD786" s="37"/>
      <c r="AE786" s="37"/>
      <c r="AF786" s="37"/>
    </row>
    <row r="787" spans="1:32" x14ac:dyDescent="0.25">
      <c r="A787" s="37"/>
      <c r="B787" s="37"/>
      <c r="C787" s="37"/>
      <c r="F787" s="38"/>
      <c r="G787" s="38"/>
      <c r="H787" s="38"/>
      <c r="I787" s="37"/>
      <c r="J787" s="38"/>
      <c r="K787" s="38"/>
      <c r="L787" s="42"/>
      <c r="M787" s="42"/>
      <c r="N787" s="42"/>
      <c r="O787" s="42"/>
      <c r="R787" s="37"/>
      <c r="S787" s="37"/>
      <c r="T787" s="91"/>
      <c r="U787" s="91"/>
      <c r="V787" s="41"/>
      <c r="W787" s="37"/>
      <c r="X787" s="37"/>
      <c r="Y787" s="43"/>
      <c r="Z787" s="37"/>
      <c r="AA787" s="37"/>
      <c r="AD787" s="37"/>
      <c r="AE787" s="37"/>
      <c r="AF787" s="37"/>
    </row>
    <row r="788" spans="1:32" x14ac:dyDescent="0.25">
      <c r="A788" s="37"/>
      <c r="B788" s="37"/>
      <c r="C788" s="37"/>
      <c r="F788" s="38"/>
      <c r="G788" s="38"/>
      <c r="H788" s="38"/>
      <c r="I788" s="37"/>
      <c r="J788" s="38"/>
      <c r="K788" s="38"/>
      <c r="L788" s="42"/>
      <c r="M788" s="42"/>
      <c r="N788" s="42"/>
      <c r="O788" s="42"/>
      <c r="R788" s="37"/>
      <c r="S788" s="37"/>
      <c r="T788" s="91"/>
      <c r="U788" s="91"/>
      <c r="V788" s="41"/>
      <c r="W788" s="37"/>
      <c r="X788" s="37"/>
      <c r="Y788" s="43"/>
      <c r="Z788" s="37"/>
      <c r="AA788" s="37"/>
      <c r="AD788" s="37"/>
      <c r="AE788" s="37"/>
      <c r="AF788" s="37"/>
    </row>
    <row r="789" spans="1:32" x14ac:dyDescent="0.25">
      <c r="A789" s="37"/>
      <c r="B789" s="37"/>
      <c r="C789" s="37"/>
      <c r="F789" s="38"/>
      <c r="G789" s="38"/>
      <c r="H789" s="38"/>
      <c r="I789" s="37"/>
      <c r="J789" s="38"/>
      <c r="K789" s="38"/>
      <c r="L789" s="42"/>
      <c r="M789" s="42"/>
      <c r="N789" s="42"/>
      <c r="O789" s="42"/>
      <c r="R789" s="37"/>
      <c r="S789" s="37"/>
      <c r="T789" s="91"/>
      <c r="U789" s="91"/>
      <c r="V789" s="41"/>
      <c r="W789" s="37"/>
      <c r="X789" s="37"/>
      <c r="Y789" s="43"/>
      <c r="Z789" s="37"/>
      <c r="AA789" s="37"/>
      <c r="AD789" s="37"/>
      <c r="AE789" s="37"/>
      <c r="AF789" s="37"/>
    </row>
    <row r="790" spans="1:32" x14ac:dyDescent="0.25">
      <c r="A790" s="37"/>
      <c r="B790" s="37"/>
      <c r="C790" s="37"/>
      <c r="F790" s="38"/>
      <c r="G790" s="38"/>
      <c r="H790" s="38"/>
      <c r="I790" s="37"/>
      <c r="J790" s="38"/>
      <c r="K790" s="38"/>
      <c r="L790" s="42"/>
      <c r="M790" s="42"/>
      <c r="N790" s="42"/>
      <c r="O790" s="42"/>
      <c r="R790" s="37"/>
      <c r="S790" s="37"/>
      <c r="T790" s="91"/>
      <c r="U790" s="91"/>
      <c r="V790" s="41"/>
      <c r="W790" s="37"/>
      <c r="X790" s="37"/>
      <c r="Y790" s="43"/>
      <c r="Z790" s="37"/>
      <c r="AA790" s="37"/>
      <c r="AD790" s="37"/>
      <c r="AE790" s="37"/>
      <c r="AF790" s="37"/>
    </row>
    <row r="791" spans="1:32" x14ac:dyDescent="0.25">
      <c r="A791" s="37"/>
      <c r="B791" s="37"/>
      <c r="C791" s="37"/>
      <c r="F791" s="38"/>
      <c r="G791" s="38"/>
      <c r="H791" s="38"/>
      <c r="I791" s="37"/>
      <c r="J791" s="38"/>
      <c r="K791" s="38"/>
      <c r="L791" s="42"/>
      <c r="M791" s="42"/>
      <c r="N791" s="42"/>
      <c r="O791" s="42"/>
      <c r="R791" s="37"/>
      <c r="S791" s="37"/>
      <c r="T791" s="91"/>
      <c r="U791" s="91"/>
      <c r="V791" s="41"/>
      <c r="W791" s="37"/>
      <c r="X791" s="37"/>
      <c r="Y791" s="43"/>
      <c r="Z791" s="37"/>
      <c r="AA791" s="37"/>
      <c r="AD791" s="37"/>
      <c r="AE791" s="37"/>
      <c r="AF791" s="37"/>
    </row>
    <row r="792" spans="1:32" x14ac:dyDescent="0.25">
      <c r="A792" s="37"/>
      <c r="B792" s="37"/>
      <c r="C792" s="37"/>
      <c r="F792" s="38"/>
      <c r="G792" s="38"/>
      <c r="H792" s="38"/>
      <c r="I792" s="37"/>
      <c r="J792" s="38"/>
      <c r="K792" s="38"/>
      <c r="L792" s="42"/>
      <c r="M792" s="42"/>
      <c r="N792" s="42"/>
      <c r="O792" s="42"/>
      <c r="R792" s="37"/>
      <c r="S792" s="37"/>
      <c r="T792" s="91"/>
      <c r="U792" s="91"/>
      <c r="V792" s="41"/>
      <c r="W792" s="37"/>
      <c r="X792" s="37"/>
      <c r="Y792" s="43"/>
      <c r="Z792" s="37"/>
      <c r="AA792" s="37"/>
      <c r="AD792" s="37"/>
      <c r="AE792" s="37"/>
      <c r="AF792" s="37"/>
    </row>
    <row r="793" spans="1:32" x14ac:dyDescent="0.25">
      <c r="A793" s="37"/>
      <c r="B793" s="37"/>
      <c r="C793" s="37"/>
      <c r="F793" s="38"/>
      <c r="G793" s="38"/>
      <c r="H793" s="38"/>
      <c r="I793" s="37"/>
      <c r="J793" s="38"/>
      <c r="K793" s="38"/>
      <c r="L793" s="42"/>
      <c r="M793" s="42"/>
      <c r="N793" s="42"/>
      <c r="O793" s="42"/>
      <c r="R793" s="37"/>
      <c r="S793" s="37"/>
      <c r="T793" s="91"/>
      <c r="U793" s="91"/>
      <c r="V793" s="41"/>
      <c r="W793" s="37"/>
      <c r="X793" s="37"/>
      <c r="Y793" s="43"/>
      <c r="Z793" s="37"/>
      <c r="AA793" s="37"/>
      <c r="AD793" s="37"/>
      <c r="AE793" s="37"/>
      <c r="AF793" s="37"/>
    </row>
    <row r="794" spans="1:32" x14ac:dyDescent="0.25">
      <c r="A794" s="37"/>
      <c r="B794" s="37"/>
      <c r="C794" s="37"/>
      <c r="F794" s="38"/>
      <c r="G794" s="38"/>
      <c r="H794" s="38"/>
      <c r="I794" s="37"/>
      <c r="J794" s="38"/>
      <c r="K794" s="38"/>
      <c r="L794" s="42"/>
      <c r="M794" s="42"/>
      <c r="N794" s="42"/>
      <c r="O794" s="42"/>
      <c r="R794" s="37"/>
      <c r="S794" s="37"/>
      <c r="T794" s="91"/>
      <c r="U794" s="91"/>
      <c r="V794" s="41"/>
      <c r="W794" s="37"/>
      <c r="X794" s="37"/>
      <c r="Y794" s="43"/>
      <c r="Z794" s="37"/>
      <c r="AA794" s="37"/>
      <c r="AD794" s="37"/>
      <c r="AE794" s="37"/>
      <c r="AF794" s="37"/>
    </row>
    <row r="795" spans="1:32" x14ac:dyDescent="0.25">
      <c r="A795" s="37"/>
      <c r="B795" s="37"/>
      <c r="C795" s="37"/>
      <c r="F795" s="38"/>
      <c r="G795" s="38"/>
      <c r="H795" s="38"/>
      <c r="I795" s="37"/>
      <c r="J795" s="38"/>
      <c r="K795" s="38"/>
      <c r="L795" s="42"/>
      <c r="M795" s="42"/>
      <c r="N795" s="42"/>
      <c r="O795" s="42"/>
      <c r="R795" s="37"/>
      <c r="S795" s="37"/>
      <c r="T795" s="91"/>
      <c r="U795" s="91"/>
      <c r="V795" s="41"/>
      <c r="W795" s="37"/>
      <c r="X795" s="37"/>
      <c r="Y795" s="43"/>
      <c r="Z795" s="37"/>
      <c r="AA795" s="37"/>
      <c r="AD795" s="37"/>
      <c r="AE795" s="37"/>
      <c r="AF795" s="37"/>
    </row>
    <row r="796" spans="1:32" x14ac:dyDescent="0.25">
      <c r="A796" s="37"/>
      <c r="B796" s="37"/>
      <c r="C796" s="37"/>
      <c r="F796" s="38"/>
      <c r="G796" s="38"/>
      <c r="H796" s="38"/>
      <c r="I796" s="37"/>
      <c r="J796" s="38"/>
      <c r="K796" s="38"/>
      <c r="L796" s="42"/>
      <c r="M796" s="42"/>
      <c r="N796" s="42"/>
      <c r="O796" s="42"/>
      <c r="R796" s="37"/>
      <c r="S796" s="37"/>
      <c r="T796" s="91"/>
      <c r="U796" s="91"/>
      <c r="V796" s="41"/>
      <c r="W796" s="37"/>
      <c r="X796" s="37"/>
      <c r="Y796" s="43"/>
      <c r="Z796" s="37"/>
      <c r="AA796" s="37"/>
      <c r="AD796" s="37"/>
      <c r="AE796" s="37"/>
      <c r="AF796" s="37"/>
    </row>
    <row r="797" spans="1:32" x14ac:dyDescent="0.25">
      <c r="A797" s="37"/>
      <c r="B797" s="37"/>
      <c r="C797" s="37"/>
      <c r="F797" s="38"/>
      <c r="G797" s="38"/>
      <c r="H797" s="38"/>
      <c r="I797" s="37"/>
      <c r="J797" s="38"/>
      <c r="K797" s="38"/>
      <c r="L797" s="42"/>
      <c r="M797" s="42"/>
      <c r="N797" s="42"/>
      <c r="O797" s="42"/>
      <c r="R797" s="37"/>
      <c r="S797" s="37"/>
      <c r="T797" s="91"/>
      <c r="U797" s="91"/>
      <c r="V797" s="41"/>
      <c r="W797" s="37"/>
      <c r="X797" s="37"/>
      <c r="Y797" s="43"/>
      <c r="Z797" s="37"/>
      <c r="AA797" s="37"/>
      <c r="AD797" s="37"/>
      <c r="AE797" s="37"/>
      <c r="AF797" s="37"/>
    </row>
    <row r="798" spans="1:32" x14ac:dyDescent="0.25">
      <c r="A798" s="37"/>
      <c r="B798" s="37"/>
      <c r="C798" s="37"/>
      <c r="F798" s="38"/>
      <c r="G798" s="38"/>
      <c r="H798" s="38"/>
      <c r="I798" s="37"/>
      <c r="J798" s="38"/>
      <c r="K798" s="38"/>
      <c r="L798" s="42"/>
      <c r="M798" s="42"/>
      <c r="N798" s="42"/>
      <c r="O798" s="42"/>
      <c r="R798" s="37"/>
      <c r="S798" s="37"/>
      <c r="T798" s="91"/>
      <c r="U798" s="91"/>
      <c r="V798" s="41"/>
      <c r="W798" s="37"/>
      <c r="X798" s="37"/>
      <c r="Y798" s="43"/>
      <c r="Z798" s="37"/>
      <c r="AA798" s="37"/>
      <c r="AD798" s="37"/>
      <c r="AE798" s="37"/>
      <c r="AF798" s="37"/>
    </row>
    <row r="799" spans="1:32" x14ac:dyDescent="0.25">
      <c r="A799" s="37"/>
      <c r="B799" s="37"/>
      <c r="C799" s="37"/>
      <c r="F799" s="38"/>
      <c r="G799" s="38"/>
      <c r="H799" s="38"/>
      <c r="I799" s="37"/>
      <c r="J799" s="38"/>
      <c r="K799" s="38"/>
      <c r="L799" s="42"/>
      <c r="M799" s="42"/>
      <c r="N799" s="42"/>
      <c r="O799" s="42"/>
      <c r="R799" s="37"/>
      <c r="S799" s="37"/>
      <c r="T799" s="91"/>
      <c r="U799" s="91"/>
      <c r="V799" s="41"/>
      <c r="W799" s="37"/>
      <c r="X799" s="37"/>
      <c r="Y799" s="43"/>
      <c r="Z799" s="37"/>
      <c r="AA799" s="37"/>
      <c r="AD799" s="37"/>
      <c r="AE799" s="37"/>
      <c r="AF799" s="37"/>
    </row>
    <row r="800" spans="1:32" x14ac:dyDescent="0.25">
      <c r="A800" s="37"/>
      <c r="B800" s="37"/>
      <c r="C800" s="37"/>
      <c r="F800" s="38"/>
      <c r="G800" s="38"/>
      <c r="H800" s="38"/>
      <c r="I800" s="37"/>
      <c r="J800" s="38"/>
      <c r="K800" s="38"/>
      <c r="L800" s="42"/>
      <c r="M800" s="42"/>
      <c r="N800" s="42"/>
      <c r="O800" s="42"/>
      <c r="R800" s="37"/>
      <c r="S800" s="37"/>
      <c r="T800" s="91"/>
      <c r="U800" s="91"/>
      <c r="V800" s="41"/>
      <c r="W800" s="37"/>
      <c r="X800" s="37"/>
      <c r="Y800" s="43"/>
      <c r="Z800" s="37"/>
      <c r="AA800" s="37"/>
      <c r="AD800" s="37"/>
      <c r="AE800" s="37"/>
      <c r="AF800" s="37"/>
    </row>
    <row r="801" spans="1:32" x14ac:dyDescent="0.25">
      <c r="A801" s="37"/>
      <c r="B801" s="37"/>
      <c r="C801" s="37"/>
      <c r="F801" s="38"/>
      <c r="G801" s="38"/>
      <c r="H801" s="38"/>
      <c r="I801" s="37"/>
      <c r="J801" s="38"/>
      <c r="K801" s="38"/>
      <c r="L801" s="42"/>
      <c r="M801" s="42"/>
      <c r="N801" s="42"/>
      <c r="O801" s="42"/>
      <c r="R801" s="37"/>
      <c r="S801" s="37"/>
      <c r="T801" s="91"/>
      <c r="U801" s="91"/>
      <c r="V801" s="41"/>
      <c r="W801" s="37"/>
      <c r="X801" s="37"/>
      <c r="Y801" s="43"/>
      <c r="Z801" s="37"/>
      <c r="AA801" s="37"/>
      <c r="AD801" s="37"/>
      <c r="AE801" s="37"/>
      <c r="AF801" s="37"/>
    </row>
    <row r="802" spans="1:32" x14ac:dyDescent="0.25">
      <c r="A802" s="37"/>
      <c r="B802" s="37"/>
      <c r="C802" s="37"/>
      <c r="F802" s="38"/>
      <c r="G802" s="38"/>
      <c r="H802" s="38"/>
      <c r="I802" s="37"/>
      <c r="J802" s="38"/>
      <c r="K802" s="38"/>
      <c r="L802" s="42"/>
      <c r="M802" s="42"/>
      <c r="N802" s="42"/>
      <c r="O802" s="42"/>
      <c r="R802" s="37"/>
      <c r="S802" s="37"/>
      <c r="T802" s="91"/>
      <c r="U802" s="91"/>
      <c r="V802" s="41"/>
      <c r="W802" s="37"/>
      <c r="X802" s="37"/>
      <c r="Y802" s="43"/>
      <c r="Z802" s="37"/>
      <c r="AA802" s="37"/>
      <c r="AD802" s="37"/>
      <c r="AE802" s="37"/>
      <c r="AF802" s="37"/>
    </row>
    <row r="803" spans="1:32" x14ac:dyDescent="0.25">
      <c r="A803" s="37"/>
      <c r="B803" s="37"/>
      <c r="C803" s="37"/>
      <c r="F803" s="38"/>
      <c r="G803" s="38"/>
      <c r="H803" s="38"/>
      <c r="I803" s="37"/>
      <c r="J803" s="38"/>
      <c r="K803" s="38"/>
      <c r="L803" s="42"/>
      <c r="M803" s="42"/>
      <c r="N803" s="42"/>
      <c r="O803" s="42"/>
      <c r="R803" s="37"/>
      <c r="S803" s="37"/>
      <c r="T803" s="91"/>
      <c r="U803" s="91"/>
      <c r="V803" s="41"/>
      <c r="W803" s="37"/>
      <c r="X803" s="37"/>
      <c r="Y803" s="43"/>
      <c r="Z803" s="37"/>
      <c r="AA803" s="37"/>
      <c r="AD803" s="37"/>
      <c r="AE803" s="37"/>
      <c r="AF803" s="37"/>
    </row>
    <row r="804" spans="1:32" x14ac:dyDescent="0.25">
      <c r="A804" s="37"/>
      <c r="B804" s="37"/>
      <c r="C804" s="37"/>
      <c r="F804" s="38"/>
      <c r="G804" s="38"/>
      <c r="H804" s="38"/>
      <c r="I804" s="37"/>
      <c r="J804" s="38"/>
      <c r="K804" s="38"/>
      <c r="L804" s="42"/>
      <c r="M804" s="42"/>
      <c r="N804" s="42"/>
      <c r="O804" s="42"/>
      <c r="R804" s="37"/>
      <c r="S804" s="37"/>
      <c r="T804" s="91"/>
      <c r="U804" s="91"/>
      <c r="V804" s="41"/>
      <c r="W804" s="37"/>
      <c r="X804" s="37"/>
      <c r="Y804" s="43"/>
      <c r="Z804" s="37"/>
      <c r="AA804" s="37"/>
      <c r="AD804" s="37"/>
      <c r="AE804" s="37"/>
      <c r="AF804" s="37"/>
    </row>
    <row r="805" spans="1:32" x14ac:dyDescent="0.25">
      <c r="A805" s="37"/>
      <c r="B805" s="37"/>
      <c r="C805" s="37"/>
      <c r="F805" s="38"/>
      <c r="G805" s="38"/>
      <c r="H805" s="38"/>
      <c r="I805" s="37"/>
      <c r="J805" s="38"/>
      <c r="K805" s="38"/>
      <c r="L805" s="42"/>
      <c r="M805" s="42"/>
      <c r="N805" s="42"/>
      <c r="O805" s="42"/>
      <c r="R805" s="37"/>
      <c r="S805" s="37"/>
      <c r="T805" s="91"/>
      <c r="U805" s="91"/>
      <c r="V805" s="41"/>
      <c r="W805" s="37"/>
      <c r="X805" s="37"/>
      <c r="Y805" s="43"/>
      <c r="Z805" s="37"/>
      <c r="AA805" s="37"/>
      <c r="AD805" s="37"/>
      <c r="AE805" s="37"/>
      <c r="AF805" s="37"/>
    </row>
    <row r="806" spans="1:32" x14ac:dyDescent="0.25">
      <c r="A806" s="37"/>
      <c r="B806" s="37"/>
      <c r="C806" s="37"/>
      <c r="F806" s="38"/>
      <c r="G806" s="38"/>
      <c r="H806" s="38"/>
      <c r="I806" s="37"/>
      <c r="J806" s="38"/>
      <c r="K806" s="38"/>
      <c r="L806" s="42"/>
      <c r="M806" s="42"/>
      <c r="N806" s="42"/>
      <c r="O806" s="42"/>
      <c r="R806" s="37"/>
      <c r="S806" s="37"/>
      <c r="T806" s="91"/>
      <c r="U806" s="91"/>
      <c r="V806" s="41"/>
      <c r="W806" s="37"/>
      <c r="X806" s="37"/>
      <c r="Y806" s="43"/>
      <c r="Z806" s="37"/>
      <c r="AA806" s="37"/>
      <c r="AD806" s="37"/>
      <c r="AE806" s="37"/>
      <c r="AF806" s="37"/>
    </row>
    <row r="807" spans="1:32" x14ac:dyDescent="0.25">
      <c r="A807" s="37"/>
      <c r="B807" s="37"/>
      <c r="C807" s="37"/>
      <c r="F807" s="38"/>
      <c r="G807" s="38"/>
      <c r="H807" s="38"/>
      <c r="I807" s="37"/>
      <c r="J807" s="38"/>
      <c r="K807" s="38"/>
      <c r="L807" s="42"/>
      <c r="M807" s="42"/>
      <c r="N807" s="42"/>
      <c r="O807" s="42"/>
      <c r="R807" s="37"/>
      <c r="S807" s="37"/>
      <c r="T807" s="91"/>
      <c r="U807" s="91"/>
      <c r="V807" s="41"/>
      <c r="W807" s="37"/>
      <c r="X807" s="37"/>
      <c r="Y807" s="43"/>
      <c r="Z807" s="37"/>
      <c r="AA807" s="37"/>
      <c r="AD807" s="37"/>
      <c r="AE807" s="37"/>
      <c r="AF807" s="37"/>
    </row>
    <row r="808" spans="1:32" x14ac:dyDescent="0.25">
      <c r="A808" s="37"/>
      <c r="B808" s="37"/>
      <c r="C808" s="37"/>
      <c r="F808" s="38"/>
      <c r="G808" s="38"/>
      <c r="H808" s="38"/>
      <c r="I808" s="37"/>
      <c r="J808" s="38"/>
      <c r="K808" s="38"/>
      <c r="L808" s="42"/>
      <c r="M808" s="42"/>
      <c r="N808" s="42"/>
      <c r="O808" s="42"/>
      <c r="R808" s="37"/>
      <c r="S808" s="37"/>
      <c r="T808" s="91"/>
      <c r="U808" s="91"/>
      <c r="V808" s="41"/>
      <c r="W808" s="37"/>
      <c r="X808" s="37"/>
      <c r="Y808" s="43"/>
      <c r="Z808" s="37"/>
      <c r="AA808" s="37"/>
      <c r="AD808" s="37"/>
      <c r="AE808" s="37"/>
      <c r="AF808" s="37"/>
    </row>
    <row r="809" spans="1:32" x14ac:dyDescent="0.25">
      <c r="A809" s="37"/>
      <c r="B809" s="37"/>
      <c r="C809" s="37"/>
      <c r="F809" s="38"/>
      <c r="G809" s="38"/>
      <c r="H809" s="38"/>
      <c r="I809" s="37"/>
      <c r="J809" s="38"/>
      <c r="K809" s="38"/>
      <c r="L809" s="42"/>
      <c r="M809" s="42"/>
      <c r="N809" s="42"/>
      <c r="O809" s="42"/>
      <c r="R809" s="37"/>
      <c r="S809" s="37"/>
      <c r="T809" s="91"/>
      <c r="U809" s="91"/>
      <c r="V809" s="41"/>
      <c r="W809" s="37"/>
      <c r="X809" s="37"/>
      <c r="Y809" s="43"/>
      <c r="Z809" s="37"/>
      <c r="AA809" s="37"/>
      <c r="AD809" s="37"/>
      <c r="AE809" s="37"/>
      <c r="AF809" s="37"/>
    </row>
    <row r="810" spans="1:32" x14ac:dyDescent="0.25">
      <c r="A810" s="37"/>
      <c r="B810" s="37"/>
      <c r="C810" s="37"/>
      <c r="F810" s="38"/>
      <c r="G810" s="38"/>
      <c r="H810" s="38"/>
      <c r="I810" s="37"/>
      <c r="J810" s="38"/>
      <c r="K810" s="38"/>
      <c r="L810" s="42"/>
      <c r="M810" s="42"/>
      <c r="N810" s="42"/>
      <c r="O810" s="42"/>
      <c r="R810" s="37"/>
      <c r="S810" s="37"/>
      <c r="T810" s="91"/>
      <c r="U810" s="91"/>
      <c r="V810" s="41"/>
      <c r="W810" s="37"/>
      <c r="X810" s="37"/>
      <c r="Y810" s="43"/>
      <c r="Z810" s="37"/>
      <c r="AA810" s="37"/>
      <c r="AD810" s="37"/>
      <c r="AE810" s="37"/>
      <c r="AF810" s="37"/>
    </row>
    <row r="811" spans="1:32" x14ac:dyDescent="0.25">
      <c r="A811" s="37"/>
      <c r="B811" s="37"/>
      <c r="C811" s="37"/>
      <c r="F811" s="38"/>
      <c r="G811" s="38"/>
      <c r="H811" s="38"/>
      <c r="I811" s="37"/>
      <c r="J811" s="38"/>
      <c r="K811" s="38"/>
      <c r="L811" s="42"/>
      <c r="M811" s="42"/>
      <c r="N811" s="42"/>
      <c r="O811" s="42"/>
      <c r="R811" s="37"/>
      <c r="S811" s="37"/>
      <c r="T811" s="91"/>
      <c r="U811" s="91"/>
      <c r="V811" s="41"/>
      <c r="W811" s="37"/>
      <c r="X811" s="37"/>
      <c r="Y811" s="43"/>
      <c r="Z811" s="37"/>
      <c r="AA811" s="37"/>
      <c r="AD811" s="37"/>
      <c r="AE811" s="37"/>
      <c r="AF811" s="37"/>
    </row>
    <row r="812" spans="1:32" x14ac:dyDescent="0.25">
      <c r="A812" s="37"/>
      <c r="B812" s="37"/>
      <c r="C812" s="37"/>
      <c r="F812" s="38"/>
      <c r="G812" s="38"/>
      <c r="H812" s="38"/>
      <c r="I812" s="37"/>
      <c r="J812" s="38"/>
      <c r="K812" s="38"/>
      <c r="L812" s="42"/>
      <c r="M812" s="42"/>
      <c r="N812" s="42"/>
      <c r="O812" s="42"/>
      <c r="R812" s="37"/>
      <c r="S812" s="37"/>
      <c r="T812" s="91"/>
      <c r="U812" s="91"/>
      <c r="V812" s="41"/>
      <c r="W812" s="37"/>
      <c r="X812" s="37"/>
      <c r="Y812" s="43"/>
      <c r="Z812" s="37"/>
      <c r="AA812" s="37"/>
      <c r="AD812" s="37"/>
      <c r="AE812" s="37"/>
      <c r="AF812" s="37"/>
    </row>
    <row r="813" spans="1:32" x14ac:dyDescent="0.25">
      <c r="A813" s="37"/>
      <c r="B813" s="37"/>
      <c r="C813" s="37"/>
      <c r="F813" s="38"/>
      <c r="G813" s="38"/>
      <c r="H813" s="38"/>
      <c r="I813" s="37"/>
      <c r="J813" s="38"/>
      <c r="K813" s="38"/>
      <c r="L813" s="42"/>
      <c r="M813" s="42"/>
      <c r="N813" s="42"/>
      <c r="O813" s="42"/>
      <c r="R813" s="37"/>
      <c r="S813" s="37"/>
      <c r="T813" s="91"/>
      <c r="U813" s="91"/>
      <c r="V813" s="41"/>
      <c r="W813" s="37"/>
      <c r="X813" s="37"/>
      <c r="Y813" s="43"/>
      <c r="Z813" s="37"/>
      <c r="AA813" s="37"/>
      <c r="AD813" s="37"/>
      <c r="AE813" s="37"/>
      <c r="AF813" s="37"/>
    </row>
    <row r="814" spans="1:32" x14ac:dyDescent="0.25">
      <c r="A814" s="37"/>
      <c r="B814" s="37"/>
      <c r="C814" s="37"/>
      <c r="F814" s="38"/>
      <c r="G814" s="38"/>
      <c r="H814" s="38"/>
      <c r="I814" s="37"/>
      <c r="J814" s="38"/>
      <c r="K814" s="38"/>
      <c r="L814" s="42"/>
      <c r="M814" s="42"/>
      <c r="N814" s="42"/>
      <c r="O814" s="42"/>
      <c r="R814" s="37"/>
      <c r="S814" s="37"/>
      <c r="T814" s="91"/>
      <c r="U814" s="91"/>
      <c r="V814" s="41"/>
      <c r="W814" s="37"/>
      <c r="X814" s="37"/>
      <c r="Y814" s="43"/>
      <c r="Z814" s="37"/>
      <c r="AA814" s="37"/>
      <c r="AD814" s="37"/>
      <c r="AE814" s="37"/>
      <c r="AF814" s="37"/>
    </row>
    <row r="815" spans="1:32" x14ac:dyDescent="0.25">
      <c r="A815" s="37"/>
      <c r="B815" s="37"/>
      <c r="C815" s="37"/>
      <c r="F815" s="38"/>
      <c r="G815" s="38"/>
      <c r="H815" s="38"/>
      <c r="I815" s="37"/>
      <c r="J815" s="38"/>
      <c r="K815" s="38"/>
      <c r="L815" s="42"/>
      <c r="M815" s="42"/>
      <c r="N815" s="42"/>
      <c r="O815" s="42"/>
      <c r="R815" s="37"/>
      <c r="S815" s="37"/>
      <c r="T815" s="91"/>
      <c r="U815" s="91"/>
      <c r="V815" s="41"/>
      <c r="W815" s="37"/>
      <c r="X815" s="37"/>
      <c r="Y815" s="43"/>
      <c r="Z815" s="37"/>
      <c r="AA815" s="37"/>
      <c r="AD815" s="37"/>
      <c r="AE815" s="37"/>
      <c r="AF815" s="37"/>
    </row>
    <row r="816" spans="1:32" x14ac:dyDescent="0.25">
      <c r="A816" s="37"/>
      <c r="B816" s="37"/>
      <c r="C816" s="37"/>
      <c r="F816" s="38"/>
      <c r="G816" s="38"/>
      <c r="H816" s="38"/>
      <c r="I816" s="37"/>
      <c r="J816" s="38"/>
      <c r="K816" s="38"/>
      <c r="L816" s="42"/>
      <c r="M816" s="42"/>
      <c r="N816" s="42"/>
      <c r="O816" s="42"/>
      <c r="R816" s="37"/>
      <c r="S816" s="37"/>
      <c r="T816" s="91"/>
      <c r="U816" s="91"/>
      <c r="V816" s="41"/>
      <c r="W816" s="37"/>
      <c r="X816" s="37"/>
      <c r="Y816" s="43"/>
      <c r="Z816" s="37"/>
      <c r="AA816" s="37"/>
      <c r="AD816" s="37"/>
      <c r="AE816" s="37"/>
      <c r="AF816" s="37"/>
    </row>
    <row r="817" spans="1:32" x14ac:dyDescent="0.25">
      <c r="A817" s="37"/>
      <c r="B817" s="37"/>
      <c r="C817" s="37"/>
      <c r="F817" s="38"/>
      <c r="G817" s="38"/>
      <c r="H817" s="38"/>
      <c r="I817" s="37"/>
      <c r="J817" s="38"/>
      <c r="K817" s="38"/>
      <c r="L817" s="42"/>
      <c r="M817" s="42"/>
      <c r="N817" s="42"/>
      <c r="O817" s="42"/>
      <c r="R817" s="37"/>
      <c r="S817" s="37"/>
      <c r="T817" s="91"/>
      <c r="U817" s="91"/>
      <c r="V817" s="41"/>
      <c r="W817" s="37"/>
      <c r="X817" s="37"/>
      <c r="Y817" s="43"/>
      <c r="Z817" s="37"/>
      <c r="AA817" s="37"/>
      <c r="AD817" s="37"/>
      <c r="AE817" s="37"/>
      <c r="AF817" s="37"/>
    </row>
    <row r="818" spans="1:32" x14ac:dyDescent="0.25">
      <c r="A818" s="37"/>
      <c r="B818" s="37"/>
      <c r="C818" s="37"/>
      <c r="F818" s="38"/>
      <c r="G818" s="38"/>
      <c r="H818" s="38"/>
      <c r="I818" s="37"/>
      <c r="J818" s="38"/>
      <c r="K818" s="38"/>
      <c r="L818" s="42"/>
      <c r="M818" s="42"/>
      <c r="N818" s="42"/>
      <c r="O818" s="42"/>
      <c r="R818" s="37"/>
      <c r="S818" s="37"/>
      <c r="T818" s="91"/>
      <c r="U818" s="91"/>
      <c r="V818" s="41"/>
      <c r="W818" s="37"/>
      <c r="X818" s="37"/>
      <c r="Y818" s="43"/>
      <c r="Z818" s="37"/>
      <c r="AA818" s="37"/>
      <c r="AD818" s="37"/>
      <c r="AE818" s="37"/>
      <c r="AF818" s="37"/>
    </row>
    <row r="819" spans="1:32" x14ac:dyDescent="0.25">
      <c r="A819" s="37"/>
      <c r="B819" s="37"/>
      <c r="C819" s="37"/>
      <c r="F819" s="38"/>
      <c r="G819" s="38"/>
      <c r="H819" s="38"/>
      <c r="I819" s="37"/>
      <c r="J819" s="38"/>
      <c r="K819" s="38"/>
      <c r="L819" s="42"/>
      <c r="M819" s="42"/>
      <c r="N819" s="42"/>
      <c r="O819" s="42"/>
      <c r="R819" s="37"/>
      <c r="S819" s="37"/>
      <c r="T819" s="91"/>
      <c r="U819" s="91"/>
      <c r="V819" s="41"/>
      <c r="W819" s="37"/>
      <c r="X819" s="37"/>
      <c r="Y819" s="43"/>
      <c r="Z819" s="37"/>
      <c r="AA819" s="37"/>
      <c r="AD819" s="37"/>
      <c r="AE819" s="37"/>
      <c r="AF819" s="37"/>
    </row>
    <row r="820" spans="1:32" x14ac:dyDescent="0.25">
      <c r="A820" s="37"/>
      <c r="B820" s="37"/>
      <c r="C820" s="37"/>
      <c r="F820" s="38"/>
      <c r="G820" s="38"/>
      <c r="H820" s="38"/>
      <c r="I820" s="37"/>
      <c r="J820" s="38"/>
      <c r="K820" s="38"/>
      <c r="L820" s="42"/>
      <c r="M820" s="42"/>
      <c r="N820" s="42"/>
      <c r="O820" s="42"/>
      <c r="R820" s="37"/>
      <c r="S820" s="37"/>
      <c r="T820" s="91"/>
      <c r="U820" s="91"/>
      <c r="V820" s="41"/>
      <c r="W820" s="37"/>
      <c r="X820" s="37"/>
      <c r="Y820" s="43"/>
      <c r="Z820" s="37"/>
      <c r="AA820" s="37"/>
      <c r="AD820" s="37"/>
      <c r="AE820" s="37"/>
      <c r="AF820" s="37"/>
    </row>
    <row r="821" spans="1:32" x14ac:dyDescent="0.25">
      <c r="A821" s="37"/>
      <c r="B821" s="37"/>
      <c r="C821" s="37"/>
      <c r="F821" s="38"/>
      <c r="G821" s="38"/>
      <c r="H821" s="38"/>
      <c r="I821" s="37"/>
      <c r="J821" s="38"/>
      <c r="K821" s="38"/>
      <c r="L821" s="42"/>
      <c r="M821" s="42"/>
      <c r="N821" s="42"/>
      <c r="O821" s="42"/>
      <c r="R821" s="37"/>
      <c r="S821" s="37"/>
      <c r="T821" s="91"/>
      <c r="U821" s="91"/>
      <c r="V821" s="41"/>
      <c r="W821" s="37"/>
      <c r="X821" s="37"/>
      <c r="Y821" s="43"/>
      <c r="Z821" s="37"/>
      <c r="AA821" s="37"/>
      <c r="AD821" s="37"/>
      <c r="AE821" s="37"/>
      <c r="AF821" s="37"/>
    </row>
    <row r="822" spans="1:32" x14ac:dyDescent="0.25">
      <c r="A822" s="37"/>
      <c r="B822" s="37"/>
      <c r="C822" s="37"/>
      <c r="F822" s="38"/>
      <c r="G822" s="38"/>
      <c r="H822" s="38"/>
      <c r="I822" s="37"/>
      <c r="J822" s="38"/>
      <c r="K822" s="38"/>
      <c r="L822" s="42"/>
      <c r="M822" s="42"/>
      <c r="N822" s="42"/>
      <c r="O822" s="42"/>
      <c r="R822" s="37"/>
      <c r="S822" s="37"/>
      <c r="T822" s="91"/>
      <c r="U822" s="91"/>
      <c r="V822" s="41"/>
      <c r="W822" s="37"/>
      <c r="X822" s="37"/>
      <c r="Y822" s="43"/>
      <c r="Z822" s="37"/>
      <c r="AA822" s="37"/>
      <c r="AD822" s="37"/>
      <c r="AE822" s="37"/>
      <c r="AF822" s="37"/>
    </row>
    <row r="823" spans="1:32" x14ac:dyDescent="0.25">
      <c r="A823" s="37"/>
      <c r="B823" s="37"/>
      <c r="C823" s="37"/>
      <c r="F823" s="38"/>
      <c r="G823" s="38"/>
      <c r="H823" s="38"/>
      <c r="I823" s="37"/>
      <c r="J823" s="38"/>
      <c r="K823" s="38"/>
      <c r="L823" s="42"/>
      <c r="M823" s="42"/>
      <c r="N823" s="42"/>
      <c r="O823" s="42"/>
      <c r="R823" s="37"/>
      <c r="S823" s="37"/>
      <c r="T823" s="91"/>
      <c r="U823" s="91"/>
      <c r="V823" s="41"/>
      <c r="W823" s="37"/>
      <c r="X823" s="37"/>
      <c r="Y823" s="43"/>
      <c r="Z823" s="37"/>
      <c r="AA823" s="37"/>
      <c r="AD823" s="37"/>
      <c r="AE823" s="37"/>
      <c r="AF823" s="37"/>
    </row>
    <row r="824" spans="1:32" x14ac:dyDescent="0.25">
      <c r="A824" s="37"/>
      <c r="B824" s="37"/>
      <c r="C824" s="37"/>
      <c r="F824" s="38"/>
      <c r="G824" s="38"/>
      <c r="H824" s="38"/>
      <c r="I824" s="37"/>
      <c r="J824" s="38"/>
      <c r="K824" s="38"/>
      <c r="L824" s="42"/>
      <c r="M824" s="42"/>
      <c r="N824" s="42"/>
      <c r="O824" s="42"/>
      <c r="R824" s="37"/>
      <c r="S824" s="37"/>
      <c r="T824" s="91"/>
      <c r="U824" s="91"/>
      <c r="V824" s="41"/>
      <c r="W824" s="37"/>
      <c r="X824" s="37"/>
      <c r="Y824" s="43"/>
      <c r="Z824" s="37"/>
      <c r="AA824" s="37"/>
      <c r="AD824" s="37"/>
      <c r="AE824" s="37"/>
      <c r="AF824" s="37"/>
    </row>
    <row r="825" spans="1:32" x14ac:dyDescent="0.25">
      <c r="A825" s="37"/>
      <c r="B825" s="37"/>
      <c r="C825" s="37"/>
      <c r="F825" s="38"/>
      <c r="G825" s="38"/>
      <c r="H825" s="38"/>
      <c r="I825" s="37"/>
      <c r="J825" s="38"/>
      <c r="K825" s="38"/>
      <c r="L825" s="42"/>
      <c r="M825" s="42"/>
      <c r="N825" s="42"/>
      <c r="O825" s="42"/>
      <c r="R825" s="37"/>
      <c r="S825" s="37"/>
      <c r="T825" s="91"/>
      <c r="U825" s="91"/>
      <c r="V825" s="41"/>
      <c r="W825" s="37"/>
      <c r="X825" s="37"/>
      <c r="Y825" s="43"/>
      <c r="Z825" s="37"/>
      <c r="AA825" s="37"/>
      <c r="AD825" s="37"/>
      <c r="AE825" s="37"/>
      <c r="AF825" s="37"/>
    </row>
    <row r="826" spans="1:32" x14ac:dyDescent="0.25">
      <c r="A826" s="37"/>
      <c r="B826" s="37"/>
      <c r="C826" s="37"/>
      <c r="F826" s="38"/>
      <c r="G826" s="38"/>
      <c r="H826" s="38"/>
      <c r="I826" s="37"/>
      <c r="J826" s="38"/>
      <c r="K826" s="38"/>
      <c r="L826" s="42"/>
      <c r="M826" s="42"/>
      <c r="N826" s="42"/>
      <c r="O826" s="42"/>
      <c r="R826" s="37"/>
      <c r="S826" s="37"/>
      <c r="T826" s="91"/>
      <c r="U826" s="91"/>
      <c r="V826" s="41"/>
      <c r="W826" s="37"/>
      <c r="X826" s="37"/>
      <c r="Y826" s="43"/>
      <c r="Z826" s="37"/>
      <c r="AA826" s="37"/>
      <c r="AD826" s="37"/>
      <c r="AE826" s="37"/>
      <c r="AF826" s="37"/>
    </row>
    <row r="827" spans="1:32" x14ac:dyDescent="0.25">
      <c r="A827" s="37"/>
      <c r="B827" s="37"/>
      <c r="C827" s="37"/>
      <c r="F827" s="38"/>
      <c r="G827" s="38"/>
      <c r="H827" s="38"/>
      <c r="I827" s="37"/>
      <c r="J827" s="38"/>
      <c r="K827" s="38"/>
      <c r="L827" s="42"/>
      <c r="M827" s="42"/>
      <c r="N827" s="42"/>
      <c r="O827" s="42"/>
      <c r="R827" s="37"/>
      <c r="S827" s="37"/>
      <c r="T827" s="91"/>
      <c r="U827" s="91"/>
      <c r="V827" s="41"/>
      <c r="W827" s="37"/>
      <c r="X827" s="37"/>
      <c r="Y827" s="43"/>
      <c r="Z827" s="37"/>
      <c r="AA827" s="37"/>
      <c r="AD827" s="37"/>
      <c r="AE827" s="37"/>
      <c r="AF827" s="37"/>
    </row>
    <row r="828" spans="1:32" x14ac:dyDescent="0.25">
      <c r="A828" s="37"/>
      <c r="B828" s="37"/>
      <c r="C828" s="37"/>
      <c r="F828" s="38"/>
      <c r="G828" s="38"/>
      <c r="H828" s="38"/>
      <c r="I828" s="37"/>
      <c r="J828" s="38"/>
      <c r="K828" s="38"/>
      <c r="L828" s="42"/>
      <c r="M828" s="42"/>
      <c r="N828" s="42"/>
      <c r="O828" s="42"/>
      <c r="R828" s="37"/>
      <c r="S828" s="37"/>
      <c r="T828" s="91"/>
      <c r="U828" s="91"/>
      <c r="V828" s="41"/>
      <c r="W828" s="37"/>
      <c r="X828" s="37"/>
      <c r="Y828" s="43"/>
      <c r="Z828" s="37"/>
      <c r="AA828" s="37"/>
      <c r="AD828" s="37"/>
      <c r="AE828" s="37"/>
      <c r="AF828" s="37"/>
    </row>
    <row r="829" spans="1:32" x14ac:dyDescent="0.25">
      <c r="A829" s="37"/>
      <c r="B829" s="37"/>
      <c r="C829" s="37"/>
      <c r="F829" s="38"/>
      <c r="G829" s="38"/>
      <c r="H829" s="38"/>
      <c r="I829" s="37"/>
      <c r="J829" s="38"/>
      <c r="K829" s="38"/>
      <c r="L829" s="42"/>
      <c r="M829" s="42"/>
      <c r="N829" s="42"/>
      <c r="O829" s="42"/>
      <c r="R829" s="37"/>
      <c r="S829" s="37"/>
      <c r="T829" s="91"/>
      <c r="U829" s="91"/>
      <c r="V829" s="41"/>
      <c r="W829" s="37"/>
      <c r="X829" s="37"/>
      <c r="Y829" s="43"/>
      <c r="Z829" s="37"/>
      <c r="AA829" s="37"/>
      <c r="AD829" s="37"/>
      <c r="AE829" s="37"/>
      <c r="AF829" s="37"/>
    </row>
    <row r="830" spans="1:32" x14ac:dyDescent="0.25">
      <c r="A830" s="37"/>
      <c r="B830" s="37"/>
      <c r="C830" s="37"/>
      <c r="F830" s="38"/>
      <c r="G830" s="38"/>
      <c r="H830" s="38"/>
      <c r="I830" s="37"/>
      <c r="J830" s="38"/>
      <c r="K830" s="38"/>
      <c r="L830" s="42"/>
      <c r="M830" s="42"/>
      <c r="N830" s="42"/>
      <c r="O830" s="42"/>
      <c r="R830" s="37"/>
      <c r="S830" s="37"/>
      <c r="T830" s="91"/>
      <c r="U830" s="91"/>
      <c r="V830" s="41"/>
      <c r="W830" s="37"/>
      <c r="X830" s="37"/>
      <c r="Y830" s="43"/>
      <c r="Z830" s="37"/>
      <c r="AA830" s="37"/>
      <c r="AD830" s="37"/>
      <c r="AE830" s="37"/>
      <c r="AF830" s="37"/>
    </row>
    <row r="831" spans="1:32" x14ac:dyDescent="0.25">
      <c r="A831" s="37"/>
      <c r="B831" s="37"/>
      <c r="C831" s="37"/>
      <c r="F831" s="38"/>
      <c r="G831" s="38"/>
      <c r="H831" s="38"/>
      <c r="I831" s="37"/>
      <c r="J831" s="38"/>
      <c r="K831" s="38"/>
      <c r="L831" s="42"/>
      <c r="M831" s="42"/>
      <c r="N831" s="42"/>
      <c r="O831" s="42"/>
      <c r="R831" s="37"/>
      <c r="S831" s="37"/>
      <c r="T831" s="91"/>
      <c r="U831" s="91"/>
      <c r="V831" s="41"/>
      <c r="W831" s="37"/>
      <c r="X831" s="37"/>
      <c r="Y831" s="43"/>
      <c r="Z831" s="37"/>
      <c r="AA831" s="37"/>
      <c r="AD831" s="37"/>
      <c r="AE831" s="37"/>
      <c r="AF831" s="37"/>
    </row>
    <row r="832" spans="1:32" x14ac:dyDescent="0.25">
      <c r="A832" s="37"/>
      <c r="B832" s="37"/>
      <c r="C832" s="37"/>
      <c r="F832" s="38"/>
      <c r="G832" s="38"/>
      <c r="H832" s="38"/>
      <c r="I832" s="37"/>
      <c r="J832" s="38"/>
      <c r="K832" s="38"/>
      <c r="L832" s="42"/>
      <c r="M832" s="42"/>
      <c r="N832" s="42"/>
      <c r="O832" s="42"/>
      <c r="R832" s="37"/>
      <c r="S832" s="37"/>
      <c r="T832" s="91"/>
      <c r="U832" s="91"/>
      <c r="V832" s="41"/>
      <c r="W832" s="37"/>
      <c r="X832" s="37"/>
      <c r="Y832" s="43"/>
      <c r="Z832" s="37"/>
      <c r="AA832" s="37"/>
      <c r="AD832" s="37"/>
      <c r="AE832" s="37"/>
      <c r="AF832" s="37"/>
    </row>
    <row r="833" spans="1:32" x14ac:dyDescent="0.25">
      <c r="A833" s="37"/>
      <c r="B833" s="37"/>
      <c r="C833" s="37"/>
      <c r="F833" s="38"/>
      <c r="G833" s="38"/>
      <c r="H833" s="38"/>
      <c r="I833" s="37"/>
      <c r="J833" s="38"/>
      <c r="K833" s="38"/>
      <c r="L833" s="42"/>
      <c r="M833" s="42"/>
      <c r="N833" s="42"/>
      <c r="O833" s="42"/>
      <c r="R833" s="37"/>
      <c r="S833" s="37"/>
      <c r="T833" s="91"/>
      <c r="U833" s="91"/>
      <c r="V833" s="41"/>
      <c r="W833" s="37"/>
      <c r="X833" s="37"/>
      <c r="Y833" s="43"/>
      <c r="Z833" s="37"/>
      <c r="AA833" s="37"/>
      <c r="AD833" s="37"/>
      <c r="AE833" s="37"/>
      <c r="AF833" s="37"/>
    </row>
    <row r="834" spans="1:32" x14ac:dyDescent="0.25">
      <c r="A834" s="37"/>
      <c r="B834" s="37"/>
      <c r="C834" s="37"/>
      <c r="F834" s="38"/>
      <c r="G834" s="38"/>
      <c r="H834" s="38"/>
      <c r="I834" s="37"/>
      <c r="J834" s="38"/>
      <c r="K834" s="38"/>
      <c r="L834" s="42"/>
      <c r="M834" s="42"/>
      <c r="N834" s="42"/>
      <c r="O834" s="42"/>
      <c r="R834" s="37"/>
      <c r="S834" s="37"/>
      <c r="T834" s="91"/>
      <c r="U834" s="91"/>
      <c r="V834" s="41"/>
      <c r="W834" s="37"/>
      <c r="X834" s="37"/>
      <c r="Y834" s="43"/>
      <c r="Z834" s="37"/>
      <c r="AA834" s="37"/>
      <c r="AD834" s="37"/>
      <c r="AE834" s="37"/>
      <c r="AF834" s="37"/>
    </row>
    <row r="835" spans="1:32" x14ac:dyDescent="0.25">
      <c r="A835" s="37"/>
      <c r="B835" s="37"/>
      <c r="C835" s="37"/>
      <c r="F835" s="38"/>
      <c r="G835" s="38"/>
      <c r="H835" s="38"/>
      <c r="I835" s="37"/>
      <c r="J835" s="38"/>
      <c r="K835" s="38"/>
      <c r="L835" s="42"/>
      <c r="M835" s="42"/>
      <c r="N835" s="42"/>
      <c r="O835" s="42"/>
      <c r="R835" s="37"/>
      <c r="S835" s="37"/>
      <c r="T835" s="91"/>
      <c r="U835" s="91"/>
      <c r="V835" s="41"/>
      <c r="W835" s="37"/>
      <c r="X835" s="37"/>
      <c r="Y835" s="43"/>
      <c r="Z835" s="37"/>
      <c r="AA835" s="37"/>
      <c r="AD835" s="37"/>
      <c r="AE835" s="37"/>
      <c r="AF835" s="37"/>
    </row>
    <row r="836" spans="1:32" x14ac:dyDescent="0.25">
      <c r="A836" s="37"/>
      <c r="B836" s="37"/>
      <c r="C836" s="37"/>
      <c r="F836" s="38"/>
      <c r="G836" s="38"/>
      <c r="H836" s="38"/>
      <c r="I836" s="37"/>
      <c r="J836" s="38"/>
      <c r="K836" s="38"/>
      <c r="L836" s="42"/>
      <c r="M836" s="42"/>
      <c r="N836" s="42"/>
      <c r="O836" s="42"/>
      <c r="R836" s="37"/>
      <c r="S836" s="37"/>
      <c r="T836" s="91"/>
      <c r="U836" s="91"/>
      <c r="V836" s="41"/>
      <c r="W836" s="37"/>
      <c r="X836" s="37"/>
      <c r="Y836" s="43"/>
      <c r="Z836" s="37"/>
      <c r="AA836" s="37"/>
      <c r="AD836" s="37"/>
      <c r="AE836" s="37"/>
      <c r="AF836" s="37"/>
    </row>
    <row r="837" spans="1:32" x14ac:dyDescent="0.25">
      <c r="A837" s="37"/>
      <c r="B837" s="37"/>
      <c r="C837" s="37"/>
      <c r="F837" s="38"/>
      <c r="G837" s="38"/>
      <c r="H837" s="38"/>
      <c r="I837" s="37"/>
      <c r="J837" s="38"/>
      <c r="K837" s="38"/>
      <c r="L837" s="42"/>
      <c r="M837" s="42"/>
      <c r="N837" s="42"/>
      <c r="O837" s="42"/>
      <c r="R837" s="37"/>
      <c r="S837" s="37"/>
      <c r="T837" s="91"/>
      <c r="U837" s="91"/>
      <c r="V837" s="41"/>
      <c r="W837" s="37"/>
      <c r="X837" s="37"/>
      <c r="Y837" s="43"/>
      <c r="Z837" s="37"/>
      <c r="AA837" s="37"/>
      <c r="AD837" s="37"/>
      <c r="AE837" s="37"/>
      <c r="AF837" s="37"/>
    </row>
    <row r="838" spans="1:32" x14ac:dyDescent="0.25">
      <c r="A838" s="37"/>
      <c r="B838" s="37"/>
      <c r="C838" s="37"/>
      <c r="F838" s="38"/>
      <c r="G838" s="38"/>
      <c r="H838" s="38"/>
      <c r="I838" s="37"/>
      <c r="J838" s="38"/>
      <c r="K838" s="38"/>
      <c r="L838" s="42"/>
      <c r="M838" s="42"/>
      <c r="N838" s="42"/>
      <c r="O838" s="42"/>
      <c r="R838" s="37"/>
      <c r="S838" s="37"/>
      <c r="T838" s="91"/>
      <c r="U838" s="91"/>
      <c r="V838" s="41"/>
      <c r="W838" s="37"/>
      <c r="X838" s="37"/>
      <c r="Y838" s="43"/>
      <c r="Z838" s="37"/>
      <c r="AA838" s="37"/>
      <c r="AD838" s="37"/>
      <c r="AE838" s="37"/>
      <c r="AF838" s="37"/>
    </row>
    <row r="839" spans="1:32" x14ac:dyDescent="0.25">
      <c r="A839" s="37"/>
      <c r="B839" s="37"/>
      <c r="C839" s="37"/>
      <c r="F839" s="38"/>
      <c r="G839" s="38"/>
      <c r="H839" s="38"/>
      <c r="I839" s="37"/>
      <c r="J839" s="38"/>
      <c r="K839" s="38"/>
      <c r="L839" s="42"/>
      <c r="M839" s="42"/>
      <c r="N839" s="42"/>
      <c r="O839" s="42"/>
      <c r="R839" s="37"/>
      <c r="S839" s="37"/>
      <c r="T839" s="91"/>
      <c r="U839" s="91"/>
      <c r="V839" s="41"/>
      <c r="W839" s="37"/>
      <c r="X839" s="37"/>
      <c r="Y839" s="43"/>
      <c r="Z839" s="37"/>
      <c r="AA839" s="37"/>
      <c r="AD839" s="37"/>
      <c r="AE839" s="37"/>
      <c r="AF839" s="37"/>
    </row>
    <row r="840" spans="1:32" x14ac:dyDescent="0.25">
      <c r="A840" s="37"/>
      <c r="B840" s="37"/>
      <c r="C840" s="37"/>
      <c r="F840" s="38"/>
      <c r="G840" s="38"/>
      <c r="H840" s="38"/>
      <c r="I840" s="37"/>
      <c r="J840" s="38"/>
      <c r="K840" s="38"/>
      <c r="L840" s="42"/>
      <c r="M840" s="42"/>
      <c r="N840" s="42"/>
      <c r="O840" s="42"/>
      <c r="R840" s="37"/>
      <c r="S840" s="37"/>
      <c r="T840" s="91"/>
      <c r="U840" s="91"/>
      <c r="V840" s="41"/>
      <c r="W840" s="37"/>
      <c r="X840" s="37"/>
      <c r="Y840" s="43"/>
      <c r="Z840" s="37"/>
      <c r="AA840" s="37"/>
      <c r="AD840" s="37"/>
      <c r="AE840" s="37"/>
      <c r="AF840" s="37"/>
    </row>
    <row r="841" spans="1:32" x14ac:dyDescent="0.25">
      <c r="A841" s="37"/>
      <c r="B841" s="37"/>
      <c r="C841" s="37"/>
      <c r="F841" s="38"/>
      <c r="G841" s="38"/>
      <c r="H841" s="38"/>
      <c r="I841" s="37"/>
      <c r="J841" s="38"/>
      <c r="K841" s="38"/>
      <c r="L841" s="42"/>
      <c r="M841" s="42"/>
      <c r="N841" s="42"/>
      <c r="O841" s="42"/>
      <c r="R841" s="37"/>
      <c r="S841" s="37"/>
      <c r="T841" s="91"/>
      <c r="U841" s="91"/>
      <c r="V841" s="41"/>
      <c r="W841" s="37"/>
      <c r="X841" s="37"/>
      <c r="Y841" s="43"/>
      <c r="Z841" s="37"/>
      <c r="AA841" s="37"/>
      <c r="AD841" s="37"/>
      <c r="AE841" s="37"/>
      <c r="AF841" s="37"/>
    </row>
    <row r="842" spans="1:32" x14ac:dyDescent="0.25">
      <c r="A842" s="37"/>
      <c r="B842" s="37"/>
      <c r="C842" s="37"/>
      <c r="F842" s="38"/>
      <c r="G842" s="38"/>
      <c r="H842" s="38"/>
      <c r="I842" s="37"/>
      <c r="J842" s="38"/>
      <c r="K842" s="38"/>
      <c r="L842" s="42"/>
      <c r="M842" s="42"/>
      <c r="N842" s="42"/>
      <c r="O842" s="42"/>
      <c r="R842" s="37"/>
      <c r="S842" s="37"/>
      <c r="T842" s="91"/>
      <c r="U842" s="91"/>
      <c r="V842" s="41"/>
      <c r="W842" s="37"/>
      <c r="X842" s="37"/>
      <c r="Y842" s="43"/>
      <c r="Z842" s="37"/>
      <c r="AA842" s="37"/>
      <c r="AD842" s="37"/>
      <c r="AE842" s="37"/>
      <c r="AF842" s="37"/>
    </row>
    <row r="843" spans="1:32" x14ac:dyDescent="0.25">
      <c r="A843" s="37"/>
      <c r="B843" s="37"/>
      <c r="C843" s="37"/>
      <c r="F843" s="38"/>
      <c r="G843" s="38"/>
      <c r="H843" s="38"/>
      <c r="I843" s="37"/>
      <c r="J843" s="38"/>
      <c r="K843" s="38"/>
      <c r="L843" s="42"/>
      <c r="M843" s="42"/>
      <c r="N843" s="42"/>
      <c r="O843" s="42"/>
      <c r="R843" s="37"/>
      <c r="S843" s="37"/>
      <c r="T843" s="91"/>
      <c r="U843" s="91"/>
      <c r="V843" s="41"/>
      <c r="W843" s="37"/>
      <c r="X843" s="37"/>
      <c r="Y843" s="43"/>
      <c r="Z843" s="37"/>
      <c r="AA843" s="37"/>
      <c r="AD843" s="37"/>
      <c r="AE843" s="37"/>
      <c r="AF843" s="37"/>
    </row>
    <row r="844" spans="1:32" x14ac:dyDescent="0.25">
      <c r="A844" s="37"/>
      <c r="B844" s="37"/>
      <c r="C844" s="37"/>
      <c r="F844" s="38"/>
      <c r="G844" s="38"/>
      <c r="H844" s="38"/>
      <c r="I844" s="37"/>
      <c r="J844" s="38"/>
      <c r="K844" s="38"/>
      <c r="L844" s="42"/>
      <c r="M844" s="42"/>
      <c r="N844" s="42"/>
      <c r="O844" s="42"/>
      <c r="R844" s="37"/>
      <c r="S844" s="37"/>
      <c r="T844" s="91"/>
      <c r="U844" s="91"/>
      <c r="V844" s="41"/>
      <c r="W844" s="37"/>
      <c r="X844" s="37"/>
      <c r="Y844" s="43"/>
      <c r="Z844" s="37"/>
      <c r="AA844" s="37"/>
      <c r="AD844" s="37"/>
      <c r="AE844" s="37"/>
      <c r="AF844" s="37"/>
    </row>
    <row r="845" spans="1:32" x14ac:dyDescent="0.25">
      <c r="A845" s="37"/>
      <c r="B845" s="37"/>
      <c r="C845" s="37"/>
      <c r="F845" s="38"/>
      <c r="G845" s="38"/>
      <c r="H845" s="38"/>
      <c r="I845" s="37"/>
      <c r="J845" s="38"/>
      <c r="K845" s="38"/>
      <c r="L845" s="42"/>
      <c r="M845" s="42"/>
      <c r="N845" s="42"/>
      <c r="O845" s="42"/>
      <c r="R845" s="37"/>
      <c r="S845" s="37"/>
      <c r="T845" s="91"/>
      <c r="U845" s="91"/>
      <c r="V845" s="41"/>
      <c r="W845" s="37"/>
      <c r="X845" s="37"/>
      <c r="Y845" s="43"/>
      <c r="Z845" s="37"/>
      <c r="AA845" s="37"/>
      <c r="AD845" s="37"/>
      <c r="AE845" s="37"/>
      <c r="AF845" s="37"/>
    </row>
    <row r="846" spans="1:32" x14ac:dyDescent="0.25">
      <c r="A846" s="37"/>
      <c r="B846" s="37"/>
      <c r="C846" s="37"/>
      <c r="F846" s="38"/>
      <c r="G846" s="38"/>
      <c r="H846" s="38"/>
      <c r="I846" s="37"/>
      <c r="J846" s="38"/>
      <c r="K846" s="38"/>
      <c r="L846" s="42"/>
      <c r="M846" s="42"/>
      <c r="N846" s="42"/>
      <c r="O846" s="42"/>
      <c r="R846" s="37"/>
      <c r="S846" s="37"/>
      <c r="T846" s="91"/>
      <c r="U846" s="91"/>
      <c r="V846" s="41"/>
      <c r="W846" s="37"/>
      <c r="X846" s="37"/>
      <c r="Y846" s="43"/>
      <c r="Z846" s="37"/>
      <c r="AA846" s="37"/>
      <c r="AD846" s="37"/>
      <c r="AE846" s="37"/>
      <c r="AF846" s="37"/>
    </row>
    <row r="847" spans="1:32" x14ac:dyDescent="0.25">
      <c r="A847" s="37"/>
      <c r="B847" s="37"/>
      <c r="C847" s="37"/>
      <c r="F847" s="38"/>
      <c r="G847" s="38"/>
      <c r="H847" s="38"/>
      <c r="I847" s="37"/>
      <c r="J847" s="38"/>
      <c r="K847" s="38"/>
      <c r="L847" s="42"/>
      <c r="M847" s="42"/>
      <c r="N847" s="42"/>
      <c r="O847" s="42"/>
      <c r="R847" s="37"/>
      <c r="S847" s="37"/>
      <c r="T847" s="91"/>
      <c r="U847" s="91"/>
      <c r="V847" s="41"/>
      <c r="W847" s="37"/>
      <c r="X847" s="37"/>
      <c r="Y847" s="43"/>
      <c r="Z847" s="37"/>
      <c r="AA847" s="37"/>
      <c r="AD847" s="37"/>
      <c r="AE847" s="37"/>
      <c r="AF847" s="37"/>
    </row>
    <row r="848" spans="1:32" x14ac:dyDescent="0.25">
      <c r="A848" s="37"/>
      <c r="B848" s="37"/>
      <c r="C848" s="37"/>
      <c r="F848" s="38"/>
      <c r="G848" s="38"/>
      <c r="H848" s="38"/>
      <c r="I848" s="37"/>
      <c r="J848" s="38"/>
      <c r="K848" s="38"/>
      <c r="L848" s="42"/>
      <c r="M848" s="42"/>
      <c r="N848" s="42"/>
      <c r="O848" s="42"/>
      <c r="R848" s="37"/>
      <c r="S848" s="37"/>
      <c r="T848" s="91"/>
      <c r="U848" s="91"/>
      <c r="V848" s="41"/>
      <c r="W848" s="37"/>
      <c r="X848" s="37"/>
      <c r="Y848" s="43"/>
      <c r="Z848" s="37"/>
      <c r="AA848" s="37"/>
      <c r="AD848" s="37"/>
      <c r="AE848" s="37"/>
      <c r="AF848" s="37"/>
    </row>
    <row r="849" spans="1:32" x14ac:dyDescent="0.25">
      <c r="A849" s="37"/>
      <c r="B849" s="37"/>
      <c r="C849" s="37"/>
      <c r="F849" s="38"/>
      <c r="G849" s="38"/>
      <c r="H849" s="38"/>
      <c r="I849" s="37"/>
      <c r="J849" s="38"/>
      <c r="K849" s="38"/>
      <c r="L849" s="42"/>
      <c r="M849" s="42"/>
      <c r="N849" s="42"/>
      <c r="O849" s="42"/>
      <c r="R849" s="37"/>
      <c r="S849" s="37"/>
      <c r="T849" s="91"/>
      <c r="U849" s="91"/>
      <c r="V849" s="41"/>
      <c r="W849" s="37"/>
      <c r="X849" s="37"/>
      <c r="Y849" s="43"/>
      <c r="Z849" s="37"/>
      <c r="AA849" s="37"/>
      <c r="AD849" s="37"/>
      <c r="AE849" s="37"/>
      <c r="AF849" s="37"/>
    </row>
    <row r="850" spans="1:32" x14ac:dyDescent="0.25">
      <c r="A850" s="37"/>
      <c r="B850" s="37"/>
      <c r="C850" s="37"/>
      <c r="F850" s="38"/>
      <c r="G850" s="38"/>
      <c r="H850" s="38"/>
      <c r="I850" s="37"/>
      <c r="J850" s="38"/>
      <c r="K850" s="38"/>
      <c r="L850" s="42"/>
      <c r="M850" s="42"/>
      <c r="N850" s="42"/>
      <c r="O850" s="42"/>
      <c r="R850" s="37"/>
      <c r="S850" s="37"/>
      <c r="T850" s="91"/>
      <c r="U850" s="91"/>
      <c r="V850" s="41"/>
      <c r="W850" s="37"/>
      <c r="X850" s="37"/>
      <c r="Y850" s="43"/>
      <c r="Z850" s="37"/>
      <c r="AA850" s="37"/>
      <c r="AD850" s="37"/>
      <c r="AE850" s="37"/>
      <c r="AF850" s="37"/>
    </row>
    <row r="851" spans="1:32" x14ac:dyDescent="0.25">
      <c r="A851" s="37"/>
      <c r="B851" s="37"/>
      <c r="C851" s="37"/>
      <c r="F851" s="38"/>
      <c r="G851" s="38"/>
      <c r="H851" s="38"/>
      <c r="I851" s="37"/>
      <c r="J851" s="38"/>
      <c r="K851" s="38"/>
      <c r="L851" s="42"/>
      <c r="M851" s="42"/>
      <c r="N851" s="42"/>
      <c r="O851" s="42"/>
      <c r="R851" s="37"/>
      <c r="S851" s="37"/>
      <c r="T851" s="91"/>
      <c r="U851" s="91"/>
      <c r="V851" s="41"/>
      <c r="W851" s="37"/>
      <c r="X851" s="37"/>
      <c r="Y851" s="43"/>
      <c r="Z851" s="37"/>
      <c r="AA851" s="37"/>
      <c r="AD851" s="37"/>
      <c r="AE851" s="37"/>
      <c r="AF851" s="37"/>
    </row>
    <row r="852" spans="1:32" x14ac:dyDescent="0.25">
      <c r="A852" s="37"/>
      <c r="B852" s="37"/>
      <c r="C852" s="37"/>
      <c r="F852" s="38"/>
      <c r="G852" s="38"/>
      <c r="H852" s="38"/>
      <c r="I852" s="37"/>
      <c r="J852" s="38"/>
      <c r="K852" s="38"/>
      <c r="L852" s="42"/>
      <c r="M852" s="42"/>
      <c r="N852" s="42"/>
      <c r="O852" s="42"/>
      <c r="R852" s="37"/>
      <c r="S852" s="37"/>
      <c r="T852" s="91"/>
      <c r="U852" s="91"/>
      <c r="V852" s="41"/>
      <c r="W852" s="37"/>
      <c r="X852" s="37"/>
      <c r="Y852" s="43"/>
      <c r="Z852" s="37"/>
      <c r="AA852" s="37"/>
      <c r="AD852" s="37"/>
      <c r="AE852" s="37"/>
      <c r="AF852" s="37"/>
    </row>
    <row r="853" spans="1:32" x14ac:dyDescent="0.25">
      <c r="A853" s="37"/>
      <c r="B853" s="37"/>
      <c r="C853" s="37"/>
      <c r="F853" s="38"/>
      <c r="G853" s="38"/>
      <c r="H853" s="38"/>
      <c r="I853" s="37"/>
      <c r="J853" s="38"/>
      <c r="K853" s="38"/>
      <c r="L853" s="42"/>
      <c r="M853" s="42"/>
      <c r="N853" s="42"/>
      <c r="O853" s="42"/>
      <c r="R853" s="37"/>
      <c r="S853" s="37"/>
      <c r="T853" s="91"/>
      <c r="U853" s="91"/>
      <c r="V853" s="41"/>
      <c r="W853" s="37"/>
      <c r="X853" s="37"/>
      <c r="Y853" s="43"/>
      <c r="Z853" s="37"/>
      <c r="AA853" s="37"/>
      <c r="AD853" s="37"/>
      <c r="AE853" s="37"/>
      <c r="AF853" s="37"/>
    </row>
    <row r="854" spans="1:32" x14ac:dyDescent="0.25">
      <c r="A854" s="37"/>
      <c r="B854" s="37"/>
      <c r="C854" s="37"/>
      <c r="F854" s="38"/>
      <c r="G854" s="38"/>
      <c r="H854" s="38"/>
      <c r="I854" s="37"/>
      <c r="J854" s="38"/>
      <c r="K854" s="38"/>
      <c r="L854" s="42"/>
      <c r="M854" s="42"/>
      <c r="N854" s="42"/>
      <c r="O854" s="42"/>
      <c r="R854" s="37"/>
      <c r="S854" s="37"/>
      <c r="T854" s="91"/>
      <c r="U854" s="91"/>
      <c r="V854" s="41"/>
      <c r="W854" s="37"/>
      <c r="X854" s="37"/>
      <c r="Y854" s="43"/>
      <c r="Z854" s="37"/>
      <c r="AA854" s="37"/>
      <c r="AD854" s="37"/>
      <c r="AE854" s="37"/>
      <c r="AF854" s="37"/>
    </row>
    <row r="855" spans="1:32" x14ac:dyDescent="0.25">
      <c r="A855" s="37"/>
      <c r="B855" s="37"/>
      <c r="C855" s="37"/>
      <c r="F855" s="38"/>
      <c r="G855" s="38"/>
      <c r="H855" s="38"/>
      <c r="I855" s="37"/>
      <c r="J855" s="38"/>
      <c r="K855" s="38"/>
      <c r="L855" s="42"/>
      <c r="M855" s="42"/>
      <c r="N855" s="42"/>
      <c r="O855" s="42"/>
      <c r="R855" s="37"/>
      <c r="S855" s="37"/>
      <c r="T855" s="91"/>
      <c r="U855" s="91"/>
      <c r="V855" s="41"/>
      <c r="W855" s="37"/>
      <c r="X855" s="37"/>
      <c r="Y855" s="43"/>
      <c r="Z855" s="37"/>
      <c r="AA855" s="37"/>
      <c r="AD855" s="37"/>
      <c r="AE855" s="37"/>
      <c r="AF855" s="37"/>
    </row>
    <row r="856" spans="1:32" x14ac:dyDescent="0.25">
      <c r="A856" s="37"/>
      <c r="B856" s="37"/>
      <c r="C856" s="37"/>
      <c r="F856" s="38"/>
      <c r="G856" s="38"/>
      <c r="H856" s="38"/>
      <c r="I856" s="37"/>
      <c r="J856" s="38"/>
      <c r="K856" s="38"/>
      <c r="L856" s="42"/>
      <c r="M856" s="42"/>
      <c r="N856" s="42"/>
      <c r="O856" s="42"/>
      <c r="R856" s="37"/>
      <c r="S856" s="37"/>
      <c r="T856" s="91"/>
      <c r="U856" s="91"/>
      <c r="V856" s="41"/>
      <c r="W856" s="37"/>
      <c r="X856" s="37"/>
      <c r="Y856" s="43"/>
      <c r="Z856" s="37"/>
      <c r="AA856" s="37"/>
      <c r="AD856" s="37"/>
      <c r="AE856" s="37"/>
      <c r="AF856" s="37"/>
    </row>
    <row r="857" spans="1:32" x14ac:dyDescent="0.25">
      <c r="A857" s="37"/>
      <c r="B857" s="37"/>
      <c r="C857" s="37"/>
      <c r="F857" s="38"/>
      <c r="G857" s="38"/>
      <c r="H857" s="38"/>
      <c r="I857" s="37"/>
      <c r="J857" s="38"/>
      <c r="K857" s="38"/>
      <c r="L857" s="42"/>
      <c r="M857" s="42"/>
      <c r="N857" s="42"/>
      <c r="O857" s="42"/>
      <c r="R857" s="37"/>
      <c r="S857" s="37"/>
      <c r="T857" s="91"/>
      <c r="U857" s="91"/>
      <c r="V857" s="41"/>
      <c r="W857" s="37"/>
      <c r="X857" s="37"/>
      <c r="Y857" s="43"/>
      <c r="Z857" s="37"/>
      <c r="AA857" s="37"/>
      <c r="AD857" s="37"/>
      <c r="AE857" s="37"/>
      <c r="AF857" s="37"/>
    </row>
    <row r="858" spans="1:32" x14ac:dyDescent="0.25">
      <c r="A858" s="37"/>
      <c r="B858" s="37"/>
      <c r="C858" s="37"/>
      <c r="F858" s="38"/>
      <c r="G858" s="38"/>
      <c r="H858" s="38"/>
      <c r="I858" s="37"/>
      <c r="J858" s="38"/>
      <c r="K858" s="38"/>
      <c r="L858" s="42"/>
      <c r="M858" s="42"/>
      <c r="N858" s="42"/>
      <c r="O858" s="42"/>
      <c r="R858" s="37"/>
      <c r="S858" s="37"/>
      <c r="T858" s="91"/>
      <c r="U858" s="91"/>
      <c r="V858" s="41"/>
      <c r="W858" s="37"/>
      <c r="X858" s="37"/>
      <c r="Y858" s="43"/>
      <c r="Z858" s="37"/>
      <c r="AA858" s="37"/>
      <c r="AD858" s="37"/>
      <c r="AE858" s="37"/>
      <c r="AF858" s="37"/>
    </row>
    <row r="859" spans="1:32" x14ac:dyDescent="0.25">
      <c r="A859" s="37"/>
      <c r="B859" s="37"/>
      <c r="C859" s="37"/>
      <c r="F859" s="38"/>
      <c r="G859" s="38"/>
      <c r="H859" s="38"/>
      <c r="I859" s="37"/>
      <c r="J859" s="38"/>
      <c r="K859" s="38"/>
      <c r="L859" s="42"/>
      <c r="M859" s="42"/>
      <c r="N859" s="42"/>
      <c r="O859" s="42"/>
      <c r="R859" s="37"/>
      <c r="S859" s="37"/>
      <c r="T859" s="91"/>
      <c r="U859" s="91"/>
      <c r="V859" s="41"/>
      <c r="W859" s="37"/>
      <c r="X859" s="37"/>
      <c r="Y859" s="43"/>
      <c r="Z859" s="37"/>
      <c r="AA859" s="37"/>
      <c r="AD859" s="37"/>
      <c r="AE859" s="37"/>
      <c r="AF859" s="37"/>
    </row>
    <row r="860" spans="1:32" x14ac:dyDescent="0.25">
      <c r="A860" s="37"/>
      <c r="B860" s="37"/>
      <c r="C860" s="37"/>
      <c r="F860" s="38"/>
      <c r="G860" s="38"/>
      <c r="H860" s="38"/>
      <c r="I860" s="37"/>
      <c r="J860" s="38"/>
      <c r="K860" s="38"/>
      <c r="L860" s="42"/>
      <c r="M860" s="42"/>
      <c r="N860" s="42"/>
      <c r="O860" s="42"/>
      <c r="R860" s="37"/>
      <c r="S860" s="37"/>
      <c r="T860" s="91"/>
      <c r="U860" s="91"/>
      <c r="V860" s="41"/>
      <c r="W860" s="37"/>
      <c r="X860" s="37"/>
      <c r="Y860" s="43"/>
      <c r="Z860" s="37"/>
      <c r="AA860" s="37"/>
      <c r="AD860" s="37"/>
      <c r="AE860" s="37"/>
      <c r="AF860" s="37"/>
    </row>
    <row r="861" spans="1:32" x14ac:dyDescent="0.25">
      <c r="A861" s="37"/>
      <c r="B861" s="37"/>
      <c r="C861" s="37"/>
      <c r="F861" s="38"/>
      <c r="G861" s="38"/>
      <c r="H861" s="38"/>
      <c r="I861" s="37"/>
      <c r="J861" s="38"/>
      <c r="K861" s="38"/>
      <c r="L861" s="42"/>
      <c r="M861" s="42"/>
      <c r="N861" s="42"/>
      <c r="O861" s="42"/>
      <c r="R861" s="37"/>
      <c r="S861" s="37"/>
      <c r="T861" s="91"/>
      <c r="U861" s="91"/>
      <c r="V861" s="41"/>
      <c r="W861" s="37"/>
      <c r="X861" s="37"/>
      <c r="Y861" s="43"/>
      <c r="Z861" s="37"/>
      <c r="AA861" s="37"/>
      <c r="AD861" s="37"/>
      <c r="AE861" s="37"/>
      <c r="AF861" s="37"/>
    </row>
    <row r="862" spans="1:32" x14ac:dyDescent="0.25">
      <c r="A862" s="37"/>
      <c r="B862" s="37"/>
      <c r="C862" s="37"/>
      <c r="F862" s="38"/>
      <c r="G862" s="38"/>
      <c r="H862" s="38"/>
      <c r="I862" s="37"/>
      <c r="J862" s="38"/>
      <c r="K862" s="38"/>
      <c r="L862" s="42"/>
      <c r="M862" s="42"/>
      <c r="N862" s="42"/>
      <c r="O862" s="42"/>
      <c r="R862" s="37"/>
      <c r="S862" s="37"/>
      <c r="T862" s="91"/>
      <c r="U862" s="91"/>
      <c r="V862" s="41"/>
      <c r="W862" s="37"/>
      <c r="X862" s="37"/>
      <c r="Y862" s="43"/>
      <c r="Z862" s="37"/>
      <c r="AA862" s="37"/>
      <c r="AD862" s="37"/>
      <c r="AE862" s="37"/>
      <c r="AF862" s="37"/>
    </row>
    <row r="863" spans="1:32" x14ac:dyDescent="0.25">
      <c r="A863" s="37"/>
      <c r="B863" s="37"/>
      <c r="C863" s="37"/>
      <c r="F863" s="38"/>
      <c r="G863" s="38"/>
      <c r="H863" s="38"/>
      <c r="I863" s="37"/>
      <c r="J863" s="38"/>
      <c r="K863" s="38"/>
      <c r="L863" s="42"/>
      <c r="M863" s="42"/>
      <c r="N863" s="42"/>
      <c r="O863" s="42"/>
      <c r="R863" s="37"/>
      <c r="S863" s="37"/>
      <c r="T863" s="91"/>
      <c r="U863" s="91"/>
      <c r="V863" s="41"/>
      <c r="W863" s="37"/>
      <c r="X863" s="37"/>
      <c r="Y863" s="43"/>
      <c r="Z863" s="37"/>
      <c r="AA863" s="37"/>
      <c r="AD863" s="37"/>
      <c r="AE863" s="37"/>
      <c r="AF863" s="37"/>
    </row>
    <row r="864" spans="1:32" x14ac:dyDescent="0.25">
      <c r="A864" s="37"/>
      <c r="B864" s="37"/>
      <c r="C864" s="37"/>
      <c r="F864" s="38"/>
      <c r="G864" s="38"/>
      <c r="H864" s="38"/>
      <c r="I864" s="37"/>
      <c r="J864" s="38"/>
      <c r="K864" s="38"/>
      <c r="L864" s="42"/>
      <c r="M864" s="42"/>
      <c r="N864" s="42"/>
      <c r="O864" s="42"/>
      <c r="R864" s="37"/>
      <c r="S864" s="37"/>
      <c r="T864" s="91"/>
      <c r="U864" s="91"/>
      <c r="V864" s="41"/>
      <c r="W864" s="37"/>
      <c r="X864" s="37"/>
      <c r="Y864" s="43"/>
      <c r="Z864" s="37"/>
      <c r="AA864" s="37"/>
      <c r="AD864" s="37"/>
      <c r="AE864" s="37"/>
      <c r="AF864" s="37"/>
    </row>
    <row r="865" spans="1:32" x14ac:dyDescent="0.25">
      <c r="A865" s="37"/>
      <c r="B865" s="37"/>
      <c r="C865" s="37"/>
      <c r="F865" s="38"/>
      <c r="G865" s="38"/>
      <c r="H865" s="38"/>
      <c r="I865" s="37"/>
      <c r="J865" s="38"/>
      <c r="K865" s="38"/>
      <c r="L865" s="42"/>
      <c r="M865" s="42"/>
      <c r="N865" s="42"/>
      <c r="O865" s="42"/>
      <c r="R865" s="37"/>
      <c r="S865" s="37"/>
      <c r="T865" s="91"/>
      <c r="U865" s="91"/>
      <c r="V865" s="41"/>
      <c r="W865" s="37"/>
      <c r="X865" s="37"/>
      <c r="Y865" s="43"/>
      <c r="Z865" s="37"/>
      <c r="AA865" s="37"/>
      <c r="AD865" s="37"/>
      <c r="AE865" s="37"/>
      <c r="AF865" s="37"/>
    </row>
    <row r="866" spans="1:32" x14ac:dyDescent="0.25">
      <c r="A866" s="37"/>
      <c r="B866" s="37"/>
      <c r="C866" s="37"/>
      <c r="F866" s="38"/>
      <c r="G866" s="38"/>
      <c r="H866" s="38"/>
      <c r="I866" s="37"/>
      <c r="J866" s="38"/>
      <c r="K866" s="38"/>
      <c r="L866" s="42"/>
      <c r="M866" s="42"/>
      <c r="N866" s="42"/>
      <c r="O866" s="42"/>
      <c r="R866" s="37"/>
      <c r="S866" s="37"/>
      <c r="T866" s="91"/>
      <c r="U866" s="91"/>
      <c r="V866" s="41"/>
      <c r="W866" s="37"/>
      <c r="X866" s="37"/>
      <c r="Y866" s="43"/>
      <c r="Z866" s="37"/>
      <c r="AA866" s="37"/>
      <c r="AD866" s="37"/>
      <c r="AE866" s="37"/>
      <c r="AF866" s="37"/>
    </row>
    <row r="867" spans="1:32" x14ac:dyDescent="0.25">
      <c r="A867" s="37"/>
      <c r="B867" s="37"/>
      <c r="C867" s="37"/>
      <c r="F867" s="38"/>
      <c r="G867" s="38"/>
      <c r="H867" s="38"/>
      <c r="I867" s="37"/>
      <c r="J867" s="38"/>
      <c r="K867" s="38"/>
      <c r="L867" s="42"/>
      <c r="M867" s="42"/>
      <c r="N867" s="42"/>
      <c r="O867" s="42"/>
      <c r="R867" s="37"/>
      <c r="S867" s="37"/>
      <c r="T867" s="91"/>
      <c r="U867" s="91"/>
      <c r="V867" s="41"/>
      <c r="W867" s="37"/>
      <c r="X867" s="37"/>
      <c r="Y867" s="43"/>
      <c r="Z867" s="37"/>
      <c r="AA867" s="37"/>
      <c r="AD867" s="37"/>
      <c r="AE867" s="37"/>
      <c r="AF867" s="37"/>
    </row>
    <row r="868" spans="1:32" x14ac:dyDescent="0.25">
      <c r="A868" s="37"/>
      <c r="B868" s="37"/>
      <c r="C868" s="37"/>
      <c r="F868" s="38"/>
      <c r="G868" s="38"/>
      <c r="H868" s="38"/>
      <c r="I868" s="37"/>
      <c r="J868" s="38"/>
      <c r="K868" s="38"/>
      <c r="L868" s="42"/>
      <c r="M868" s="42"/>
      <c r="N868" s="42"/>
      <c r="O868" s="42"/>
      <c r="R868" s="37"/>
      <c r="S868" s="37"/>
      <c r="T868" s="91"/>
      <c r="U868" s="91"/>
      <c r="V868" s="41"/>
      <c r="W868" s="37"/>
      <c r="X868" s="37"/>
      <c r="Y868" s="43"/>
      <c r="Z868" s="37"/>
      <c r="AA868" s="37"/>
      <c r="AD868" s="37"/>
      <c r="AE868" s="37"/>
      <c r="AF868" s="37"/>
    </row>
    <row r="869" spans="1:32" x14ac:dyDescent="0.25">
      <c r="A869" s="37"/>
      <c r="B869" s="37"/>
      <c r="C869" s="37"/>
      <c r="F869" s="38"/>
      <c r="G869" s="38"/>
      <c r="H869" s="38"/>
      <c r="I869" s="37"/>
      <c r="J869" s="38"/>
      <c r="K869" s="38"/>
      <c r="L869" s="42"/>
      <c r="M869" s="42"/>
      <c r="N869" s="42"/>
      <c r="O869" s="42"/>
      <c r="R869" s="37"/>
      <c r="S869" s="37"/>
      <c r="T869" s="91"/>
      <c r="U869" s="91"/>
      <c r="V869" s="41"/>
      <c r="W869" s="37"/>
      <c r="X869" s="37"/>
      <c r="Y869" s="43"/>
      <c r="Z869" s="37"/>
      <c r="AA869" s="37"/>
      <c r="AD869" s="37"/>
      <c r="AE869" s="37"/>
      <c r="AF869" s="37"/>
    </row>
    <row r="870" spans="1:32" x14ac:dyDescent="0.25">
      <c r="A870" s="37"/>
      <c r="B870" s="37"/>
      <c r="C870" s="37"/>
      <c r="F870" s="38"/>
      <c r="G870" s="38"/>
      <c r="H870" s="38"/>
      <c r="I870" s="37"/>
      <c r="J870" s="38"/>
      <c r="K870" s="38"/>
      <c r="L870" s="42"/>
      <c r="M870" s="42"/>
      <c r="N870" s="42"/>
      <c r="O870" s="42"/>
      <c r="R870" s="37"/>
      <c r="S870" s="37"/>
      <c r="T870" s="91"/>
      <c r="U870" s="91"/>
      <c r="V870" s="41"/>
      <c r="W870" s="37"/>
      <c r="X870" s="37"/>
      <c r="Y870" s="43"/>
      <c r="Z870" s="37"/>
      <c r="AA870" s="37"/>
      <c r="AD870" s="37"/>
      <c r="AE870" s="37"/>
      <c r="AF870" s="37"/>
    </row>
    <row r="871" spans="1:32" x14ac:dyDescent="0.25">
      <c r="A871" s="37"/>
      <c r="B871" s="37"/>
      <c r="C871" s="37"/>
      <c r="F871" s="38"/>
      <c r="G871" s="38"/>
      <c r="H871" s="38"/>
      <c r="I871" s="37"/>
      <c r="J871" s="38"/>
      <c r="K871" s="38"/>
      <c r="L871" s="42"/>
      <c r="M871" s="42"/>
      <c r="N871" s="42"/>
      <c r="O871" s="42"/>
      <c r="R871" s="37"/>
      <c r="S871" s="37"/>
      <c r="T871" s="91"/>
      <c r="U871" s="91"/>
      <c r="V871" s="41"/>
      <c r="W871" s="37"/>
      <c r="X871" s="37"/>
      <c r="Y871" s="43"/>
      <c r="Z871" s="37"/>
      <c r="AA871" s="37"/>
      <c r="AD871" s="37"/>
      <c r="AE871" s="37"/>
      <c r="AF871" s="37"/>
    </row>
    <row r="872" spans="1:32" x14ac:dyDescent="0.25">
      <c r="A872" s="37"/>
      <c r="B872" s="37"/>
      <c r="C872" s="37"/>
      <c r="F872" s="38"/>
      <c r="G872" s="38"/>
      <c r="H872" s="38"/>
      <c r="I872" s="37"/>
      <c r="J872" s="38"/>
      <c r="K872" s="38"/>
      <c r="L872" s="42"/>
      <c r="M872" s="42"/>
      <c r="N872" s="42"/>
      <c r="O872" s="42"/>
      <c r="R872" s="37"/>
      <c r="S872" s="37"/>
      <c r="T872" s="91"/>
      <c r="U872" s="91"/>
      <c r="V872" s="41"/>
      <c r="W872" s="37"/>
      <c r="X872" s="37"/>
      <c r="Y872" s="43"/>
      <c r="Z872" s="37"/>
      <c r="AA872" s="37"/>
      <c r="AD872" s="37"/>
      <c r="AE872" s="37"/>
      <c r="AF872" s="37"/>
    </row>
    <row r="873" spans="1:32" x14ac:dyDescent="0.25">
      <c r="A873" s="37"/>
      <c r="B873" s="37"/>
      <c r="C873" s="37"/>
      <c r="F873" s="38"/>
      <c r="G873" s="38"/>
      <c r="H873" s="38"/>
      <c r="I873" s="37"/>
      <c r="J873" s="38"/>
      <c r="K873" s="38"/>
      <c r="L873" s="42"/>
      <c r="M873" s="42"/>
      <c r="N873" s="42"/>
      <c r="O873" s="42"/>
      <c r="R873" s="37"/>
      <c r="S873" s="37"/>
      <c r="T873" s="91"/>
      <c r="U873" s="91"/>
      <c r="V873" s="41"/>
      <c r="W873" s="37"/>
      <c r="X873" s="37"/>
      <c r="Y873" s="43"/>
      <c r="Z873" s="37"/>
      <c r="AA873" s="37"/>
      <c r="AD873" s="37"/>
      <c r="AE873" s="37"/>
      <c r="AF873" s="37"/>
    </row>
    <row r="874" spans="1:32" x14ac:dyDescent="0.25">
      <c r="A874" s="37"/>
      <c r="B874" s="37"/>
      <c r="C874" s="37"/>
      <c r="F874" s="38"/>
      <c r="G874" s="38"/>
      <c r="H874" s="38"/>
      <c r="I874" s="37"/>
      <c r="J874" s="38"/>
      <c r="K874" s="38"/>
      <c r="L874" s="42"/>
      <c r="M874" s="42"/>
      <c r="N874" s="42"/>
      <c r="O874" s="42"/>
      <c r="R874" s="37"/>
      <c r="S874" s="37"/>
      <c r="T874" s="91"/>
      <c r="U874" s="91"/>
      <c r="V874" s="41"/>
      <c r="W874" s="37"/>
      <c r="X874" s="37"/>
      <c r="Y874" s="43"/>
      <c r="Z874" s="37"/>
      <c r="AA874" s="37"/>
      <c r="AD874" s="37"/>
      <c r="AE874" s="37"/>
      <c r="AF874" s="37"/>
    </row>
    <row r="875" spans="1:32" x14ac:dyDescent="0.25">
      <c r="A875" s="37"/>
      <c r="B875" s="37"/>
      <c r="C875" s="37"/>
      <c r="F875" s="38"/>
      <c r="G875" s="38"/>
      <c r="H875" s="38"/>
      <c r="I875" s="37"/>
      <c r="J875" s="38"/>
      <c r="K875" s="38"/>
      <c r="L875" s="42"/>
      <c r="M875" s="42"/>
      <c r="N875" s="42"/>
      <c r="O875" s="42"/>
      <c r="R875" s="37"/>
      <c r="S875" s="37"/>
      <c r="T875" s="91"/>
      <c r="U875" s="91"/>
      <c r="V875" s="41"/>
      <c r="W875" s="37"/>
      <c r="X875" s="37"/>
      <c r="Y875" s="43"/>
      <c r="Z875" s="37"/>
      <c r="AA875" s="37"/>
      <c r="AD875" s="37"/>
      <c r="AE875" s="37"/>
      <c r="AF875" s="37"/>
    </row>
    <row r="876" spans="1:32" x14ac:dyDescent="0.25">
      <c r="A876" s="37"/>
      <c r="B876" s="37"/>
      <c r="C876" s="37"/>
      <c r="F876" s="38"/>
      <c r="G876" s="38"/>
      <c r="H876" s="38"/>
      <c r="I876" s="37"/>
      <c r="J876" s="38"/>
      <c r="K876" s="38"/>
      <c r="L876" s="42"/>
      <c r="M876" s="42"/>
      <c r="N876" s="42"/>
      <c r="O876" s="42"/>
      <c r="R876" s="37"/>
      <c r="S876" s="37"/>
      <c r="T876" s="91"/>
      <c r="U876" s="91"/>
      <c r="V876" s="41"/>
      <c r="W876" s="37"/>
      <c r="X876" s="37"/>
      <c r="Y876" s="43"/>
      <c r="Z876" s="37"/>
      <c r="AA876" s="37"/>
      <c r="AD876" s="37"/>
      <c r="AE876" s="37"/>
      <c r="AF876" s="37"/>
    </row>
    <row r="877" spans="1:32" x14ac:dyDescent="0.25">
      <c r="A877" s="37"/>
      <c r="B877" s="37"/>
      <c r="C877" s="37"/>
      <c r="F877" s="38"/>
      <c r="G877" s="38"/>
      <c r="H877" s="38"/>
      <c r="I877" s="37"/>
      <c r="J877" s="38"/>
      <c r="K877" s="38"/>
      <c r="L877" s="42"/>
      <c r="M877" s="42"/>
      <c r="N877" s="42"/>
      <c r="O877" s="42"/>
      <c r="R877" s="37"/>
      <c r="S877" s="37"/>
      <c r="T877" s="91"/>
      <c r="U877" s="91"/>
      <c r="V877" s="41"/>
      <c r="W877" s="37"/>
      <c r="X877" s="37"/>
      <c r="Y877" s="43"/>
      <c r="Z877" s="37"/>
      <c r="AA877" s="37"/>
      <c r="AD877" s="37"/>
      <c r="AE877" s="37"/>
      <c r="AF877" s="37"/>
    </row>
    <row r="878" spans="1:32" x14ac:dyDescent="0.25">
      <c r="A878" s="37"/>
      <c r="B878" s="37"/>
      <c r="C878" s="37"/>
      <c r="F878" s="38"/>
      <c r="G878" s="38"/>
      <c r="H878" s="38"/>
      <c r="I878" s="37"/>
      <c r="J878" s="38"/>
      <c r="K878" s="38"/>
      <c r="L878" s="42"/>
      <c r="M878" s="42"/>
      <c r="N878" s="42"/>
      <c r="O878" s="42"/>
      <c r="R878" s="37"/>
      <c r="S878" s="37"/>
      <c r="T878" s="91"/>
      <c r="U878" s="91"/>
      <c r="V878" s="41"/>
      <c r="W878" s="37"/>
      <c r="X878" s="37"/>
      <c r="Y878" s="43"/>
      <c r="Z878" s="37"/>
      <c r="AA878" s="37"/>
      <c r="AD878" s="37"/>
      <c r="AE878" s="37"/>
      <c r="AF878" s="37"/>
    </row>
    <row r="879" spans="1:32" x14ac:dyDescent="0.25">
      <c r="A879" s="37"/>
      <c r="B879" s="37"/>
      <c r="C879" s="37"/>
      <c r="F879" s="38"/>
      <c r="G879" s="38"/>
      <c r="H879" s="38"/>
      <c r="I879" s="37"/>
      <c r="J879" s="38"/>
      <c r="K879" s="38"/>
      <c r="L879" s="42"/>
      <c r="M879" s="42"/>
      <c r="N879" s="42"/>
      <c r="O879" s="42"/>
      <c r="R879" s="37"/>
      <c r="S879" s="37"/>
      <c r="T879" s="91"/>
      <c r="U879" s="91"/>
      <c r="V879" s="41"/>
      <c r="W879" s="37"/>
      <c r="X879" s="37"/>
      <c r="Y879" s="43"/>
      <c r="Z879" s="37"/>
      <c r="AA879" s="37"/>
      <c r="AD879" s="37"/>
      <c r="AE879" s="37"/>
      <c r="AF879" s="37"/>
    </row>
    <row r="880" spans="1:32" x14ac:dyDescent="0.25">
      <c r="A880" s="37"/>
      <c r="B880" s="37"/>
      <c r="C880" s="37"/>
      <c r="F880" s="38"/>
      <c r="G880" s="38"/>
      <c r="H880" s="38"/>
      <c r="I880" s="37"/>
      <c r="J880" s="38"/>
      <c r="K880" s="38"/>
      <c r="L880" s="42"/>
      <c r="M880" s="42"/>
      <c r="N880" s="42"/>
      <c r="O880" s="42"/>
      <c r="R880" s="37"/>
      <c r="S880" s="37"/>
      <c r="T880" s="91"/>
      <c r="U880" s="91"/>
      <c r="V880" s="41"/>
      <c r="W880" s="37"/>
      <c r="X880" s="37"/>
      <c r="Y880" s="43"/>
      <c r="Z880" s="37"/>
      <c r="AA880" s="37"/>
      <c r="AD880" s="37"/>
      <c r="AE880" s="37"/>
      <c r="AF880" s="37"/>
    </row>
    <row r="881" spans="1:32" x14ac:dyDescent="0.25">
      <c r="A881" s="37"/>
      <c r="B881" s="37"/>
      <c r="C881" s="37"/>
      <c r="F881" s="38"/>
      <c r="G881" s="38"/>
      <c r="H881" s="38"/>
      <c r="I881" s="37"/>
      <c r="J881" s="38"/>
      <c r="K881" s="38"/>
      <c r="L881" s="42"/>
      <c r="M881" s="42"/>
      <c r="N881" s="42"/>
      <c r="O881" s="42"/>
      <c r="R881" s="37"/>
      <c r="S881" s="37"/>
      <c r="T881" s="91"/>
      <c r="U881" s="91"/>
      <c r="V881" s="41"/>
      <c r="W881" s="37"/>
      <c r="X881" s="37"/>
      <c r="Y881" s="43"/>
      <c r="Z881" s="37"/>
      <c r="AA881" s="37"/>
      <c r="AD881" s="37"/>
      <c r="AE881" s="37"/>
      <c r="AF881" s="37"/>
    </row>
    <row r="882" spans="1:32" x14ac:dyDescent="0.25">
      <c r="A882" s="37"/>
      <c r="B882" s="37"/>
      <c r="C882" s="37"/>
      <c r="F882" s="38"/>
      <c r="G882" s="38"/>
      <c r="H882" s="38"/>
      <c r="I882" s="37"/>
      <c r="J882" s="38"/>
      <c r="K882" s="38"/>
      <c r="L882" s="42"/>
      <c r="M882" s="42"/>
      <c r="N882" s="42"/>
      <c r="O882" s="42"/>
      <c r="R882" s="37"/>
      <c r="S882" s="37"/>
      <c r="T882" s="91"/>
      <c r="U882" s="91"/>
      <c r="V882" s="41"/>
      <c r="W882" s="37"/>
      <c r="X882" s="37"/>
      <c r="Y882" s="43"/>
      <c r="Z882" s="37"/>
      <c r="AA882" s="37"/>
      <c r="AD882" s="37"/>
      <c r="AE882" s="37"/>
      <c r="AF882" s="37"/>
    </row>
    <row r="883" spans="1:32" x14ac:dyDescent="0.25">
      <c r="A883" s="37"/>
      <c r="B883" s="37"/>
      <c r="C883" s="37"/>
      <c r="F883" s="38"/>
      <c r="G883" s="38"/>
      <c r="H883" s="38"/>
      <c r="I883" s="37"/>
      <c r="J883" s="38"/>
      <c r="K883" s="38"/>
      <c r="L883" s="42"/>
      <c r="M883" s="42"/>
      <c r="N883" s="42"/>
      <c r="O883" s="42"/>
      <c r="R883" s="37"/>
      <c r="S883" s="37"/>
      <c r="T883" s="91"/>
      <c r="U883" s="91"/>
      <c r="V883" s="41"/>
      <c r="W883" s="37"/>
      <c r="X883" s="37"/>
      <c r="Y883" s="43"/>
      <c r="Z883" s="37"/>
      <c r="AA883" s="37"/>
      <c r="AD883" s="37"/>
      <c r="AE883" s="37"/>
      <c r="AF883" s="37"/>
    </row>
    <row r="884" spans="1:32" x14ac:dyDescent="0.25">
      <c r="A884" s="37"/>
      <c r="B884" s="37"/>
      <c r="C884" s="37"/>
      <c r="F884" s="38"/>
      <c r="G884" s="38"/>
      <c r="H884" s="38"/>
      <c r="I884" s="37"/>
      <c r="J884" s="38"/>
      <c r="K884" s="38"/>
      <c r="L884" s="42"/>
      <c r="M884" s="42"/>
      <c r="N884" s="42"/>
      <c r="O884" s="42"/>
      <c r="R884" s="37"/>
      <c r="S884" s="37"/>
      <c r="T884" s="91"/>
      <c r="U884" s="91"/>
      <c r="V884" s="41"/>
      <c r="W884" s="37"/>
      <c r="X884" s="37"/>
      <c r="Y884" s="43"/>
      <c r="Z884" s="37"/>
      <c r="AA884" s="37"/>
      <c r="AD884" s="37"/>
      <c r="AE884" s="37"/>
      <c r="AF884" s="37"/>
    </row>
    <row r="885" spans="1:32" x14ac:dyDescent="0.25">
      <c r="A885" s="37"/>
      <c r="B885" s="37"/>
      <c r="C885" s="37"/>
      <c r="F885" s="38"/>
      <c r="G885" s="38"/>
      <c r="H885" s="38"/>
      <c r="I885" s="37"/>
      <c r="J885" s="38"/>
      <c r="K885" s="38"/>
      <c r="L885" s="42"/>
      <c r="M885" s="42"/>
      <c r="N885" s="42"/>
      <c r="O885" s="42"/>
      <c r="R885" s="37"/>
      <c r="S885" s="37"/>
      <c r="T885" s="91"/>
      <c r="U885" s="91"/>
      <c r="V885" s="41"/>
      <c r="W885" s="37"/>
      <c r="X885" s="37"/>
      <c r="Y885" s="43"/>
      <c r="Z885" s="37"/>
      <c r="AA885" s="37"/>
      <c r="AD885" s="37"/>
      <c r="AE885" s="37"/>
      <c r="AF885" s="37"/>
    </row>
    <row r="886" spans="1:32" x14ac:dyDescent="0.25">
      <c r="A886" s="37"/>
      <c r="B886" s="37"/>
      <c r="C886" s="37"/>
      <c r="F886" s="38"/>
      <c r="G886" s="38"/>
      <c r="H886" s="38"/>
      <c r="I886" s="37"/>
      <c r="J886" s="38"/>
      <c r="K886" s="38"/>
      <c r="L886" s="42"/>
      <c r="M886" s="42"/>
      <c r="N886" s="42"/>
      <c r="O886" s="42"/>
      <c r="R886" s="37"/>
      <c r="S886" s="37"/>
      <c r="T886" s="91"/>
      <c r="U886" s="91"/>
      <c r="V886" s="41"/>
      <c r="W886" s="37"/>
      <c r="X886" s="37"/>
      <c r="Y886" s="43"/>
      <c r="Z886" s="37"/>
      <c r="AA886" s="37"/>
      <c r="AD886" s="37"/>
      <c r="AE886" s="37"/>
      <c r="AF886" s="37"/>
    </row>
    <row r="887" spans="1:32" x14ac:dyDescent="0.25">
      <c r="A887" s="37"/>
      <c r="B887" s="37"/>
      <c r="C887" s="37"/>
      <c r="F887" s="38"/>
      <c r="G887" s="38"/>
      <c r="H887" s="38"/>
      <c r="I887" s="37"/>
      <c r="J887" s="38"/>
      <c r="K887" s="38"/>
      <c r="L887" s="42"/>
      <c r="M887" s="42"/>
      <c r="N887" s="42"/>
      <c r="O887" s="42"/>
      <c r="R887" s="37"/>
      <c r="S887" s="37"/>
      <c r="T887" s="91"/>
      <c r="U887" s="91"/>
      <c r="V887" s="41"/>
      <c r="W887" s="37"/>
      <c r="X887" s="37"/>
      <c r="Y887" s="43"/>
      <c r="Z887" s="37"/>
      <c r="AA887" s="37"/>
      <c r="AD887" s="37"/>
      <c r="AE887" s="37"/>
      <c r="AF887" s="37"/>
    </row>
    <row r="888" spans="1:32" x14ac:dyDescent="0.25">
      <c r="A888" s="37"/>
      <c r="B888" s="37"/>
      <c r="C888" s="37"/>
      <c r="F888" s="38"/>
      <c r="G888" s="38"/>
      <c r="H888" s="38"/>
      <c r="I888" s="37"/>
      <c r="J888" s="38"/>
      <c r="K888" s="38"/>
      <c r="L888" s="42"/>
      <c r="M888" s="42"/>
      <c r="N888" s="42"/>
      <c r="O888" s="42"/>
      <c r="R888" s="37"/>
      <c r="S888" s="37"/>
      <c r="T888" s="91"/>
      <c r="U888" s="91"/>
      <c r="V888" s="41"/>
      <c r="W888" s="37"/>
      <c r="X888" s="37"/>
      <c r="Y888" s="43"/>
      <c r="Z888" s="37"/>
      <c r="AA888" s="37"/>
      <c r="AD888" s="37"/>
      <c r="AE888" s="37"/>
      <c r="AF888" s="37"/>
    </row>
    <row r="889" spans="1:32" x14ac:dyDescent="0.25">
      <c r="A889" s="37"/>
      <c r="B889" s="37"/>
      <c r="C889" s="37"/>
      <c r="F889" s="38"/>
      <c r="G889" s="38"/>
      <c r="H889" s="38"/>
      <c r="I889" s="37"/>
      <c r="J889" s="38"/>
      <c r="K889" s="38"/>
      <c r="L889" s="42"/>
      <c r="M889" s="42"/>
      <c r="N889" s="42"/>
      <c r="O889" s="42"/>
      <c r="R889" s="37"/>
      <c r="S889" s="37"/>
      <c r="T889" s="91"/>
      <c r="U889" s="91"/>
      <c r="V889" s="41"/>
      <c r="W889" s="37"/>
      <c r="X889" s="37"/>
      <c r="Y889" s="43"/>
      <c r="Z889" s="37"/>
      <c r="AA889" s="37"/>
      <c r="AD889" s="37"/>
      <c r="AE889" s="37"/>
      <c r="AF889" s="37"/>
    </row>
    <row r="890" spans="1:32" x14ac:dyDescent="0.25">
      <c r="A890" s="37"/>
      <c r="B890" s="37"/>
      <c r="C890" s="37"/>
      <c r="F890" s="38"/>
      <c r="G890" s="38"/>
      <c r="H890" s="38"/>
      <c r="I890" s="37"/>
      <c r="J890" s="38"/>
      <c r="K890" s="38"/>
      <c r="L890" s="42"/>
      <c r="M890" s="42"/>
      <c r="N890" s="42"/>
      <c r="O890" s="42"/>
      <c r="R890" s="37"/>
      <c r="S890" s="37"/>
      <c r="T890" s="91"/>
      <c r="U890" s="91"/>
      <c r="V890" s="41"/>
      <c r="W890" s="37"/>
      <c r="X890" s="37"/>
      <c r="Y890" s="43"/>
      <c r="Z890" s="37"/>
      <c r="AA890" s="37"/>
      <c r="AD890" s="37"/>
      <c r="AE890" s="37"/>
      <c r="AF890" s="37"/>
    </row>
    <row r="891" spans="1:32" x14ac:dyDescent="0.25">
      <c r="A891" s="37"/>
      <c r="B891" s="37"/>
      <c r="C891" s="37"/>
      <c r="F891" s="38"/>
      <c r="G891" s="38"/>
      <c r="H891" s="38"/>
      <c r="I891" s="37"/>
      <c r="J891" s="38"/>
      <c r="K891" s="38"/>
      <c r="L891" s="42"/>
      <c r="M891" s="42"/>
      <c r="N891" s="42"/>
      <c r="O891" s="42"/>
      <c r="R891" s="37"/>
      <c r="S891" s="37"/>
      <c r="T891" s="91"/>
      <c r="U891" s="91"/>
      <c r="V891" s="41"/>
      <c r="W891" s="37"/>
      <c r="X891" s="37"/>
      <c r="Y891" s="43"/>
      <c r="Z891" s="37"/>
      <c r="AA891" s="37"/>
      <c r="AD891" s="37"/>
      <c r="AE891" s="37"/>
      <c r="AF891" s="37"/>
    </row>
    <row r="892" spans="1:32" x14ac:dyDescent="0.25">
      <c r="A892" s="37"/>
      <c r="B892" s="37"/>
      <c r="C892" s="37"/>
      <c r="F892" s="38"/>
      <c r="G892" s="38"/>
      <c r="H892" s="38"/>
      <c r="I892" s="37"/>
      <c r="J892" s="38"/>
      <c r="K892" s="38"/>
      <c r="L892" s="42"/>
      <c r="M892" s="42"/>
      <c r="N892" s="42"/>
      <c r="O892" s="42"/>
      <c r="R892" s="37"/>
      <c r="S892" s="37"/>
      <c r="T892" s="91"/>
      <c r="U892" s="91"/>
      <c r="V892" s="41"/>
      <c r="W892" s="37"/>
      <c r="X892" s="37"/>
      <c r="Y892" s="43"/>
      <c r="Z892" s="37"/>
      <c r="AA892" s="37"/>
      <c r="AD892" s="37"/>
      <c r="AE892" s="37"/>
      <c r="AF892" s="37"/>
    </row>
    <row r="893" spans="1:32" x14ac:dyDescent="0.25">
      <c r="A893" s="37"/>
      <c r="B893" s="37"/>
      <c r="C893" s="37"/>
      <c r="F893" s="38"/>
      <c r="G893" s="38"/>
      <c r="H893" s="38"/>
      <c r="I893" s="37"/>
      <c r="J893" s="38"/>
      <c r="K893" s="38"/>
      <c r="L893" s="42"/>
      <c r="M893" s="42"/>
      <c r="N893" s="42"/>
      <c r="O893" s="42"/>
      <c r="R893" s="37"/>
      <c r="S893" s="37"/>
      <c r="T893" s="91"/>
      <c r="U893" s="91"/>
      <c r="V893" s="41"/>
      <c r="W893" s="37"/>
      <c r="X893" s="37"/>
      <c r="Y893" s="43"/>
      <c r="Z893" s="37"/>
      <c r="AA893" s="37"/>
      <c r="AD893" s="37"/>
      <c r="AE893" s="37"/>
      <c r="AF893" s="37"/>
    </row>
    <row r="894" spans="1:32" x14ac:dyDescent="0.25">
      <c r="A894" s="37"/>
      <c r="B894" s="37"/>
      <c r="C894" s="37"/>
      <c r="F894" s="38"/>
      <c r="G894" s="38"/>
      <c r="H894" s="38"/>
      <c r="I894" s="37"/>
      <c r="J894" s="38"/>
      <c r="K894" s="38"/>
      <c r="L894" s="42"/>
      <c r="M894" s="42"/>
      <c r="N894" s="42"/>
      <c r="O894" s="42"/>
      <c r="R894" s="37"/>
      <c r="S894" s="37"/>
      <c r="T894" s="91"/>
      <c r="U894" s="91"/>
      <c r="V894" s="41"/>
      <c r="W894" s="37"/>
      <c r="X894" s="37"/>
      <c r="Y894" s="43"/>
      <c r="Z894" s="37"/>
      <c r="AA894" s="37"/>
      <c r="AD894" s="37"/>
      <c r="AE894" s="37"/>
      <c r="AF894" s="37"/>
    </row>
    <row r="895" spans="1:32" x14ac:dyDescent="0.25">
      <c r="A895" s="37"/>
      <c r="B895" s="37"/>
      <c r="C895" s="37"/>
      <c r="F895" s="38"/>
      <c r="G895" s="38"/>
      <c r="H895" s="38"/>
      <c r="I895" s="37"/>
      <c r="J895" s="38"/>
      <c r="K895" s="38"/>
      <c r="L895" s="42"/>
      <c r="M895" s="42"/>
      <c r="N895" s="42"/>
      <c r="O895" s="42"/>
      <c r="R895" s="37"/>
      <c r="S895" s="37"/>
      <c r="T895" s="91"/>
      <c r="U895" s="91"/>
      <c r="V895" s="41"/>
      <c r="W895" s="37"/>
      <c r="X895" s="37"/>
      <c r="Y895" s="43"/>
      <c r="Z895" s="37"/>
      <c r="AA895" s="37"/>
      <c r="AD895" s="37"/>
      <c r="AE895" s="37"/>
      <c r="AF895" s="37"/>
    </row>
    <row r="896" spans="1:32" x14ac:dyDescent="0.25">
      <c r="A896" s="37"/>
      <c r="B896" s="37"/>
      <c r="C896" s="37"/>
      <c r="F896" s="38"/>
      <c r="G896" s="38"/>
      <c r="H896" s="38"/>
      <c r="I896" s="37"/>
      <c r="J896" s="38"/>
      <c r="K896" s="38"/>
      <c r="L896" s="42"/>
      <c r="M896" s="42"/>
      <c r="N896" s="42"/>
      <c r="O896" s="42"/>
      <c r="R896" s="37"/>
      <c r="S896" s="37"/>
      <c r="T896" s="91"/>
      <c r="U896" s="91"/>
      <c r="V896" s="41"/>
      <c r="W896" s="37"/>
      <c r="X896" s="37"/>
      <c r="Y896" s="43"/>
      <c r="Z896" s="37"/>
      <c r="AA896" s="37"/>
      <c r="AD896" s="37"/>
      <c r="AE896" s="37"/>
      <c r="AF896" s="37"/>
    </row>
    <row r="897" spans="1:32" x14ac:dyDescent="0.25">
      <c r="A897" s="37"/>
      <c r="B897" s="37"/>
      <c r="C897" s="37"/>
      <c r="F897" s="38"/>
      <c r="G897" s="38"/>
      <c r="H897" s="38"/>
      <c r="I897" s="37"/>
      <c r="J897" s="38"/>
      <c r="K897" s="38"/>
      <c r="L897" s="42"/>
      <c r="M897" s="42"/>
      <c r="N897" s="42"/>
      <c r="O897" s="42"/>
      <c r="R897" s="37"/>
      <c r="S897" s="37"/>
      <c r="T897" s="91"/>
      <c r="U897" s="91"/>
      <c r="V897" s="41"/>
      <c r="W897" s="37"/>
      <c r="X897" s="37"/>
      <c r="Y897" s="43"/>
      <c r="Z897" s="37"/>
      <c r="AA897" s="37"/>
      <c r="AD897" s="37"/>
      <c r="AE897" s="37"/>
      <c r="AF897" s="37"/>
    </row>
    <row r="898" spans="1:32" x14ac:dyDescent="0.25">
      <c r="A898" s="37"/>
      <c r="B898" s="37"/>
      <c r="C898" s="37"/>
      <c r="F898" s="38"/>
      <c r="G898" s="38"/>
      <c r="H898" s="38"/>
      <c r="I898" s="37"/>
      <c r="J898" s="38"/>
      <c r="K898" s="38"/>
      <c r="L898" s="42"/>
      <c r="M898" s="42"/>
      <c r="N898" s="42"/>
      <c r="O898" s="42"/>
      <c r="R898" s="37"/>
      <c r="S898" s="37"/>
      <c r="T898" s="91"/>
      <c r="U898" s="91"/>
      <c r="V898" s="41"/>
      <c r="W898" s="37"/>
      <c r="X898" s="37"/>
      <c r="Y898" s="43"/>
      <c r="Z898" s="37"/>
      <c r="AA898" s="37"/>
      <c r="AD898" s="37"/>
      <c r="AE898" s="37"/>
      <c r="AF898" s="37"/>
    </row>
    <row r="899" spans="1:32" x14ac:dyDescent="0.25">
      <c r="A899" s="37"/>
      <c r="B899" s="37"/>
      <c r="C899" s="37"/>
      <c r="F899" s="38"/>
      <c r="G899" s="38"/>
      <c r="H899" s="38"/>
      <c r="I899" s="37"/>
      <c r="J899" s="38"/>
      <c r="K899" s="38"/>
      <c r="L899" s="42"/>
      <c r="M899" s="42"/>
      <c r="N899" s="42"/>
      <c r="O899" s="42"/>
      <c r="R899" s="37"/>
      <c r="S899" s="37"/>
      <c r="T899" s="91"/>
      <c r="U899" s="91"/>
      <c r="V899" s="41"/>
      <c r="W899" s="37"/>
      <c r="X899" s="37"/>
      <c r="Y899" s="43"/>
      <c r="Z899" s="37"/>
      <c r="AA899" s="37"/>
      <c r="AD899" s="37"/>
      <c r="AE899" s="37"/>
      <c r="AF899" s="37"/>
    </row>
    <row r="900" spans="1:32" x14ac:dyDescent="0.25">
      <c r="A900" s="37"/>
      <c r="B900" s="37"/>
      <c r="C900" s="37"/>
      <c r="F900" s="38"/>
      <c r="G900" s="38"/>
      <c r="H900" s="38"/>
      <c r="I900" s="37"/>
      <c r="J900" s="38"/>
      <c r="K900" s="38"/>
      <c r="L900" s="42"/>
      <c r="M900" s="42"/>
      <c r="N900" s="42"/>
      <c r="O900" s="42"/>
      <c r="R900" s="37"/>
      <c r="S900" s="37"/>
      <c r="T900" s="91"/>
      <c r="U900" s="91"/>
      <c r="V900" s="41"/>
      <c r="W900" s="37"/>
      <c r="X900" s="37"/>
      <c r="Y900" s="43"/>
      <c r="Z900" s="37"/>
      <c r="AA900" s="37"/>
      <c r="AD900" s="37"/>
      <c r="AE900" s="37"/>
      <c r="AF900" s="37"/>
    </row>
    <row r="901" spans="1:32" x14ac:dyDescent="0.25">
      <c r="A901" s="37"/>
      <c r="B901" s="37"/>
      <c r="C901" s="37"/>
      <c r="F901" s="38"/>
      <c r="G901" s="38"/>
      <c r="H901" s="38"/>
      <c r="I901" s="37"/>
      <c r="J901" s="38"/>
      <c r="K901" s="38"/>
      <c r="L901" s="42"/>
      <c r="M901" s="42"/>
      <c r="N901" s="42"/>
      <c r="O901" s="42"/>
      <c r="R901" s="37"/>
      <c r="S901" s="37"/>
      <c r="T901" s="91"/>
      <c r="U901" s="91"/>
      <c r="V901" s="41"/>
      <c r="W901" s="37"/>
      <c r="X901" s="37"/>
      <c r="Y901" s="43"/>
      <c r="Z901" s="37"/>
      <c r="AA901" s="37"/>
      <c r="AD901" s="37"/>
      <c r="AE901" s="37"/>
      <c r="AF901" s="37"/>
    </row>
    <row r="902" spans="1:32" x14ac:dyDescent="0.25">
      <c r="A902" s="37"/>
      <c r="B902" s="37"/>
      <c r="C902" s="37"/>
      <c r="F902" s="38"/>
      <c r="G902" s="38"/>
      <c r="H902" s="38"/>
      <c r="I902" s="37"/>
      <c r="J902" s="38"/>
      <c r="K902" s="38"/>
      <c r="L902" s="42"/>
      <c r="M902" s="42"/>
      <c r="N902" s="42"/>
      <c r="O902" s="42"/>
      <c r="R902" s="37"/>
      <c r="S902" s="37"/>
      <c r="T902" s="91"/>
      <c r="U902" s="91"/>
      <c r="V902" s="41"/>
      <c r="W902" s="37"/>
      <c r="X902" s="37"/>
      <c r="Y902" s="43"/>
      <c r="Z902" s="37"/>
      <c r="AA902" s="37"/>
      <c r="AD902" s="37"/>
      <c r="AE902" s="37"/>
      <c r="AF902" s="37"/>
    </row>
    <row r="903" spans="1:32" x14ac:dyDescent="0.25">
      <c r="A903" s="37"/>
      <c r="B903" s="37"/>
      <c r="C903" s="37"/>
      <c r="F903" s="38"/>
      <c r="G903" s="38"/>
      <c r="H903" s="38"/>
      <c r="I903" s="37"/>
      <c r="J903" s="38"/>
      <c r="K903" s="38"/>
      <c r="L903" s="42"/>
      <c r="M903" s="42"/>
      <c r="N903" s="42"/>
      <c r="O903" s="42"/>
      <c r="R903" s="37"/>
      <c r="S903" s="37"/>
      <c r="T903" s="91"/>
      <c r="U903" s="91"/>
      <c r="V903" s="41"/>
      <c r="W903" s="37"/>
      <c r="X903" s="37"/>
      <c r="Y903" s="43"/>
      <c r="Z903" s="37"/>
      <c r="AA903" s="37"/>
      <c r="AD903" s="37"/>
      <c r="AE903" s="37"/>
      <c r="AF903" s="37"/>
    </row>
    <row r="904" spans="1:32" x14ac:dyDescent="0.25">
      <c r="A904" s="37"/>
      <c r="B904" s="37"/>
      <c r="C904" s="37"/>
      <c r="F904" s="38"/>
      <c r="G904" s="38"/>
      <c r="H904" s="38"/>
      <c r="I904" s="37"/>
      <c r="J904" s="38"/>
      <c r="K904" s="38"/>
      <c r="L904" s="42"/>
      <c r="M904" s="42"/>
      <c r="N904" s="42"/>
      <c r="O904" s="42"/>
      <c r="R904" s="37"/>
      <c r="S904" s="37"/>
      <c r="T904" s="91"/>
      <c r="U904" s="91"/>
      <c r="V904" s="41"/>
      <c r="W904" s="37"/>
      <c r="X904" s="37"/>
      <c r="Y904" s="43"/>
      <c r="Z904" s="37"/>
      <c r="AA904" s="37"/>
      <c r="AD904" s="37"/>
      <c r="AE904" s="37"/>
      <c r="AF904" s="37"/>
    </row>
    <row r="905" spans="1:32" x14ac:dyDescent="0.25">
      <c r="A905" s="37"/>
      <c r="B905" s="37"/>
      <c r="C905" s="37"/>
      <c r="F905" s="38"/>
      <c r="G905" s="38"/>
      <c r="H905" s="38"/>
      <c r="I905" s="37"/>
      <c r="J905" s="38"/>
      <c r="K905" s="38"/>
      <c r="L905" s="42"/>
      <c r="M905" s="42"/>
      <c r="N905" s="42"/>
      <c r="O905" s="42"/>
      <c r="R905" s="37"/>
      <c r="S905" s="37"/>
      <c r="T905" s="91"/>
      <c r="U905" s="91"/>
      <c r="V905" s="41"/>
      <c r="W905" s="37"/>
      <c r="X905" s="37"/>
      <c r="Y905" s="43"/>
      <c r="Z905" s="37"/>
      <c r="AA905" s="37"/>
      <c r="AD905" s="37"/>
      <c r="AE905" s="37"/>
      <c r="AF905" s="37"/>
    </row>
    <row r="906" spans="1:32" x14ac:dyDescent="0.25">
      <c r="A906" s="37"/>
      <c r="B906" s="37"/>
      <c r="C906" s="37"/>
      <c r="F906" s="38"/>
      <c r="G906" s="38"/>
      <c r="H906" s="38"/>
      <c r="I906" s="37"/>
      <c r="J906" s="38"/>
      <c r="K906" s="38"/>
      <c r="L906" s="42"/>
      <c r="M906" s="42"/>
      <c r="N906" s="42"/>
      <c r="O906" s="42"/>
      <c r="R906" s="37"/>
      <c r="S906" s="37"/>
      <c r="T906" s="91"/>
      <c r="U906" s="91"/>
      <c r="V906" s="41"/>
      <c r="W906" s="37"/>
      <c r="X906" s="37"/>
      <c r="Y906" s="43"/>
      <c r="Z906" s="37"/>
      <c r="AA906" s="37"/>
      <c r="AD906" s="37"/>
      <c r="AE906" s="37"/>
      <c r="AF906" s="37"/>
    </row>
    <row r="907" spans="1:32" x14ac:dyDescent="0.25">
      <c r="A907" s="37"/>
      <c r="B907" s="37"/>
      <c r="C907" s="37"/>
      <c r="F907" s="38"/>
      <c r="G907" s="38"/>
      <c r="H907" s="38"/>
      <c r="I907" s="37"/>
      <c r="J907" s="38"/>
      <c r="K907" s="38"/>
      <c r="L907" s="42"/>
      <c r="M907" s="42"/>
      <c r="N907" s="42"/>
      <c r="O907" s="42"/>
      <c r="R907" s="37"/>
      <c r="S907" s="37"/>
      <c r="T907" s="91"/>
      <c r="U907" s="91"/>
      <c r="V907" s="41"/>
      <c r="W907" s="37"/>
      <c r="X907" s="37"/>
      <c r="Y907" s="43"/>
      <c r="Z907" s="37"/>
      <c r="AA907" s="37"/>
      <c r="AD907" s="37"/>
      <c r="AE907" s="37"/>
      <c r="AF907" s="37"/>
    </row>
    <row r="908" spans="1:32" x14ac:dyDescent="0.25">
      <c r="A908" s="37"/>
      <c r="B908" s="37"/>
      <c r="C908" s="37"/>
      <c r="F908" s="38"/>
      <c r="G908" s="38"/>
      <c r="H908" s="38"/>
      <c r="I908" s="37"/>
      <c r="J908" s="38"/>
      <c r="K908" s="38"/>
      <c r="L908" s="42"/>
      <c r="M908" s="42"/>
      <c r="N908" s="42"/>
      <c r="O908" s="42"/>
      <c r="R908" s="37"/>
      <c r="S908" s="37"/>
      <c r="T908" s="91"/>
      <c r="U908" s="91"/>
      <c r="V908" s="41"/>
      <c r="W908" s="37"/>
      <c r="X908" s="37"/>
      <c r="Y908" s="43"/>
      <c r="Z908" s="37"/>
      <c r="AA908" s="37"/>
      <c r="AD908" s="37"/>
      <c r="AE908" s="37"/>
      <c r="AF908" s="37"/>
    </row>
    <row r="909" spans="1:32" x14ac:dyDescent="0.25">
      <c r="A909" s="37"/>
      <c r="B909" s="37"/>
      <c r="C909" s="37"/>
      <c r="F909" s="38"/>
      <c r="G909" s="38"/>
      <c r="H909" s="38"/>
      <c r="I909" s="37"/>
      <c r="J909" s="38"/>
      <c r="K909" s="38"/>
      <c r="L909" s="42"/>
      <c r="M909" s="42"/>
      <c r="N909" s="42"/>
      <c r="O909" s="42"/>
      <c r="R909" s="37"/>
      <c r="S909" s="37"/>
      <c r="T909" s="91"/>
      <c r="U909" s="91"/>
      <c r="V909" s="41"/>
      <c r="W909" s="37"/>
      <c r="X909" s="37"/>
      <c r="Y909" s="43"/>
      <c r="Z909" s="37"/>
      <c r="AA909" s="37"/>
      <c r="AD909" s="37"/>
      <c r="AE909" s="37"/>
      <c r="AF909" s="37"/>
    </row>
    <row r="910" spans="1:32" x14ac:dyDescent="0.25">
      <c r="A910" s="37"/>
      <c r="B910" s="37"/>
      <c r="C910" s="37"/>
      <c r="F910" s="38"/>
      <c r="G910" s="38"/>
      <c r="H910" s="38"/>
      <c r="I910" s="37"/>
      <c r="J910" s="38"/>
      <c r="K910" s="38"/>
      <c r="L910" s="42"/>
      <c r="M910" s="42"/>
      <c r="N910" s="42"/>
      <c r="O910" s="42"/>
      <c r="R910" s="37"/>
      <c r="S910" s="37"/>
      <c r="T910" s="91"/>
      <c r="U910" s="91"/>
      <c r="V910" s="41"/>
      <c r="W910" s="37"/>
      <c r="X910" s="37"/>
      <c r="Y910" s="43"/>
      <c r="Z910" s="37"/>
      <c r="AA910" s="37"/>
      <c r="AD910" s="37"/>
      <c r="AE910" s="37"/>
      <c r="AF910" s="37"/>
    </row>
    <row r="911" spans="1:32" x14ac:dyDescent="0.25">
      <c r="A911" s="37"/>
      <c r="B911" s="37"/>
      <c r="C911" s="37"/>
      <c r="F911" s="38"/>
      <c r="G911" s="38"/>
      <c r="H911" s="38"/>
      <c r="I911" s="37"/>
      <c r="J911" s="38"/>
      <c r="K911" s="38"/>
      <c r="L911" s="42"/>
      <c r="M911" s="42"/>
      <c r="N911" s="42"/>
      <c r="O911" s="42"/>
      <c r="R911" s="37"/>
      <c r="S911" s="37"/>
      <c r="T911" s="91"/>
      <c r="U911" s="91"/>
      <c r="V911" s="41"/>
      <c r="W911" s="37"/>
      <c r="X911" s="37"/>
      <c r="Y911" s="43"/>
      <c r="Z911" s="37"/>
      <c r="AA911" s="37"/>
      <c r="AD911" s="37"/>
      <c r="AE911" s="37"/>
      <c r="AF911" s="37"/>
    </row>
    <row r="912" spans="1:32" x14ac:dyDescent="0.25">
      <c r="A912" s="37"/>
      <c r="B912" s="37"/>
      <c r="C912" s="37"/>
      <c r="F912" s="38"/>
      <c r="G912" s="38"/>
      <c r="H912" s="38"/>
      <c r="I912" s="37"/>
      <c r="J912" s="38"/>
      <c r="K912" s="38"/>
      <c r="L912" s="42"/>
      <c r="M912" s="42"/>
      <c r="N912" s="42"/>
      <c r="O912" s="42"/>
      <c r="R912" s="37"/>
      <c r="S912" s="37"/>
      <c r="T912" s="91"/>
      <c r="U912" s="91"/>
      <c r="V912" s="41"/>
      <c r="W912" s="37"/>
      <c r="X912" s="37"/>
      <c r="Y912" s="43"/>
      <c r="Z912" s="37"/>
      <c r="AA912" s="37"/>
      <c r="AD912" s="37"/>
      <c r="AE912" s="37"/>
      <c r="AF912" s="37"/>
    </row>
    <row r="913" spans="1:32" x14ac:dyDescent="0.25">
      <c r="A913" s="37"/>
      <c r="B913" s="37"/>
      <c r="C913" s="37"/>
      <c r="F913" s="38"/>
      <c r="G913" s="38"/>
      <c r="H913" s="38"/>
      <c r="I913" s="37"/>
      <c r="J913" s="38"/>
      <c r="K913" s="38"/>
      <c r="L913" s="42"/>
      <c r="M913" s="42"/>
      <c r="N913" s="42"/>
      <c r="O913" s="42"/>
      <c r="R913" s="37"/>
      <c r="S913" s="37"/>
      <c r="T913" s="91"/>
      <c r="U913" s="91"/>
      <c r="V913" s="41"/>
      <c r="W913" s="37"/>
      <c r="X913" s="37"/>
      <c r="Y913" s="43"/>
      <c r="Z913" s="37"/>
      <c r="AA913" s="37"/>
      <c r="AD913" s="37"/>
      <c r="AE913" s="37"/>
      <c r="AF913" s="37"/>
    </row>
    <row r="914" spans="1:32" x14ac:dyDescent="0.25">
      <c r="A914" s="37"/>
      <c r="B914" s="37"/>
      <c r="C914" s="37"/>
      <c r="F914" s="38"/>
      <c r="G914" s="38"/>
      <c r="H914" s="38"/>
      <c r="I914" s="37"/>
      <c r="J914" s="38"/>
      <c r="K914" s="38"/>
      <c r="L914" s="42"/>
      <c r="M914" s="42"/>
      <c r="N914" s="42"/>
      <c r="O914" s="42"/>
      <c r="R914" s="37"/>
      <c r="S914" s="37"/>
      <c r="T914" s="91"/>
      <c r="U914" s="91"/>
      <c r="V914" s="41"/>
      <c r="W914" s="37"/>
      <c r="X914" s="37"/>
      <c r="Y914" s="43"/>
      <c r="Z914" s="37"/>
      <c r="AA914" s="37"/>
      <c r="AD914" s="37"/>
      <c r="AE914" s="37"/>
      <c r="AF914" s="37"/>
    </row>
    <row r="915" spans="1:32" x14ac:dyDescent="0.25">
      <c r="A915" s="37"/>
      <c r="B915" s="37"/>
      <c r="C915" s="37"/>
      <c r="F915" s="38"/>
      <c r="G915" s="38"/>
      <c r="H915" s="38"/>
      <c r="I915" s="37"/>
      <c r="J915" s="38"/>
      <c r="K915" s="38"/>
      <c r="L915" s="42"/>
      <c r="M915" s="42"/>
      <c r="N915" s="42"/>
      <c r="O915" s="42"/>
      <c r="R915" s="37"/>
      <c r="S915" s="37"/>
      <c r="T915" s="91"/>
      <c r="U915" s="91"/>
      <c r="V915" s="41"/>
      <c r="W915" s="37"/>
      <c r="X915" s="37"/>
      <c r="Y915" s="43"/>
      <c r="Z915" s="37"/>
      <c r="AA915" s="37"/>
      <c r="AD915" s="37"/>
      <c r="AE915" s="37"/>
      <c r="AF915" s="37"/>
    </row>
    <row r="916" spans="1:32" x14ac:dyDescent="0.25">
      <c r="A916" s="37"/>
      <c r="B916" s="37"/>
      <c r="C916" s="37"/>
      <c r="F916" s="38"/>
      <c r="G916" s="38"/>
      <c r="H916" s="38"/>
      <c r="I916" s="37"/>
      <c r="J916" s="38"/>
      <c r="K916" s="38"/>
      <c r="L916" s="42"/>
      <c r="M916" s="42"/>
      <c r="N916" s="42"/>
      <c r="O916" s="42"/>
      <c r="R916" s="37"/>
      <c r="S916" s="37"/>
      <c r="T916" s="91"/>
      <c r="U916" s="91"/>
      <c r="V916" s="41"/>
      <c r="W916" s="37"/>
      <c r="X916" s="37"/>
      <c r="Y916" s="43"/>
      <c r="Z916" s="37"/>
      <c r="AA916" s="37"/>
      <c r="AD916" s="37"/>
      <c r="AE916" s="37"/>
      <c r="AF916" s="37"/>
    </row>
    <row r="917" spans="1:32" x14ac:dyDescent="0.25">
      <c r="A917" s="37"/>
      <c r="B917" s="37"/>
      <c r="C917" s="37"/>
      <c r="F917" s="38"/>
      <c r="G917" s="38"/>
      <c r="H917" s="38"/>
      <c r="I917" s="37"/>
      <c r="J917" s="38"/>
      <c r="K917" s="38"/>
      <c r="L917" s="42"/>
      <c r="M917" s="42"/>
      <c r="N917" s="42"/>
      <c r="O917" s="42"/>
      <c r="R917" s="37"/>
      <c r="S917" s="37"/>
      <c r="T917" s="91"/>
      <c r="U917" s="91"/>
      <c r="V917" s="41"/>
      <c r="W917" s="37"/>
      <c r="X917" s="37"/>
      <c r="Y917" s="43"/>
      <c r="Z917" s="37"/>
      <c r="AA917" s="37"/>
      <c r="AD917" s="37"/>
      <c r="AE917" s="37"/>
      <c r="AF917" s="37"/>
    </row>
    <row r="918" spans="1:32" x14ac:dyDescent="0.25">
      <c r="A918" s="37"/>
      <c r="B918" s="37"/>
      <c r="C918" s="37"/>
      <c r="F918" s="38"/>
      <c r="G918" s="38"/>
      <c r="H918" s="38"/>
      <c r="I918" s="37"/>
      <c r="J918" s="38"/>
      <c r="K918" s="38"/>
      <c r="L918" s="42"/>
      <c r="M918" s="42"/>
      <c r="N918" s="42"/>
      <c r="O918" s="42"/>
      <c r="R918" s="37"/>
      <c r="S918" s="37"/>
      <c r="T918" s="91"/>
      <c r="U918" s="91"/>
      <c r="V918" s="41"/>
      <c r="W918" s="37"/>
      <c r="X918" s="37"/>
      <c r="Y918" s="43"/>
      <c r="Z918" s="37"/>
      <c r="AA918" s="37"/>
      <c r="AD918" s="37"/>
      <c r="AE918" s="37"/>
      <c r="AF918" s="37"/>
    </row>
    <row r="919" spans="1:32" x14ac:dyDescent="0.25">
      <c r="A919" s="37"/>
      <c r="B919" s="37"/>
      <c r="C919" s="37"/>
      <c r="F919" s="38"/>
      <c r="G919" s="38"/>
      <c r="H919" s="38"/>
      <c r="I919" s="37"/>
      <c r="J919" s="38"/>
      <c r="K919" s="38"/>
      <c r="L919" s="42"/>
      <c r="M919" s="42"/>
      <c r="N919" s="42"/>
      <c r="O919" s="42"/>
      <c r="R919" s="37"/>
      <c r="S919" s="37"/>
      <c r="T919" s="91"/>
      <c r="U919" s="91"/>
      <c r="V919" s="41"/>
      <c r="W919" s="37"/>
      <c r="X919" s="37"/>
      <c r="Y919" s="43"/>
      <c r="Z919" s="37"/>
      <c r="AA919" s="37"/>
      <c r="AD919" s="37"/>
      <c r="AE919" s="37"/>
      <c r="AF919" s="37"/>
    </row>
    <row r="920" spans="1:32" x14ac:dyDescent="0.25">
      <c r="A920" s="37"/>
      <c r="B920" s="37"/>
      <c r="C920" s="37"/>
      <c r="F920" s="38"/>
      <c r="G920" s="38"/>
      <c r="H920" s="38"/>
      <c r="I920" s="37"/>
      <c r="J920" s="38"/>
      <c r="K920" s="38"/>
      <c r="L920" s="42"/>
      <c r="M920" s="42"/>
      <c r="N920" s="42"/>
      <c r="O920" s="42"/>
      <c r="R920" s="37"/>
      <c r="S920" s="37"/>
      <c r="T920" s="91"/>
      <c r="U920" s="91"/>
      <c r="V920" s="41"/>
      <c r="W920" s="37"/>
      <c r="X920" s="37"/>
      <c r="Y920" s="43"/>
      <c r="Z920" s="37"/>
      <c r="AA920" s="37"/>
      <c r="AD920" s="37"/>
      <c r="AE920" s="37"/>
      <c r="AF920" s="37"/>
    </row>
    <row r="921" spans="1:32" x14ac:dyDescent="0.25">
      <c r="A921" s="37"/>
      <c r="B921" s="37"/>
      <c r="C921" s="37"/>
      <c r="F921" s="38"/>
      <c r="G921" s="38"/>
      <c r="H921" s="38"/>
      <c r="I921" s="37"/>
      <c r="J921" s="38"/>
      <c r="K921" s="38"/>
      <c r="L921" s="42"/>
      <c r="M921" s="42"/>
      <c r="N921" s="42"/>
      <c r="O921" s="42"/>
      <c r="R921" s="37"/>
      <c r="S921" s="37"/>
      <c r="T921" s="91"/>
      <c r="U921" s="91"/>
      <c r="V921" s="41"/>
      <c r="W921" s="37"/>
      <c r="X921" s="37"/>
      <c r="Y921" s="43"/>
      <c r="Z921" s="37"/>
      <c r="AA921" s="37"/>
      <c r="AD921" s="37"/>
      <c r="AE921" s="37"/>
      <c r="AF921" s="37"/>
    </row>
    <row r="922" spans="1:32" x14ac:dyDescent="0.25">
      <c r="A922" s="37"/>
      <c r="B922" s="37"/>
      <c r="C922" s="37"/>
      <c r="F922" s="38"/>
      <c r="G922" s="38"/>
      <c r="H922" s="38"/>
      <c r="I922" s="37"/>
      <c r="J922" s="38"/>
      <c r="K922" s="38"/>
      <c r="L922" s="42"/>
      <c r="M922" s="42"/>
      <c r="N922" s="42"/>
      <c r="O922" s="42"/>
      <c r="R922" s="37"/>
      <c r="S922" s="37"/>
      <c r="T922" s="91"/>
      <c r="U922" s="91"/>
      <c r="V922" s="41"/>
      <c r="W922" s="37"/>
      <c r="X922" s="37"/>
      <c r="Y922" s="43"/>
      <c r="Z922" s="37"/>
      <c r="AA922" s="37"/>
      <c r="AD922" s="37"/>
      <c r="AE922" s="37"/>
      <c r="AF922" s="37"/>
    </row>
    <row r="923" spans="1:32" x14ac:dyDescent="0.25">
      <c r="A923" s="37"/>
      <c r="B923" s="37"/>
      <c r="C923" s="37"/>
      <c r="F923" s="38"/>
      <c r="G923" s="38"/>
      <c r="H923" s="38"/>
      <c r="I923" s="37"/>
      <c r="J923" s="38"/>
      <c r="K923" s="38"/>
      <c r="L923" s="42"/>
      <c r="M923" s="42"/>
      <c r="N923" s="42"/>
      <c r="O923" s="42"/>
      <c r="R923" s="37"/>
      <c r="S923" s="37"/>
      <c r="T923" s="91"/>
      <c r="U923" s="91"/>
      <c r="V923" s="41"/>
      <c r="W923" s="37"/>
      <c r="X923" s="37"/>
      <c r="Y923" s="43"/>
      <c r="Z923" s="37"/>
      <c r="AA923" s="37"/>
      <c r="AD923" s="37"/>
      <c r="AE923" s="37"/>
      <c r="AF923" s="37"/>
    </row>
    <row r="924" spans="1:32" x14ac:dyDescent="0.25">
      <c r="A924" s="37"/>
      <c r="B924" s="37"/>
      <c r="C924" s="37"/>
      <c r="F924" s="38"/>
      <c r="G924" s="38"/>
      <c r="H924" s="38"/>
      <c r="I924" s="37"/>
      <c r="J924" s="38"/>
      <c r="K924" s="38"/>
      <c r="L924" s="42"/>
      <c r="M924" s="42"/>
      <c r="N924" s="42"/>
      <c r="O924" s="42"/>
      <c r="R924" s="37"/>
      <c r="S924" s="37"/>
      <c r="T924" s="91"/>
      <c r="U924" s="91"/>
      <c r="V924" s="41"/>
      <c r="W924" s="37"/>
      <c r="X924" s="37"/>
      <c r="Y924" s="43"/>
      <c r="Z924" s="37"/>
      <c r="AA924" s="37"/>
      <c r="AD924" s="37"/>
      <c r="AE924" s="37"/>
      <c r="AF924" s="37"/>
    </row>
    <row r="925" spans="1:32" x14ac:dyDescent="0.25">
      <c r="A925" s="37"/>
      <c r="B925" s="37"/>
      <c r="C925" s="37"/>
      <c r="F925" s="38"/>
      <c r="G925" s="38"/>
      <c r="H925" s="38"/>
      <c r="I925" s="37"/>
      <c r="J925" s="38"/>
      <c r="K925" s="38"/>
      <c r="L925" s="42"/>
      <c r="M925" s="42"/>
      <c r="N925" s="42"/>
      <c r="O925" s="42"/>
      <c r="R925" s="37"/>
      <c r="S925" s="37"/>
      <c r="T925" s="91"/>
      <c r="U925" s="91"/>
      <c r="V925" s="41"/>
      <c r="W925" s="37"/>
      <c r="X925" s="37"/>
      <c r="Y925" s="43"/>
      <c r="Z925" s="37"/>
      <c r="AA925" s="37"/>
      <c r="AD925" s="37"/>
      <c r="AE925" s="37"/>
      <c r="AF925" s="37"/>
    </row>
    <row r="926" spans="1:32" x14ac:dyDescent="0.25">
      <c r="A926" s="37"/>
      <c r="B926" s="37"/>
      <c r="C926" s="37"/>
      <c r="F926" s="38"/>
      <c r="G926" s="38"/>
      <c r="H926" s="38"/>
      <c r="I926" s="37"/>
      <c r="J926" s="38"/>
      <c r="K926" s="38"/>
      <c r="L926" s="42"/>
      <c r="M926" s="42"/>
      <c r="N926" s="42"/>
      <c r="O926" s="42"/>
      <c r="R926" s="37"/>
      <c r="S926" s="37"/>
      <c r="T926" s="91"/>
      <c r="U926" s="91"/>
      <c r="V926" s="41"/>
      <c r="W926" s="37"/>
      <c r="X926" s="37"/>
      <c r="Y926" s="43"/>
      <c r="Z926" s="37"/>
      <c r="AA926" s="37"/>
      <c r="AD926" s="37"/>
      <c r="AE926" s="37"/>
      <c r="AF926" s="37"/>
    </row>
    <row r="927" spans="1:32" x14ac:dyDescent="0.25">
      <c r="A927" s="37"/>
      <c r="B927" s="37"/>
      <c r="C927" s="37"/>
      <c r="F927" s="38"/>
      <c r="G927" s="38"/>
      <c r="H927" s="38"/>
      <c r="I927" s="37"/>
      <c r="J927" s="38"/>
      <c r="K927" s="38"/>
      <c r="L927" s="42"/>
      <c r="M927" s="42"/>
      <c r="N927" s="42"/>
      <c r="O927" s="42"/>
      <c r="R927" s="37"/>
      <c r="S927" s="37"/>
      <c r="T927" s="91"/>
      <c r="U927" s="91"/>
      <c r="V927" s="41"/>
      <c r="W927" s="37"/>
      <c r="X927" s="37"/>
      <c r="Y927" s="43"/>
      <c r="Z927" s="37"/>
      <c r="AA927" s="37"/>
      <c r="AD927" s="37"/>
      <c r="AE927" s="37"/>
      <c r="AF927" s="37"/>
    </row>
    <row r="928" spans="1:32" x14ac:dyDescent="0.25">
      <c r="A928" s="37"/>
      <c r="B928" s="37"/>
      <c r="C928" s="37"/>
      <c r="F928" s="38"/>
      <c r="G928" s="38"/>
      <c r="H928" s="38"/>
      <c r="I928" s="37"/>
      <c r="J928" s="38"/>
      <c r="K928" s="38"/>
      <c r="L928" s="42"/>
      <c r="M928" s="42"/>
      <c r="N928" s="42"/>
      <c r="O928" s="42"/>
      <c r="R928" s="37"/>
      <c r="S928" s="37"/>
      <c r="T928" s="91"/>
      <c r="U928" s="91"/>
      <c r="V928" s="41"/>
      <c r="W928" s="37"/>
      <c r="X928" s="37"/>
      <c r="Y928" s="43"/>
      <c r="Z928" s="37"/>
      <c r="AA928" s="37"/>
      <c r="AD928" s="37"/>
      <c r="AE928" s="37"/>
      <c r="AF928" s="37"/>
    </row>
    <row r="929" spans="1:32" x14ac:dyDescent="0.25">
      <c r="A929" s="37"/>
      <c r="B929" s="37"/>
      <c r="C929" s="37"/>
      <c r="F929" s="38"/>
      <c r="G929" s="38"/>
      <c r="H929" s="38"/>
      <c r="I929" s="37"/>
      <c r="J929" s="38"/>
      <c r="K929" s="38"/>
      <c r="L929" s="42"/>
      <c r="M929" s="42"/>
      <c r="N929" s="42"/>
      <c r="O929" s="42"/>
      <c r="R929" s="37"/>
      <c r="S929" s="37"/>
      <c r="T929" s="91"/>
      <c r="U929" s="91"/>
      <c r="V929" s="41"/>
      <c r="W929" s="37"/>
      <c r="X929" s="37"/>
      <c r="Y929" s="43"/>
      <c r="Z929" s="37"/>
      <c r="AA929" s="37"/>
      <c r="AD929" s="37"/>
      <c r="AE929" s="37"/>
      <c r="AF929" s="37"/>
    </row>
    <row r="930" spans="1:32" x14ac:dyDescent="0.25">
      <c r="A930" s="37"/>
      <c r="B930" s="37"/>
      <c r="C930" s="37"/>
      <c r="F930" s="38"/>
      <c r="G930" s="38"/>
      <c r="H930" s="38"/>
      <c r="I930" s="37"/>
      <c r="J930" s="38"/>
      <c r="K930" s="38"/>
      <c r="L930" s="42"/>
      <c r="M930" s="42"/>
      <c r="N930" s="42"/>
      <c r="O930" s="42"/>
      <c r="R930" s="37"/>
      <c r="S930" s="37"/>
      <c r="T930" s="91"/>
      <c r="U930" s="91"/>
      <c r="V930" s="41"/>
      <c r="W930" s="37"/>
      <c r="X930" s="37"/>
      <c r="Y930" s="43"/>
      <c r="Z930" s="37"/>
      <c r="AA930" s="37"/>
      <c r="AD930" s="37"/>
      <c r="AE930" s="37"/>
      <c r="AF930" s="37"/>
    </row>
    <row r="931" spans="1:32" x14ac:dyDescent="0.25">
      <c r="A931" s="37"/>
      <c r="B931" s="37"/>
      <c r="C931" s="37"/>
      <c r="F931" s="38"/>
      <c r="G931" s="38"/>
      <c r="H931" s="38"/>
      <c r="I931" s="37"/>
      <c r="J931" s="38"/>
      <c r="K931" s="38"/>
      <c r="L931" s="42"/>
      <c r="M931" s="42"/>
      <c r="N931" s="42"/>
      <c r="O931" s="42"/>
      <c r="R931" s="37"/>
      <c r="S931" s="37"/>
      <c r="T931" s="91"/>
      <c r="U931" s="91"/>
      <c r="V931" s="41"/>
      <c r="W931" s="37"/>
      <c r="X931" s="37"/>
      <c r="Y931" s="43"/>
      <c r="Z931" s="37"/>
      <c r="AA931" s="37"/>
      <c r="AD931" s="37"/>
      <c r="AE931" s="37"/>
      <c r="AF931" s="37"/>
    </row>
    <row r="932" spans="1:32" x14ac:dyDescent="0.25">
      <c r="A932" s="37"/>
      <c r="B932" s="37"/>
      <c r="C932" s="37"/>
      <c r="F932" s="38"/>
      <c r="G932" s="38"/>
      <c r="H932" s="38"/>
      <c r="I932" s="37"/>
      <c r="J932" s="38"/>
      <c r="K932" s="38"/>
      <c r="L932" s="42"/>
      <c r="M932" s="42"/>
      <c r="N932" s="42"/>
      <c r="O932" s="42"/>
      <c r="R932" s="37"/>
      <c r="S932" s="37"/>
      <c r="T932" s="91"/>
      <c r="U932" s="91"/>
      <c r="V932" s="41"/>
      <c r="W932" s="37"/>
      <c r="X932" s="37"/>
      <c r="Y932" s="43"/>
      <c r="Z932" s="37"/>
      <c r="AA932" s="37"/>
      <c r="AD932" s="37"/>
      <c r="AE932" s="37"/>
      <c r="AF932" s="37"/>
    </row>
    <row r="933" spans="1:32" x14ac:dyDescent="0.25">
      <c r="A933" s="37"/>
      <c r="B933" s="37"/>
      <c r="C933" s="37"/>
      <c r="F933" s="38"/>
      <c r="G933" s="38"/>
      <c r="H933" s="38"/>
      <c r="I933" s="37"/>
      <c r="J933" s="38"/>
      <c r="K933" s="38"/>
      <c r="L933" s="42"/>
      <c r="M933" s="42"/>
      <c r="N933" s="42"/>
      <c r="O933" s="42"/>
      <c r="R933" s="37"/>
      <c r="S933" s="37"/>
      <c r="T933" s="91"/>
      <c r="U933" s="91"/>
      <c r="V933" s="41"/>
      <c r="W933" s="37"/>
      <c r="X933" s="37"/>
      <c r="Y933" s="43"/>
      <c r="Z933" s="37"/>
      <c r="AA933" s="37"/>
      <c r="AD933" s="37"/>
      <c r="AE933" s="37"/>
      <c r="AF933" s="37"/>
    </row>
    <row r="934" spans="1:32" x14ac:dyDescent="0.25">
      <c r="A934" s="37"/>
      <c r="B934" s="37"/>
      <c r="C934" s="37"/>
      <c r="F934" s="38"/>
      <c r="G934" s="38"/>
      <c r="H934" s="38"/>
      <c r="I934" s="37"/>
      <c r="J934" s="38"/>
      <c r="K934" s="38"/>
      <c r="L934" s="42"/>
      <c r="M934" s="42"/>
      <c r="N934" s="42"/>
      <c r="O934" s="42"/>
      <c r="R934" s="37"/>
      <c r="S934" s="37"/>
      <c r="T934" s="91"/>
      <c r="U934" s="91"/>
      <c r="V934" s="41"/>
      <c r="W934" s="37"/>
      <c r="X934" s="37"/>
      <c r="Y934" s="43"/>
      <c r="Z934" s="37"/>
      <c r="AA934" s="37"/>
      <c r="AD934" s="37"/>
      <c r="AE934" s="37"/>
      <c r="AF934" s="37"/>
    </row>
    <row r="935" spans="1:32" x14ac:dyDescent="0.25">
      <c r="A935" s="37"/>
      <c r="B935" s="37"/>
      <c r="C935" s="37"/>
      <c r="F935" s="38"/>
      <c r="G935" s="38"/>
      <c r="H935" s="38"/>
      <c r="I935" s="37"/>
      <c r="J935" s="38"/>
      <c r="K935" s="38"/>
      <c r="L935" s="42"/>
      <c r="M935" s="42"/>
      <c r="N935" s="42"/>
      <c r="O935" s="42"/>
      <c r="R935" s="37"/>
      <c r="S935" s="37"/>
      <c r="T935" s="91"/>
      <c r="U935" s="91"/>
      <c r="V935" s="41"/>
      <c r="W935" s="37"/>
      <c r="X935" s="37"/>
      <c r="Y935" s="43"/>
      <c r="Z935" s="37"/>
      <c r="AA935" s="37"/>
      <c r="AD935" s="37"/>
      <c r="AE935" s="37"/>
      <c r="AF935" s="37"/>
    </row>
    <row r="936" spans="1:32" x14ac:dyDescent="0.25">
      <c r="A936" s="37"/>
      <c r="B936" s="37"/>
      <c r="C936" s="37"/>
      <c r="F936" s="38"/>
      <c r="G936" s="38"/>
      <c r="H936" s="38"/>
      <c r="I936" s="37"/>
      <c r="J936" s="38"/>
      <c r="K936" s="38"/>
      <c r="L936" s="42"/>
      <c r="M936" s="42"/>
      <c r="N936" s="42"/>
      <c r="O936" s="42"/>
      <c r="R936" s="37"/>
      <c r="S936" s="37"/>
      <c r="T936" s="91"/>
      <c r="U936" s="91"/>
      <c r="V936" s="41"/>
      <c r="W936" s="37"/>
      <c r="X936" s="37"/>
      <c r="Y936" s="43"/>
      <c r="Z936" s="37"/>
      <c r="AA936" s="37"/>
      <c r="AD936" s="37"/>
      <c r="AE936" s="37"/>
      <c r="AF936" s="37"/>
    </row>
    <row r="937" spans="1:32" x14ac:dyDescent="0.25">
      <c r="A937" s="37"/>
      <c r="B937" s="37"/>
      <c r="C937" s="37"/>
      <c r="F937" s="38"/>
      <c r="G937" s="38"/>
      <c r="H937" s="38"/>
      <c r="I937" s="37"/>
      <c r="J937" s="38"/>
      <c r="K937" s="38"/>
      <c r="L937" s="42"/>
      <c r="M937" s="42"/>
      <c r="N937" s="42"/>
      <c r="O937" s="42"/>
      <c r="R937" s="37"/>
      <c r="S937" s="37"/>
      <c r="T937" s="91"/>
      <c r="U937" s="91"/>
      <c r="V937" s="41"/>
      <c r="W937" s="37"/>
      <c r="X937" s="37"/>
      <c r="Y937" s="43"/>
      <c r="Z937" s="37"/>
      <c r="AA937" s="37"/>
      <c r="AD937" s="37"/>
      <c r="AE937" s="37"/>
      <c r="AF937" s="37"/>
    </row>
    <row r="938" spans="1:32" x14ac:dyDescent="0.25">
      <c r="A938" s="37"/>
      <c r="B938" s="37"/>
      <c r="C938" s="37"/>
      <c r="F938" s="38"/>
      <c r="G938" s="38"/>
      <c r="H938" s="38"/>
      <c r="I938" s="37"/>
      <c r="J938" s="38"/>
      <c r="K938" s="38"/>
      <c r="L938" s="42"/>
      <c r="M938" s="42"/>
      <c r="N938" s="42"/>
      <c r="O938" s="42"/>
      <c r="R938" s="37"/>
      <c r="S938" s="37"/>
      <c r="T938" s="91"/>
      <c r="U938" s="91"/>
      <c r="V938" s="41"/>
      <c r="W938" s="37"/>
      <c r="X938" s="37"/>
      <c r="Y938" s="43"/>
      <c r="Z938" s="37"/>
      <c r="AA938" s="37"/>
      <c r="AD938" s="37"/>
      <c r="AE938" s="37"/>
      <c r="AF938" s="37"/>
    </row>
    <row r="939" spans="1:32" x14ac:dyDescent="0.25">
      <c r="A939" s="37"/>
      <c r="B939" s="37"/>
      <c r="C939" s="37"/>
      <c r="F939" s="38"/>
      <c r="G939" s="38"/>
      <c r="H939" s="38"/>
      <c r="I939" s="37"/>
      <c r="J939" s="38"/>
      <c r="K939" s="38"/>
      <c r="L939" s="42"/>
      <c r="M939" s="42"/>
      <c r="N939" s="42"/>
      <c r="O939" s="42"/>
      <c r="R939" s="37"/>
      <c r="S939" s="37"/>
      <c r="T939" s="91"/>
      <c r="U939" s="91"/>
      <c r="V939" s="41"/>
      <c r="W939" s="37"/>
      <c r="X939" s="37"/>
      <c r="Y939" s="43"/>
      <c r="Z939" s="37"/>
      <c r="AA939" s="37"/>
      <c r="AD939" s="37"/>
      <c r="AE939" s="37"/>
      <c r="AF939" s="37"/>
    </row>
    <row r="940" spans="1:32" x14ac:dyDescent="0.25">
      <c r="A940" s="37"/>
      <c r="B940" s="37"/>
      <c r="C940" s="37"/>
      <c r="F940" s="38"/>
      <c r="G940" s="38"/>
      <c r="H940" s="38"/>
      <c r="I940" s="37"/>
      <c r="J940" s="38"/>
      <c r="K940" s="38"/>
      <c r="L940" s="42"/>
      <c r="M940" s="42"/>
      <c r="N940" s="42"/>
      <c r="O940" s="42"/>
      <c r="R940" s="37"/>
      <c r="S940" s="37"/>
      <c r="T940" s="91"/>
      <c r="U940" s="91"/>
      <c r="V940" s="41"/>
      <c r="W940" s="37"/>
      <c r="X940" s="37"/>
      <c r="Y940" s="43"/>
      <c r="Z940" s="37"/>
      <c r="AA940" s="37"/>
      <c r="AD940" s="37"/>
      <c r="AE940" s="37"/>
      <c r="AF940" s="37"/>
    </row>
    <row r="941" spans="1:32" x14ac:dyDescent="0.25">
      <c r="A941" s="37"/>
      <c r="B941" s="37"/>
      <c r="C941" s="37"/>
      <c r="F941" s="38"/>
      <c r="G941" s="38"/>
      <c r="H941" s="38"/>
      <c r="I941" s="37"/>
      <c r="J941" s="38"/>
      <c r="K941" s="38"/>
      <c r="L941" s="42"/>
      <c r="M941" s="42"/>
      <c r="N941" s="42"/>
      <c r="O941" s="42"/>
      <c r="R941" s="37"/>
      <c r="S941" s="37"/>
      <c r="T941" s="91"/>
      <c r="U941" s="91"/>
      <c r="V941" s="41"/>
      <c r="W941" s="37"/>
      <c r="X941" s="37"/>
      <c r="Y941" s="43"/>
      <c r="Z941" s="37"/>
      <c r="AA941" s="37"/>
      <c r="AD941" s="37"/>
      <c r="AE941" s="37"/>
      <c r="AF941" s="37"/>
    </row>
    <row r="942" spans="1:32" x14ac:dyDescent="0.25">
      <c r="A942" s="37"/>
      <c r="B942" s="37"/>
      <c r="C942" s="37"/>
      <c r="F942" s="38"/>
      <c r="G942" s="38"/>
      <c r="H942" s="38"/>
      <c r="I942" s="37"/>
      <c r="J942" s="38"/>
      <c r="K942" s="38"/>
      <c r="L942" s="42"/>
      <c r="M942" s="42"/>
      <c r="N942" s="42"/>
      <c r="O942" s="42"/>
      <c r="R942" s="37"/>
      <c r="S942" s="37"/>
      <c r="T942" s="91"/>
      <c r="U942" s="91"/>
      <c r="V942" s="41"/>
      <c r="W942" s="37"/>
      <c r="X942" s="37"/>
      <c r="Y942" s="43"/>
      <c r="Z942" s="37"/>
      <c r="AA942" s="37"/>
      <c r="AD942" s="37"/>
      <c r="AE942" s="37"/>
      <c r="AF942" s="37"/>
    </row>
    <row r="943" spans="1:32" x14ac:dyDescent="0.25">
      <c r="A943" s="37"/>
      <c r="B943" s="37"/>
      <c r="C943" s="37"/>
      <c r="F943" s="38"/>
      <c r="G943" s="38"/>
      <c r="H943" s="38"/>
      <c r="I943" s="37"/>
      <c r="J943" s="38"/>
      <c r="K943" s="38"/>
      <c r="L943" s="42"/>
      <c r="M943" s="42"/>
      <c r="N943" s="42"/>
      <c r="O943" s="42"/>
      <c r="R943" s="37"/>
      <c r="S943" s="37"/>
      <c r="T943" s="91"/>
      <c r="U943" s="91"/>
      <c r="V943" s="41"/>
      <c r="W943" s="37"/>
      <c r="X943" s="37"/>
      <c r="Y943" s="43"/>
      <c r="Z943" s="37"/>
      <c r="AA943" s="37"/>
      <c r="AD943" s="37"/>
      <c r="AE943" s="37"/>
      <c r="AF943" s="37"/>
    </row>
    <row r="944" spans="1:32" x14ac:dyDescent="0.25">
      <c r="A944" s="37"/>
      <c r="B944" s="37"/>
      <c r="C944" s="37"/>
      <c r="F944" s="38"/>
      <c r="G944" s="38"/>
      <c r="H944" s="38"/>
      <c r="I944" s="37"/>
      <c r="J944" s="38"/>
      <c r="K944" s="38"/>
      <c r="L944" s="42"/>
      <c r="M944" s="42"/>
      <c r="N944" s="42"/>
      <c r="O944" s="42"/>
      <c r="R944" s="37"/>
      <c r="S944" s="37"/>
      <c r="T944" s="91"/>
      <c r="U944" s="91"/>
      <c r="V944" s="41"/>
      <c r="W944" s="37"/>
      <c r="X944" s="37"/>
      <c r="Y944" s="43"/>
      <c r="Z944" s="37"/>
      <c r="AA944" s="37"/>
      <c r="AD944" s="37"/>
      <c r="AE944" s="37"/>
      <c r="AF944" s="37"/>
    </row>
    <row r="945" spans="1:32" x14ac:dyDescent="0.25">
      <c r="A945" s="37"/>
      <c r="B945" s="37"/>
      <c r="C945" s="37"/>
      <c r="F945" s="38"/>
      <c r="G945" s="38"/>
      <c r="H945" s="38"/>
      <c r="I945" s="37"/>
      <c r="J945" s="38"/>
      <c r="K945" s="38"/>
      <c r="L945" s="42"/>
      <c r="M945" s="42"/>
      <c r="N945" s="42"/>
      <c r="O945" s="42"/>
      <c r="R945" s="37"/>
      <c r="S945" s="37"/>
      <c r="T945" s="91"/>
      <c r="U945" s="91"/>
      <c r="V945" s="41"/>
      <c r="W945" s="37"/>
      <c r="X945" s="37"/>
      <c r="Y945" s="43"/>
      <c r="Z945" s="37"/>
      <c r="AA945" s="37"/>
      <c r="AD945" s="37"/>
      <c r="AE945" s="37"/>
      <c r="AF945" s="37"/>
    </row>
    <row r="946" spans="1:32" x14ac:dyDescent="0.25">
      <c r="A946" s="37"/>
      <c r="B946" s="37"/>
      <c r="C946" s="37"/>
      <c r="F946" s="38"/>
      <c r="G946" s="38"/>
      <c r="H946" s="38"/>
      <c r="I946" s="37"/>
      <c r="J946" s="38"/>
      <c r="K946" s="38"/>
      <c r="L946" s="42"/>
      <c r="M946" s="42"/>
      <c r="N946" s="42"/>
      <c r="O946" s="42"/>
      <c r="R946" s="37"/>
      <c r="S946" s="37"/>
      <c r="T946" s="91"/>
      <c r="U946" s="91"/>
      <c r="V946" s="41"/>
      <c r="W946" s="37"/>
      <c r="X946" s="37"/>
      <c r="Y946" s="43"/>
      <c r="Z946" s="37"/>
      <c r="AA946" s="37"/>
      <c r="AD946" s="37"/>
      <c r="AE946" s="37"/>
      <c r="AF946" s="37"/>
    </row>
    <row r="947" spans="1:32" x14ac:dyDescent="0.25">
      <c r="A947" s="37"/>
      <c r="B947" s="37"/>
      <c r="C947" s="37"/>
      <c r="F947" s="38"/>
      <c r="G947" s="38"/>
      <c r="H947" s="38"/>
      <c r="I947" s="37"/>
      <c r="J947" s="38"/>
      <c r="K947" s="38"/>
      <c r="L947" s="42"/>
      <c r="M947" s="42"/>
      <c r="N947" s="42"/>
      <c r="O947" s="42"/>
      <c r="R947" s="37"/>
      <c r="S947" s="37"/>
      <c r="T947" s="91"/>
      <c r="U947" s="91"/>
      <c r="V947" s="41"/>
      <c r="W947" s="37"/>
      <c r="X947" s="37"/>
      <c r="Y947" s="43"/>
      <c r="Z947" s="37"/>
      <c r="AA947" s="37"/>
      <c r="AD947" s="37"/>
      <c r="AE947" s="37"/>
      <c r="AF947" s="37"/>
    </row>
    <row r="948" spans="1:32" x14ac:dyDescent="0.25">
      <c r="A948" s="37"/>
      <c r="B948" s="37"/>
      <c r="C948" s="37"/>
      <c r="F948" s="38"/>
      <c r="G948" s="38"/>
      <c r="H948" s="38"/>
      <c r="I948" s="37"/>
      <c r="J948" s="38"/>
      <c r="K948" s="38"/>
      <c r="L948" s="42"/>
      <c r="M948" s="42"/>
      <c r="N948" s="42"/>
      <c r="O948" s="42"/>
      <c r="R948" s="37"/>
      <c r="S948" s="37"/>
      <c r="T948" s="91"/>
      <c r="U948" s="91"/>
      <c r="V948" s="41"/>
      <c r="W948" s="37"/>
      <c r="X948" s="37"/>
      <c r="Y948" s="43"/>
      <c r="Z948" s="37"/>
      <c r="AA948" s="37"/>
      <c r="AD948" s="37"/>
      <c r="AE948" s="37"/>
      <c r="AF948" s="37"/>
    </row>
    <row r="949" spans="1:32" x14ac:dyDescent="0.25">
      <c r="A949" s="37"/>
      <c r="B949" s="37"/>
      <c r="C949" s="37"/>
      <c r="F949" s="38"/>
      <c r="G949" s="38"/>
      <c r="H949" s="38"/>
      <c r="I949" s="37"/>
      <c r="J949" s="38"/>
      <c r="K949" s="38"/>
      <c r="L949" s="42"/>
      <c r="M949" s="42"/>
      <c r="N949" s="42"/>
      <c r="O949" s="42"/>
      <c r="R949" s="37"/>
      <c r="S949" s="37"/>
      <c r="T949" s="91"/>
      <c r="U949" s="91"/>
      <c r="V949" s="41"/>
      <c r="W949" s="37"/>
      <c r="X949" s="37"/>
      <c r="Y949" s="43"/>
      <c r="Z949" s="37"/>
      <c r="AA949" s="37"/>
      <c r="AD949" s="37"/>
      <c r="AE949" s="37"/>
      <c r="AF949" s="37"/>
    </row>
    <row r="950" spans="1:32" x14ac:dyDescent="0.25">
      <c r="A950" s="37"/>
      <c r="B950" s="37"/>
      <c r="C950" s="37"/>
      <c r="F950" s="38"/>
      <c r="G950" s="38"/>
      <c r="H950" s="38"/>
      <c r="I950" s="37"/>
      <c r="J950" s="38"/>
      <c r="K950" s="38"/>
      <c r="L950" s="42"/>
      <c r="M950" s="42"/>
      <c r="N950" s="42"/>
      <c r="O950" s="42"/>
      <c r="R950" s="37"/>
      <c r="S950" s="37"/>
      <c r="T950" s="91"/>
      <c r="U950" s="91"/>
      <c r="V950" s="41"/>
      <c r="W950" s="37"/>
      <c r="X950" s="37"/>
      <c r="Y950" s="43"/>
      <c r="Z950" s="37"/>
      <c r="AA950" s="37"/>
      <c r="AD950" s="37"/>
      <c r="AE950" s="37"/>
      <c r="AF950" s="37"/>
    </row>
    <row r="951" spans="1:32" x14ac:dyDescent="0.25">
      <c r="A951" s="37"/>
      <c r="B951" s="37"/>
      <c r="C951" s="37"/>
      <c r="F951" s="38"/>
      <c r="G951" s="38"/>
      <c r="H951" s="38"/>
      <c r="I951" s="37"/>
      <c r="J951" s="38"/>
      <c r="K951" s="38"/>
      <c r="L951" s="42"/>
      <c r="M951" s="42"/>
      <c r="N951" s="42"/>
      <c r="O951" s="42"/>
      <c r="R951" s="37"/>
      <c r="S951" s="37"/>
      <c r="T951" s="91"/>
      <c r="U951" s="91"/>
      <c r="V951" s="41"/>
      <c r="W951" s="37"/>
      <c r="X951" s="37"/>
      <c r="Y951" s="43"/>
      <c r="Z951" s="37"/>
      <c r="AA951" s="37"/>
      <c r="AD951" s="37"/>
      <c r="AE951" s="37"/>
      <c r="AF951" s="37"/>
    </row>
    <row r="952" spans="1:32" x14ac:dyDescent="0.25">
      <c r="A952" s="37"/>
      <c r="B952" s="37"/>
      <c r="C952" s="37"/>
      <c r="F952" s="38"/>
      <c r="G952" s="38"/>
      <c r="H952" s="38"/>
      <c r="I952" s="37"/>
      <c r="J952" s="38"/>
      <c r="K952" s="38"/>
      <c r="L952" s="42"/>
      <c r="M952" s="42"/>
      <c r="N952" s="42"/>
      <c r="O952" s="42"/>
      <c r="R952" s="37"/>
      <c r="S952" s="37"/>
      <c r="T952" s="91"/>
      <c r="U952" s="91"/>
      <c r="V952" s="41"/>
      <c r="W952" s="37"/>
      <c r="X952" s="37"/>
      <c r="Y952" s="43"/>
      <c r="Z952" s="37"/>
      <c r="AA952" s="37"/>
      <c r="AD952" s="37"/>
      <c r="AE952" s="37"/>
      <c r="AF952" s="37"/>
    </row>
    <row r="953" spans="1:32" x14ac:dyDescent="0.25">
      <c r="A953" s="37"/>
      <c r="B953" s="37"/>
      <c r="C953" s="37"/>
      <c r="F953" s="38"/>
      <c r="G953" s="38"/>
      <c r="H953" s="38"/>
      <c r="I953" s="37"/>
      <c r="J953" s="38"/>
      <c r="K953" s="38"/>
      <c r="L953" s="42"/>
      <c r="M953" s="42"/>
      <c r="N953" s="42"/>
      <c r="O953" s="42"/>
      <c r="R953" s="37"/>
      <c r="S953" s="37"/>
      <c r="T953" s="91"/>
      <c r="U953" s="91"/>
      <c r="V953" s="41"/>
      <c r="W953" s="37"/>
      <c r="X953" s="37"/>
      <c r="Y953" s="43"/>
      <c r="Z953" s="37"/>
      <c r="AA953" s="37"/>
      <c r="AD953" s="37"/>
      <c r="AE953" s="37"/>
      <c r="AF953" s="37"/>
    </row>
    <row r="954" spans="1:32" x14ac:dyDescent="0.25">
      <c r="A954" s="37"/>
      <c r="B954" s="37"/>
      <c r="C954" s="37"/>
      <c r="F954" s="38"/>
      <c r="G954" s="38"/>
      <c r="H954" s="38"/>
      <c r="I954" s="37"/>
      <c r="J954" s="38"/>
      <c r="K954" s="38"/>
      <c r="L954" s="42"/>
      <c r="M954" s="42"/>
      <c r="N954" s="42"/>
      <c r="O954" s="42"/>
      <c r="R954" s="37"/>
      <c r="S954" s="37"/>
      <c r="T954" s="91"/>
      <c r="U954" s="91"/>
      <c r="V954" s="41"/>
      <c r="W954" s="37"/>
      <c r="X954" s="37"/>
      <c r="Y954" s="43"/>
      <c r="Z954" s="37"/>
      <c r="AA954" s="37"/>
      <c r="AD954" s="37"/>
      <c r="AE954" s="37"/>
      <c r="AF954" s="37"/>
    </row>
    <row r="955" spans="1:32" x14ac:dyDescent="0.25">
      <c r="A955" s="37"/>
      <c r="B955" s="37"/>
      <c r="C955" s="37"/>
      <c r="F955" s="38"/>
      <c r="G955" s="38"/>
      <c r="H955" s="38"/>
      <c r="I955" s="37"/>
      <c r="J955" s="38"/>
      <c r="K955" s="38"/>
      <c r="L955" s="42"/>
      <c r="M955" s="42"/>
      <c r="N955" s="42"/>
      <c r="O955" s="42"/>
      <c r="R955" s="37"/>
      <c r="S955" s="37"/>
      <c r="T955" s="91"/>
      <c r="U955" s="91"/>
      <c r="V955" s="41"/>
      <c r="W955" s="37"/>
      <c r="X955" s="37"/>
      <c r="Y955" s="43"/>
      <c r="Z955" s="37"/>
      <c r="AA955" s="37"/>
      <c r="AD955" s="37"/>
      <c r="AE955" s="37"/>
      <c r="AF955" s="37"/>
    </row>
    <row r="956" spans="1:32" x14ac:dyDescent="0.25">
      <c r="A956" s="37"/>
      <c r="B956" s="37"/>
      <c r="C956" s="37"/>
      <c r="F956" s="38"/>
      <c r="G956" s="38"/>
      <c r="H956" s="38"/>
      <c r="I956" s="37"/>
      <c r="J956" s="38"/>
      <c r="K956" s="38"/>
      <c r="L956" s="42"/>
      <c r="M956" s="42"/>
      <c r="N956" s="42"/>
      <c r="O956" s="42"/>
      <c r="R956" s="37"/>
      <c r="S956" s="37"/>
      <c r="T956" s="91"/>
      <c r="U956" s="91"/>
      <c r="V956" s="41"/>
      <c r="W956" s="37"/>
      <c r="X956" s="37"/>
      <c r="Y956" s="43"/>
      <c r="Z956" s="37"/>
      <c r="AA956" s="37"/>
      <c r="AD956" s="37"/>
      <c r="AE956" s="37"/>
      <c r="AF956" s="37"/>
    </row>
    <row r="957" spans="1:32" x14ac:dyDescent="0.25">
      <c r="A957" s="37"/>
      <c r="B957" s="37"/>
      <c r="C957" s="37"/>
      <c r="F957" s="38"/>
      <c r="G957" s="38"/>
      <c r="H957" s="38"/>
      <c r="I957" s="37"/>
      <c r="J957" s="38"/>
      <c r="K957" s="38"/>
      <c r="L957" s="42"/>
      <c r="M957" s="42"/>
      <c r="N957" s="42"/>
      <c r="O957" s="42"/>
      <c r="R957" s="37"/>
      <c r="S957" s="37"/>
      <c r="T957" s="91"/>
      <c r="U957" s="91"/>
      <c r="V957" s="41"/>
      <c r="W957" s="37"/>
      <c r="X957" s="37"/>
      <c r="Y957" s="43"/>
      <c r="Z957" s="37"/>
      <c r="AA957" s="37"/>
      <c r="AD957" s="37"/>
      <c r="AE957" s="37"/>
      <c r="AF957" s="37"/>
    </row>
    <row r="958" spans="1:32" x14ac:dyDescent="0.25">
      <c r="A958" s="37"/>
      <c r="B958" s="37"/>
      <c r="C958" s="37"/>
      <c r="F958" s="38"/>
      <c r="G958" s="38"/>
      <c r="H958" s="38"/>
      <c r="I958" s="37"/>
      <c r="J958" s="38"/>
      <c r="K958" s="38"/>
      <c r="L958" s="42"/>
      <c r="M958" s="42"/>
      <c r="N958" s="42"/>
      <c r="O958" s="42"/>
      <c r="R958" s="37"/>
      <c r="S958" s="37"/>
      <c r="T958" s="91"/>
      <c r="U958" s="91"/>
      <c r="V958" s="41"/>
      <c r="W958" s="37"/>
      <c r="X958" s="37"/>
      <c r="Y958" s="43"/>
      <c r="Z958" s="37"/>
      <c r="AA958" s="37"/>
      <c r="AD958" s="37"/>
      <c r="AE958" s="37"/>
      <c r="AF958" s="37"/>
    </row>
    <row r="959" spans="1:32" x14ac:dyDescent="0.25">
      <c r="A959" s="37"/>
      <c r="B959" s="37"/>
      <c r="C959" s="37"/>
      <c r="F959" s="38"/>
      <c r="G959" s="38"/>
      <c r="H959" s="38"/>
      <c r="I959" s="37"/>
      <c r="J959" s="38"/>
      <c r="K959" s="38"/>
      <c r="L959" s="42"/>
      <c r="M959" s="42"/>
      <c r="N959" s="42"/>
      <c r="O959" s="42"/>
      <c r="R959" s="37"/>
      <c r="S959" s="37"/>
      <c r="T959" s="91"/>
      <c r="U959" s="91"/>
      <c r="V959" s="41"/>
      <c r="W959" s="37"/>
      <c r="X959" s="37"/>
      <c r="Y959" s="43"/>
      <c r="Z959" s="37"/>
      <c r="AA959" s="37"/>
      <c r="AD959" s="37"/>
      <c r="AE959" s="37"/>
      <c r="AF959" s="37"/>
    </row>
    <row r="960" spans="1:32" x14ac:dyDescent="0.25">
      <c r="A960" s="37"/>
      <c r="B960" s="37"/>
      <c r="C960" s="37"/>
      <c r="F960" s="38"/>
      <c r="G960" s="38"/>
      <c r="H960" s="38"/>
      <c r="I960" s="37"/>
      <c r="J960" s="38"/>
      <c r="K960" s="38"/>
      <c r="L960" s="42"/>
      <c r="M960" s="42"/>
      <c r="N960" s="42"/>
      <c r="O960" s="42"/>
      <c r="R960" s="37"/>
      <c r="S960" s="37"/>
      <c r="T960" s="91"/>
      <c r="U960" s="91"/>
      <c r="V960" s="41"/>
      <c r="W960" s="37"/>
      <c r="X960" s="37"/>
      <c r="Y960" s="43"/>
      <c r="Z960" s="37"/>
      <c r="AA960" s="37"/>
      <c r="AD960" s="37"/>
      <c r="AE960" s="37"/>
      <c r="AF960" s="37"/>
    </row>
    <row r="961" spans="1:32" x14ac:dyDescent="0.25">
      <c r="A961" s="37"/>
      <c r="B961" s="37"/>
      <c r="C961" s="37"/>
      <c r="F961" s="38"/>
      <c r="G961" s="38"/>
      <c r="H961" s="38"/>
      <c r="I961" s="37"/>
      <c r="J961" s="38"/>
      <c r="K961" s="38"/>
      <c r="L961" s="42"/>
      <c r="M961" s="42"/>
      <c r="N961" s="42"/>
      <c r="O961" s="42"/>
      <c r="R961" s="37"/>
      <c r="S961" s="37"/>
      <c r="T961" s="91"/>
      <c r="U961" s="91"/>
      <c r="V961" s="41"/>
      <c r="W961" s="37"/>
      <c r="X961" s="37"/>
      <c r="Y961" s="43"/>
      <c r="Z961" s="37"/>
      <c r="AA961" s="37"/>
      <c r="AD961" s="37"/>
      <c r="AE961" s="37"/>
      <c r="AF961" s="37"/>
    </row>
    <row r="962" spans="1:32" x14ac:dyDescent="0.25">
      <c r="A962" s="37"/>
      <c r="B962" s="37"/>
      <c r="C962" s="37"/>
      <c r="F962" s="38"/>
      <c r="G962" s="38"/>
      <c r="H962" s="38"/>
      <c r="I962" s="37"/>
      <c r="J962" s="38"/>
      <c r="K962" s="38"/>
      <c r="L962" s="42"/>
      <c r="M962" s="42"/>
      <c r="N962" s="42"/>
      <c r="O962" s="42"/>
      <c r="R962" s="37"/>
      <c r="S962" s="37"/>
      <c r="T962" s="91"/>
      <c r="U962" s="91"/>
      <c r="V962" s="41"/>
      <c r="W962" s="37"/>
      <c r="X962" s="37"/>
      <c r="Y962" s="43"/>
      <c r="Z962" s="37"/>
      <c r="AA962" s="37"/>
      <c r="AD962" s="37"/>
      <c r="AE962" s="37"/>
      <c r="AF962" s="37"/>
    </row>
    <row r="963" spans="1:32" x14ac:dyDescent="0.25">
      <c r="A963" s="37"/>
      <c r="B963" s="37"/>
      <c r="C963" s="37"/>
      <c r="F963" s="38"/>
      <c r="G963" s="38"/>
      <c r="H963" s="38"/>
      <c r="I963" s="37"/>
      <c r="J963" s="38"/>
      <c r="K963" s="38"/>
      <c r="L963" s="42"/>
      <c r="M963" s="42"/>
      <c r="N963" s="42"/>
      <c r="O963" s="42"/>
      <c r="R963" s="37"/>
      <c r="S963" s="37"/>
      <c r="T963" s="91"/>
      <c r="U963" s="91"/>
      <c r="V963" s="41"/>
      <c r="W963" s="37"/>
      <c r="X963" s="37"/>
      <c r="Y963" s="43"/>
      <c r="Z963" s="37"/>
      <c r="AA963" s="37"/>
      <c r="AD963" s="37"/>
      <c r="AE963" s="37"/>
      <c r="AF963" s="37"/>
    </row>
    <row r="964" spans="1:32" x14ac:dyDescent="0.25">
      <c r="A964" s="37"/>
      <c r="B964" s="37"/>
      <c r="C964" s="37"/>
      <c r="F964" s="38"/>
      <c r="G964" s="38"/>
      <c r="H964" s="38"/>
      <c r="I964" s="37"/>
      <c r="J964" s="38"/>
      <c r="K964" s="38"/>
      <c r="L964" s="42"/>
      <c r="M964" s="42"/>
      <c r="N964" s="42"/>
      <c r="O964" s="42"/>
      <c r="R964" s="37"/>
      <c r="S964" s="37"/>
      <c r="T964" s="91"/>
      <c r="U964" s="91"/>
      <c r="V964" s="41"/>
      <c r="W964" s="37"/>
      <c r="X964" s="37"/>
      <c r="Y964" s="43"/>
      <c r="Z964" s="37"/>
      <c r="AA964" s="37"/>
      <c r="AD964" s="37"/>
      <c r="AE964" s="37"/>
      <c r="AF964" s="37"/>
    </row>
    <row r="965" spans="1:32" x14ac:dyDescent="0.25">
      <c r="A965" s="37"/>
      <c r="B965" s="37"/>
      <c r="C965" s="37"/>
      <c r="F965" s="38"/>
      <c r="G965" s="38"/>
      <c r="H965" s="38"/>
      <c r="I965" s="37"/>
      <c r="J965" s="38"/>
      <c r="K965" s="38"/>
      <c r="L965" s="42"/>
      <c r="M965" s="42"/>
      <c r="N965" s="42"/>
      <c r="O965" s="42"/>
      <c r="R965" s="37"/>
      <c r="S965" s="37"/>
      <c r="T965" s="91"/>
      <c r="U965" s="91"/>
      <c r="V965" s="41"/>
      <c r="W965" s="37"/>
      <c r="X965" s="37"/>
      <c r="Y965" s="43"/>
      <c r="Z965" s="37"/>
      <c r="AA965" s="37"/>
      <c r="AD965" s="37"/>
      <c r="AE965" s="37"/>
      <c r="AF965" s="37"/>
    </row>
    <row r="966" spans="1:32" x14ac:dyDescent="0.25">
      <c r="A966" s="37"/>
      <c r="B966" s="37"/>
      <c r="C966" s="37"/>
      <c r="F966" s="38"/>
      <c r="G966" s="38"/>
      <c r="H966" s="38"/>
      <c r="I966" s="37"/>
      <c r="J966" s="38"/>
      <c r="K966" s="38"/>
      <c r="L966" s="42"/>
      <c r="M966" s="42"/>
      <c r="N966" s="42"/>
      <c r="O966" s="42"/>
      <c r="R966" s="37"/>
      <c r="S966" s="37"/>
      <c r="T966" s="91"/>
      <c r="U966" s="91"/>
      <c r="V966" s="41"/>
      <c r="W966" s="37"/>
      <c r="X966" s="37"/>
      <c r="Y966" s="43"/>
      <c r="Z966" s="37"/>
      <c r="AA966" s="37"/>
      <c r="AD966" s="37"/>
      <c r="AE966" s="37"/>
      <c r="AF966" s="37"/>
    </row>
    <row r="967" spans="1:32" x14ac:dyDescent="0.25">
      <c r="A967" s="37"/>
      <c r="B967" s="37"/>
      <c r="C967" s="37"/>
      <c r="F967" s="38"/>
      <c r="G967" s="38"/>
      <c r="H967" s="38"/>
      <c r="I967" s="37"/>
      <c r="J967" s="38"/>
      <c r="K967" s="38"/>
      <c r="L967" s="42"/>
      <c r="M967" s="42"/>
      <c r="N967" s="42"/>
      <c r="O967" s="42"/>
      <c r="R967" s="37"/>
      <c r="S967" s="37"/>
      <c r="T967" s="91"/>
      <c r="U967" s="91"/>
      <c r="V967" s="41"/>
      <c r="W967" s="37"/>
      <c r="X967" s="37"/>
      <c r="Y967" s="43"/>
      <c r="Z967" s="37"/>
      <c r="AA967" s="37"/>
      <c r="AD967" s="37"/>
      <c r="AE967" s="37"/>
      <c r="AF967" s="37"/>
    </row>
    <row r="968" spans="1:32" x14ac:dyDescent="0.25">
      <c r="A968" s="37"/>
      <c r="B968" s="37"/>
      <c r="C968" s="37"/>
      <c r="F968" s="38"/>
      <c r="G968" s="38"/>
      <c r="H968" s="38"/>
      <c r="I968" s="37"/>
      <c r="J968" s="38"/>
      <c r="K968" s="38"/>
      <c r="L968" s="42"/>
      <c r="M968" s="42"/>
      <c r="N968" s="42"/>
      <c r="O968" s="42"/>
      <c r="R968" s="37"/>
      <c r="S968" s="37"/>
      <c r="T968" s="91"/>
      <c r="U968" s="91"/>
      <c r="V968" s="41"/>
      <c r="W968" s="37"/>
      <c r="X968" s="37"/>
      <c r="Y968" s="43"/>
      <c r="Z968" s="37"/>
      <c r="AA968" s="37"/>
      <c r="AD968" s="37"/>
      <c r="AE968" s="37"/>
      <c r="AF968" s="37"/>
    </row>
    <row r="969" spans="1:32" x14ac:dyDescent="0.25">
      <c r="A969" s="37"/>
      <c r="B969" s="37"/>
      <c r="C969" s="37"/>
      <c r="F969" s="38"/>
      <c r="G969" s="38"/>
      <c r="H969" s="38"/>
      <c r="I969" s="37"/>
      <c r="J969" s="38"/>
      <c r="K969" s="38"/>
      <c r="L969" s="42"/>
      <c r="M969" s="42"/>
      <c r="N969" s="42"/>
      <c r="O969" s="42"/>
      <c r="R969" s="37"/>
      <c r="S969" s="37"/>
      <c r="T969" s="91"/>
      <c r="U969" s="91"/>
      <c r="V969" s="41"/>
      <c r="W969" s="37"/>
      <c r="X969" s="37"/>
      <c r="Y969" s="43"/>
      <c r="Z969" s="37"/>
      <c r="AA969" s="37"/>
      <c r="AD969" s="37"/>
      <c r="AE969" s="37"/>
      <c r="AF969" s="37"/>
    </row>
    <row r="970" spans="1:32" x14ac:dyDescent="0.25">
      <c r="A970" s="37"/>
      <c r="B970" s="37"/>
      <c r="C970" s="37"/>
      <c r="F970" s="38"/>
      <c r="G970" s="38"/>
      <c r="H970" s="38"/>
      <c r="I970" s="37"/>
      <c r="J970" s="38"/>
      <c r="K970" s="38"/>
      <c r="L970" s="42"/>
      <c r="M970" s="42"/>
      <c r="N970" s="42"/>
      <c r="O970" s="42"/>
      <c r="R970" s="37"/>
      <c r="S970" s="37"/>
      <c r="T970" s="91"/>
      <c r="U970" s="91"/>
      <c r="V970" s="41"/>
      <c r="W970" s="37"/>
      <c r="X970" s="37"/>
      <c r="Y970" s="43"/>
      <c r="Z970" s="37"/>
      <c r="AA970" s="37"/>
      <c r="AD970" s="37"/>
      <c r="AE970" s="37"/>
      <c r="AF970" s="37"/>
    </row>
    <row r="971" spans="1:32" x14ac:dyDescent="0.25">
      <c r="A971" s="37"/>
      <c r="B971" s="37"/>
      <c r="C971" s="37"/>
      <c r="F971" s="38"/>
      <c r="G971" s="38"/>
      <c r="H971" s="38"/>
      <c r="I971" s="37"/>
      <c r="J971" s="38"/>
      <c r="K971" s="38"/>
      <c r="L971" s="42"/>
      <c r="M971" s="42"/>
      <c r="N971" s="42"/>
      <c r="O971" s="42"/>
      <c r="R971" s="37"/>
      <c r="S971" s="37"/>
      <c r="T971" s="91"/>
      <c r="U971" s="91"/>
      <c r="V971" s="41"/>
      <c r="W971" s="37"/>
      <c r="X971" s="37"/>
      <c r="Y971" s="43"/>
      <c r="Z971" s="37"/>
      <c r="AA971" s="37"/>
      <c r="AD971" s="37"/>
      <c r="AE971" s="37"/>
      <c r="AF971" s="37"/>
    </row>
    <row r="972" spans="1:32" x14ac:dyDescent="0.25">
      <c r="A972" s="37"/>
      <c r="B972" s="37"/>
      <c r="C972" s="37"/>
      <c r="F972" s="38"/>
      <c r="G972" s="38"/>
      <c r="H972" s="38"/>
      <c r="I972" s="37"/>
      <c r="J972" s="38"/>
      <c r="K972" s="38"/>
      <c r="L972" s="42"/>
      <c r="M972" s="42"/>
      <c r="N972" s="42"/>
      <c r="O972" s="42"/>
      <c r="R972" s="37"/>
      <c r="S972" s="37"/>
      <c r="T972" s="91"/>
      <c r="U972" s="91"/>
      <c r="V972" s="41"/>
      <c r="W972" s="37"/>
      <c r="X972" s="37"/>
      <c r="Y972" s="43"/>
      <c r="Z972" s="37"/>
      <c r="AA972" s="37"/>
      <c r="AD972" s="37"/>
      <c r="AE972" s="37"/>
      <c r="AF972" s="37"/>
    </row>
    <row r="973" spans="1:32" x14ac:dyDescent="0.25">
      <c r="A973" s="37"/>
      <c r="B973" s="37"/>
      <c r="C973" s="37"/>
      <c r="F973" s="38"/>
      <c r="G973" s="38"/>
      <c r="H973" s="38"/>
      <c r="I973" s="37"/>
      <c r="J973" s="38"/>
      <c r="K973" s="38"/>
      <c r="L973" s="42"/>
      <c r="M973" s="42"/>
      <c r="N973" s="42"/>
      <c r="O973" s="42"/>
      <c r="R973" s="37"/>
      <c r="S973" s="37"/>
      <c r="T973" s="91"/>
      <c r="U973" s="91"/>
      <c r="V973" s="41"/>
      <c r="W973" s="37"/>
      <c r="X973" s="37"/>
      <c r="Y973" s="43"/>
      <c r="Z973" s="37"/>
      <c r="AA973" s="37"/>
      <c r="AD973" s="37"/>
      <c r="AE973" s="37"/>
      <c r="AF973" s="37"/>
    </row>
    <row r="974" spans="1:32" x14ac:dyDescent="0.25">
      <c r="A974" s="37"/>
      <c r="B974" s="37"/>
      <c r="C974" s="37"/>
      <c r="F974" s="38"/>
      <c r="G974" s="38"/>
      <c r="H974" s="38"/>
      <c r="I974" s="37"/>
      <c r="J974" s="38"/>
      <c r="K974" s="38"/>
      <c r="L974" s="42"/>
      <c r="M974" s="42"/>
      <c r="N974" s="42"/>
      <c r="O974" s="42"/>
      <c r="R974" s="37"/>
      <c r="S974" s="37"/>
      <c r="T974" s="91"/>
      <c r="U974" s="91"/>
      <c r="V974" s="41"/>
      <c r="W974" s="37"/>
      <c r="X974" s="37"/>
      <c r="Y974" s="43"/>
      <c r="Z974" s="37"/>
      <c r="AA974" s="37"/>
      <c r="AD974" s="37"/>
      <c r="AE974" s="37"/>
      <c r="AF974" s="37"/>
    </row>
    <row r="975" spans="1:32" x14ac:dyDescent="0.25">
      <c r="A975" s="37"/>
      <c r="B975" s="37"/>
      <c r="C975" s="37"/>
      <c r="F975" s="38"/>
      <c r="G975" s="38"/>
      <c r="H975" s="38"/>
      <c r="I975" s="37"/>
      <c r="J975" s="38"/>
      <c r="K975" s="38"/>
      <c r="L975" s="42"/>
      <c r="M975" s="42"/>
      <c r="N975" s="42"/>
      <c r="O975" s="42"/>
      <c r="R975" s="37"/>
      <c r="S975" s="37"/>
      <c r="T975" s="91"/>
      <c r="U975" s="91"/>
      <c r="V975" s="41"/>
      <c r="W975" s="37"/>
      <c r="X975" s="37"/>
      <c r="Y975" s="43"/>
      <c r="Z975" s="37"/>
      <c r="AA975" s="37"/>
      <c r="AD975" s="37"/>
      <c r="AE975" s="37"/>
      <c r="AF975" s="37"/>
    </row>
    <row r="976" spans="1:32" x14ac:dyDescent="0.25">
      <c r="A976" s="37"/>
      <c r="B976" s="37"/>
      <c r="C976" s="37"/>
      <c r="F976" s="38"/>
      <c r="G976" s="38"/>
      <c r="H976" s="38"/>
      <c r="I976" s="37"/>
      <c r="J976" s="38"/>
      <c r="K976" s="38"/>
      <c r="L976" s="42"/>
      <c r="M976" s="42"/>
      <c r="N976" s="42"/>
      <c r="O976" s="42"/>
      <c r="R976" s="37"/>
      <c r="S976" s="37"/>
      <c r="T976" s="91"/>
      <c r="U976" s="91"/>
      <c r="V976" s="41"/>
      <c r="W976" s="37"/>
      <c r="X976" s="37"/>
      <c r="Y976" s="43"/>
      <c r="Z976" s="37"/>
      <c r="AA976" s="37"/>
      <c r="AD976" s="37"/>
      <c r="AE976" s="37"/>
      <c r="AF976" s="37"/>
    </row>
    <row r="977" spans="1:32" x14ac:dyDescent="0.25">
      <c r="A977" s="37"/>
      <c r="B977" s="37"/>
      <c r="C977" s="37"/>
      <c r="F977" s="38"/>
      <c r="G977" s="38"/>
      <c r="H977" s="38"/>
      <c r="I977" s="37"/>
      <c r="J977" s="38"/>
      <c r="K977" s="38"/>
      <c r="L977" s="42"/>
      <c r="M977" s="42"/>
      <c r="N977" s="42"/>
      <c r="O977" s="42"/>
      <c r="R977" s="37"/>
      <c r="S977" s="37"/>
      <c r="T977" s="91"/>
      <c r="U977" s="91"/>
      <c r="V977" s="41"/>
      <c r="W977" s="37"/>
      <c r="X977" s="37"/>
      <c r="Y977" s="43"/>
      <c r="Z977" s="37"/>
      <c r="AA977" s="37"/>
      <c r="AD977" s="37"/>
      <c r="AE977" s="37"/>
      <c r="AF977" s="37"/>
    </row>
    <row r="978" spans="1:32" x14ac:dyDescent="0.25">
      <c r="A978" s="37"/>
      <c r="B978" s="37"/>
      <c r="C978" s="37"/>
      <c r="F978" s="38"/>
      <c r="G978" s="38"/>
      <c r="H978" s="38"/>
      <c r="I978" s="37"/>
      <c r="J978" s="38"/>
      <c r="K978" s="38"/>
      <c r="L978" s="42"/>
      <c r="M978" s="42"/>
      <c r="N978" s="42"/>
      <c r="O978" s="42"/>
      <c r="R978" s="37"/>
      <c r="S978" s="37"/>
      <c r="T978" s="91"/>
      <c r="U978" s="91"/>
      <c r="V978" s="41"/>
      <c r="W978" s="37"/>
      <c r="X978" s="37"/>
      <c r="Y978" s="43"/>
      <c r="Z978" s="37"/>
      <c r="AA978" s="37"/>
      <c r="AD978" s="37"/>
      <c r="AE978" s="37"/>
      <c r="AF978" s="37"/>
    </row>
    <row r="979" spans="1:32" x14ac:dyDescent="0.25">
      <c r="A979" s="37"/>
      <c r="B979" s="37"/>
      <c r="C979" s="37"/>
      <c r="F979" s="38"/>
      <c r="G979" s="38"/>
      <c r="H979" s="38"/>
      <c r="I979" s="37"/>
      <c r="J979" s="38"/>
      <c r="K979" s="38"/>
      <c r="L979" s="42"/>
      <c r="M979" s="42"/>
      <c r="N979" s="42"/>
      <c r="O979" s="42"/>
      <c r="R979" s="37"/>
      <c r="S979" s="37"/>
      <c r="T979" s="91"/>
      <c r="U979" s="91"/>
      <c r="V979" s="41"/>
      <c r="W979" s="37"/>
      <c r="X979" s="37"/>
      <c r="Y979" s="43"/>
      <c r="Z979" s="37"/>
      <c r="AA979" s="37"/>
      <c r="AD979" s="37"/>
      <c r="AE979" s="37"/>
      <c r="AF979" s="37"/>
    </row>
    <row r="980" spans="1:32" x14ac:dyDescent="0.25">
      <c r="A980" s="37"/>
      <c r="B980" s="37"/>
      <c r="C980" s="37"/>
      <c r="F980" s="38"/>
      <c r="G980" s="38"/>
      <c r="H980" s="38"/>
      <c r="I980" s="37"/>
      <c r="J980" s="38"/>
      <c r="K980" s="38"/>
      <c r="L980" s="42"/>
      <c r="M980" s="42"/>
      <c r="N980" s="42"/>
      <c r="O980" s="42"/>
      <c r="R980" s="37"/>
      <c r="S980" s="37"/>
      <c r="T980" s="91"/>
      <c r="U980" s="91"/>
      <c r="V980" s="41"/>
      <c r="W980" s="37"/>
      <c r="X980" s="37"/>
      <c r="Y980" s="43"/>
      <c r="Z980" s="37"/>
      <c r="AA980" s="37"/>
      <c r="AD980" s="37"/>
      <c r="AE980" s="37"/>
      <c r="AF980" s="37"/>
    </row>
    <row r="981" spans="1:32" x14ac:dyDescent="0.25">
      <c r="A981" s="37"/>
      <c r="B981" s="37"/>
      <c r="C981" s="37"/>
      <c r="F981" s="38"/>
      <c r="G981" s="38"/>
      <c r="H981" s="38"/>
      <c r="I981" s="37"/>
      <c r="J981" s="38"/>
      <c r="K981" s="38"/>
      <c r="L981" s="42"/>
      <c r="M981" s="42"/>
      <c r="N981" s="42"/>
      <c r="O981" s="42"/>
      <c r="R981" s="37"/>
      <c r="S981" s="37"/>
      <c r="T981" s="91"/>
      <c r="U981" s="91"/>
      <c r="V981" s="41"/>
      <c r="W981" s="37"/>
      <c r="X981" s="37"/>
      <c r="Y981" s="43"/>
      <c r="Z981" s="37"/>
      <c r="AA981" s="37"/>
      <c r="AD981" s="37"/>
      <c r="AE981" s="37"/>
      <c r="AF981" s="37"/>
    </row>
    <row r="982" spans="1:32" x14ac:dyDescent="0.25">
      <c r="A982" s="37"/>
      <c r="B982" s="37"/>
      <c r="C982" s="37"/>
      <c r="F982" s="38"/>
      <c r="G982" s="38"/>
      <c r="H982" s="38"/>
      <c r="I982" s="37"/>
      <c r="J982" s="38"/>
      <c r="K982" s="38"/>
      <c r="L982" s="42"/>
      <c r="M982" s="42"/>
      <c r="N982" s="42"/>
      <c r="O982" s="42"/>
      <c r="R982" s="37"/>
      <c r="S982" s="37"/>
      <c r="T982" s="91"/>
      <c r="U982" s="91"/>
      <c r="V982" s="41"/>
      <c r="W982" s="37"/>
      <c r="X982" s="37"/>
      <c r="Y982" s="43"/>
      <c r="Z982" s="37"/>
      <c r="AA982" s="37"/>
      <c r="AD982" s="37"/>
      <c r="AE982" s="37"/>
      <c r="AF982" s="37"/>
    </row>
    <row r="983" spans="1:32" x14ac:dyDescent="0.25">
      <c r="A983" s="37"/>
      <c r="B983" s="37"/>
      <c r="C983" s="37"/>
      <c r="F983" s="38"/>
      <c r="G983" s="38"/>
      <c r="H983" s="38"/>
      <c r="I983" s="37"/>
      <c r="J983" s="38"/>
      <c r="K983" s="38"/>
      <c r="L983" s="42"/>
      <c r="M983" s="42"/>
      <c r="N983" s="42"/>
      <c r="O983" s="42"/>
      <c r="R983" s="37"/>
      <c r="S983" s="37"/>
      <c r="T983" s="91"/>
      <c r="U983" s="91"/>
      <c r="V983" s="41"/>
      <c r="W983" s="37"/>
      <c r="X983" s="37"/>
      <c r="Y983" s="43"/>
      <c r="Z983" s="37"/>
      <c r="AA983" s="37"/>
      <c r="AD983" s="37"/>
      <c r="AE983" s="37"/>
      <c r="AF983" s="37"/>
    </row>
    <row r="984" spans="1:32" x14ac:dyDescent="0.25">
      <c r="A984" s="37"/>
      <c r="B984" s="37"/>
      <c r="C984" s="37"/>
      <c r="F984" s="38"/>
      <c r="G984" s="38"/>
      <c r="H984" s="38"/>
      <c r="I984" s="37"/>
      <c r="J984" s="38"/>
      <c r="K984" s="38"/>
      <c r="L984" s="42"/>
      <c r="M984" s="42"/>
      <c r="N984" s="42"/>
      <c r="O984" s="42"/>
      <c r="R984" s="37"/>
      <c r="S984" s="37"/>
      <c r="T984" s="91"/>
      <c r="U984" s="91"/>
      <c r="V984" s="41"/>
      <c r="W984" s="37"/>
      <c r="X984" s="37"/>
      <c r="Y984" s="43"/>
      <c r="Z984" s="37"/>
      <c r="AA984" s="37"/>
      <c r="AD984" s="37"/>
      <c r="AE984" s="37"/>
      <c r="AF984" s="37"/>
    </row>
    <row r="985" spans="1:32" x14ac:dyDescent="0.25">
      <c r="A985" s="37"/>
      <c r="B985" s="37"/>
      <c r="C985" s="37"/>
      <c r="F985" s="38"/>
      <c r="G985" s="38"/>
      <c r="H985" s="38"/>
      <c r="I985" s="37"/>
      <c r="J985" s="38"/>
      <c r="K985" s="38"/>
      <c r="L985" s="42"/>
      <c r="M985" s="42"/>
      <c r="N985" s="42"/>
      <c r="O985" s="42"/>
      <c r="R985" s="37"/>
      <c r="S985" s="37"/>
      <c r="T985" s="91"/>
      <c r="U985" s="91"/>
      <c r="V985" s="41"/>
      <c r="W985" s="37"/>
      <c r="X985" s="37"/>
      <c r="Y985" s="43"/>
      <c r="Z985" s="37"/>
      <c r="AA985" s="37"/>
      <c r="AD985" s="37"/>
      <c r="AE985" s="37"/>
      <c r="AF985" s="37"/>
    </row>
    <row r="986" spans="1:32" x14ac:dyDescent="0.25">
      <c r="A986" s="37"/>
      <c r="B986" s="37"/>
      <c r="C986" s="37"/>
      <c r="F986" s="38"/>
      <c r="G986" s="38"/>
      <c r="H986" s="38"/>
      <c r="I986" s="37"/>
      <c r="J986" s="38"/>
      <c r="K986" s="38"/>
      <c r="L986" s="42"/>
      <c r="M986" s="42"/>
      <c r="N986" s="42"/>
      <c r="O986" s="42"/>
      <c r="R986" s="37"/>
      <c r="S986" s="37"/>
      <c r="T986" s="91"/>
      <c r="U986" s="91"/>
      <c r="V986" s="41"/>
      <c r="W986" s="37"/>
      <c r="X986" s="37"/>
      <c r="Y986" s="43"/>
      <c r="Z986" s="37"/>
      <c r="AA986" s="37"/>
      <c r="AD986" s="37"/>
      <c r="AE986" s="37"/>
      <c r="AF986" s="37"/>
    </row>
    <row r="987" spans="1:32" x14ac:dyDescent="0.25">
      <c r="A987" s="37"/>
      <c r="B987" s="37"/>
      <c r="C987" s="37"/>
      <c r="F987" s="38"/>
      <c r="G987" s="38"/>
      <c r="H987" s="38"/>
      <c r="I987" s="37"/>
      <c r="J987" s="38"/>
      <c r="K987" s="38"/>
      <c r="L987" s="42"/>
      <c r="M987" s="42"/>
      <c r="N987" s="42"/>
      <c r="O987" s="42"/>
      <c r="R987" s="37"/>
      <c r="S987" s="37"/>
      <c r="T987" s="91"/>
      <c r="U987" s="91"/>
      <c r="V987" s="41"/>
      <c r="W987" s="37"/>
      <c r="X987" s="37"/>
      <c r="Y987" s="43"/>
      <c r="Z987" s="37"/>
      <c r="AA987" s="37"/>
      <c r="AD987" s="37"/>
      <c r="AE987" s="37"/>
      <c r="AF987" s="37"/>
    </row>
    <row r="988" spans="1:32" x14ac:dyDescent="0.25">
      <c r="A988" s="37"/>
      <c r="B988" s="37"/>
      <c r="C988" s="37"/>
      <c r="F988" s="38"/>
      <c r="G988" s="38"/>
      <c r="H988" s="38"/>
      <c r="I988" s="37"/>
      <c r="J988" s="38"/>
      <c r="K988" s="38"/>
      <c r="L988" s="42"/>
      <c r="M988" s="42"/>
      <c r="N988" s="42"/>
      <c r="O988" s="42"/>
      <c r="R988" s="37"/>
      <c r="S988" s="37"/>
      <c r="T988" s="91"/>
      <c r="U988" s="91"/>
      <c r="V988" s="41"/>
      <c r="W988" s="37"/>
      <c r="X988" s="37"/>
      <c r="Y988" s="43"/>
      <c r="Z988" s="37"/>
      <c r="AA988" s="37"/>
      <c r="AD988" s="37"/>
      <c r="AE988" s="37"/>
      <c r="AF988" s="37"/>
    </row>
    <row r="989" spans="1:32" x14ac:dyDescent="0.25">
      <c r="A989" s="37"/>
      <c r="B989" s="37"/>
      <c r="C989" s="37"/>
      <c r="F989" s="38"/>
      <c r="G989" s="38"/>
      <c r="H989" s="38"/>
      <c r="I989" s="37"/>
      <c r="J989" s="38"/>
      <c r="K989" s="38"/>
      <c r="L989" s="42"/>
      <c r="M989" s="42"/>
      <c r="N989" s="42"/>
      <c r="O989" s="42"/>
      <c r="R989" s="37"/>
      <c r="S989" s="37"/>
      <c r="T989" s="91"/>
      <c r="U989" s="91"/>
      <c r="V989" s="41"/>
      <c r="W989" s="37"/>
      <c r="X989" s="37"/>
      <c r="Y989" s="43"/>
      <c r="Z989" s="37"/>
      <c r="AA989" s="37"/>
      <c r="AD989" s="37"/>
      <c r="AE989" s="37"/>
      <c r="AF989" s="37"/>
    </row>
    <row r="990" spans="1:32" x14ac:dyDescent="0.25">
      <c r="A990" s="37"/>
      <c r="B990" s="37"/>
      <c r="C990" s="37"/>
      <c r="F990" s="38"/>
      <c r="G990" s="38"/>
      <c r="H990" s="38"/>
      <c r="I990" s="37"/>
      <c r="J990" s="38"/>
      <c r="K990" s="38"/>
      <c r="L990" s="42"/>
      <c r="M990" s="42"/>
      <c r="N990" s="42"/>
      <c r="O990" s="42"/>
      <c r="R990" s="37"/>
      <c r="S990" s="37"/>
      <c r="T990" s="91"/>
      <c r="U990" s="91"/>
      <c r="V990" s="41"/>
      <c r="W990" s="37"/>
      <c r="X990" s="37"/>
      <c r="Y990" s="43"/>
      <c r="Z990" s="37"/>
      <c r="AA990" s="37"/>
      <c r="AD990" s="37"/>
      <c r="AE990" s="37"/>
      <c r="AF990" s="37"/>
    </row>
    <row r="991" spans="1:32" x14ac:dyDescent="0.25">
      <c r="A991" s="37"/>
      <c r="B991" s="37"/>
      <c r="C991" s="37"/>
      <c r="F991" s="38"/>
      <c r="G991" s="38"/>
      <c r="H991" s="38"/>
      <c r="I991" s="37"/>
      <c r="J991" s="38"/>
      <c r="K991" s="38"/>
      <c r="L991" s="42"/>
      <c r="M991" s="42"/>
      <c r="N991" s="42"/>
      <c r="O991" s="42"/>
      <c r="R991" s="37"/>
      <c r="S991" s="37"/>
      <c r="T991" s="91"/>
      <c r="U991" s="91"/>
      <c r="V991" s="41"/>
      <c r="W991" s="37"/>
      <c r="X991" s="37"/>
      <c r="Y991" s="43"/>
      <c r="Z991" s="37"/>
      <c r="AA991" s="37"/>
      <c r="AD991" s="37"/>
      <c r="AE991" s="37"/>
      <c r="AF991" s="37"/>
    </row>
    <row r="992" spans="1:32" x14ac:dyDescent="0.25">
      <c r="A992" s="37"/>
      <c r="B992" s="37"/>
      <c r="C992" s="37"/>
      <c r="F992" s="38"/>
      <c r="G992" s="38"/>
      <c r="H992" s="38"/>
      <c r="I992" s="37"/>
      <c r="J992" s="38"/>
      <c r="K992" s="38"/>
      <c r="L992" s="42"/>
      <c r="M992" s="42"/>
      <c r="N992" s="42"/>
      <c r="O992" s="42"/>
      <c r="R992" s="37"/>
      <c r="S992" s="37"/>
      <c r="T992" s="91"/>
      <c r="U992" s="91"/>
      <c r="V992" s="41"/>
      <c r="W992" s="37"/>
      <c r="X992" s="37"/>
      <c r="Y992" s="43"/>
      <c r="Z992" s="37"/>
      <c r="AA992" s="37"/>
      <c r="AD992" s="37"/>
      <c r="AE992" s="37"/>
      <c r="AF992" s="37"/>
    </row>
    <row r="993" spans="1:32" x14ac:dyDescent="0.25">
      <c r="A993" s="37"/>
      <c r="B993" s="37"/>
      <c r="C993" s="37"/>
      <c r="F993" s="38"/>
      <c r="G993" s="38"/>
      <c r="H993" s="38"/>
      <c r="I993" s="37"/>
      <c r="J993" s="38"/>
      <c r="K993" s="38"/>
      <c r="L993" s="42"/>
      <c r="M993" s="42"/>
      <c r="N993" s="42"/>
      <c r="O993" s="42"/>
      <c r="R993" s="37"/>
      <c r="S993" s="37"/>
      <c r="T993" s="91"/>
      <c r="U993" s="91"/>
      <c r="V993" s="41"/>
      <c r="W993" s="37"/>
      <c r="X993" s="37"/>
      <c r="Y993" s="43"/>
      <c r="Z993" s="37"/>
      <c r="AA993" s="37"/>
      <c r="AD993" s="37"/>
      <c r="AE993" s="37"/>
      <c r="AF993" s="37"/>
    </row>
    <row r="994" spans="1:32" x14ac:dyDescent="0.25">
      <c r="A994" s="37"/>
      <c r="B994" s="37"/>
      <c r="C994" s="37"/>
      <c r="F994" s="38"/>
      <c r="G994" s="38"/>
      <c r="H994" s="38"/>
      <c r="I994" s="37"/>
      <c r="J994" s="38"/>
      <c r="K994" s="38"/>
      <c r="L994" s="42"/>
      <c r="M994" s="42"/>
      <c r="N994" s="42"/>
      <c r="O994" s="42"/>
      <c r="R994" s="37"/>
      <c r="S994" s="37"/>
      <c r="T994" s="91"/>
      <c r="U994" s="91"/>
      <c r="V994" s="41"/>
      <c r="W994" s="37"/>
      <c r="X994" s="37"/>
      <c r="Y994" s="43"/>
      <c r="Z994" s="37"/>
      <c r="AA994" s="37"/>
      <c r="AD994" s="37"/>
      <c r="AE994" s="37"/>
      <c r="AF994" s="37"/>
    </row>
    <row r="995" spans="1:32" x14ac:dyDescent="0.25">
      <c r="A995" s="37"/>
      <c r="B995" s="37"/>
      <c r="C995" s="37"/>
      <c r="F995" s="38"/>
      <c r="G995" s="38"/>
      <c r="H995" s="38"/>
      <c r="I995" s="37"/>
      <c r="J995" s="38"/>
      <c r="K995" s="38"/>
      <c r="L995" s="42"/>
      <c r="M995" s="42"/>
      <c r="N995" s="42"/>
      <c r="O995" s="42"/>
      <c r="R995" s="37"/>
      <c r="S995" s="37"/>
      <c r="T995" s="91"/>
      <c r="U995" s="91"/>
      <c r="V995" s="41"/>
      <c r="W995" s="37"/>
      <c r="X995" s="37"/>
      <c r="Y995" s="43"/>
      <c r="Z995" s="37"/>
      <c r="AA995" s="37"/>
      <c r="AD995" s="37"/>
      <c r="AE995" s="37"/>
      <c r="AF995" s="37"/>
    </row>
    <row r="996" spans="1:32" x14ac:dyDescent="0.25">
      <c r="A996" s="37"/>
      <c r="B996" s="37"/>
      <c r="C996" s="37"/>
      <c r="F996" s="38"/>
      <c r="G996" s="38"/>
      <c r="H996" s="38"/>
      <c r="I996" s="37"/>
      <c r="J996" s="38"/>
      <c r="K996" s="38"/>
      <c r="L996" s="42"/>
      <c r="M996" s="42"/>
      <c r="N996" s="42"/>
      <c r="O996" s="42"/>
      <c r="R996" s="37"/>
      <c r="S996" s="37"/>
      <c r="T996" s="91"/>
      <c r="U996" s="91"/>
      <c r="V996" s="41"/>
      <c r="W996" s="37"/>
      <c r="X996" s="37"/>
      <c r="Y996" s="43"/>
      <c r="Z996" s="37"/>
      <c r="AA996" s="37"/>
      <c r="AD996" s="37"/>
      <c r="AE996" s="37"/>
      <c r="AF996" s="37"/>
    </row>
    <row r="997" spans="1:32" x14ac:dyDescent="0.25">
      <c r="A997" s="37"/>
      <c r="B997" s="37"/>
      <c r="C997" s="37"/>
      <c r="F997" s="38"/>
      <c r="G997" s="38"/>
      <c r="H997" s="38"/>
      <c r="I997" s="37"/>
      <c r="J997" s="38"/>
      <c r="K997" s="38"/>
      <c r="L997" s="42"/>
      <c r="M997" s="42"/>
      <c r="N997" s="42"/>
      <c r="O997" s="42"/>
      <c r="R997" s="37"/>
      <c r="S997" s="37"/>
      <c r="T997" s="91"/>
      <c r="U997" s="91"/>
      <c r="V997" s="41"/>
      <c r="W997" s="37"/>
      <c r="X997" s="37"/>
      <c r="Y997" s="43"/>
      <c r="Z997" s="37"/>
      <c r="AA997" s="37"/>
      <c r="AD997" s="37"/>
      <c r="AE997" s="37"/>
      <c r="AF997" s="37"/>
    </row>
    <row r="998" spans="1:32" x14ac:dyDescent="0.25">
      <c r="A998" s="37"/>
      <c r="B998" s="37"/>
      <c r="C998" s="37"/>
      <c r="F998" s="38"/>
      <c r="G998" s="38"/>
      <c r="H998" s="38"/>
      <c r="I998" s="37"/>
      <c r="J998" s="38"/>
      <c r="K998" s="38"/>
      <c r="L998" s="42"/>
      <c r="M998" s="42"/>
      <c r="N998" s="42"/>
      <c r="O998" s="42"/>
      <c r="R998" s="37"/>
      <c r="S998" s="37"/>
      <c r="T998" s="91"/>
      <c r="U998" s="91"/>
      <c r="V998" s="41"/>
      <c r="W998" s="37"/>
      <c r="X998" s="37"/>
      <c r="Y998" s="43"/>
      <c r="Z998" s="37"/>
      <c r="AA998" s="37"/>
      <c r="AD998" s="37"/>
      <c r="AE998" s="37"/>
      <c r="AF998" s="37"/>
    </row>
    <row r="999" spans="1:32" x14ac:dyDescent="0.25">
      <c r="A999" s="37"/>
      <c r="B999" s="37"/>
      <c r="C999" s="37"/>
      <c r="F999" s="38"/>
      <c r="G999" s="38"/>
      <c r="H999" s="38"/>
      <c r="I999" s="37"/>
      <c r="J999" s="38"/>
      <c r="K999" s="38"/>
      <c r="L999" s="42"/>
      <c r="M999" s="42"/>
      <c r="N999" s="42"/>
      <c r="O999" s="42"/>
      <c r="R999" s="37"/>
      <c r="S999" s="37"/>
      <c r="T999" s="91"/>
      <c r="U999" s="91"/>
      <c r="V999" s="41"/>
      <c r="W999" s="37"/>
      <c r="X999" s="37"/>
      <c r="Y999" s="43"/>
      <c r="Z999" s="37"/>
      <c r="AA999" s="37"/>
      <c r="AD999" s="37"/>
      <c r="AE999" s="37"/>
      <c r="AF999" s="37"/>
    </row>
    <row r="1000" spans="1:32" x14ac:dyDescent="0.25">
      <c r="A1000" s="37"/>
      <c r="B1000" s="37"/>
      <c r="C1000" s="37"/>
      <c r="F1000" s="38"/>
      <c r="G1000" s="38"/>
      <c r="H1000" s="38"/>
      <c r="I1000" s="37"/>
      <c r="J1000" s="38"/>
      <c r="K1000" s="38"/>
      <c r="L1000" s="42"/>
      <c r="M1000" s="42"/>
      <c r="N1000" s="42"/>
      <c r="O1000" s="42"/>
      <c r="R1000" s="37"/>
      <c r="S1000" s="37"/>
      <c r="T1000" s="91"/>
      <c r="U1000" s="91"/>
      <c r="V1000" s="41"/>
      <c r="W1000" s="37"/>
      <c r="X1000" s="37"/>
      <c r="Y1000" s="43"/>
      <c r="Z1000" s="37"/>
      <c r="AA1000" s="37"/>
      <c r="AD1000" s="37"/>
      <c r="AE1000" s="37"/>
      <c r="AF1000" s="37"/>
    </row>
    <row r="1001" spans="1:32" x14ac:dyDescent="0.25">
      <c r="A1001" s="37"/>
      <c r="B1001" s="37"/>
      <c r="C1001" s="37"/>
      <c r="F1001" s="38"/>
      <c r="G1001" s="38"/>
      <c r="H1001" s="38"/>
      <c r="I1001" s="37"/>
      <c r="J1001" s="38"/>
      <c r="K1001" s="38"/>
      <c r="L1001" s="42"/>
      <c r="M1001" s="42"/>
      <c r="N1001" s="42"/>
      <c r="O1001" s="42"/>
      <c r="R1001" s="37"/>
      <c r="S1001" s="37"/>
      <c r="T1001" s="91"/>
      <c r="U1001" s="91"/>
      <c r="V1001" s="41"/>
      <c r="W1001" s="37"/>
      <c r="X1001" s="37"/>
      <c r="Y1001" s="43"/>
      <c r="Z1001" s="37"/>
      <c r="AA1001" s="37"/>
      <c r="AD1001" s="37"/>
      <c r="AE1001" s="37"/>
      <c r="AF1001" s="37"/>
    </row>
    <row r="1002" spans="1:32" x14ac:dyDescent="0.25">
      <c r="A1002" s="37"/>
      <c r="B1002" s="37"/>
      <c r="C1002" s="37"/>
      <c r="F1002" s="38"/>
      <c r="G1002" s="38"/>
      <c r="H1002" s="38"/>
      <c r="I1002" s="37"/>
      <c r="J1002" s="38"/>
      <c r="K1002" s="38"/>
      <c r="L1002" s="42"/>
      <c r="M1002" s="42"/>
      <c r="N1002" s="42"/>
      <c r="O1002" s="42"/>
      <c r="R1002" s="37"/>
      <c r="S1002" s="37"/>
      <c r="T1002" s="91"/>
      <c r="U1002" s="91"/>
      <c r="V1002" s="41"/>
      <c r="W1002" s="37"/>
      <c r="X1002" s="37"/>
      <c r="Y1002" s="43"/>
      <c r="Z1002" s="37"/>
      <c r="AA1002" s="37"/>
      <c r="AD1002" s="37"/>
      <c r="AE1002" s="37"/>
      <c r="AF1002" s="37"/>
    </row>
    <row r="1003" spans="1:32" x14ac:dyDescent="0.25">
      <c r="A1003" s="37"/>
      <c r="B1003" s="37"/>
      <c r="C1003" s="37"/>
      <c r="F1003" s="38"/>
      <c r="G1003" s="38"/>
      <c r="H1003" s="38"/>
      <c r="I1003" s="37"/>
      <c r="J1003" s="38"/>
      <c r="K1003" s="38"/>
      <c r="L1003" s="42"/>
      <c r="M1003" s="42"/>
      <c r="N1003" s="42"/>
      <c r="O1003" s="42"/>
      <c r="R1003" s="37"/>
      <c r="S1003" s="37"/>
      <c r="T1003" s="91"/>
      <c r="U1003" s="91"/>
      <c r="V1003" s="41"/>
      <c r="W1003" s="37"/>
      <c r="X1003" s="37"/>
      <c r="Y1003" s="43"/>
      <c r="Z1003" s="37"/>
      <c r="AA1003" s="37"/>
      <c r="AD1003" s="37"/>
      <c r="AE1003" s="37"/>
      <c r="AF1003" s="37"/>
    </row>
    <row r="1004" spans="1:32" x14ac:dyDescent="0.25">
      <c r="A1004" s="37"/>
      <c r="B1004" s="37"/>
      <c r="C1004" s="37"/>
      <c r="F1004" s="38"/>
      <c r="G1004" s="38"/>
      <c r="H1004" s="38"/>
      <c r="I1004" s="37"/>
      <c r="J1004" s="38"/>
      <c r="K1004" s="38"/>
      <c r="L1004" s="42"/>
      <c r="M1004" s="42"/>
      <c r="N1004" s="42"/>
      <c r="O1004" s="42"/>
      <c r="R1004" s="37"/>
      <c r="S1004" s="37"/>
      <c r="T1004" s="91"/>
      <c r="U1004" s="91"/>
      <c r="V1004" s="41"/>
      <c r="W1004" s="37"/>
      <c r="X1004" s="37"/>
      <c r="Y1004" s="43"/>
      <c r="Z1004" s="37"/>
      <c r="AA1004" s="37"/>
      <c r="AD1004" s="37"/>
      <c r="AE1004" s="37"/>
      <c r="AF1004" s="37"/>
    </row>
    <row r="1005" spans="1:32" x14ac:dyDescent="0.25">
      <c r="A1005" s="37"/>
      <c r="B1005" s="37"/>
      <c r="C1005" s="37"/>
      <c r="F1005" s="38"/>
      <c r="G1005" s="38"/>
      <c r="H1005" s="38"/>
      <c r="I1005" s="37"/>
      <c r="J1005" s="38"/>
      <c r="K1005" s="38"/>
      <c r="L1005" s="42"/>
      <c r="M1005" s="42"/>
      <c r="N1005" s="42"/>
      <c r="O1005" s="42"/>
      <c r="R1005" s="37"/>
      <c r="S1005" s="37"/>
      <c r="T1005" s="91"/>
      <c r="U1005" s="91"/>
      <c r="V1005" s="41"/>
      <c r="W1005" s="37"/>
      <c r="X1005" s="37"/>
      <c r="Y1005" s="43"/>
      <c r="Z1005" s="37"/>
      <c r="AA1005" s="37"/>
      <c r="AD1005" s="37"/>
      <c r="AE1005" s="37"/>
      <c r="AF1005" s="37"/>
    </row>
    <row r="1006" spans="1:32" x14ac:dyDescent="0.25">
      <c r="A1006" s="37"/>
      <c r="B1006" s="37"/>
      <c r="C1006" s="37"/>
      <c r="F1006" s="38"/>
      <c r="G1006" s="38"/>
      <c r="H1006" s="38"/>
      <c r="I1006" s="37"/>
      <c r="J1006" s="38"/>
      <c r="K1006" s="38"/>
      <c r="L1006" s="42"/>
      <c r="M1006" s="42"/>
      <c r="N1006" s="42"/>
      <c r="O1006" s="42"/>
      <c r="R1006" s="37"/>
      <c r="S1006" s="37"/>
      <c r="T1006" s="91"/>
      <c r="U1006" s="91"/>
      <c r="V1006" s="41"/>
      <c r="W1006" s="37"/>
      <c r="X1006" s="37"/>
      <c r="Y1006" s="43"/>
      <c r="Z1006" s="37"/>
      <c r="AA1006" s="37"/>
      <c r="AD1006" s="37"/>
      <c r="AE1006" s="37"/>
      <c r="AF1006" s="37"/>
    </row>
    <row r="1007" spans="1:32" x14ac:dyDescent="0.25">
      <c r="A1007" s="37"/>
      <c r="B1007" s="37"/>
      <c r="C1007" s="37"/>
      <c r="F1007" s="38"/>
      <c r="G1007" s="38"/>
      <c r="H1007" s="38"/>
      <c r="I1007" s="37"/>
      <c r="J1007" s="38"/>
      <c r="K1007" s="38"/>
      <c r="L1007" s="42"/>
      <c r="M1007" s="42"/>
      <c r="N1007" s="42"/>
      <c r="O1007" s="42"/>
      <c r="R1007" s="37"/>
      <c r="S1007" s="37"/>
      <c r="T1007" s="91"/>
      <c r="U1007" s="91"/>
      <c r="V1007" s="41"/>
      <c r="W1007" s="37"/>
      <c r="X1007" s="37"/>
      <c r="Y1007" s="43"/>
      <c r="Z1007" s="37"/>
      <c r="AA1007" s="37"/>
      <c r="AD1007" s="37"/>
      <c r="AE1007" s="37"/>
      <c r="AF1007" s="37"/>
    </row>
    <row r="1008" spans="1:32" x14ac:dyDescent="0.25">
      <c r="A1008" s="37"/>
      <c r="B1008" s="37"/>
      <c r="C1008" s="37"/>
      <c r="F1008" s="38"/>
      <c r="G1008" s="38"/>
      <c r="H1008" s="38"/>
      <c r="I1008" s="37"/>
      <c r="J1008" s="38"/>
      <c r="K1008" s="38"/>
      <c r="L1008" s="42"/>
      <c r="M1008" s="42"/>
      <c r="N1008" s="42"/>
      <c r="O1008" s="42"/>
      <c r="R1008" s="37"/>
      <c r="S1008" s="37"/>
      <c r="T1008" s="91"/>
      <c r="U1008" s="91"/>
      <c r="V1008" s="41"/>
      <c r="W1008" s="37"/>
      <c r="X1008" s="37"/>
      <c r="Y1008" s="43"/>
      <c r="Z1008" s="37"/>
      <c r="AA1008" s="37"/>
      <c r="AD1008" s="37"/>
      <c r="AE1008" s="37"/>
      <c r="AF1008" s="37"/>
    </row>
    <row r="1009" spans="1:32" x14ac:dyDescent="0.25">
      <c r="A1009" s="37"/>
      <c r="B1009" s="37"/>
      <c r="C1009" s="37"/>
      <c r="F1009" s="38"/>
      <c r="G1009" s="38"/>
      <c r="H1009" s="38"/>
      <c r="I1009" s="37"/>
      <c r="J1009" s="38"/>
      <c r="K1009" s="38"/>
      <c r="L1009" s="42"/>
      <c r="M1009" s="42"/>
      <c r="N1009" s="42"/>
      <c r="O1009" s="42"/>
      <c r="R1009" s="37"/>
      <c r="S1009" s="37"/>
      <c r="T1009" s="91"/>
      <c r="U1009" s="91"/>
      <c r="V1009" s="41"/>
      <c r="W1009" s="37"/>
      <c r="X1009" s="37"/>
      <c r="Y1009" s="43"/>
      <c r="Z1009" s="37"/>
      <c r="AA1009" s="37"/>
      <c r="AD1009" s="37"/>
      <c r="AE1009" s="37"/>
      <c r="AF1009" s="37"/>
    </row>
    <row r="1010" spans="1:32" x14ac:dyDescent="0.25">
      <c r="A1010" s="37"/>
      <c r="B1010" s="37"/>
      <c r="C1010" s="37"/>
      <c r="F1010" s="38"/>
      <c r="G1010" s="38"/>
      <c r="H1010" s="38"/>
      <c r="I1010" s="37"/>
      <c r="J1010" s="38"/>
      <c r="K1010" s="38"/>
      <c r="L1010" s="42"/>
      <c r="M1010" s="42"/>
      <c r="N1010" s="42"/>
      <c r="O1010" s="42"/>
      <c r="R1010" s="37"/>
      <c r="S1010" s="37"/>
      <c r="T1010" s="91"/>
      <c r="U1010" s="91"/>
      <c r="V1010" s="41"/>
      <c r="W1010" s="37"/>
      <c r="X1010" s="37"/>
      <c r="Y1010" s="43"/>
      <c r="Z1010" s="37"/>
      <c r="AA1010" s="37"/>
      <c r="AD1010" s="37"/>
      <c r="AE1010" s="37"/>
      <c r="AF1010" s="37"/>
    </row>
    <row r="1011" spans="1:32" x14ac:dyDescent="0.25">
      <c r="A1011" s="37"/>
      <c r="B1011" s="37"/>
      <c r="C1011" s="37"/>
      <c r="F1011" s="38"/>
      <c r="G1011" s="38"/>
      <c r="H1011" s="38"/>
      <c r="I1011" s="37"/>
      <c r="J1011" s="38"/>
      <c r="K1011" s="38"/>
      <c r="L1011" s="42"/>
      <c r="M1011" s="42"/>
      <c r="N1011" s="42"/>
      <c r="O1011" s="42"/>
      <c r="R1011" s="37"/>
      <c r="S1011" s="37"/>
      <c r="T1011" s="91"/>
      <c r="U1011" s="91"/>
      <c r="V1011" s="41"/>
      <c r="W1011" s="37"/>
      <c r="X1011" s="37"/>
      <c r="Y1011" s="43"/>
      <c r="Z1011" s="37"/>
      <c r="AA1011" s="37"/>
      <c r="AD1011" s="37"/>
      <c r="AE1011" s="37"/>
      <c r="AF1011" s="37"/>
    </row>
    <row r="1012" spans="1:32" x14ac:dyDescent="0.25">
      <c r="A1012" s="37"/>
      <c r="B1012" s="37"/>
      <c r="C1012" s="37"/>
      <c r="F1012" s="38"/>
      <c r="G1012" s="38"/>
      <c r="H1012" s="38"/>
      <c r="I1012" s="37"/>
      <c r="J1012" s="38"/>
      <c r="K1012" s="38"/>
      <c r="L1012" s="42"/>
      <c r="M1012" s="42"/>
      <c r="N1012" s="42"/>
      <c r="O1012" s="42"/>
      <c r="R1012" s="37"/>
      <c r="S1012" s="37"/>
      <c r="T1012" s="91"/>
      <c r="U1012" s="91"/>
      <c r="V1012" s="41"/>
      <c r="W1012" s="37"/>
      <c r="X1012" s="37"/>
      <c r="Y1012" s="43"/>
      <c r="Z1012" s="37"/>
      <c r="AA1012" s="37"/>
      <c r="AD1012" s="37"/>
      <c r="AE1012" s="37"/>
      <c r="AF1012" s="37"/>
    </row>
    <row r="1013" spans="1:32" x14ac:dyDescent="0.25">
      <c r="A1013" s="37"/>
      <c r="B1013" s="37"/>
      <c r="C1013" s="37"/>
      <c r="F1013" s="38"/>
      <c r="G1013" s="38"/>
      <c r="H1013" s="38"/>
      <c r="I1013" s="37"/>
      <c r="J1013" s="38"/>
      <c r="K1013" s="38"/>
      <c r="L1013" s="42"/>
      <c r="M1013" s="42"/>
      <c r="N1013" s="42"/>
      <c r="O1013" s="42"/>
      <c r="R1013" s="37"/>
      <c r="S1013" s="37"/>
      <c r="T1013" s="91"/>
      <c r="U1013" s="91"/>
      <c r="V1013" s="41"/>
      <c r="W1013" s="37"/>
      <c r="X1013" s="37"/>
      <c r="Y1013" s="43"/>
      <c r="Z1013" s="37"/>
      <c r="AA1013" s="37"/>
      <c r="AD1013" s="37"/>
      <c r="AE1013" s="37"/>
      <c r="AF1013" s="37"/>
    </row>
    <row r="1014" spans="1:32" x14ac:dyDescent="0.25">
      <c r="A1014" s="37"/>
      <c r="B1014" s="37"/>
      <c r="C1014" s="37"/>
      <c r="F1014" s="38"/>
      <c r="G1014" s="38"/>
      <c r="H1014" s="38"/>
      <c r="I1014" s="37"/>
      <c r="J1014" s="38"/>
      <c r="K1014" s="38"/>
      <c r="L1014" s="42"/>
      <c r="M1014" s="42"/>
      <c r="N1014" s="42"/>
      <c r="O1014" s="42"/>
      <c r="R1014" s="37"/>
      <c r="S1014" s="37"/>
      <c r="T1014" s="91"/>
      <c r="U1014" s="91"/>
      <c r="V1014" s="41"/>
      <c r="W1014" s="37"/>
      <c r="X1014" s="37"/>
      <c r="Y1014" s="43"/>
      <c r="Z1014" s="37"/>
      <c r="AA1014" s="37"/>
      <c r="AD1014" s="37"/>
      <c r="AE1014" s="37"/>
      <c r="AF1014" s="37"/>
    </row>
    <row r="1015" spans="1:32" x14ac:dyDescent="0.25">
      <c r="A1015" s="37"/>
      <c r="B1015" s="37"/>
      <c r="C1015" s="37"/>
      <c r="F1015" s="38"/>
      <c r="G1015" s="38"/>
      <c r="H1015" s="38"/>
      <c r="I1015" s="37"/>
      <c r="J1015" s="38"/>
      <c r="K1015" s="38"/>
      <c r="L1015" s="42"/>
      <c r="M1015" s="42"/>
      <c r="N1015" s="42"/>
      <c r="O1015" s="42"/>
      <c r="R1015" s="37"/>
      <c r="S1015" s="37"/>
      <c r="T1015" s="91"/>
      <c r="U1015" s="91"/>
      <c r="V1015" s="41"/>
      <c r="W1015" s="37"/>
      <c r="X1015" s="37"/>
      <c r="Y1015" s="43"/>
      <c r="Z1015" s="37"/>
      <c r="AA1015" s="37"/>
      <c r="AD1015" s="37"/>
      <c r="AE1015" s="37"/>
      <c r="AF1015" s="37"/>
    </row>
    <row r="1016" spans="1:32" x14ac:dyDescent="0.25">
      <c r="A1016" s="37"/>
      <c r="B1016" s="37"/>
      <c r="C1016" s="37"/>
      <c r="F1016" s="38"/>
      <c r="G1016" s="38"/>
      <c r="H1016" s="38"/>
      <c r="I1016" s="37"/>
      <c r="J1016" s="38"/>
      <c r="K1016" s="38"/>
      <c r="L1016" s="42"/>
      <c r="M1016" s="42"/>
      <c r="N1016" s="42"/>
      <c r="O1016" s="42"/>
      <c r="R1016" s="37"/>
      <c r="S1016" s="37"/>
      <c r="T1016" s="91"/>
      <c r="U1016" s="91"/>
      <c r="V1016" s="41"/>
      <c r="W1016" s="37"/>
      <c r="X1016" s="37"/>
      <c r="Y1016" s="43"/>
      <c r="Z1016" s="37"/>
      <c r="AA1016" s="37"/>
      <c r="AD1016" s="37"/>
      <c r="AE1016" s="37"/>
      <c r="AF1016" s="37"/>
    </row>
    <row r="1017" spans="1:32" x14ac:dyDescent="0.25">
      <c r="A1017" s="37"/>
      <c r="B1017" s="37"/>
      <c r="C1017" s="37"/>
      <c r="F1017" s="38"/>
      <c r="G1017" s="38"/>
      <c r="H1017" s="38"/>
      <c r="I1017" s="37"/>
      <c r="J1017" s="38"/>
      <c r="K1017" s="38"/>
      <c r="L1017" s="42"/>
      <c r="M1017" s="42"/>
      <c r="N1017" s="42"/>
      <c r="O1017" s="42"/>
      <c r="R1017" s="37"/>
      <c r="S1017" s="37"/>
      <c r="T1017" s="91"/>
      <c r="U1017" s="91"/>
      <c r="V1017" s="41"/>
      <c r="W1017" s="37"/>
      <c r="X1017" s="37"/>
      <c r="Y1017" s="43"/>
      <c r="Z1017" s="37"/>
      <c r="AA1017" s="37"/>
      <c r="AD1017" s="37"/>
      <c r="AE1017" s="37"/>
      <c r="AF1017" s="37"/>
    </row>
    <row r="1018" spans="1:32" x14ac:dyDescent="0.25">
      <c r="A1018" s="37"/>
      <c r="B1018" s="37"/>
      <c r="C1018" s="37"/>
      <c r="F1018" s="38"/>
      <c r="G1018" s="38"/>
      <c r="H1018" s="38"/>
      <c r="I1018" s="37"/>
      <c r="J1018" s="38"/>
      <c r="K1018" s="38"/>
      <c r="L1018" s="42"/>
      <c r="M1018" s="42"/>
      <c r="N1018" s="42"/>
      <c r="O1018" s="42"/>
      <c r="R1018" s="37"/>
      <c r="S1018" s="37"/>
      <c r="T1018" s="91"/>
      <c r="U1018" s="91"/>
      <c r="V1018" s="41"/>
      <c r="W1018" s="37"/>
      <c r="X1018" s="37"/>
      <c r="Y1018" s="43"/>
      <c r="Z1018" s="37"/>
      <c r="AA1018" s="37"/>
      <c r="AD1018" s="37"/>
      <c r="AE1018" s="37"/>
      <c r="AF1018" s="37"/>
    </row>
    <row r="1019" spans="1:32" x14ac:dyDescent="0.25">
      <c r="A1019" s="37"/>
      <c r="B1019" s="37"/>
      <c r="C1019" s="37"/>
      <c r="F1019" s="38"/>
      <c r="G1019" s="38"/>
      <c r="H1019" s="38"/>
      <c r="I1019" s="37"/>
      <c r="J1019" s="38"/>
      <c r="K1019" s="38"/>
      <c r="L1019" s="42"/>
      <c r="M1019" s="42"/>
      <c r="N1019" s="42"/>
      <c r="O1019" s="42"/>
      <c r="R1019" s="37"/>
      <c r="S1019" s="37"/>
      <c r="T1019" s="91"/>
      <c r="U1019" s="91"/>
      <c r="V1019" s="41"/>
      <c r="W1019" s="37"/>
      <c r="X1019" s="37"/>
      <c r="Y1019" s="43"/>
      <c r="Z1019" s="37"/>
      <c r="AA1019" s="37"/>
      <c r="AD1019" s="37"/>
      <c r="AE1019" s="37"/>
      <c r="AF1019" s="37"/>
    </row>
    <row r="1020" spans="1:32" x14ac:dyDescent="0.25">
      <c r="A1020" s="37"/>
      <c r="B1020" s="37"/>
      <c r="C1020" s="37"/>
      <c r="F1020" s="38"/>
      <c r="G1020" s="38"/>
      <c r="H1020" s="38"/>
      <c r="I1020" s="37"/>
      <c r="J1020" s="38"/>
      <c r="K1020" s="38"/>
      <c r="L1020" s="42"/>
      <c r="M1020" s="42"/>
      <c r="N1020" s="42"/>
      <c r="O1020" s="42"/>
      <c r="R1020" s="37"/>
      <c r="S1020" s="37"/>
      <c r="T1020" s="91"/>
      <c r="U1020" s="91"/>
      <c r="V1020" s="41"/>
      <c r="W1020" s="37"/>
      <c r="X1020" s="37"/>
      <c r="Y1020" s="43"/>
      <c r="Z1020" s="37"/>
      <c r="AA1020" s="37"/>
      <c r="AD1020" s="37"/>
      <c r="AE1020" s="37"/>
      <c r="AF1020" s="37"/>
    </row>
    <row r="1021" spans="1:32" x14ac:dyDescent="0.25">
      <c r="A1021" s="37"/>
      <c r="B1021" s="37"/>
      <c r="C1021" s="37"/>
      <c r="F1021" s="38"/>
      <c r="G1021" s="38"/>
      <c r="H1021" s="38"/>
      <c r="I1021" s="37"/>
      <c r="J1021" s="38"/>
      <c r="K1021" s="38"/>
      <c r="L1021" s="42"/>
      <c r="M1021" s="42"/>
      <c r="N1021" s="42"/>
      <c r="O1021" s="42"/>
      <c r="R1021" s="37"/>
      <c r="S1021" s="37"/>
      <c r="T1021" s="91"/>
      <c r="U1021" s="91"/>
      <c r="V1021" s="41"/>
      <c r="W1021" s="37"/>
      <c r="X1021" s="37"/>
      <c r="Y1021" s="43"/>
      <c r="Z1021" s="37"/>
      <c r="AA1021" s="37"/>
      <c r="AD1021" s="37"/>
      <c r="AE1021" s="37"/>
      <c r="AF1021" s="37"/>
    </row>
    <row r="1022" spans="1:32" x14ac:dyDescent="0.25">
      <c r="A1022" s="37"/>
      <c r="B1022" s="37"/>
      <c r="C1022" s="37"/>
      <c r="F1022" s="38"/>
      <c r="G1022" s="38"/>
      <c r="H1022" s="38"/>
      <c r="I1022" s="37"/>
      <c r="J1022" s="38"/>
      <c r="K1022" s="38"/>
      <c r="L1022" s="42"/>
      <c r="M1022" s="42"/>
      <c r="N1022" s="42"/>
      <c r="O1022" s="42"/>
      <c r="R1022" s="37"/>
      <c r="S1022" s="37"/>
      <c r="T1022" s="91"/>
      <c r="U1022" s="91"/>
      <c r="V1022" s="41"/>
      <c r="W1022" s="37"/>
      <c r="X1022" s="37"/>
      <c r="Y1022" s="43"/>
      <c r="Z1022" s="37"/>
      <c r="AA1022" s="37"/>
      <c r="AD1022" s="37"/>
      <c r="AE1022" s="37"/>
      <c r="AF1022" s="37"/>
    </row>
    <row r="1023" spans="1:32" x14ac:dyDescent="0.25">
      <c r="A1023" s="37"/>
      <c r="B1023" s="37"/>
      <c r="C1023" s="37"/>
      <c r="F1023" s="38"/>
      <c r="G1023" s="38"/>
      <c r="H1023" s="38"/>
      <c r="I1023" s="37"/>
      <c r="J1023" s="38"/>
      <c r="K1023" s="38"/>
      <c r="L1023" s="42"/>
      <c r="M1023" s="42"/>
      <c r="N1023" s="42"/>
      <c r="O1023" s="42"/>
      <c r="R1023" s="37"/>
      <c r="S1023" s="37"/>
      <c r="T1023" s="91"/>
      <c r="U1023" s="91"/>
      <c r="V1023" s="41"/>
      <c r="W1023" s="37"/>
      <c r="X1023" s="37"/>
      <c r="Y1023" s="43"/>
      <c r="Z1023" s="37"/>
      <c r="AA1023" s="37"/>
      <c r="AD1023" s="37"/>
      <c r="AE1023" s="37"/>
      <c r="AF1023" s="37"/>
    </row>
    <row r="1024" spans="1:32" x14ac:dyDescent="0.25">
      <c r="A1024" s="37"/>
      <c r="B1024" s="37"/>
      <c r="C1024" s="37"/>
      <c r="F1024" s="38"/>
      <c r="G1024" s="38"/>
      <c r="H1024" s="38"/>
      <c r="I1024" s="37"/>
      <c r="J1024" s="38"/>
      <c r="K1024" s="38"/>
      <c r="L1024" s="42"/>
      <c r="M1024" s="42"/>
      <c r="N1024" s="42"/>
      <c r="O1024" s="42"/>
      <c r="R1024" s="37"/>
      <c r="S1024" s="37"/>
      <c r="T1024" s="91"/>
      <c r="U1024" s="91"/>
      <c r="V1024" s="41"/>
      <c r="W1024" s="37"/>
      <c r="X1024" s="37"/>
      <c r="Y1024" s="43"/>
      <c r="Z1024" s="37"/>
      <c r="AA1024" s="37"/>
      <c r="AD1024" s="37"/>
      <c r="AE1024" s="37"/>
      <c r="AF1024" s="37"/>
    </row>
    <row r="1025" spans="1:32" x14ac:dyDescent="0.25">
      <c r="A1025" s="37"/>
      <c r="B1025" s="37"/>
      <c r="C1025" s="37"/>
      <c r="F1025" s="38"/>
      <c r="G1025" s="38"/>
      <c r="H1025" s="38"/>
      <c r="I1025" s="37"/>
      <c r="J1025" s="38"/>
      <c r="K1025" s="38"/>
      <c r="L1025" s="42"/>
      <c r="M1025" s="42"/>
      <c r="N1025" s="42"/>
      <c r="O1025" s="42"/>
      <c r="R1025" s="37"/>
      <c r="S1025" s="37"/>
      <c r="T1025" s="91"/>
      <c r="U1025" s="91"/>
      <c r="V1025" s="41"/>
      <c r="W1025" s="37"/>
      <c r="X1025" s="37"/>
      <c r="Y1025" s="43"/>
      <c r="Z1025" s="37"/>
      <c r="AA1025" s="37"/>
      <c r="AD1025" s="37"/>
      <c r="AE1025" s="37"/>
      <c r="AF1025" s="37"/>
    </row>
    <row r="1026" spans="1:32" x14ac:dyDescent="0.25">
      <c r="A1026" s="37"/>
      <c r="B1026" s="37"/>
      <c r="C1026" s="37"/>
      <c r="F1026" s="38"/>
      <c r="G1026" s="38"/>
      <c r="H1026" s="38"/>
      <c r="I1026" s="37"/>
      <c r="J1026" s="38"/>
      <c r="K1026" s="38"/>
      <c r="L1026" s="42"/>
      <c r="M1026" s="42"/>
      <c r="N1026" s="42"/>
      <c r="O1026" s="42"/>
      <c r="R1026" s="37"/>
      <c r="S1026" s="37"/>
      <c r="T1026" s="91"/>
      <c r="U1026" s="91"/>
      <c r="V1026" s="41"/>
      <c r="W1026" s="37"/>
      <c r="X1026" s="37"/>
      <c r="Y1026" s="43"/>
      <c r="Z1026" s="37"/>
      <c r="AA1026" s="37"/>
      <c r="AD1026" s="37"/>
      <c r="AE1026" s="37"/>
      <c r="AF1026" s="37"/>
    </row>
    <row r="1027" spans="1:32" x14ac:dyDescent="0.25">
      <c r="A1027" s="37"/>
      <c r="B1027" s="37"/>
      <c r="C1027" s="37"/>
      <c r="F1027" s="38"/>
      <c r="G1027" s="38"/>
      <c r="H1027" s="38"/>
      <c r="I1027" s="37"/>
      <c r="J1027" s="38"/>
      <c r="K1027" s="38"/>
      <c r="L1027" s="42"/>
      <c r="M1027" s="42"/>
      <c r="N1027" s="42"/>
      <c r="O1027" s="42"/>
      <c r="R1027" s="37"/>
      <c r="S1027" s="37"/>
      <c r="T1027" s="91"/>
      <c r="U1027" s="91"/>
      <c r="V1027" s="41"/>
      <c r="W1027" s="37"/>
      <c r="X1027" s="37"/>
      <c r="Y1027" s="43"/>
      <c r="Z1027" s="37"/>
      <c r="AA1027" s="37"/>
      <c r="AD1027" s="37"/>
      <c r="AE1027" s="37"/>
      <c r="AF1027" s="37"/>
    </row>
    <row r="1028" spans="1:32" x14ac:dyDescent="0.25">
      <c r="A1028" s="37"/>
      <c r="B1028" s="37"/>
      <c r="C1028" s="37"/>
      <c r="F1028" s="38"/>
      <c r="G1028" s="38"/>
      <c r="H1028" s="38"/>
      <c r="I1028" s="37"/>
      <c r="J1028" s="38"/>
      <c r="K1028" s="38"/>
      <c r="L1028" s="42"/>
      <c r="M1028" s="42"/>
      <c r="N1028" s="42"/>
      <c r="O1028" s="42"/>
      <c r="R1028" s="37"/>
      <c r="S1028" s="37"/>
      <c r="T1028" s="91"/>
      <c r="U1028" s="91"/>
      <c r="V1028" s="41"/>
      <c r="W1028" s="37"/>
      <c r="X1028" s="37"/>
      <c r="Y1028" s="43"/>
      <c r="Z1028" s="37"/>
      <c r="AA1028" s="37"/>
      <c r="AD1028" s="37"/>
      <c r="AE1028" s="37"/>
      <c r="AF1028" s="37"/>
    </row>
    <row r="1029" spans="1:32" x14ac:dyDescent="0.25">
      <c r="A1029" s="37"/>
      <c r="B1029" s="37"/>
      <c r="C1029" s="37"/>
      <c r="F1029" s="38"/>
      <c r="G1029" s="38"/>
      <c r="H1029" s="38"/>
      <c r="I1029" s="37"/>
      <c r="J1029" s="38"/>
      <c r="K1029" s="38"/>
      <c r="L1029" s="42"/>
      <c r="M1029" s="42"/>
      <c r="N1029" s="42"/>
      <c r="O1029" s="42"/>
      <c r="R1029" s="37"/>
      <c r="S1029" s="37"/>
      <c r="T1029" s="91"/>
      <c r="U1029" s="91"/>
      <c r="V1029" s="41"/>
      <c r="W1029" s="37"/>
      <c r="X1029" s="37"/>
      <c r="Y1029" s="43"/>
      <c r="Z1029" s="37"/>
      <c r="AA1029" s="37"/>
      <c r="AD1029" s="37"/>
      <c r="AE1029" s="37"/>
      <c r="AF1029" s="37"/>
    </row>
    <row r="1030" spans="1:32" x14ac:dyDescent="0.25">
      <c r="A1030" s="37"/>
      <c r="B1030" s="37"/>
      <c r="C1030" s="37"/>
      <c r="F1030" s="38"/>
      <c r="G1030" s="38"/>
      <c r="H1030" s="38"/>
      <c r="I1030" s="37"/>
      <c r="J1030" s="38"/>
      <c r="K1030" s="38"/>
      <c r="L1030" s="42"/>
      <c r="M1030" s="42"/>
      <c r="N1030" s="42"/>
      <c r="O1030" s="42"/>
      <c r="R1030" s="37"/>
      <c r="S1030" s="37"/>
      <c r="T1030" s="91"/>
      <c r="U1030" s="91"/>
      <c r="V1030" s="41"/>
      <c r="W1030" s="37"/>
      <c r="X1030" s="37"/>
      <c r="Y1030" s="43"/>
      <c r="Z1030" s="37"/>
      <c r="AA1030" s="37"/>
      <c r="AD1030" s="37"/>
      <c r="AE1030" s="37"/>
      <c r="AF1030" s="37"/>
    </row>
    <row r="1031" spans="1:32" x14ac:dyDescent="0.25">
      <c r="A1031" s="37"/>
      <c r="B1031" s="37"/>
      <c r="C1031" s="37"/>
      <c r="F1031" s="38"/>
      <c r="G1031" s="38"/>
      <c r="H1031" s="38"/>
      <c r="I1031" s="37"/>
      <c r="J1031" s="38"/>
      <c r="K1031" s="38"/>
      <c r="L1031" s="42"/>
      <c r="M1031" s="42"/>
      <c r="N1031" s="42"/>
      <c r="O1031" s="42"/>
      <c r="R1031" s="37"/>
      <c r="S1031" s="37"/>
      <c r="T1031" s="91"/>
      <c r="U1031" s="91"/>
      <c r="V1031" s="41"/>
      <c r="W1031" s="37"/>
      <c r="X1031" s="37"/>
      <c r="Y1031" s="43"/>
      <c r="Z1031" s="37"/>
      <c r="AA1031" s="37"/>
      <c r="AD1031" s="37"/>
      <c r="AE1031" s="37"/>
      <c r="AF1031" s="37"/>
    </row>
    <row r="1032" spans="1:32" x14ac:dyDescent="0.25">
      <c r="A1032" s="37"/>
      <c r="B1032" s="37"/>
      <c r="C1032" s="37"/>
      <c r="F1032" s="38"/>
      <c r="G1032" s="38"/>
      <c r="H1032" s="38"/>
      <c r="I1032" s="37"/>
      <c r="J1032" s="38"/>
      <c r="K1032" s="38"/>
      <c r="L1032" s="42"/>
      <c r="M1032" s="42"/>
      <c r="N1032" s="42"/>
      <c r="O1032" s="42"/>
      <c r="R1032" s="37"/>
      <c r="S1032" s="37"/>
      <c r="T1032" s="91"/>
      <c r="U1032" s="91"/>
      <c r="V1032" s="41"/>
      <c r="W1032" s="37"/>
      <c r="X1032" s="37"/>
      <c r="Y1032" s="43"/>
      <c r="Z1032" s="37"/>
      <c r="AA1032" s="37"/>
      <c r="AD1032" s="37"/>
      <c r="AE1032" s="37"/>
      <c r="AF1032" s="37"/>
    </row>
    <row r="1033" spans="1:32" x14ac:dyDescent="0.25">
      <c r="A1033" s="37"/>
      <c r="B1033" s="37"/>
      <c r="C1033" s="37"/>
      <c r="F1033" s="38"/>
      <c r="G1033" s="38"/>
      <c r="H1033" s="38"/>
      <c r="I1033" s="37"/>
      <c r="J1033" s="38"/>
      <c r="K1033" s="38"/>
      <c r="L1033" s="42"/>
      <c r="M1033" s="42"/>
      <c r="N1033" s="42"/>
      <c r="O1033" s="42"/>
      <c r="R1033" s="37"/>
      <c r="S1033" s="37"/>
      <c r="T1033" s="91"/>
      <c r="U1033" s="91"/>
      <c r="V1033" s="41"/>
      <c r="W1033" s="37"/>
      <c r="X1033" s="37"/>
      <c r="Y1033" s="43"/>
      <c r="Z1033" s="37"/>
      <c r="AA1033" s="37"/>
      <c r="AD1033" s="37"/>
      <c r="AE1033" s="37"/>
      <c r="AF1033" s="37"/>
    </row>
    <row r="1034" spans="1:32" x14ac:dyDescent="0.25">
      <c r="A1034" s="37"/>
      <c r="B1034" s="37"/>
      <c r="C1034" s="37"/>
      <c r="F1034" s="38"/>
      <c r="G1034" s="38"/>
      <c r="H1034" s="38"/>
      <c r="I1034" s="37"/>
      <c r="J1034" s="38"/>
      <c r="K1034" s="38"/>
      <c r="L1034" s="42"/>
      <c r="M1034" s="42"/>
      <c r="N1034" s="42"/>
      <c r="O1034" s="42"/>
      <c r="R1034" s="37"/>
      <c r="S1034" s="37"/>
      <c r="T1034" s="91"/>
      <c r="U1034" s="91"/>
      <c r="V1034" s="41"/>
      <c r="W1034" s="37"/>
      <c r="X1034" s="37"/>
      <c r="Y1034" s="43"/>
      <c r="Z1034" s="37"/>
      <c r="AA1034" s="37"/>
      <c r="AD1034" s="37"/>
      <c r="AE1034" s="37"/>
      <c r="AF1034" s="37"/>
    </row>
    <row r="1035" spans="1:32" x14ac:dyDescent="0.25">
      <c r="A1035" s="37"/>
      <c r="B1035" s="37"/>
      <c r="C1035" s="37"/>
      <c r="F1035" s="38"/>
      <c r="G1035" s="38"/>
      <c r="H1035" s="38"/>
      <c r="I1035" s="37"/>
      <c r="J1035" s="38"/>
      <c r="K1035" s="38"/>
      <c r="L1035" s="42"/>
      <c r="M1035" s="42"/>
      <c r="N1035" s="42"/>
      <c r="O1035" s="42"/>
      <c r="R1035" s="37"/>
      <c r="S1035" s="37"/>
      <c r="T1035" s="91"/>
      <c r="U1035" s="91"/>
      <c r="V1035" s="41"/>
      <c r="W1035" s="37"/>
      <c r="X1035" s="37"/>
      <c r="Y1035" s="43"/>
      <c r="Z1035" s="37"/>
      <c r="AA1035" s="37"/>
      <c r="AD1035" s="37"/>
      <c r="AE1035" s="37"/>
      <c r="AF1035" s="37"/>
    </row>
    <row r="1036" spans="1:32" x14ac:dyDescent="0.25">
      <c r="A1036" s="37"/>
      <c r="B1036" s="37"/>
      <c r="C1036" s="37"/>
      <c r="F1036" s="38"/>
      <c r="G1036" s="38"/>
      <c r="H1036" s="38"/>
      <c r="I1036" s="37"/>
      <c r="J1036" s="38"/>
      <c r="K1036" s="38"/>
      <c r="L1036" s="42"/>
      <c r="M1036" s="42"/>
      <c r="N1036" s="42"/>
      <c r="O1036" s="42"/>
      <c r="R1036" s="37"/>
      <c r="S1036" s="37"/>
      <c r="T1036" s="91"/>
      <c r="U1036" s="91"/>
      <c r="V1036" s="41"/>
      <c r="W1036" s="37"/>
      <c r="X1036" s="37"/>
      <c r="Y1036" s="43"/>
      <c r="Z1036" s="37"/>
      <c r="AA1036" s="37"/>
      <c r="AD1036" s="37"/>
      <c r="AE1036" s="37"/>
      <c r="AF1036" s="37"/>
    </row>
    <row r="1037" spans="1:32" x14ac:dyDescent="0.25">
      <c r="A1037" s="37"/>
      <c r="B1037" s="37"/>
      <c r="C1037" s="37"/>
      <c r="F1037" s="38"/>
      <c r="G1037" s="38"/>
      <c r="H1037" s="38"/>
      <c r="I1037" s="37"/>
      <c r="J1037" s="38"/>
      <c r="K1037" s="38"/>
      <c r="L1037" s="42"/>
      <c r="M1037" s="42"/>
      <c r="N1037" s="42"/>
      <c r="O1037" s="42"/>
      <c r="R1037" s="37"/>
      <c r="S1037" s="37"/>
      <c r="T1037" s="91"/>
      <c r="U1037" s="91"/>
      <c r="V1037" s="41"/>
      <c r="W1037" s="37"/>
      <c r="X1037" s="37"/>
      <c r="Y1037" s="43"/>
      <c r="Z1037" s="37"/>
      <c r="AA1037" s="37"/>
      <c r="AD1037" s="37"/>
      <c r="AE1037" s="37"/>
      <c r="AF1037" s="37"/>
    </row>
    <row r="1038" spans="1:32" x14ac:dyDescent="0.25">
      <c r="A1038" s="37"/>
      <c r="B1038" s="37"/>
      <c r="C1038" s="37"/>
      <c r="F1038" s="38"/>
      <c r="G1038" s="38"/>
      <c r="H1038" s="38"/>
      <c r="I1038" s="37"/>
      <c r="J1038" s="38"/>
      <c r="K1038" s="38"/>
      <c r="L1038" s="42"/>
      <c r="M1038" s="42"/>
      <c r="N1038" s="42"/>
      <c r="O1038" s="42"/>
      <c r="R1038" s="37"/>
      <c r="S1038" s="37"/>
      <c r="T1038" s="91"/>
      <c r="U1038" s="91"/>
      <c r="V1038" s="41"/>
      <c r="W1038" s="37"/>
      <c r="X1038" s="37"/>
      <c r="Y1038" s="43"/>
      <c r="Z1038" s="37"/>
      <c r="AA1038" s="37"/>
      <c r="AD1038" s="37"/>
      <c r="AE1038" s="37"/>
      <c r="AF1038" s="37"/>
    </row>
    <row r="1039" spans="1:32" x14ac:dyDescent="0.25">
      <c r="A1039" s="37"/>
      <c r="B1039" s="37"/>
      <c r="C1039" s="37"/>
      <c r="F1039" s="38"/>
      <c r="G1039" s="38"/>
      <c r="H1039" s="38"/>
      <c r="I1039" s="37"/>
      <c r="J1039" s="38"/>
      <c r="K1039" s="38"/>
      <c r="L1039" s="42"/>
      <c r="M1039" s="42"/>
      <c r="N1039" s="42"/>
      <c r="O1039" s="42"/>
      <c r="R1039" s="37"/>
      <c r="S1039" s="37"/>
      <c r="T1039" s="91"/>
      <c r="U1039" s="91"/>
      <c r="V1039" s="41"/>
      <c r="W1039" s="37"/>
      <c r="X1039" s="37"/>
      <c r="Y1039" s="43"/>
      <c r="Z1039" s="37"/>
      <c r="AA1039" s="37"/>
      <c r="AD1039" s="37"/>
      <c r="AE1039" s="37"/>
      <c r="AF1039" s="37"/>
    </row>
    <row r="1040" spans="1:32" x14ac:dyDescent="0.25">
      <c r="A1040" s="37"/>
      <c r="B1040" s="37"/>
      <c r="C1040" s="37"/>
      <c r="F1040" s="38"/>
      <c r="G1040" s="38"/>
      <c r="H1040" s="38"/>
      <c r="I1040" s="37"/>
      <c r="J1040" s="38"/>
      <c r="K1040" s="38"/>
      <c r="L1040" s="42"/>
      <c r="M1040" s="42"/>
      <c r="N1040" s="42"/>
      <c r="O1040" s="42"/>
      <c r="R1040" s="37"/>
      <c r="S1040" s="37"/>
      <c r="T1040" s="91"/>
      <c r="U1040" s="91"/>
      <c r="V1040" s="41"/>
      <c r="W1040" s="37"/>
      <c r="X1040" s="37"/>
      <c r="Y1040" s="43"/>
      <c r="Z1040" s="37"/>
      <c r="AA1040" s="37"/>
      <c r="AD1040" s="37"/>
      <c r="AE1040" s="37"/>
      <c r="AF1040" s="37"/>
    </row>
    <row r="1041" spans="1:32" x14ac:dyDescent="0.25">
      <c r="A1041" s="37"/>
      <c r="B1041" s="37"/>
      <c r="C1041" s="37"/>
      <c r="F1041" s="38"/>
      <c r="G1041" s="38"/>
      <c r="H1041" s="38"/>
      <c r="I1041" s="37"/>
      <c r="J1041" s="38"/>
      <c r="K1041" s="38"/>
      <c r="L1041" s="42"/>
      <c r="M1041" s="42"/>
      <c r="N1041" s="42"/>
      <c r="O1041" s="42"/>
      <c r="R1041" s="37"/>
      <c r="S1041" s="37"/>
      <c r="T1041" s="91"/>
      <c r="U1041" s="91"/>
      <c r="V1041" s="41"/>
      <c r="W1041" s="37"/>
      <c r="X1041" s="37"/>
      <c r="Y1041" s="43"/>
      <c r="Z1041" s="37"/>
      <c r="AA1041" s="37"/>
      <c r="AD1041" s="37"/>
      <c r="AE1041" s="37"/>
      <c r="AF1041" s="37"/>
    </row>
    <row r="1042" spans="1:32" x14ac:dyDescent="0.25">
      <c r="A1042" s="37"/>
      <c r="B1042" s="37"/>
      <c r="C1042" s="37"/>
      <c r="F1042" s="38"/>
      <c r="G1042" s="38"/>
      <c r="H1042" s="38"/>
      <c r="I1042" s="37"/>
      <c r="J1042" s="38"/>
      <c r="K1042" s="38"/>
      <c r="L1042" s="42"/>
      <c r="M1042" s="42"/>
      <c r="N1042" s="42"/>
      <c r="O1042" s="42"/>
      <c r="R1042" s="37"/>
      <c r="S1042" s="37"/>
      <c r="T1042" s="91"/>
      <c r="U1042" s="91"/>
      <c r="V1042" s="41"/>
      <c r="W1042" s="37"/>
      <c r="X1042" s="37"/>
      <c r="Y1042" s="43"/>
      <c r="Z1042" s="37"/>
      <c r="AA1042" s="37"/>
      <c r="AD1042" s="37"/>
      <c r="AE1042" s="37"/>
      <c r="AF1042" s="37"/>
    </row>
    <row r="1043" spans="1:32" x14ac:dyDescent="0.25">
      <c r="A1043" s="37"/>
      <c r="B1043" s="37"/>
      <c r="C1043" s="37"/>
      <c r="F1043" s="38"/>
      <c r="G1043" s="38"/>
      <c r="H1043" s="38"/>
      <c r="I1043" s="37"/>
      <c r="J1043" s="38"/>
      <c r="K1043" s="38"/>
      <c r="L1043" s="42"/>
      <c r="M1043" s="42"/>
      <c r="N1043" s="42"/>
      <c r="O1043" s="42"/>
      <c r="R1043" s="37"/>
      <c r="S1043" s="37"/>
      <c r="T1043" s="91"/>
      <c r="U1043" s="91"/>
      <c r="V1043" s="41"/>
      <c r="W1043" s="37"/>
      <c r="X1043" s="37"/>
      <c r="Y1043" s="43"/>
      <c r="Z1043" s="37"/>
      <c r="AA1043" s="37"/>
      <c r="AD1043" s="37"/>
      <c r="AE1043" s="37"/>
      <c r="AF1043" s="37"/>
    </row>
    <row r="1044" spans="1:32" x14ac:dyDescent="0.25">
      <c r="A1044" s="37"/>
      <c r="B1044" s="37"/>
      <c r="C1044" s="37"/>
      <c r="F1044" s="38"/>
      <c r="G1044" s="38"/>
      <c r="H1044" s="38"/>
      <c r="I1044" s="37"/>
      <c r="J1044" s="38"/>
      <c r="K1044" s="38"/>
      <c r="L1044" s="42"/>
      <c r="M1044" s="42"/>
      <c r="N1044" s="42"/>
      <c r="O1044" s="42"/>
      <c r="R1044" s="37"/>
      <c r="S1044" s="37"/>
      <c r="T1044" s="91"/>
      <c r="U1044" s="91"/>
      <c r="V1044" s="41"/>
      <c r="W1044" s="37"/>
      <c r="X1044" s="37"/>
      <c r="Y1044" s="43"/>
      <c r="Z1044" s="37"/>
      <c r="AA1044" s="37"/>
      <c r="AD1044" s="37"/>
      <c r="AE1044" s="37"/>
      <c r="AF1044" s="37"/>
    </row>
    <row r="1045" spans="1:32" x14ac:dyDescent="0.25">
      <c r="A1045" s="37"/>
      <c r="B1045" s="37"/>
      <c r="C1045" s="37"/>
      <c r="F1045" s="38"/>
      <c r="G1045" s="38"/>
      <c r="H1045" s="38"/>
      <c r="I1045" s="37"/>
      <c r="J1045" s="38"/>
      <c r="K1045" s="38"/>
      <c r="L1045" s="42"/>
      <c r="M1045" s="42"/>
      <c r="N1045" s="42"/>
      <c r="O1045" s="42"/>
      <c r="R1045" s="37"/>
      <c r="S1045" s="37"/>
      <c r="T1045" s="91"/>
      <c r="U1045" s="91"/>
      <c r="V1045" s="41"/>
      <c r="W1045" s="37"/>
      <c r="X1045" s="37"/>
      <c r="Y1045" s="43"/>
      <c r="Z1045" s="37"/>
      <c r="AA1045" s="37"/>
      <c r="AD1045" s="37"/>
      <c r="AE1045" s="37"/>
      <c r="AF1045" s="37"/>
    </row>
    <row r="1046" spans="1:32" x14ac:dyDescent="0.25">
      <c r="A1046" s="37"/>
      <c r="B1046" s="37"/>
      <c r="C1046" s="37"/>
      <c r="F1046" s="38"/>
      <c r="G1046" s="38"/>
      <c r="H1046" s="38"/>
      <c r="I1046" s="37"/>
      <c r="J1046" s="38"/>
      <c r="K1046" s="38"/>
      <c r="L1046" s="42"/>
      <c r="M1046" s="42"/>
      <c r="N1046" s="42"/>
      <c r="O1046" s="42"/>
      <c r="R1046" s="37"/>
      <c r="S1046" s="37"/>
      <c r="T1046" s="91"/>
      <c r="U1046" s="91"/>
      <c r="V1046" s="41"/>
      <c r="W1046" s="37"/>
      <c r="X1046" s="37"/>
      <c r="Y1046" s="43"/>
      <c r="Z1046" s="37"/>
      <c r="AA1046" s="37"/>
      <c r="AD1046" s="37"/>
      <c r="AE1046" s="37"/>
      <c r="AF1046" s="37"/>
    </row>
    <row r="1047" spans="1:32" x14ac:dyDescent="0.25">
      <c r="A1047" s="37"/>
      <c r="B1047" s="37"/>
      <c r="C1047" s="37"/>
      <c r="F1047" s="38"/>
      <c r="G1047" s="38"/>
      <c r="H1047" s="38"/>
      <c r="I1047" s="37"/>
      <c r="J1047" s="38"/>
      <c r="K1047" s="38"/>
      <c r="L1047" s="42"/>
      <c r="M1047" s="42"/>
      <c r="N1047" s="42"/>
      <c r="O1047" s="42"/>
      <c r="R1047" s="37"/>
      <c r="S1047" s="37"/>
      <c r="T1047" s="91"/>
      <c r="U1047" s="91"/>
      <c r="V1047" s="41"/>
      <c r="W1047" s="37"/>
      <c r="X1047" s="37"/>
      <c r="Y1047" s="43"/>
      <c r="Z1047" s="37"/>
      <c r="AA1047" s="37"/>
      <c r="AD1047" s="37"/>
      <c r="AE1047" s="37"/>
      <c r="AF1047" s="37"/>
    </row>
    <row r="1048" spans="1:32" x14ac:dyDescent="0.25">
      <c r="A1048" s="37"/>
      <c r="B1048" s="37"/>
      <c r="C1048" s="37"/>
      <c r="F1048" s="38"/>
      <c r="G1048" s="38"/>
      <c r="H1048" s="38"/>
      <c r="I1048" s="37"/>
      <c r="J1048" s="38"/>
      <c r="K1048" s="38"/>
      <c r="L1048" s="42"/>
      <c r="M1048" s="42"/>
      <c r="N1048" s="42"/>
      <c r="O1048" s="42"/>
      <c r="R1048" s="37"/>
      <c r="S1048" s="37"/>
      <c r="T1048" s="91"/>
      <c r="U1048" s="91"/>
      <c r="V1048" s="41"/>
      <c r="W1048" s="37"/>
      <c r="X1048" s="37"/>
      <c r="Y1048" s="43"/>
      <c r="Z1048" s="37"/>
      <c r="AA1048" s="37"/>
      <c r="AD1048" s="37"/>
      <c r="AE1048" s="37"/>
      <c r="AF1048" s="37"/>
    </row>
    <row r="1049" spans="1:32" x14ac:dyDescent="0.25">
      <c r="A1049" s="37"/>
      <c r="B1049" s="37"/>
      <c r="C1049" s="37"/>
      <c r="F1049" s="38"/>
      <c r="G1049" s="38"/>
      <c r="H1049" s="38"/>
      <c r="I1049" s="37"/>
      <c r="J1049" s="38"/>
      <c r="K1049" s="38"/>
      <c r="L1049" s="42"/>
      <c r="M1049" s="42"/>
      <c r="N1049" s="42"/>
      <c r="O1049" s="42"/>
      <c r="R1049" s="37"/>
      <c r="S1049" s="37"/>
      <c r="T1049" s="91"/>
      <c r="U1049" s="91"/>
      <c r="V1049" s="41"/>
      <c r="W1049" s="37"/>
      <c r="X1049" s="37"/>
      <c r="Y1049" s="43"/>
      <c r="Z1049" s="37"/>
      <c r="AA1049" s="37"/>
      <c r="AD1049" s="37"/>
      <c r="AE1049" s="37"/>
      <c r="AF1049" s="37"/>
    </row>
    <row r="1050" spans="1:32" x14ac:dyDescent="0.25">
      <c r="A1050" s="37"/>
      <c r="B1050" s="37"/>
      <c r="C1050" s="37"/>
      <c r="F1050" s="38"/>
      <c r="G1050" s="38"/>
      <c r="H1050" s="38"/>
      <c r="I1050" s="37"/>
      <c r="J1050" s="38"/>
      <c r="K1050" s="38"/>
      <c r="L1050" s="42"/>
      <c r="M1050" s="42"/>
      <c r="N1050" s="42"/>
      <c r="O1050" s="42"/>
      <c r="R1050" s="37"/>
      <c r="S1050" s="37"/>
      <c r="T1050" s="91"/>
      <c r="U1050" s="91"/>
      <c r="V1050" s="41"/>
      <c r="W1050" s="37"/>
      <c r="X1050" s="37"/>
      <c r="Y1050" s="43"/>
      <c r="Z1050" s="37"/>
      <c r="AA1050" s="37"/>
      <c r="AD1050" s="37"/>
      <c r="AE1050" s="37"/>
      <c r="AF1050" s="37"/>
    </row>
    <row r="1051" spans="1:32" x14ac:dyDescent="0.25">
      <c r="A1051" s="37"/>
      <c r="B1051" s="37"/>
      <c r="C1051" s="37"/>
      <c r="F1051" s="38"/>
      <c r="G1051" s="38"/>
      <c r="H1051" s="38"/>
      <c r="I1051" s="37"/>
      <c r="J1051" s="38"/>
      <c r="K1051" s="38"/>
      <c r="L1051" s="42"/>
      <c r="M1051" s="42"/>
      <c r="N1051" s="42"/>
      <c r="O1051" s="42"/>
      <c r="R1051" s="37"/>
      <c r="S1051" s="37"/>
      <c r="T1051" s="91"/>
      <c r="U1051" s="91"/>
      <c r="V1051" s="41"/>
      <c r="W1051" s="37"/>
      <c r="X1051" s="37"/>
      <c r="Y1051" s="43"/>
      <c r="Z1051" s="37"/>
      <c r="AA1051" s="37"/>
      <c r="AD1051" s="37"/>
      <c r="AE1051" s="37"/>
      <c r="AF1051" s="37"/>
    </row>
    <row r="1052" spans="1:32" x14ac:dyDescent="0.25">
      <c r="A1052" s="37"/>
      <c r="B1052" s="37"/>
      <c r="C1052" s="37"/>
      <c r="F1052" s="38"/>
      <c r="G1052" s="38"/>
      <c r="H1052" s="38"/>
      <c r="I1052" s="37"/>
      <c r="J1052" s="38"/>
      <c r="K1052" s="38"/>
      <c r="L1052" s="42"/>
      <c r="M1052" s="42"/>
      <c r="N1052" s="42"/>
      <c r="O1052" s="42"/>
      <c r="R1052" s="37"/>
      <c r="S1052" s="37"/>
      <c r="T1052" s="91"/>
      <c r="U1052" s="91"/>
      <c r="V1052" s="41"/>
      <c r="W1052" s="37"/>
      <c r="X1052" s="37"/>
      <c r="Y1052" s="43"/>
      <c r="Z1052" s="37"/>
      <c r="AA1052" s="37"/>
      <c r="AD1052" s="37"/>
      <c r="AE1052" s="37"/>
      <c r="AF1052" s="37"/>
    </row>
    <row r="1053" spans="1:32" x14ac:dyDescent="0.25">
      <c r="A1053" s="37"/>
      <c r="B1053" s="37"/>
      <c r="C1053" s="37"/>
      <c r="F1053" s="38"/>
      <c r="G1053" s="38"/>
      <c r="H1053" s="38"/>
      <c r="I1053" s="37"/>
      <c r="J1053" s="38"/>
      <c r="K1053" s="38"/>
      <c r="L1053" s="42"/>
      <c r="M1053" s="42"/>
      <c r="N1053" s="42"/>
      <c r="O1053" s="42"/>
      <c r="R1053" s="37"/>
      <c r="S1053" s="37"/>
      <c r="T1053" s="91"/>
      <c r="U1053" s="91"/>
      <c r="V1053" s="41"/>
      <c r="W1053" s="37"/>
      <c r="X1053" s="37"/>
      <c r="Y1053" s="43"/>
      <c r="Z1053" s="37"/>
      <c r="AA1053" s="37"/>
      <c r="AD1053" s="37"/>
      <c r="AE1053" s="37"/>
      <c r="AF1053" s="37"/>
    </row>
    <row r="1054" spans="1:32" x14ac:dyDescent="0.25">
      <c r="A1054" s="37"/>
      <c r="B1054" s="37"/>
      <c r="C1054" s="37"/>
      <c r="F1054" s="38"/>
      <c r="G1054" s="38"/>
      <c r="H1054" s="38"/>
      <c r="I1054" s="37"/>
      <c r="J1054" s="38"/>
      <c r="K1054" s="38"/>
      <c r="L1054" s="42"/>
      <c r="M1054" s="42"/>
      <c r="N1054" s="42"/>
      <c r="O1054" s="42"/>
      <c r="R1054" s="37"/>
      <c r="S1054" s="37"/>
      <c r="T1054" s="91"/>
      <c r="U1054" s="91"/>
      <c r="V1054" s="41"/>
      <c r="W1054" s="37"/>
      <c r="X1054" s="37"/>
      <c r="Y1054" s="43"/>
      <c r="Z1054" s="37"/>
      <c r="AA1054" s="37"/>
      <c r="AD1054" s="37"/>
      <c r="AE1054" s="37"/>
      <c r="AF1054" s="37"/>
    </row>
    <row r="1055" spans="1:32" x14ac:dyDescent="0.25">
      <c r="A1055" s="37"/>
      <c r="B1055" s="37"/>
      <c r="C1055" s="37"/>
      <c r="F1055" s="38"/>
      <c r="G1055" s="38"/>
      <c r="H1055" s="38"/>
      <c r="I1055" s="37"/>
      <c r="J1055" s="38"/>
      <c r="K1055" s="38"/>
      <c r="L1055" s="42"/>
      <c r="M1055" s="42"/>
      <c r="N1055" s="42"/>
      <c r="O1055" s="42"/>
      <c r="R1055" s="37"/>
      <c r="S1055" s="37"/>
      <c r="T1055" s="91"/>
      <c r="U1055" s="91"/>
      <c r="V1055" s="41"/>
      <c r="W1055" s="37"/>
      <c r="X1055" s="37"/>
      <c r="Y1055" s="43"/>
      <c r="Z1055" s="37"/>
      <c r="AA1055" s="37"/>
      <c r="AD1055" s="37"/>
      <c r="AE1055" s="37"/>
      <c r="AF1055" s="37"/>
    </row>
    <row r="1056" spans="1:32" x14ac:dyDescent="0.25">
      <c r="A1056" s="37"/>
      <c r="B1056" s="37"/>
      <c r="C1056" s="37"/>
      <c r="F1056" s="38"/>
      <c r="G1056" s="38"/>
      <c r="H1056" s="38"/>
      <c r="I1056" s="37"/>
      <c r="J1056" s="38"/>
      <c r="K1056" s="38"/>
      <c r="L1056" s="42"/>
      <c r="M1056" s="42"/>
      <c r="N1056" s="42"/>
      <c r="O1056" s="42"/>
      <c r="R1056" s="37"/>
      <c r="S1056" s="37"/>
      <c r="T1056" s="91"/>
      <c r="U1056" s="91"/>
      <c r="V1056" s="41"/>
      <c r="W1056" s="37"/>
      <c r="X1056" s="37"/>
      <c r="Y1056" s="43"/>
      <c r="Z1056" s="37"/>
      <c r="AA1056" s="37"/>
      <c r="AD1056" s="37"/>
      <c r="AE1056" s="37"/>
      <c r="AF1056" s="37"/>
    </row>
    <row r="1057" spans="1:32" x14ac:dyDescent="0.25">
      <c r="A1057" s="37"/>
      <c r="B1057" s="37"/>
      <c r="C1057" s="37"/>
      <c r="F1057" s="38"/>
      <c r="G1057" s="38"/>
      <c r="H1057" s="38"/>
      <c r="I1057" s="37"/>
      <c r="J1057" s="38"/>
      <c r="K1057" s="38"/>
      <c r="L1057" s="42"/>
      <c r="M1057" s="42"/>
      <c r="N1057" s="42"/>
      <c r="O1057" s="42"/>
      <c r="R1057" s="37"/>
      <c r="S1057" s="37"/>
      <c r="T1057" s="91"/>
      <c r="U1057" s="91"/>
      <c r="V1057" s="41"/>
      <c r="W1057" s="37"/>
      <c r="X1057" s="37"/>
      <c r="Y1057" s="43"/>
      <c r="Z1057" s="37"/>
      <c r="AA1057" s="37"/>
      <c r="AD1057" s="37"/>
      <c r="AE1057" s="37"/>
      <c r="AF1057" s="37"/>
    </row>
    <row r="1058" spans="1:32" x14ac:dyDescent="0.25">
      <c r="A1058" s="37"/>
      <c r="B1058" s="37"/>
      <c r="C1058" s="37"/>
      <c r="F1058" s="38"/>
      <c r="G1058" s="38"/>
      <c r="H1058" s="38"/>
      <c r="I1058" s="37"/>
      <c r="J1058" s="38"/>
      <c r="K1058" s="38"/>
      <c r="L1058" s="42"/>
      <c r="M1058" s="42"/>
      <c r="N1058" s="42"/>
      <c r="O1058" s="42"/>
      <c r="R1058" s="37"/>
      <c r="S1058" s="37"/>
      <c r="T1058" s="91"/>
      <c r="U1058" s="91"/>
      <c r="V1058" s="41"/>
      <c r="W1058" s="37"/>
      <c r="X1058" s="37"/>
      <c r="Y1058" s="43"/>
      <c r="Z1058" s="37"/>
      <c r="AA1058" s="37"/>
      <c r="AD1058" s="37"/>
      <c r="AE1058" s="37"/>
      <c r="AF1058" s="37"/>
    </row>
    <row r="1059" spans="1:32" x14ac:dyDescent="0.25">
      <c r="A1059" s="37"/>
      <c r="B1059" s="37"/>
      <c r="C1059" s="37"/>
      <c r="F1059" s="38"/>
      <c r="G1059" s="38"/>
      <c r="H1059" s="38"/>
      <c r="I1059" s="37"/>
      <c r="J1059" s="38"/>
      <c r="K1059" s="38"/>
      <c r="L1059" s="42"/>
      <c r="M1059" s="42"/>
      <c r="N1059" s="42"/>
      <c r="O1059" s="42"/>
      <c r="R1059" s="37"/>
      <c r="S1059" s="37"/>
      <c r="T1059" s="91"/>
      <c r="U1059" s="91"/>
      <c r="V1059" s="41"/>
      <c r="W1059" s="37"/>
      <c r="X1059" s="37"/>
      <c r="Y1059" s="43"/>
      <c r="Z1059" s="37"/>
      <c r="AA1059" s="37"/>
      <c r="AD1059" s="37"/>
      <c r="AE1059" s="37"/>
      <c r="AF1059" s="37"/>
    </row>
    <row r="1060" spans="1:32" x14ac:dyDescent="0.25">
      <c r="A1060" s="37"/>
      <c r="B1060" s="37"/>
      <c r="C1060" s="37"/>
      <c r="F1060" s="38"/>
      <c r="G1060" s="38"/>
      <c r="H1060" s="38"/>
      <c r="I1060" s="37"/>
      <c r="J1060" s="38"/>
      <c r="K1060" s="38"/>
      <c r="L1060" s="42"/>
      <c r="M1060" s="42"/>
      <c r="N1060" s="42"/>
      <c r="O1060" s="42"/>
      <c r="R1060" s="37"/>
      <c r="S1060" s="37"/>
      <c r="T1060" s="91"/>
      <c r="U1060" s="91"/>
      <c r="V1060" s="41"/>
      <c r="W1060" s="37"/>
      <c r="X1060" s="37"/>
      <c r="Y1060" s="43"/>
      <c r="Z1060" s="37"/>
      <c r="AA1060" s="37"/>
      <c r="AD1060" s="37"/>
      <c r="AE1060" s="37"/>
      <c r="AF1060" s="37"/>
    </row>
    <row r="1061" spans="1:32" x14ac:dyDescent="0.25">
      <c r="A1061" s="37"/>
      <c r="B1061" s="37"/>
      <c r="C1061" s="37"/>
      <c r="F1061" s="38"/>
      <c r="G1061" s="38"/>
      <c r="H1061" s="38"/>
      <c r="I1061" s="37"/>
      <c r="J1061" s="38"/>
      <c r="K1061" s="38"/>
      <c r="L1061" s="42"/>
      <c r="M1061" s="42"/>
      <c r="N1061" s="42"/>
      <c r="O1061" s="42"/>
      <c r="R1061" s="37"/>
      <c r="S1061" s="37"/>
      <c r="T1061" s="91"/>
      <c r="U1061" s="91"/>
      <c r="V1061" s="41"/>
      <c r="W1061" s="37"/>
      <c r="X1061" s="37"/>
      <c r="Y1061" s="43"/>
      <c r="Z1061" s="37"/>
      <c r="AA1061" s="37"/>
      <c r="AD1061" s="37"/>
      <c r="AE1061" s="37"/>
      <c r="AF1061" s="37"/>
    </row>
    <row r="1062" spans="1:32" x14ac:dyDescent="0.25">
      <c r="A1062" s="37"/>
      <c r="B1062" s="37"/>
      <c r="C1062" s="37"/>
      <c r="F1062" s="38"/>
      <c r="G1062" s="38"/>
      <c r="H1062" s="38"/>
      <c r="I1062" s="37"/>
      <c r="J1062" s="38"/>
      <c r="K1062" s="38"/>
      <c r="L1062" s="42"/>
      <c r="M1062" s="42"/>
      <c r="N1062" s="42"/>
      <c r="O1062" s="42"/>
      <c r="R1062" s="37"/>
      <c r="S1062" s="37"/>
      <c r="T1062" s="91"/>
      <c r="U1062" s="91"/>
      <c r="V1062" s="41"/>
      <c r="W1062" s="37"/>
      <c r="X1062" s="37"/>
      <c r="Y1062" s="43"/>
      <c r="Z1062" s="37"/>
      <c r="AA1062" s="37"/>
      <c r="AD1062" s="37"/>
      <c r="AE1062" s="37"/>
      <c r="AF1062" s="37"/>
    </row>
    <row r="1063" spans="1:32" x14ac:dyDescent="0.25">
      <c r="A1063" s="37"/>
      <c r="B1063" s="37"/>
      <c r="C1063" s="37"/>
      <c r="F1063" s="38"/>
      <c r="G1063" s="38"/>
      <c r="H1063" s="38"/>
      <c r="I1063" s="37"/>
      <c r="J1063" s="38"/>
      <c r="K1063" s="38"/>
      <c r="L1063" s="42"/>
      <c r="M1063" s="42"/>
      <c r="N1063" s="42"/>
      <c r="O1063" s="42"/>
      <c r="R1063" s="37"/>
      <c r="S1063" s="37"/>
      <c r="T1063" s="91"/>
      <c r="U1063" s="91"/>
      <c r="V1063" s="41"/>
      <c r="W1063" s="37"/>
      <c r="X1063" s="37"/>
      <c r="Y1063" s="43"/>
      <c r="Z1063" s="37"/>
      <c r="AA1063" s="37"/>
      <c r="AD1063" s="37"/>
      <c r="AE1063" s="37"/>
      <c r="AF1063" s="37"/>
    </row>
    <row r="1064" spans="1:32" x14ac:dyDescent="0.25">
      <c r="A1064" s="37"/>
      <c r="B1064" s="37"/>
      <c r="C1064" s="37"/>
      <c r="F1064" s="38"/>
      <c r="G1064" s="38"/>
      <c r="H1064" s="38"/>
      <c r="I1064" s="37"/>
      <c r="J1064" s="38"/>
      <c r="K1064" s="38"/>
      <c r="L1064" s="42"/>
      <c r="M1064" s="42"/>
      <c r="N1064" s="42"/>
      <c r="O1064" s="42"/>
      <c r="R1064" s="37"/>
      <c r="S1064" s="37"/>
      <c r="T1064" s="91"/>
      <c r="U1064" s="91"/>
      <c r="V1064" s="41"/>
      <c r="W1064" s="37"/>
      <c r="X1064" s="37"/>
      <c r="Y1064" s="43"/>
      <c r="Z1064" s="37"/>
      <c r="AA1064" s="37"/>
      <c r="AD1064" s="37"/>
      <c r="AE1064" s="37"/>
      <c r="AF1064" s="37"/>
    </row>
    <row r="1065" spans="1:32" x14ac:dyDescent="0.25">
      <c r="A1065" s="37"/>
      <c r="B1065" s="37"/>
      <c r="C1065" s="37"/>
      <c r="F1065" s="38"/>
      <c r="G1065" s="38"/>
      <c r="H1065" s="38"/>
      <c r="I1065" s="37"/>
      <c r="J1065" s="38"/>
      <c r="K1065" s="38"/>
      <c r="L1065" s="42"/>
      <c r="M1065" s="42"/>
      <c r="N1065" s="42"/>
      <c r="O1065" s="42"/>
      <c r="R1065" s="37"/>
      <c r="S1065" s="37"/>
      <c r="T1065" s="91"/>
      <c r="U1065" s="91"/>
      <c r="V1065" s="41"/>
      <c r="W1065" s="37"/>
      <c r="X1065" s="37"/>
      <c r="Y1065" s="43"/>
      <c r="Z1065" s="37"/>
      <c r="AA1065" s="37"/>
      <c r="AD1065" s="37"/>
      <c r="AE1065" s="37"/>
      <c r="AF1065" s="37"/>
    </row>
    <row r="1066" spans="1:32" x14ac:dyDescent="0.25">
      <c r="A1066" s="37"/>
      <c r="B1066" s="37"/>
      <c r="C1066" s="37"/>
      <c r="F1066" s="38"/>
      <c r="G1066" s="38"/>
      <c r="H1066" s="38"/>
      <c r="I1066" s="37"/>
      <c r="J1066" s="38"/>
      <c r="K1066" s="38"/>
      <c r="L1066" s="42"/>
      <c r="M1066" s="42"/>
      <c r="N1066" s="42"/>
      <c r="O1066" s="42"/>
      <c r="R1066" s="37"/>
      <c r="S1066" s="37"/>
      <c r="T1066" s="91"/>
      <c r="U1066" s="91"/>
      <c r="V1066" s="41"/>
      <c r="W1066" s="37"/>
      <c r="X1066" s="37"/>
      <c r="Y1066" s="43"/>
      <c r="Z1066" s="37"/>
      <c r="AA1066" s="37"/>
      <c r="AD1066" s="37"/>
      <c r="AE1066" s="37"/>
      <c r="AF1066" s="37"/>
    </row>
    <row r="1067" spans="1:32" x14ac:dyDescent="0.25">
      <c r="A1067" s="37"/>
      <c r="B1067" s="37"/>
      <c r="C1067" s="37"/>
      <c r="F1067" s="38"/>
      <c r="G1067" s="38"/>
      <c r="H1067" s="38"/>
      <c r="I1067" s="37"/>
      <c r="J1067" s="38"/>
      <c r="K1067" s="38"/>
      <c r="L1067" s="42"/>
      <c r="M1067" s="42"/>
      <c r="N1067" s="42"/>
      <c r="O1067" s="42"/>
      <c r="R1067" s="37"/>
      <c r="S1067" s="37"/>
      <c r="T1067" s="91"/>
      <c r="U1067" s="91"/>
      <c r="V1067" s="41"/>
      <c r="W1067" s="37"/>
      <c r="X1067" s="37"/>
      <c r="Y1067" s="43"/>
      <c r="Z1067" s="37"/>
      <c r="AA1067" s="37"/>
      <c r="AD1067" s="37"/>
      <c r="AE1067" s="37"/>
      <c r="AF1067" s="37"/>
    </row>
    <row r="1068" spans="1:32" x14ac:dyDescent="0.25">
      <c r="A1068" s="37"/>
      <c r="B1068" s="37"/>
      <c r="C1068" s="37"/>
      <c r="F1068" s="38"/>
      <c r="G1068" s="38"/>
      <c r="H1068" s="38"/>
      <c r="I1068" s="37"/>
      <c r="J1068" s="38"/>
      <c r="K1068" s="38"/>
      <c r="L1068" s="42"/>
      <c r="M1068" s="42"/>
      <c r="N1068" s="42"/>
      <c r="O1068" s="42"/>
      <c r="R1068" s="37"/>
      <c r="S1068" s="37"/>
      <c r="T1068" s="91"/>
      <c r="U1068" s="91"/>
      <c r="V1068" s="41"/>
      <c r="W1068" s="37"/>
      <c r="X1068" s="37"/>
      <c r="Y1068" s="43"/>
      <c r="Z1068" s="37"/>
      <c r="AA1068" s="37"/>
      <c r="AD1068" s="37"/>
      <c r="AE1068" s="37"/>
      <c r="AF1068" s="37"/>
    </row>
    <row r="1069" spans="1:32" x14ac:dyDescent="0.25">
      <c r="A1069" s="37"/>
      <c r="B1069" s="37"/>
      <c r="C1069" s="37"/>
      <c r="F1069" s="38"/>
      <c r="G1069" s="38"/>
      <c r="H1069" s="38"/>
      <c r="I1069" s="37"/>
      <c r="J1069" s="38"/>
      <c r="K1069" s="38"/>
      <c r="L1069" s="42"/>
      <c r="M1069" s="42"/>
      <c r="N1069" s="42"/>
      <c r="O1069" s="42"/>
      <c r="R1069" s="37"/>
      <c r="S1069" s="37"/>
      <c r="T1069" s="91"/>
      <c r="U1069" s="91"/>
      <c r="V1069" s="41"/>
      <c r="W1069" s="37"/>
      <c r="X1069" s="37"/>
      <c r="Y1069" s="43"/>
      <c r="Z1069" s="37"/>
      <c r="AA1069" s="37"/>
      <c r="AD1069" s="37"/>
      <c r="AE1069" s="37"/>
      <c r="AF1069" s="37"/>
    </row>
    <row r="1070" spans="1:32" x14ac:dyDescent="0.25">
      <c r="A1070" s="37"/>
      <c r="B1070" s="37"/>
      <c r="C1070" s="37"/>
      <c r="F1070" s="38"/>
      <c r="G1070" s="38"/>
      <c r="H1070" s="38"/>
      <c r="I1070" s="37"/>
      <c r="J1070" s="38"/>
      <c r="K1070" s="38"/>
      <c r="L1070" s="42"/>
      <c r="M1070" s="42"/>
      <c r="N1070" s="42"/>
      <c r="O1070" s="42"/>
      <c r="R1070" s="37"/>
      <c r="S1070" s="37"/>
      <c r="T1070" s="91"/>
      <c r="U1070" s="91"/>
      <c r="V1070" s="41"/>
      <c r="W1070" s="37"/>
      <c r="X1070" s="37"/>
      <c r="Y1070" s="43"/>
      <c r="Z1070" s="37"/>
      <c r="AA1070" s="37"/>
      <c r="AD1070" s="37"/>
      <c r="AE1070" s="37"/>
      <c r="AF1070" s="37"/>
    </row>
    <row r="1071" spans="1:32" x14ac:dyDescent="0.25">
      <c r="A1071" s="37"/>
      <c r="B1071" s="37"/>
      <c r="C1071" s="37"/>
      <c r="F1071" s="38"/>
      <c r="G1071" s="38"/>
      <c r="H1071" s="38"/>
      <c r="I1071" s="37"/>
      <c r="J1071" s="38"/>
      <c r="K1071" s="38"/>
      <c r="L1071" s="42"/>
      <c r="M1071" s="42"/>
      <c r="N1071" s="42"/>
      <c r="O1071" s="42"/>
      <c r="R1071" s="37"/>
      <c r="S1071" s="37"/>
      <c r="T1071" s="91"/>
      <c r="U1071" s="91"/>
      <c r="V1071" s="41"/>
      <c r="W1071" s="37"/>
      <c r="X1071" s="37"/>
      <c r="Y1071" s="43"/>
      <c r="Z1071" s="37"/>
      <c r="AA1071" s="37"/>
      <c r="AD1071" s="37"/>
      <c r="AE1071" s="37"/>
      <c r="AF1071" s="37"/>
    </row>
    <row r="1072" spans="1:32" x14ac:dyDescent="0.25">
      <c r="A1072" s="37"/>
      <c r="B1072" s="37"/>
      <c r="C1072" s="37"/>
      <c r="F1072" s="38"/>
      <c r="G1072" s="38"/>
      <c r="H1072" s="38"/>
      <c r="I1072" s="37"/>
      <c r="J1072" s="38"/>
      <c r="K1072" s="38"/>
      <c r="L1072" s="42"/>
      <c r="M1072" s="42"/>
      <c r="N1072" s="42"/>
      <c r="O1072" s="42"/>
      <c r="R1072" s="37"/>
      <c r="S1072" s="37"/>
      <c r="T1072" s="91"/>
      <c r="U1072" s="91"/>
      <c r="V1072" s="41"/>
      <c r="W1072" s="37"/>
      <c r="X1072" s="37"/>
      <c r="Y1072" s="43"/>
      <c r="Z1072" s="37"/>
      <c r="AA1072" s="37"/>
      <c r="AD1072" s="37"/>
      <c r="AE1072" s="37"/>
      <c r="AF1072" s="37"/>
    </row>
    <row r="1073" spans="1:32" x14ac:dyDescent="0.25">
      <c r="A1073" s="37"/>
      <c r="B1073" s="37"/>
      <c r="C1073" s="37"/>
      <c r="F1073" s="38"/>
      <c r="G1073" s="38"/>
      <c r="H1073" s="38"/>
      <c r="I1073" s="37"/>
      <c r="J1073" s="38"/>
      <c r="K1073" s="38"/>
      <c r="L1073" s="42"/>
      <c r="M1073" s="42"/>
      <c r="N1073" s="42"/>
      <c r="O1073" s="42"/>
      <c r="R1073" s="37"/>
      <c r="S1073" s="37"/>
      <c r="T1073" s="91"/>
      <c r="U1073" s="91"/>
      <c r="V1073" s="41"/>
      <c r="W1073" s="37"/>
      <c r="X1073" s="37"/>
      <c r="Y1073" s="43"/>
      <c r="Z1073" s="37"/>
      <c r="AA1073" s="37"/>
      <c r="AD1073" s="37"/>
      <c r="AE1073" s="37"/>
      <c r="AF1073" s="37"/>
    </row>
    <row r="1074" spans="1:32" x14ac:dyDescent="0.25">
      <c r="A1074" s="37"/>
      <c r="B1074" s="37"/>
      <c r="C1074" s="37"/>
      <c r="F1074" s="38"/>
      <c r="G1074" s="38"/>
      <c r="H1074" s="38"/>
      <c r="I1074" s="37"/>
      <c r="J1074" s="38"/>
      <c r="K1074" s="38"/>
      <c r="L1074" s="42"/>
      <c r="M1074" s="42"/>
      <c r="N1074" s="42"/>
      <c r="O1074" s="42"/>
      <c r="R1074" s="37"/>
      <c r="S1074" s="37"/>
      <c r="T1074" s="91"/>
      <c r="U1074" s="91"/>
      <c r="V1074" s="41"/>
      <c r="W1074" s="37"/>
      <c r="X1074" s="37"/>
      <c r="Y1074" s="43"/>
      <c r="Z1074" s="37"/>
      <c r="AA1074" s="37"/>
      <c r="AD1074" s="37"/>
      <c r="AE1074" s="37"/>
      <c r="AF1074" s="37"/>
    </row>
    <row r="1075" spans="1:32" x14ac:dyDescent="0.25">
      <c r="A1075" s="37"/>
      <c r="B1075" s="37"/>
      <c r="C1075" s="37"/>
      <c r="F1075" s="38"/>
      <c r="G1075" s="38"/>
      <c r="H1075" s="38"/>
      <c r="I1075" s="37"/>
      <c r="J1075" s="38"/>
      <c r="K1075" s="38"/>
      <c r="L1075" s="42"/>
      <c r="M1075" s="42"/>
      <c r="N1075" s="42"/>
      <c r="O1075" s="42"/>
      <c r="R1075" s="37"/>
      <c r="S1075" s="37"/>
      <c r="T1075" s="91"/>
      <c r="U1075" s="91"/>
      <c r="V1075" s="41"/>
      <c r="W1075" s="37"/>
      <c r="X1075" s="37"/>
      <c r="Y1075" s="43"/>
      <c r="Z1075" s="37"/>
      <c r="AA1075" s="37"/>
      <c r="AD1075" s="37"/>
      <c r="AE1075" s="37"/>
      <c r="AF1075" s="37"/>
    </row>
    <row r="1076" spans="1:32" x14ac:dyDescent="0.25">
      <c r="A1076" s="37"/>
      <c r="B1076" s="37"/>
      <c r="C1076" s="37"/>
      <c r="F1076" s="38"/>
      <c r="G1076" s="38"/>
      <c r="H1076" s="38"/>
      <c r="I1076" s="37"/>
      <c r="J1076" s="38"/>
      <c r="K1076" s="38"/>
      <c r="L1076" s="42"/>
      <c r="M1076" s="42"/>
      <c r="N1076" s="42"/>
      <c r="O1076" s="42"/>
      <c r="R1076" s="37"/>
      <c r="S1076" s="37"/>
      <c r="T1076" s="91"/>
      <c r="U1076" s="91"/>
      <c r="V1076" s="41"/>
      <c r="W1076" s="37"/>
      <c r="X1076" s="37"/>
      <c r="Y1076" s="43"/>
      <c r="Z1076" s="37"/>
      <c r="AA1076" s="37"/>
      <c r="AD1076" s="37"/>
      <c r="AE1076" s="37"/>
      <c r="AF1076" s="37"/>
    </row>
    <row r="1077" spans="1:32" x14ac:dyDescent="0.25">
      <c r="A1077" s="37"/>
      <c r="B1077" s="37"/>
      <c r="C1077" s="37"/>
      <c r="F1077" s="38"/>
      <c r="G1077" s="38"/>
      <c r="H1077" s="38"/>
      <c r="I1077" s="37"/>
      <c r="J1077" s="38"/>
      <c r="K1077" s="38"/>
      <c r="L1077" s="42"/>
      <c r="M1077" s="42"/>
      <c r="N1077" s="42"/>
      <c r="O1077" s="42"/>
      <c r="R1077" s="37"/>
      <c r="S1077" s="37"/>
      <c r="T1077" s="91"/>
      <c r="U1077" s="91"/>
      <c r="V1077" s="41"/>
      <c r="W1077" s="37"/>
      <c r="X1077" s="37"/>
      <c r="Y1077" s="43"/>
      <c r="Z1077" s="37"/>
      <c r="AA1077" s="37"/>
      <c r="AD1077" s="37"/>
      <c r="AE1077" s="37"/>
      <c r="AF1077" s="37"/>
    </row>
    <row r="1078" spans="1:32" x14ac:dyDescent="0.25">
      <c r="A1078" s="37"/>
      <c r="B1078" s="37"/>
      <c r="C1078" s="37"/>
      <c r="F1078" s="38"/>
      <c r="G1078" s="38"/>
      <c r="H1078" s="38"/>
      <c r="I1078" s="37"/>
      <c r="J1078" s="38"/>
      <c r="K1078" s="38"/>
      <c r="L1078" s="42"/>
      <c r="M1078" s="42"/>
      <c r="N1078" s="42"/>
      <c r="O1078" s="42"/>
      <c r="R1078" s="37"/>
      <c r="S1078" s="37"/>
      <c r="T1078" s="91"/>
      <c r="U1078" s="91"/>
      <c r="V1078" s="41"/>
      <c r="W1078" s="37"/>
      <c r="X1078" s="37"/>
      <c r="Y1078" s="43"/>
      <c r="Z1078" s="37"/>
      <c r="AA1078" s="37"/>
      <c r="AD1078" s="37"/>
      <c r="AE1078" s="37"/>
      <c r="AF1078" s="37"/>
    </row>
    <row r="1079" spans="1:32" x14ac:dyDescent="0.25">
      <c r="A1079" s="37"/>
      <c r="B1079" s="37"/>
      <c r="C1079" s="37"/>
      <c r="F1079" s="38"/>
      <c r="G1079" s="38"/>
      <c r="H1079" s="38"/>
      <c r="I1079" s="37"/>
      <c r="J1079" s="38"/>
      <c r="K1079" s="38"/>
      <c r="L1079" s="42"/>
      <c r="M1079" s="42"/>
      <c r="N1079" s="42"/>
      <c r="O1079" s="42"/>
      <c r="R1079" s="37"/>
      <c r="S1079" s="37"/>
      <c r="T1079" s="91"/>
      <c r="U1079" s="91"/>
      <c r="V1079" s="41"/>
      <c r="W1079" s="37"/>
      <c r="X1079" s="37"/>
      <c r="Y1079" s="43"/>
      <c r="Z1079" s="37"/>
      <c r="AA1079" s="37"/>
      <c r="AD1079" s="37"/>
      <c r="AE1079" s="37"/>
      <c r="AF1079" s="37"/>
    </row>
    <row r="1080" spans="1:32" x14ac:dyDescent="0.25">
      <c r="A1080" s="37"/>
      <c r="B1080" s="37"/>
      <c r="C1080" s="37"/>
      <c r="F1080" s="38"/>
      <c r="G1080" s="38"/>
      <c r="H1080" s="38"/>
      <c r="I1080" s="37"/>
      <c r="J1080" s="38"/>
      <c r="K1080" s="38"/>
      <c r="L1080" s="42"/>
      <c r="M1080" s="42"/>
      <c r="N1080" s="42"/>
      <c r="O1080" s="42"/>
      <c r="R1080" s="37"/>
      <c r="S1080" s="37"/>
      <c r="T1080" s="91"/>
      <c r="U1080" s="91"/>
      <c r="V1080" s="41"/>
      <c r="W1080" s="37"/>
      <c r="X1080" s="37"/>
      <c r="Y1080" s="43"/>
      <c r="Z1080" s="37"/>
      <c r="AA1080" s="37"/>
      <c r="AD1080" s="37"/>
      <c r="AE1080" s="37"/>
      <c r="AF1080" s="37"/>
    </row>
    <row r="1081" spans="1:32" x14ac:dyDescent="0.25">
      <c r="A1081" s="37"/>
      <c r="B1081" s="37"/>
      <c r="C1081" s="37"/>
      <c r="F1081" s="38"/>
      <c r="G1081" s="38"/>
      <c r="H1081" s="38"/>
      <c r="I1081" s="37"/>
      <c r="J1081" s="38"/>
      <c r="K1081" s="38"/>
      <c r="L1081" s="42"/>
      <c r="M1081" s="42"/>
      <c r="N1081" s="42"/>
      <c r="O1081" s="42"/>
      <c r="R1081" s="37"/>
      <c r="S1081" s="37"/>
      <c r="T1081" s="91"/>
      <c r="U1081" s="91"/>
      <c r="V1081" s="41"/>
      <c r="W1081" s="37"/>
      <c r="X1081" s="37"/>
      <c r="Y1081" s="43"/>
      <c r="Z1081" s="37"/>
      <c r="AA1081" s="37"/>
      <c r="AD1081" s="37"/>
      <c r="AE1081" s="37"/>
      <c r="AF1081" s="37"/>
    </row>
    <row r="1082" spans="1:32" x14ac:dyDescent="0.25">
      <c r="A1082" s="37"/>
      <c r="B1082" s="37"/>
      <c r="C1082" s="37"/>
      <c r="F1082" s="38"/>
      <c r="G1082" s="38"/>
      <c r="H1082" s="38"/>
      <c r="I1082" s="37"/>
      <c r="J1082" s="38"/>
      <c r="K1082" s="38"/>
      <c r="L1082" s="42"/>
      <c r="M1082" s="42"/>
      <c r="N1082" s="42"/>
      <c r="O1082" s="42"/>
      <c r="R1082" s="37"/>
      <c r="S1082" s="37"/>
      <c r="T1082" s="91"/>
      <c r="U1082" s="91"/>
      <c r="V1082" s="41"/>
      <c r="W1082" s="37"/>
      <c r="X1082" s="37"/>
      <c r="Y1082" s="43"/>
      <c r="Z1082" s="37"/>
      <c r="AA1082" s="37"/>
      <c r="AD1082" s="37"/>
      <c r="AE1082" s="37"/>
      <c r="AF1082" s="37"/>
    </row>
    <row r="1083" spans="1:32" x14ac:dyDescent="0.25">
      <c r="A1083" s="37"/>
      <c r="B1083" s="37"/>
      <c r="C1083" s="37"/>
      <c r="F1083" s="38"/>
      <c r="G1083" s="38"/>
      <c r="H1083" s="38"/>
      <c r="I1083" s="37"/>
      <c r="J1083" s="38"/>
      <c r="K1083" s="38"/>
      <c r="L1083" s="42"/>
      <c r="M1083" s="42"/>
      <c r="N1083" s="42"/>
      <c r="O1083" s="42"/>
      <c r="R1083" s="37"/>
      <c r="S1083" s="37"/>
      <c r="T1083" s="91"/>
      <c r="U1083" s="91"/>
      <c r="V1083" s="41"/>
      <c r="W1083" s="37"/>
      <c r="X1083" s="37"/>
      <c r="Y1083" s="43"/>
      <c r="Z1083" s="37"/>
      <c r="AA1083" s="37"/>
      <c r="AD1083" s="37"/>
      <c r="AE1083" s="37"/>
      <c r="AF1083" s="37"/>
    </row>
    <row r="1084" spans="1:32" x14ac:dyDescent="0.25">
      <c r="A1084" s="37"/>
      <c r="B1084" s="37"/>
      <c r="C1084" s="37"/>
      <c r="F1084" s="38"/>
      <c r="G1084" s="38"/>
      <c r="H1084" s="38"/>
      <c r="I1084" s="37"/>
      <c r="J1084" s="38"/>
      <c r="K1084" s="38"/>
      <c r="L1084" s="42"/>
      <c r="M1084" s="42"/>
      <c r="N1084" s="42"/>
      <c r="O1084" s="42"/>
      <c r="R1084" s="37"/>
      <c r="S1084" s="37"/>
      <c r="T1084" s="91"/>
      <c r="U1084" s="91"/>
      <c r="V1084" s="41"/>
      <c r="W1084" s="37"/>
      <c r="X1084" s="37"/>
      <c r="Y1084" s="43"/>
      <c r="Z1084" s="37"/>
      <c r="AA1084" s="37"/>
      <c r="AD1084" s="37"/>
      <c r="AE1084" s="37"/>
      <c r="AF1084" s="37"/>
    </row>
    <row r="1085" spans="1:32" x14ac:dyDescent="0.25">
      <c r="A1085" s="37"/>
      <c r="B1085" s="37"/>
      <c r="C1085" s="37"/>
      <c r="F1085" s="38"/>
      <c r="G1085" s="38"/>
      <c r="H1085" s="38"/>
      <c r="I1085" s="37"/>
      <c r="J1085" s="38"/>
      <c r="K1085" s="38"/>
      <c r="L1085" s="42"/>
      <c r="M1085" s="42"/>
      <c r="N1085" s="42"/>
      <c r="O1085" s="42"/>
      <c r="R1085" s="37"/>
      <c r="S1085" s="37"/>
      <c r="T1085" s="91"/>
      <c r="U1085" s="91"/>
      <c r="V1085" s="41"/>
      <c r="W1085" s="37"/>
      <c r="X1085" s="37"/>
      <c r="Y1085" s="43"/>
      <c r="Z1085" s="37"/>
      <c r="AA1085" s="37"/>
      <c r="AD1085" s="37"/>
      <c r="AE1085" s="37"/>
      <c r="AF1085" s="37"/>
    </row>
    <row r="1086" spans="1:32" x14ac:dyDescent="0.25">
      <c r="A1086" s="37"/>
      <c r="B1086" s="37"/>
      <c r="C1086" s="37"/>
      <c r="F1086" s="38"/>
      <c r="G1086" s="38"/>
      <c r="H1086" s="38"/>
      <c r="I1086" s="37"/>
      <c r="J1086" s="38"/>
      <c r="K1086" s="38"/>
      <c r="L1086" s="42"/>
      <c r="M1086" s="42"/>
      <c r="N1086" s="42"/>
      <c r="O1086" s="42"/>
      <c r="R1086" s="37"/>
      <c r="S1086" s="37"/>
      <c r="T1086" s="91"/>
      <c r="U1086" s="91"/>
      <c r="V1086" s="41"/>
      <c r="W1086" s="37"/>
      <c r="X1086" s="37"/>
      <c r="Y1086" s="43"/>
      <c r="Z1086" s="37"/>
      <c r="AA1086" s="37"/>
      <c r="AD1086" s="37"/>
      <c r="AE1086" s="37"/>
      <c r="AF1086" s="37"/>
    </row>
    <row r="1087" spans="1:32" x14ac:dyDescent="0.25">
      <c r="A1087" s="37"/>
      <c r="B1087" s="37"/>
      <c r="C1087" s="37"/>
      <c r="F1087" s="38"/>
      <c r="G1087" s="38"/>
      <c r="H1087" s="38"/>
      <c r="I1087" s="37"/>
      <c r="J1087" s="38"/>
      <c r="K1087" s="38"/>
      <c r="L1087" s="42"/>
      <c r="M1087" s="42"/>
      <c r="N1087" s="42"/>
      <c r="O1087" s="42"/>
      <c r="R1087" s="37"/>
      <c r="S1087" s="37"/>
      <c r="T1087" s="91"/>
      <c r="U1087" s="91"/>
      <c r="V1087" s="41"/>
      <c r="W1087" s="37"/>
      <c r="X1087" s="37"/>
      <c r="Y1087" s="43"/>
      <c r="Z1087" s="37"/>
      <c r="AA1087" s="37"/>
      <c r="AD1087" s="37"/>
      <c r="AE1087" s="37"/>
      <c r="AF1087" s="37"/>
    </row>
    <row r="1088" spans="1:32" x14ac:dyDescent="0.25">
      <c r="A1088" s="37"/>
      <c r="B1088" s="37"/>
      <c r="C1088" s="37"/>
      <c r="F1088" s="38"/>
      <c r="G1088" s="38"/>
      <c r="H1088" s="38"/>
      <c r="I1088" s="37"/>
      <c r="J1088" s="38"/>
      <c r="K1088" s="38"/>
      <c r="L1088" s="42"/>
      <c r="M1088" s="42"/>
      <c r="N1088" s="42"/>
      <c r="O1088" s="42"/>
      <c r="R1088" s="37"/>
      <c r="S1088" s="37"/>
      <c r="T1088" s="91"/>
      <c r="U1088" s="91"/>
      <c r="V1088" s="41"/>
      <c r="W1088" s="37"/>
      <c r="X1088" s="37"/>
      <c r="Y1088" s="43"/>
      <c r="Z1088" s="37"/>
      <c r="AA1088" s="37"/>
      <c r="AD1088" s="37"/>
      <c r="AE1088" s="37"/>
      <c r="AF1088" s="37"/>
    </row>
    <row r="1089" spans="1:32" x14ac:dyDescent="0.25">
      <c r="A1089" s="37"/>
      <c r="B1089" s="37"/>
      <c r="C1089" s="37"/>
      <c r="F1089" s="38"/>
      <c r="G1089" s="38"/>
      <c r="H1089" s="38"/>
      <c r="I1089" s="37"/>
      <c r="J1089" s="38"/>
      <c r="K1089" s="38"/>
      <c r="L1089" s="42"/>
      <c r="M1089" s="42"/>
      <c r="N1089" s="42"/>
      <c r="O1089" s="42"/>
      <c r="R1089" s="37"/>
      <c r="S1089" s="37"/>
      <c r="T1089" s="91"/>
      <c r="U1089" s="91"/>
      <c r="V1089" s="41"/>
      <c r="W1089" s="37"/>
      <c r="X1089" s="37"/>
      <c r="Y1089" s="43"/>
      <c r="Z1089" s="37"/>
      <c r="AA1089" s="37"/>
      <c r="AD1089" s="37"/>
      <c r="AE1089" s="37"/>
      <c r="AF1089" s="37"/>
    </row>
    <row r="1090" spans="1:32" x14ac:dyDescent="0.25">
      <c r="A1090" s="37"/>
      <c r="B1090" s="37"/>
      <c r="C1090" s="37"/>
      <c r="F1090" s="38"/>
      <c r="G1090" s="38"/>
      <c r="H1090" s="38"/>
      <c r="I1090" s="37"/>
      <c r="J1090" s="38"/>
      <c r="K1090" s="38"/>
      <c r="L1090" s="42"/>
      <c r="M1090" s="42"/>
      <c r="N1090" s="42"/>
      <c r="O1090" s="42"/>
      <c r="R1090" s="37"/>
      <c r="S1090" s="37"/>
      <c r="T1090" s="91"/>
      <c r="U1090" s="91"/>
      <c r="V1090" s="41"/>
      <c r="W1090" s="37"/>
      <c r="X1090" s="37"/>
      <c r="Y1090" s="43"/>
      <c r="Z1090" s="37"/>
      <c r="AA1090" s="37"/>
      <c r="AD1090" s="37"/>
      <c r="AE1090" s="37"/>
      <c r="AF1090" s="37"/>
    </row>
    <row r="1091" spans="1:32" x14ac:dyDescent="0.25">
      <c r="A1091" s="37"/>
      <c r="B1091" s="37"/>
      <c r="C1091" s="37"/>
      <c r="F1091" s="38"/>
      <c r="G1091" s="38"/>
      <c r="H1091" s="38"/>
      <c r="I1091" s="37"/>
      <c r="J1091" s="38"/>
      <c r="K1091" s="38"/>
      <c r="L1091" s="42"/>
      <c r="M1091" s="42"/>
      <c r="N1091" s="42"/>
      <c r="O1091" s="42"/>
      <c r="R1091" s="37"/>
      <c r="S1091" s="37"/>
      <c r="T1091" s="91"/>
      <c r="U1091" s="91"/>
      <c r="V1091" s="41"/>
      <c r="W1091" s="37"/>
      <c r="X1091" s="37"/>
      <c r="Y1091" s="43"/>
      <c r="Z1091" s="37"/>
      <c r="AA1091" s="37"/>
      <c r="AD1091" s="37"/>
      <c r="AE1091" s="37"/>
      <c r="AF1091" s="37"/>
    </row>
    <row r="1092" spans="1:32" x14ac:dyDescent="0.25">
      <c r="A1092" s="37"/>
      <c r="B1092" s="37"/>
      <c r="C1092" s="37"/>
      <c r="F1092" s="38"/>
      <c r="G1092" s="38"/>
      <c r="H1092" s="38"/>
      <c r="I1092" s="37"/>
      <c r="J1092" s="38"/>
      <c r="K1092" s="38"/>
      <c r="L1092" s="42"/>
      <c r="M1092" s="42"/>
      <c r="N1092" s="42"/>
      <c r="O1092" s="42"/>
      <c r="R1092" s="37"/>
      <c r="S1092" s="37"/>
      <c r="T1092" s="91"/>
      <c r="U1092" s="91"/>
      <c r="V1092" s="41"/>
      <c r="W1092" s="37"/>
      <c r="X1092" s="37"/>
      <c r="Y1092" s="43"/>
      <c r="Z1092" s="37"/>
      <c r="AA1092" s="37"/>
      <c r="AD1092" s="37"/>
      <c r="AE1092" s="37"/>
      <c r="AF1092" s="37"/>
    </row>
    <row r="1093" spans="1:32" x14ac:dyDescent="0.25">
      <c r="A1093" s="37"/>
      <c r="B1093" s="37"/>
      <c r="C1093" s="37"/>
      <c r="F1093" s="38"/>
      <c r="G1093" s="38"/>
      <c r="H1093" s="38"/>
      <c r="I1093" s="37"/>
      <c r="J1093" s="38"/>
      <c r="K1093" s="38"/>
      <c r="L1093" s="42"/>
      <c r="M1093" s="42"/>
      <c r="N1093" s="42"/>
      <c r="O1093" s="42"/>
      <c r="R1093" s="37"/>
      <c r="S1093" s="37"/>
      <c r="T1093" s="91"/>
      <c r="U1093" s="91"/>
      <c r="V1093" s="41"/>
      <c r="W1093" s="37"/>
      <c r="X1093" s="37"/>
      <c r="Y1093" s="43"/>
      <c r="Z1093" s="37"/>
      <c r="AA1093" s="37"/>
      <c r="AD1093" s="37"/>
      <c r="AE1093" s="37"/>
      <c r="AF1093" s="37"/>
    </row>
    <row r="1094" spans="1:32" x14ac:dyDescent="0.25">
      <c r="A1094" s="37"/>
      <c r="B1094" s="37"/>
      <c r="C1094" s="37"/>
      <c r="F1094" s="38"/>
      <c r="G1094" s="38"/>
      <c r="H1094" s="38"/>
      <c r="I1094" s="37"/>
      <c r="J1094" s="38"/>
      <c r="K1094" s="38"/>
      <c r="L1094" s="42"/>
      <c r="M1094" s="42"/>
      <c r="N1094" s="42"/>
      <c r="O1094" s="42"/>
      <c r="R1094" s="37"/>
      <c r="S1094" s="37"/>
      <c r="T1094" s="91"/>
      <c r="U1094" s="91"/>
      <c r="V1094" s="41"/>
      <c r="W1094" s="37"/>
      <c r="X1094" s="37"/>
      <c r="Y1094" s="43"/>
      <c r="Z1094" s="37"/>
      <c r="AA1094" s="37"/>
      <c r="AD1094" s="37"/>
      <c r="AE1094" s="37"/>
      <c r="AF1094" s="37"/>
    </row>
    <row r="1095" spans="1:32" x14ac:dyDescent="0.25">
      <c r="A1095" s="37"/>
      <c r="B1095" s="37"/>
      <c r="C1095" s="37"/>
      <c r="F1095" s="38"/>
      <c r="G1095" s="38"/>
      <c r="H1095" s="38"/>
      <c r="I1095" s="37"/>
      <c r="J1095" s="38"/>
      <c r="K1095" s="38"/>
      <c r="L1095" s="42"/>
      <c r="M1095" s="42"/>
      <c r="N1095" s="42"/>
      <c r="O1095" s="42"/>
      <c r="R1095" s="37"/>
      <c r="S1095" s="37"/>
      <c r="T1095" s="91"/>
      <c r="U1095" s="91"/>
      <c r="V1095" s="41"/>
      <c r="W1095" s="37"/>
      <c r="X1095" s="37"/>
      <c r="Y1095" s="43"/>
      <c r="Z1095" s="37"/>
      <c r="AA1095" s="37"/>
      <c r="AD1095" s="37"/>
      <c r="AE1095" s="37"/>
      <c r="AF1095" s="37"/>
    </row>
    <row r="1096" spans="1:32" x14ac:dyDescent="0.25">
      <c r="A1096" s="37"/>
      <c r="B1096" s="37"/>
      <c r="C1096" s="37"/>
      <c r="F1096" s="38"/>
      <c r="G1096" s="38"/>
      <c r="H1096" s="38"/>
      <c r="I1096" s="37"/>
      <c r="J1096" s="38"/>
      <c r="K1096" s="38"/>
      <c r="L1096" s="42"/>
      <c r="M1096" s="42"/>
      <c r="N1096" s="42"/>
      <c r="O1096" s="42"/>
      <c r="R1096" s="37"/>
      <c r="S1096" s="37"/>
      <c r="T1096" s="91"/>
      <c r="U1096" s="91"/>
      <c r="V1096" s="41"/>
      <c r="W1096" s="37"/>
      <c r="X1096" s="37"/>
      <c r="Y1096" s="43"/>
      <c r="Z1096" s="37"/>
      <c r="AA1096" s="37"/>
      <c r="AD1096" s="37"/>
      <c r="AE1096" s="37"/>
      <c r="AF1096" s="37"/>
    </row>
    <row r="1097" spans="1:32" x14ac:dyDescent="0.25">
      <c r="A1097" s="37"/>
      <c r="B1097" s="37"/>
      <c r="C1097" s="37"/>
      <c r="F1097" s="38"/>
      <c r="G1097" s="38"/>
      <c r="H1097" s="38"/>
      <c r="I1097" s="37"/>
      <c r="J1097" s="38"/>
      <c r="K1097" s="38"/>
      <c r="L1097" s="42"/>
      <c r="M1097" s="42"/>
      <c r="N1097" s="42"/>
      <c r="O1097" s="42"/>
      <c r="R1097" s="37"/>
      <c r="S1097" s="37"/>
      <c r="T1097" s="91"/>
      <c r="U1097" s="91"/>
      <c r="V1097" s="41"/>
      <c r="W1097" s="37"/>
      <c r="X1097" s="37"/>
      <c r="Y1097" s="43"/>
      <c r="Z1097" s="37"/>
      <c r="AA1097" s="37"/>
      <c r="AD1097" s="37"/>
      <c r="AE1097" s="37"/>
      <c r="AF1097" s="37"/>
    </row>
    <row r="1098" spans="1:32" x14ac:dyDescent="0.25">
      <c r="A1098" s="37"/>
      <c r="B1098" s="37"/>
      <c r="C1098" s="37"/>
      <c r="F1098" s="38"/>
      <c r="G1098" s="38"/>
      <c r="H1098" s="38"/>
      <c r="I1098" s="37"/>
      <c r="J1098" s="38"/>
      <c r="K1098" s="38"/>
      <c r="L1098" s="42"/>
      <c r="M1098" s="42"/>
      <c r="N1098" s="42"/>
      <c r="O1098" s="42"/>
      <c r="R1098" s="37"/>
      <c r="S1098" s="37"/>
      <c r="T1098" s="91"/>
      <c r="U1098" s="91"/>
      <c r="V1098" s="41"/>
      <c r="W1098" s="37"/>
      <c r="X1098" s="37"/>
      <c r="Y1098" s="43"/>
      <c r="Z1098" s="37"/>
      <c r="AA1098" s="37"/>
      <c r="AD1098" s="37"/>
      <c r="AE1098" s="37"/>
      <c r="AF1098" s="37"/>
    </row>
    <row r="1099" spans="1:32" x14ac:dyDescent="0.25">
      <c r="A1099" s="37"/>
      <c r="B1099" s="37"/>
      <c r="C1099" s="37"/>
      <c r="F1099" s="38"/>
      <c r="G1099" s="38"/>
      <c r="H1099" s="38"/>
      <c r="I1099" s="37"/>
      <c r="J1099" s="38"/>
      <c r="K1099" s="38"/>
      <c r="L1099" s="42"/>
      <c r="M1099" s="42"/>
      <c r="N1099" s="42"/>
      <c r="O1099" s="42"/>
      <c r="R1099" s="37"/>
      <c r="S1099" s="37"/>
      <c r="T1099" s="91"/>
      <c r="U1099" s="91"/>
      <c r="V1099" s="41"/>
      <c r="W1099" s="37"/>
      <c r="X1099" s="37"/>
      <c r="Y1099" s="43"/>
      <c r="Z1099" s="37"/>
      <c r="AA1099" s="37"/>
      <c r="AD1099" s="37"/>
      <c r="AE1099" s="37"/>
      <c r="AF1099" s="37"/>
    </row>
    <row r="1100" spans="1:32" x14ac:dyDescent="0.25">
      <c r="A1100" s="37"/>
      <c r="B1100" s="37"/>
      <c r="C1100" s="37"/>
      <c r="F1100" s="38"/>
      <c r="G1100" s="38"/>
      <c r="H1100" s="38"/>
      <c r="I1100" s="37"/>
      <c r="J1100" s="38"/>
      <c r="K1100" s="38"/>
      <c r="L1100" s="42"/>
      <c r="M1100" s="42"/>
      <c r="N1100" s="42"/>
      <c r="O1100" s="42"/>
      <c r="R1100" s="37"/>
      <c r="S1100" s="37"/>
      <c r="T1100" s="91"/>
      <c r="U1100" s="91"/>
      <c r="V1100" s="41"/>
      <c r="W1100" s="37"/>
      <c r="X1100" s="37"/>
      <c r="Y1100" s="43"/>
      <c r="Z1100" s="37"/>
      <c r="AA1100" s="37"/>
      <c r="AD1100" s="37"/>
      <c r="AE1100" s="37"/>
      <c r="AF1100" s="37"/>
    </row>
    <row r="1101" spans="1:32" x14ac:dyDescent="0.25">
      <c r="A1101" s="37"/>
      <c r="B1101" s="37"/>
      <c r="C1101" s="37"/>
      <c r="F1101" s="38"/>
      <c r="G1101" s="38"/>
      <c r="H1101" s="38"/>
      <c r="I1101" s="37"/>
      <c r="J1101" s="38"/>
      <c r="K1101" s="38"/>
      <c r="L1101" s="42"/>
      <c r="M1101" s="42"/>
      <c r="N1101" s="42"/>
      <c r="O1101" s="42"/>
      <c r="R1101" s="37"/>
      <c r="S1101" s="37"/>
      <c r="T1101" s="91"/>
      <c r="U1101" s="91"/>
      <c r="V1101" s="41"/>
      <c r="W1101" s="37"/>
      <c r="X1101" s="37"/>
      <c r="Y1101" s="43"/>
      <c r="Z1101" s="37"/>
      <c r="AA1101" s="37"/>
      <c r="AD1101" s="37"/>
      <c r="AE1101" s="37"/>
      <c r="AF1101" s="37"/>
    </row>
    <row r="1102" spans="1:32" x14ac:dyDescent="0.25">
      <c r="A1102" s="37"/>
      <c r="B1102" s="37"/>
      <c r="C1102" s="37"/>
      <c r="F1102" s="38"/>
      <c r="G1102" s="38"/>
      <c r="H1102" s="38"/>
      <c r="I1102" s="37"/>
      <c r="J1102" s="38"/>
      <c r="K1102" s="38"/>
      <c r="L1102" s="42"/>
      <c r="M1102" s="42"/>
      <c r="N1102" s="42"/>
      <c r="O1102" s="42"/>
      <c r="R1102" s="37"/>
      <c r="S1102" s="37"/>
      <c r="T1102" s="91"/>
      <c r="U1102" s="91"/>
      <c r="V1102" s="41"/>
      <c r="W1102" s="37"/>
      <c r="X1102" s="37"/>
      <c r="Y1102" s="43"/>
      <c r="Z1102" s="37"/>
      <c r="AA1102" s="37"/>
      <c r="AD1102" s="37"/>
      <c r="AE1102" s="37"/>
      <c r="AF1102" s="37"/>
    </row>
    <row r="1103" spans="1:32" x14ac:dyDescent="0.25">
      <c r="A1103" s="37"/>
      <c r="B1103" s="37"/>
      <c r="C1103" s="37"/>
      <c r="F1103" s="38"/>
      <c r="G1103" s="38"/>
      <c r="H1103" s="38"/>
      <c r="I1103" s="37"/>
      <c r="J1103" s="38"/>
      <c r="K1103" s="38"/>
      <c r="L1103" s="42"/>
      <c r="M1103" s="42"/>
      <c r="N1103" s="42"/>
      <c r="O1103" s="42"/>
      <c r="R1103" s="37"/>
      <c r="S1103" s="37"/>
      <c r="T1103" s="91"/>
      <c r="U1103" s="91"/>
      <c r="V1103" s="41"/>
      <c r="W1103" s="37"/>
      <c r="X1103" s="37"/>
      <c r="Y1103" s="43"/>
      <c r="Z1103" s="37"/>
      <c r="AA1103" s="37"/>
      <c r="AD1103" s="37"/>
      <c r="AE1103" s="37"/>
      <c r="AF1103" s="37"/>
    </row>
    <row r="1104" spans="1:32" x14ac:dyDescent="0.25">
      <c r="A1104" s="37"/>
      <c r="B1104" s="37"/>
      <c r="C1104" s="37"/>
      <c r="F1104" s="38"/>
      <c r="G1104" s="38"/>
      <c r="H1104" s="38"/>
      <c r="I1104" s="37"/>
      <c r="J1104" s="38"/>
      <c r="K1104" s="38"/>
      <c r="L1104" s="42"/>
      <c r="M1104" s="42"/>
      <c r="N1104" s="42"/>
      <c r="O1104" s="42"/>
      <c r="R1104" s="37"/>
      <c r="S1104" s="37"/>
      <c r="T1104" s="91"/>
      <c r="U1104" s="91"/>
      <c r="V1104" s="41"/>
      <c r="W1104" s="37"/>
      <c r="X1104" s="37"/>
      <c r="Y1104" s="43"/>
      <c r="Z1104" s="37"/>
      <c r="AA1104" s="37"/>
      <c r="AD1104" s="37"/>
      <c r="AE1104" s="37"/>
      <c r="AF1104" s="37"/>
    </row>
    <row r="1105" spans="1:32" x14ac:dyDescent="0.25">
      <c r="A1105" s="37"/>
      <c r="B1105" s="37"/>
      <c r="C1105" s="37"/>
      <c r="F1105" s="38"/>
      <c r="G1105" s="38"/>
      <c r="H1105" s="38"/>
      <c r="I1105" s="37"/>
      <c r="J1105" s="38"/>
      <c r="K1105" s="38"/>
      <c r="L1105" s="42"/>
      <c r="M1105" s="42"/>
      <c r="N1105" s="42"/>
      <c r="O1105" s="42"/>
      <c r="R1105" s="37"/>
      <c r="S1105" s="37"/>
      <c r="T1105" s="91"/>
      <c r="U1105" s="91"/>
      <c r="V1105" s="41"/>
      <c r="W1105" s="37"/>
      <c r="X1105" s="37"/>
      <c r="Y1105" s="43"/>
      <c r="Z1105" s="37"/>
      <c r="AA1105" s="37"/>
      <c r="AD1105" s="37"/>
      <c r="AE1105" s="37"/>
      <c r="AF1105" s="37"/>
    </row>
    <row r="1106" spans="1:32" x14ac:dyDescent="0.25">
      <c r="A1106" s="37"/>
      <c r="B1106" s="37"/>
      <c r="C1106" s="37"/>
      <c r="F1106" s="38"/>
      <c r="G1106" s="38"/>
      <c r="H1106" s="38"/>
      <c r="I1106" s="37"/>
      <c r="J1106" s="38"/>
      <c r="K1106" s="38"/>
      <c r="L1106" s="42"/>
      <c r="M1106" s="42"/>
      <c r="N1106" s="42"/>
      <c r="O1106" s="42"/>
      <c r="R1106" s="37"/>
      <c r="S1106" s="37"/>
      <c r="T1106" s="91"/>
      <c r="U1106" s="91"/>
      <c r="V1106" s="41"/>
      <c r="W1106" s="37"/>
      <c r="X1106" s="37"/>
      <c r="Y1106" s="43"/>
      <c r="Z1106" s="37"/>
      <c r="AA1106" s="37"/>
      <c r="AD1106" s="37"/>
      <c r="AE1106" s="37"/>
      <c r="AF1106" s="37"/>
    </row>
    <row r="1107" spans="1:32" x14ac:dyDescent="0.25">
      <c r="A1107" s="37"/>
      <c r="B1107" s="37"/>
      <c r="C1107" s="37"/>
      <c r="F1107" s="38"/>
      <c r="G1107" s="38"/>
      <c r="H1107" s="38"/>
      <c r="I1107" s="37"/>
      <c r="J1107" s="38"/>
      <c r="K1107" s="38"/>
      <c r="L1107" s="42"/>
      <c r="M1107" s="42"/>
      <c r="N1107" s="42"/>
      <c r="O1107" s="42"/>
      <c r="R1107" s="37"/>
      <c r="S1107" s="37"/>
      <c r="T1107" s="91"/>
      <c r="U1107" s="91"/>
      <c r="V1107" s="41"/>
      <c r="W1107" s="37"/>
      <c r="X1107" s="37"/>
      <c r="Y1107" s="43"/>
      <c r="Z1107" s="37"/>
      <c r="AA1107" s="37"/>
      <c r="AD1107" s="37"/>
      <c r="AE1107" s="37"/>
      <c r="AF1107" s="37"/>
    </row>
    <row r="1108" spans="1:32" x14ac:dyDescent="0.25">
      <c r="A1108" s="37"/>
      <c r="B1108" s="37"/>
      <c r="C1108" s="37"/>
      <c r="F1108" s="38"/>
      <c r="G1108" s="38"/>
      <c r="H1108" s="38"/>
      <c r="I1108" s="37"/>
      <c r="J1108" s="38"/>
      <c r="K1108" s="38"/>
      <c r="L1108" s="42"/>
      <c r="M1108" s="42"/>
      <c r="N1108" s="42"/>
      <c r="O1108" s="42"/>
      <c r="R1108" s="37"/>
      <c r="S1108" s="37"/>
      <c r="T1108" s="91"/>
      <c r="U1108" s="91"/>
      <c r="V1108" s="41"/>
      <c r="W1108" s="37"/>
      <c r="X1108" s="37"/>
      <c r="Y1108" s="43"/>
      <c r="Z1108" s="37"/>
      <c r="AA1108" s="37"/>
      <c r="AD1108" s="37"/>
      <c r="AE1108" s="37"/>
      <c r="AF1108" s="37"/>
    </row>
    <row r="1109" spans="1:32" x14ac:dyDescent="0.25">
      <c r="A1109" s="37"/>
      <c r="B1109" s="37"/>
      <c r="C1109" s="37"/>
      <c r="F1109" s="38"/>
      <c r="G1109" s="38"/>
      <c r="H1109" s="38"/>
      <c r="I1109" s="37"/>
      <c r="J1109" s="38"/>
      <c r="K1109" s="38"/>
      <c r="L1109" s="42"/>
      <c r="M1109" s="42"/>
      <c r="N1109" s="42"/>
      <c r="O1109" s="42"/>
      <c r="R1109" s="37"/>
      <c r="S1109" s="37"/>
      <c r="T1109" s="91"/>
      <c r="U1109" s="91"/>
      <c r="V1109" s="41"/>
      <c r="W1109" s="37"/>
      <c r="X1109" s="37"/>
      <c r="Y1109" s="43"/>
      <c r="Z1109" s="37"/>
      <c r="AA1109" s="37"/>
      <c r="AD1109" s="37"/>
      <c r="AE1109" s="37"/>
      <c r="AF1109" s="37"/>
    </row>
    <row r="1110" spans="1:32" x14ac:dyDescent="0.25">
      <c r="A1110" s="37"/>
      <c r="B1110" s="37"/>
      <c r="C1110" s="37"/>
      <c r="F1110" s="38"/>
      <c r="G1110" s="38"/>
      <c r="H1110" s="38"/>
      <c r="I1110" s="37"/>
      <c r="J1110" s="38"/>
      <c r="K1110" s="38"/>
      <c r="L1110" s="42"/>
      <c r="M1110" s="42"/>
      <c r="N1110" s="42"/>
      <c r="O1110" s="42"/>
      <c r="R1110" s="37"/>
      <c r="S1110" s="37"/>
      <c r="T1110" s="91"/>
      <c r="U1110" s="91"/>
      <c r="V1110" s="41"/>
      <c r="W1110" s="37"/>
      <c r="X1110" s="37"/>
      <c r="Y1110" s="43"/>
      <c r="Z1110" s="37"/>
      <c r="AA1110" s="37"/>
      <c r="AD1110" s="37"/>
      <c r="AE1110" s="37"/>
      <c r="AF1110" s="37"/>
    </row>
    <row r="1111" spans="1:32" x14ac:dyDescent="0.25">
      <c r="A1111" s="37"/>
      <c r="B1111" s="37"/>
      <c r="C1111" s="37"/>
      <c r="F1111" s="38"/>
      <c r="G1111" s="38"/>
      <c r="H1111" s="38"/>
      <c r="I1111" s="37"/>
      <c r="J1111" s="38"/>
      <c r="K1111" s="38"/>
      <c r="L1111" s="42"/>
      <c r="M1111" s="42"/>
      <c r="N1111" s="42"/>
      <c r="O1111" s="42"/>
      <c r="R1111" s="37"/>
      <c r="S1111" s="37"/>
      <c r="T1111" s="91"/>
      <c r="U1111" s="91"/>
      <c r="V1111" s="41"/>
      <c r="W1111" s="37"/>
      <c r="X1111" s="37"/>
      <c r="Y1111" s="43"/>
      <c r="Z1111" s="37"/>
      <c r="AA1111" s="37"/>
      <c r="AD1111" s="37"/>
      <c r="AE1111" s="37"/>
      <c r="AF1111" s="37"/>
    </row>
    <row r="1112" spans="1:32" x14ac:dyDescent="0.25">
      <c r="A1112" s="37"/>
      <c r="B1112" s="37"/>
      <c r="C1112" s="37"/>
      <c r="F1112" s="38"/>
      <c r="G1112" s="38"/>
      <c r="H1112" s="38"/>
      <c r="I1112" s="37"/>
      <c r="J1112" s="38"/>
      <c r="K1112" s="38"/>
      <c r="L1112" s="42"/>
      <c r="M1112" s="42"/>
      <c r="N1112" s="42"/>
      <c r="O1112" s="42"/>
      <c r="R1112" s="37"/>
      <c r="S1112" s="37"/>
      <c r="T1112" s="91"/>
      <c r="U1112" s="91"/>
      <c r="V1112" s="41"/>
      <c r="W1112" s="37"/>
      <c r="X1112" s="37"/>
      <c r="Y1112" s="43"/>
      <c r="Z1112" s="37"/>
      <c r="AA1112" s="37"/>
      <c r="AD1112" s="37"/>
      <c r="AE1112" s="37"/>
      <c r="AF1112" s="37"/>
    </row>
    <row r="1113" spans="1:32" x14ac:dyDescent="0.25">
      <c r="A1113" s="37"/>
      <c r="B1113" s="37"/>
      <c r="C1113" s="37"/>
      <c r="F1113" s="38"/>
      <c r="G1113" s="38"/>
      <c r="H1113" s="38"/>
      <c r="I1113" s="37"/>
      <c r="J1113" s="38"/>
      <c r="K1113" s="38"/>
      <c r="L1113" s="42"/>
      <c r="M1113" s="42"/>
      <c r="N1113" s="42"/>
      <c r="O1113" s="42"/>
      <c r="R1113" s="37"/>
      <c r="S1113" s="37"/>
      <c r="T1113" s="91"/>
      <c r="U1113" s="91"/>
      <c r="V1113" s="41"/>
      <c r="W1113" s="37"/>
      <c r="X1113" s="37"/>
      <c r="Y1113" s="43"/>
      <c r="Z1113" s="37"/>
      <c r="AA1113" s="37"/>
      <c r="AD1113" s="37"/>
      <c r="AE1113" s="37"/>
      <c r="AF1113" s="37"/>
    </row>
    <row r="1114" spans="1:32" x14ac:dyDescent="0.25">
      <c r="A1114" s="37"/>
      <c r="B1114" s="37"/>
      <c r="C1114" s="37"/>
      <c r="F1114" s="38"/>
      <c r="G1114" s="38"/>
      <c r="H1114" s="38"/>
      <c r="I1114" s="37"/>
      <c r="J1114" s="38"/>
      <c r="K1114" s="38"/>
      <c r="L1114" s="42"/>
      <c r="M1114" s="42"/>
      <c r="N1114" s="42"/>
      <c r="O1114" s="42"/>
      <c r="R1114" s="37"/>
      <c r="S1114" s="37"/>
      <c r="T1114" s="91"/>
      <c r="U1114" s="91"/>
      <c r="V1114" s="41"/>
      <c r="W1114" s="37"/>
      <c r="X1114" s="37"/>
      <c r="Y1114" s="43"/>
      <c r="Z1114" s="37"/>
      <c r="AA1114" s="37"/>
      <c r="AD1114" s="37"/>
      <c r="AE1114" s="37"/>
      <c r="AF1114" s="37"/>
    </row>
    <row r="1115" spans="1:32" x14ac:dyDescent="0.25">
      <c r="A1115" s="37"/>
      <c r="B1115" s="37"/>
      <c r="C1115" s="37"/>
      <c r="F1115" s="38"/>
      <c r="G1115" s="38"/>
      <c r="H1115" s="38"/>
      <c r="I1115" s="37"/>
      <c r="J1115" s="38"/>
      <c r="K1115" s="38"/>
      <c r="L1115" s="42"/>
      <c r="M1115" s="42"/>
      <c r="N1115" s="42"/>
      <c r="O1115" s="42"/>
      <c r="R1115" s="37"/>
      <c r="S1115" s="37"/>
      <c r="T1115" s="91"/>
      <c r="U1115" s="91"/>
      <c r="V1115" s="41"/>
      <c r="W1115" s="37"/>
      <c r="X1115" s="37"/>
      <c r="Y1115" s="43"/>
      <c r="Z1115" s="37"/>
      <c r="AA1115" s="37"/>
      <c r="AD1115" s="37"/>
      <c r="AE1115" s="37"/>
      <c r="AF1115" s="37"/>
    </row>
    <row r="1116" spans="1:32" x14ac:dyDescent="0.25">
      <c r="A1116" s="37"/>
      <c r="B1116" s="37"/>
      <c r="C1116" s="37"/>
      <c r="F1116" s="38"/>
      <c r="G1116" s="38"/>
      <c r="H1116" s="38"/>
      <c r="I1116" s="37"/>
      <c r="J1116" s="38"/>
      <c r="K1116" s="38"/>
      <c r="L1116" s="42"/>
      <c r="M1116" s="42"/>
      <c r="N1116" s="42"/>
      <c r="O1116" s="42"/>
      <c r="R1116" s="37"/>
      <c r="S1116" s="37"/>
      <c r="T1116" s="91"/>
      <c r="U1116" s="91"/>
      <c r="V1116" s="41"/>
      <c r="W1116" s="37"/>
      <c r="X1116" s="37"/>
      <c r="Y1116" s="43"/>
      <c r="Z1116" s="37"/>
      <c r="AA1116" s="37"/>
      <c r="AD1116" s="37"/>
      <c r="AE1116" s="37"/>
      <c r="AF1116" s="37"/>
    </row>
    <row r="1117" spans="1:32" x14ac:dyDescent="0.25">
      <c r="A1117" s="37"/>
      <c r="B1117" s="37"/>
      <c r="C1117" s="37"/>
      <c r="F1117" s="38"/>
      <c r="G1117" s="38"/>
      <c r="H1117" s="38"/>
      <c r="I1117" s="37"/>
      <c r="J1117" s="38"/>
      <c r="K1117" s="38"/>
      <c r="L1117" s="42"/>
      <c r="M1117" s="42"/>
      <c r="N1117" s="42"/>
      <c r="O1117" s="42"/>
      <c r="R1117" s="37"/>
      <c r="S1117" s="37"/>
      <c r="T1117" s="91"/>
      <c r="U1117" s="91"/>
      <c r="V1117" s="41"/>
      <c r="W1117" s="37"/>
      <c r="X1117" s="37"/>
      <c r="Y1117" s="43"/>
      <c r="Z1117" s="37"/>
      <c r="AA1117" s="37"/>
      <c r="AD1117" s="37"/>
      <c r="AE1117" s="37"/>
      <c r="AF1117" s="37"/>
    </row>
    <row r="1118" spans="1:32" x14ac:dyDescent="0.25">
      <c r="A1118" s="37"/>
      <c r="B1118" s="37"/>
      <c r="C1118" s="37"/>
      <c r="F1118" s="38"/>
      <c r="G1118" s="38"/>
      <c r="H1118" s="38"/>
      <c r="I1118" s="37"/>
      <c r="J1118" s="38"/>
      <c r="K1118" s="38"/>
      <c r="L1118" s="42"/>
      <c r="M1118" s="42"/>
      <c r="N1118" s="42"/>
      <c r="O1118" s="42"/>
      <c r="R1118" s="37"/>
      <c r="S1118" s="37"/>
      <c r="T1118" s="91"/>
      <c r="U1118" s="91"/>
      <c r="V1118" s="41"/>
      <c r="W1118" s="37"/>
      <c r="X1118" s="37"/>
      <c r="Y1118" s="43"/>
      <c r="Z1118" s="37"/>
      <c r="AA1118" s="37"/>
      <c r="AD1118" s="37"/>
      <c r="AE1118" s="37"/>
      <c r="AF1118" s="37"/>
    </row>
    <row r="1119" spans="1:32" x14ac:dyDescent="0.25">
      <c r="A1119" s="37"/>
      <c r="B1119" s="37"/>
      <c r="C1119" s="37"/>
      <c r="F1119" s="38"/>
      <c r="G1119" s="38"/>
      <c r="H1119" s="38"/>
      <c r="I1119" s="37"/>
      <c r="J1119" s="38"/>
      <c r="K1119" s="38"/>
      <c r="L1119" s="42"/>
      <c r="M1119" s="42"/>
      <c r="N1119" s="42"/>
      <c r="O1119" s="42"/>
      <c r="R1119" s="37"/>
      <c r="S1119" s="37"/>
      <c r="T1119" s="91"/>
      <c r="U1119" s="91"/>
      <c r="V1119" s="41"/>
      <c r="W1119" s="37"/>
      <c r="X1119" s="37"/>
      <c r="Y1119" s="43"/>
      <c r="Z1119" s="37"/>
      <c r="AA1119" s="37"/>
      <c r="AD1119" s="37"/>
      <c r="AE1119" s="37"/>
      <c r="AF1119" s="37"/>
    </row>
    <row r="1120" spans="1:32" x14ac:dyDescent="0.25">
      <c r="A1120" s="37"/>
      <c r="B1120" s="37"/>
      <c r="C1120" s="37"/>
      <c r="F1120" s="38"/>
      <c r="G1120" s="38"/>
      <c r="H1120" s="38"/>
      <c r="I1120" s="37"/>
      <c r="J1120" s="38"/>
      <c r="K1120" s="38"/>
      <c r="L1120" s="42"/>
      <c r="M1120" s="42"/>
      <c r="N1120" s="42"/>
      <c r="O1120" s="42"/>
      <c r="R1120" s="37"/>
      <c r="S1120" s="37"/>
      <c r="T1120" s="91"/>
      <c r="U1120" s="91"/>
      <c r="V1120" s="41"/>
      <c r="W1120" s="37"/>
      <c r="X1120" s="37"/>
      <c r="Y1120" s="43"/>
      <c r="Z1120" s="37"/>
      <c r="AA1120" s="37"/>
      <c r="AD1120" s="37"/>
      <c r="AE1120" s="37"/>
      <c r="AF1120" s="37"/>
    </row>
    <row r="1121" spans="1:32" x14ac:dyDescent="0.25">
      <c r="A1121" s="37"/>
      <c r="B1121" s="37"/>
      <c r="C1121" s="37"/>
      <c r="F1121" s="38"/>
      <c r="G1121" s="38"/>
      <c r="H1121" s="38"/>
      <c r="I1121" s="37"/>
      <c r="J1121" s="38"/>
      <c r="K1121" s="38"/>
      <c r="L1121" s="42"/>
      <c r="M1121" s="42"/>
      <c r="N1121" s="42"/>
      <c r="O1121" s="42"/>
      <c r="R1121" s="37"/>
      <c r="S1121" s="37"/>
      <c r="T1121" s="91"/>
      <c r="U1121" s="91"/>
      <c r="V1121" s="41"/>
      <c r="W1121" s="37"/>
      <c r="X1121" s="37"/>
      <c r="Y1121" s="43"/>
      <c r="Z1121" s="37"/>
      <c r="AA1121" s="37"/>
      <c r="AD1121" s="37"/>
      <c r="AE1121" s="37"/>
      <c r="AF1121" s="37"/>
    </row>
    <row r="1122" spans="1:32" x14ac:dyDescent="0.25">
      <c r="A1122" s="37"/>
      <c r="B1122" s="37"/>
      <c r="C1122" s="37"/>
      <c r="F1122" s="38"/>
      <c r="G1122" s="38"/>
      <c r="H1122" s="38"/>
      <c r="I1122" s="37"/>
      <c r="J1122" s="38"/>
      <c r="K1122" s="38"/>
      <c r="L1122" s="42"/>
      <c r="M1122" s="42"/>
      <c r="N1122" s="42"/>
      <c r="O1122" s="42"/>
      <c r="R1122" s="37"/>
      <c r="S1122" s="37"/>
      <c r="T1122" s="91"/>
      <c r="U1122" s="91"/>
      <c r="V1122" s="41"/>
      <c r="W1122" s="37"/>
      <c r="X1122" s="37"/>
      <c r="Y1122" s="43"/>
      <c r="Z1122" s="37"/>
      <c r="AA1122" s="37"/>
      <c r="AD1122" s="37"/>
      <c r="AE1122" s="37"/>
      <c r="AF1122" s="37"/>
    </row>
    <row r="1123" spans="1:32" x14ac:dyDescent="0.25">
      <c r="A1123" s="37"/>
      <c r="B1123" s="37"/>
      <c r="C1123" s="37"/>
      <c r="F1123" s="38"/>
      <c r="G1123" s="38"/>
      <c r="H1123" s="38"/>
      <c r="I1123" s="37"/>
      <c r="J1123" s="38"/>
      <c r="K1123" s="38"/>
      <c r="L1123" s="42"/>
      <c r="M1123" s="42"/>
      <c r="N1123" s="42"/>
      <c r="O1123" s="42"/>
      <c r="R1123" s="37"/>
      <c r="S1123" s="37"/>
      <c r="T1123" s="91"/>
      <c r="U1123" s="91"/>
      <c r="V1123" s="41"/>
      <c r="W1123" s="37"/>
      <c r="X1123" s="37"/>
      <c r="Y1123" s="43"/>
      <c r="Z1123" s="37"/>
      <c r="AA1123" s="37"/>
      <c r="AD1123" s="37"/>
      <c r="AE1123" s="37"/>
      <c r="AF1123" s="37"/>
    </row>
    <row r="1124" spans="1:32" x14ac:dyDescent="0.25">
      <c r="A1124" s="37"/>
      <c r="B1124" s="37"/>
      <c r="C1124" s="37"/>
      <c r="F1124" s="38"/>
      <c r="G1124" s="38"/>
      <c r="H1124" s="38"/>
      <c r="I1124" s="37"/>
      <c r="J1124" s="38"/>
      <c r="K1124" s="38"/>
      <c r="L1124" s="42"/>
      <c r="M1124" s="42"/>
      <c r="N1124" s="42"/>
      <c r="O1124" s="42"/>
      <c r="R1124" s="37"/>
      <c r="S1124" s="37"/>
      <c r="T1124" s="91"/>
      <c r="U1124" s="91"/>
      <c r="V1124" s="41"/>
      <c r="W1124" s="37"/>
      <c r="X1124" s="37"/>
      <c r="Y1124" s="43"/>
      <c r="Z1124" s="37"/>
      <c r="AA1124" s="37"/>
      <c r="AD1124" s="37"/>
      <c r="AE1124" s="37"/>
      <c r="AF1124" s="37"/>
    </row>
    <row r="1125" spans="1:32" x14ac:dyDescent="0.25">
      <c r="A1125" s="37"/>
      <c r="B1125" s="37"/>
      <c r="C1125" s="37"/>
      <c r="F1125" s="38"/>
      <c r="G1125" s="38"/>
      <c r="H1125" s="38"/>
      <c r="I1125" s="37"/>
      <c r="J1125" s="38"/>
      <c r="K1125" s="38"/>
      <c r="L1125" s="42"/>
      <c r="M1125" s="42"/>
      <c r="N1125" s="42"/>
      <c r="O1125" s="42"/>
      <c r="R1125" s="37"/>
      <c r="S1125" s="37"/>
      <c r="T1125" s="91"/>
      <c r="U1125" s="91"/>
      <c r="V1125" s="41"/>
      <c r="W1125" s="37"/>
      <c r="X1125" s="37"/>
      <c r="Y1125" s="43"/>
      <c r="Z1125" s="37"/>
      <c r="AA1125" s="37"/>
      <c r="AD1125" s="37"/>
      <c r="AE1125" s="37"/>
      <c r="AF1125" s="37"/>
    </row>
    <row r="1126" spans="1:32" x14ac:dyDescent="0.25">
      <c r="A1126" s="37"/>
      <c r="B1126" s="37"/>
      <c r="C1126" s="37"/>
      <c r="F1126" s="38"/>
      <c r="G1126" s="38"/>
      <c r="H1126" s="38"/>
      <c r="I1126" s="37"/>
      <c r="J1126" s="38"/>
      <c r="K1126" s="38"/>
      <c r="L1126" s="42"/>
      <c r="M1126" s="42"/>
      <c r="N1126" s="42"/>
      <c r="O1126" s="42"/>
      <c r="R1126" s="37"/>
      <c r="S1126" s="37"/>
      <c r="T1126" s="91"/>
      <c r="U1126" s="91"/>
      <c r="V1126" s="41"/>
      <c r="W1126" s="37"/>
      <c r="X1126" s="37"/>
      <c r="Y1126" s="43"/>
      <c r="Z1126" s="37"/>
      <c r="AA1126" s="37"/>
      <c r="AD1126" s="37"/>
      <c r="AE1126" s="37"/>
      <c r="AF1126" s="37"/>
    </row>
    <row r="1127" spans="1:32" x14ac:dyDescent="0.25">
      <c r="A1127" s="37"/>
      <c r="B1127" s="37"/>
      <c r="C1127" s="37"/>
      <c r="F1127" s="38"/>
      <c r="G1127" s="38"/>
      <c r="H1127" s="38"/>
      <c r="I1127" s="37"/>
      <c r="J1127" s="38"/>
      <c r="K1127" s="38"/>
      <c r="L1127" s="42"/>
      <c r="M1127" s="42"/>
      <c r="N1127" s="42"/>
      <c r="O1127" s="42"/>
      <c r="R1127" s="37"/>
      <c r="S1127" s="37"/>
      <c r="T1127" s="91"/>
      <c r="U1127" s="91"/>
      <c r="V1127" s="41"/>
      <c r="W1127" s="37"/>
      <c r="X1127" s="37"/>
      <c r="Y1127" s="43"/>
      <c r="Z1127" s="37"/>
      <c r="AA1127" s="37"/>
      <c r="AD1127" s="37"/>
      <c r="AE1127" s="37"/>
      <c r="AF1127" s="37"/>
    </row>
    <row r="1128" spans="1:32" x14ac:dyDescent="0.25">
      <c r="A1128" s="37"/>
      <c r="B1128" s="37"/>
      <c r="C1128" s="37"/>
      <c r="F1128" s="38"/>
      <c r="G1128" s="38"/>
      <c r="H1128" s="38"/>
      <c r="I1128" s="37"/>
      <c r="J1128" s="38"/>
      <c r="K1128" s="38"/>
      <c r="L1128" s="42"/>
      <c r="M1128" s="42"/>
      <c r="N1128" s="42"/>
      <c r="O1128" s="42"/>
      <c r="R1128" s="37"/>
      <c r="S1128" s="37"/>
      <c r="T1128" s="91"/>
      <c r="U1128" s="91"/>
      <c r="V1128" s="41"/>
      <c r="W1128" s="37"/>
      <c r="X1128" s="37"/>
      <c r="Y1128" s="43"/>
      <c r="Z1128" s="37"/>
      <c r="AA1128" s="37"/>
      <c r="AD1128" s="37"/>
      <c r="AE1128" s="37"/>
      <c r="AF1128" s="37"/>
    </row>
    <row r="1129" spans="1:32" x14ac:dyDescent="0.25">
      <c r="A1129" s="37"/>
      <c r="B1129" s="37"/>
      <c r="C1129" s="37"/>
      <c r="F1129" s="38"/>
      <c r="G1129" s="38"/>
      <c r="H1129" s="38"/>
      <c r="I1129" s="37"/>
      <c r="J1129" s="38"/>
      <c r="K1129" s="38"/>
      <c r="L1129" s="42"/>
      <c r="M1129" s="42"/>
      <c r="N1129" s="42"/>
      <c r="O1129" s="42"/>
      <c r="R1129" s="37"/>
      <c r="S1129" s="37"/>
      <c r="T1129" s="91"/>
      <c r="U1129" s="91"/>
      <c r="V1129" s="41"/>
      <c r="W1129" s="37"/>
      <c r="X1129" s="37"/>
      <c r="Y1129" s="43"/>
      <c r="Z1129" s="37"/>
      <c r="AA1129" s="37"/>
      <c r="AD1129" s="37"/>
      <c r="AE1129" s="37"/>
      <c r="AF1129" s="37"/>
    </row>
    <row r="1130" spans="1:32" x14ac:dyDescent="0.25">
      <c r="A1130" s="37"/>
      <c r="B1130" s="37"/>
      <c r="C1130" s="37"/>
      <c r="F1130" s="38"/>
      <c r="G1130" s="38"/>
      <c r="H1130" s="38"/>
      <c r="I1130" s="37"/>
      <c r="J1130" s="38"/>
      <c r="K1130" s="38"/>
      <c r="L1130" s="42"/>
      <c r="M1130" s="42"/>
      <c r="N1130" s="42"/>
      <c r="O1130" s="42"/>
      <c r="R1130" s="37"/>
      <c r="S1130" s="37"/>
      <c r="T1130" s="91"/>
      <c r="U1130" s="91"/>
      <c r="V1130" s="41"/>
      <c r="W1130" s="37"/>
      <c r="X1130" s="37"/>
      <c r="Y1130" s="43"/>
      <c r="Z1130" s="37"/>
      <c r="AA1130" s="37"/>
      <c r="AD1130" s="37"/>
      <c r="AE1130" s="37"/>
      <c r="AF1130" s="37"/>
    </row>
    <row r="1131" spans="1:32" x14ac:dyDescent="0.25">
      <c r="A1131" s="37"/>
      <c r="B1131" s="37"/>
      <c r="C1131" s="37"/>
      <c r="F1131" s="38"/>
      <c r="G1131" s="38"/>
      <c r="H1131" s="38"/>
      <c r="I1131" s="37"/>
      <c r="J1131" s="38"/>
      <c r="K1131" s="38"/>
      <c r="L1131" s="42"/>
      <c r="M1131" s="42"/>
      <c r="N1131" s="42"/>
      <c r="O1131" s="42"/>
      <c r="R1131" s="37"/>
      <c r="S1131" s="37"/>
      <c r="T1131" s="91"/>
      <c r="U1131" s="91"/>
      <c r="V1131" s="41"/>
      <c r="W1131" s="37"/>
      <c r="X1131" s="37"/>
      <c r="Y1131" s="43"/>
      <c r="Z1131" s="37"/>
      <c r="AA1131" s="37"/>
      <c r="AD1131" s="37"/>
      <c r="AE1131" s="37"/>
      <c r="AF1131" s="37"/>
    </row>
    <row r="1132" spans="1:32" x14ac:dyDescent="0.25">
      <c r="A1132" s="37"/>
      <c r="B1132" s="37"/>
      <c r="C1132" s="37"/>
      <c r="F1132" s="38"/>
      <c r="G1132" s="38"/>
      <c r="H1132" s="38"/>
      <c r="I1132" s="37"/>
      <c r="J1132" s="38"/>
      <c r="K1132" s="38"/>
      <c r="L1132" s="42"/>
      <c r="M1132" s="42"/>
      <c r="N1132" s="42"/>
      <c r="O1132" s="42"/>
      <c r="R1132" s="37"/>
      <c r="S1132" s="37"/>
      <c r="T1132" s="91"/>
      <c r="U1132" s="91"/>
      <c r="V1132" s="41"/>
      <c r="W1132" s="37"/>
      <c r="X1132" s="37"/>
      <c r="Y1132" s="43"/>
      <c r="Z1132" s="37"/>
      <c r="AA1132" s="37"/>
      <c r="AD1132" s="37"/>
      <c r="AE1132" s="37"/>
      <c r="AF1132" s="37"/>
    </row>
    <row r="1133" spans="1:32" x14ac:dyDescent="0.25">
      <c r="A1133" s="37"/>
      <c r="B1133" s="37"/>
      <c r="C1133" s="37"/>
      <c r="F1133" s="38"/>
      <c r="G1133" s="38"/>
      <c r="H1133" s="38"/>
      <c r="I1133" s="37"/>
      <c r="J1133" s="38"/>
      <c r="K1133" s="38"/>
      <c r="L1133" s="42"/>
      <c r="M1133" s="42"/>
      <c r="N1133" s="42"/>
      <c r="O1133" s="42"/>
      <c r="R1133" s="37"/>
      <c r="S1133" s="37"/>
      <c r="T1133" s="91"/>
      <c r="U1133" s="91"/>
      <c r="V1133" s="41"/>
      <c r="W1133" s="37"/>
      <c r="X1133" s="37"/>
      <c r="Y1133" s="43"/>
      <c r="Z1133" s="37"/>
      <c r="AA1133" s="37"/>
      <c r="AD1133" s="37"/>
      <c r="AE1133" s="37"/>
      <c r="AF1133" s="37"/>
    </row>
    <row r="1134" spans="1:32" x14ac:dyDescent="0.25">
      <c r="A1134" s="37"/>
      <c r="B1134" s="37"/>
      <c r="C1134" s="37"/>
      <c r="F1134" s="38"/>
      <c r="G1134" s="38"/>
      <c r="H1134" s="38"/>
      <c r="I1134" s="37"/>
      <c r="J1134" s="38"/>
      <c r="K1134" s="38"/>
      <c r="L1134" s="42"/>
      <c r="M1134" s="42"/>
      <c r="N1134" s="42"/>
      <c r="O1134" s="42"/>
      <c r="R1134" s="37"/>
      <c r="S1134" s="37"/>
      <c r="T1134" s="91"/>
      <c r="U1134" s="91"/>
      <c r="V1134" s="41"/>
      <c r="W1134" s="37"/>
      <c r="X1134" s="37"/>
      <c r="Y1134" s="43"/>
      <c r="Z1134" s="37"/>
      <c r="AA1134" s="37"/>
      <c r="AD1134" s="37"/>
      <c r="AE1134" s="37"/>
      <c r="AF1134" s="37"/>
    </row>
    <row r="1135" spans="1:32" x14ac:dyDescent="0.25">
      <c r="A1135" s="37"/>
      <c r="B1135" s="37"/>
      <c r="C1135" s="37"/>
      <c r="F1135" s="38"/>
      <c r="G1135" s="38"/>
      <c r="H1135" s="38"/>
      <c r="I1135" s="37"/>
      <c r="J1135" s="38"/>
      <c r="K1135" s="38"/>
      <c r="L1135" s="42"/>
      <c r="M1135" s="42"/>
      <c r="N1135" s="42"/>
      <c r="O1135" s="42"/>
      <c r="R1135" s="37"/>
      <c r="S1135" s="37"/>
      <c r="T1135" s="91"/>
      <c r="U1135" s="91"/>
      <c r="V1135" s="41"/>
      <c r="W1135" s="37"/>
      <c r="X1135" s="37"/>
      <c r="Y1135" s="43"/>
      <c r="Z1135" s="37"/>
      <c r="AA1135" s="37"/>
      <c r="AD1135" s="37"/>
      <c r="AE1135" s="37"/>
      <c r="AF1135" s="37"/>
    </row>
    <row r="1136" spans="1:32" x14ac:dyDescent="0.25">
      <c r="A1136" s="37"/>
      <c r="B1136" s="37"/>
      <c r="C1136" s="37"/>
      <c r="F1136" s="38"/>
      <c r="G1136" s="38"/>
      <c r="H1136" s="38"/>
      <c r="I1136" s="37"/>
      <c r="J1136" s="38"/>
      <c r="K1136" s="38"/>
      <c r="L1136" s="42"/>
      <c r="M1136" s="42"/>
      <c r="N1136" s="42"/>
      <c r="O1136" s="42"/>
      <c r="R1136" s="37"/>
      <c r="S1136" s="37"/>
      <c r="T1136" s="91"/>
      <c r="U1136" s="91"/>
      <c r="V1136" s="41"/>
      <c r="W1136" s="37"/>
      <c r="X1136" s="37"/>
      <c r="Y1136" s="43"/>
      <c r="Z1136" s="37"/>
      <c r="AA1136" s="37"/>
      <c r="AD1136" s="37"/>
      <c r="AE1136" s="37"/>
      <c r="AF1136" s="37"/>
    </row>
    <row r="1137" spans="1:32" x14ac:dyDescent="0.25">
      <c r="A1137" s="37"/>
      <c r="B1137" s="37"/>
      <c r="C1137" s="37"/>
      <c r="F1137" s="38"/>
      <c r="G1137" s="38"/>
      <c r="H1137" s="38"/>
      <c r="I1137" s="37"/>
      <c r="J1137" s="38"/>
      <c r="K1137" s="38"/>
      <c r="L1137" s="42"/>
      <c r="M1137" s="42"/>
      <c r="N1137" s="42"/>
      <c r="O1137" s="42"/>
      <c r="R1137" s="37"/>
      <c r="S1137" s="37"/>
      <c r="T1137" s="91"/>
      <c r="U1137" s="91"/>
      <c r="V1137" s="41"/>
      <c r="W1137" s="37"/>
      <c r="X1137" s="37"/>
      <c r="Y1137" s="43"/>
      <c r="Z1137" s="37"/>
      <c r="AA1137" s="37"/>
      <c r="AD1137" s="37"/>
      <c r="AE1137" s="37"/>
      <c r="AF1137" s="37"/>
    </row>
    <row r="1138" spans="1:32" x14ac:dyDescent="0.25">
      <c r="A1138" s="37"/>
      <c r="B1138" s="37"/>
      <c r="C1138" s="37"/>
      <c r="F1138" s="38"/>
      <c r="G1138" s="38"/>
      <c r="H1138" s="38"/>
      <c r="I1138" s="37"/>
      <c r="J1138" s="38"/>
      <c r="K1138" s="38"/>
      <c r="L1138" s="42"/>
      <c r="M1138" s="42"/>
      <c r="N1138" s="42"/>
      <c r="O1138" s="42"/>
      <c r="R1138" s="37"/>
      <c r="S1138" s="37"/>
      <c r="T1138" s="91"/>
      <c r="U1138" s="91"/>
      <c r="V1138" s="41"/>
      <c r="W1138" s="37"/>
      <c r="X1138" s="37"/>
      <c r="Y1138" s="43"/>
      <c r="Z1138" s="37"/>
      <c r="AA1138" s="37"/>
      <c r="AD1138" s="37"/>
      <c r="AE1138" s="37"/>
      <c r="AF1138" s="37"/>
    </row>
    <row r="1139" spans="1:32" x14ac:dyDescent="0.25">
      <c r="A1139" s="37"/>
      <c r="B1139" s="37"/>
      <c r="C1139" s="37"/>
      <c r="F1139" s="38"/>
      <c r="G1139" s="38"/>
      <c r="H1139" s="38"/>
      <c r="I1139" s="37"/>
      <c r="J1139" s="38"/>
      <c r="K1139" s="38"/>
      <c r="L1139" s="42"/>
      <c r="M1139" s="42"/>
      <c r="N1139" s="42"/>
      <c r="O1139" s="42"/>
      <c r="R1139" s="37"/>
      <c r="S1139" s="37"/>
      <c r="T1139" s="91"/>
      <c r="U1139" s="91"/>
      <c r="V1139" s="41"/>
      <c r="W1139" s="37"/>
      <c r="X1139" s="37"/>
      <c r="Y1139" s="43"/>
      <c r="Z1139" s="37"/>
      <c r="AA1139" s="37"/>
      <c r="AD1139" s="37"/>
      <c r="AE1139" s="37"/>
      <c r="AF1139" s="37"/>
    </row>
    <row r="1140" spans="1:32" x14ac:dyDescent="0.25">
      <c r="A1140" s="37"/>
      <c r="B1140" s="37"/>
      <c r="C1140" s="37"/>
      <c r="F1140" s="38"/>
      <c r="G1140" s="38"/>
      <c r="H1140" s="38"/>
      <c r="I1140" s="37"/>
      <c r="J1140" s="38"/>
      <c r="K1140" s="38"/>
      <c r="L1140" s="42"/>
      <c r="M1140" s="42"/>
      <c r="N1140" s="42"/>
      <c r="O1140" s="42"/>
      <c r="R1140" s="37"/>
      <c r="S1140" s="37"/>
      <c r="T1140" s="91"/>
      <c r="U1140" s="91"/>
      <c r="V1140" s="41"/>
      <c r="W1140" s="37"/>
      <c r="X1140" s="37"/>
      <c r="Y1140" s="43"/>
      <c r="Z1140" s="37"/>
      <c r="AA1140" s="37"/>
      <c r="AD1140" s="37"/>
      <c r="AE1140" s="37"/>
      <c r="AF1140" s="37"/>
    </row>
    <row r="1141" spans="1:32" x14ac:dyDescent="0.25">
      <c r="A1141" s="37"/>
      <c r="B1141" s="37"/>
      <c r="C1141" s="37"/>
      <c r="F1141" s="38"/>
      <c r="G1141" s="38"/>
      <c r="H1141" s="38"/>
      <c r="I1141" s="37"/>
      <c r="J1141" s="38"/>
      <c r="K1141" s="38"/>
      <c r="L1141" s="42"/>
      <c r="M1141" s="42"/>
      <c r="N1141" s="42"/>
      <c r="O1141" s="42"/>
      <c r="R1141" s="37"/>
      <c r="S1141" s="37"/>
      <c r="T1141" s="91"/>
      <c r="U1141" s="91"/>
      <c r="V1141" s="41"/>
      <c r="W1141" s="37"/>
      <c r="X1141" s="37"/>
      <c r="Y1141" s="43"/>
      <c r="Z1141" s="37"/>
      <c r="AA1141" s="37"/>
      <c r="AD1141" s="37"/>
      <c r="AE1141" s="37"/>
      <c r="AF1141" s="37"/>
    </row>
    <row r="1142" spans="1:32" x14ac:dyDescent="0.25">
      <c r="A1142" s="37"/>
      <c r="B1142" s="37"/>
      <c r="C1142" s="37"/>
      <c r="F1142" s="38"/>
      <c r="G1142" s="38"/>
      <c r="H1142" s="38"/>
      <c r="I1142" s="37"/>
      <c r="J1142" s="38"/>
      <c r="K1142" s="38"/>
      <c r="L1142" s="42"/>
      <c r="M1142" s="42"/>
      <c r="N1142" s="42"/>
      <c r="O1142" s="42"/>
      <c r="R1142" s="37"/>
      <c r="S1142" s="37"/>
      <c r="T1142" s="91"/>
      <c r="U1142" s="91"/>
      <c r="V1142" s="41"/>
      <c r="W1142" s="37"/>
      <c r="X1142" s="37"/>
      <c r="Y1142" s="43"/>
      <c r="Z1142" s="37"/>
      <c r="AA1142" s="37"/>
      <c r="AD1142" s="37"/>
      <c r="AE1142" s="37"/>
      <c r="AF1142" s="37"/>
    </row>
    <row r="1143" spans="1:32" x14ac:dyDescent="0.25">
      <c r="A1143" s="37"/>
      <c r="B1143" s="37"/>
      <c r="C1143" s="37"/>
      <c r="F1143" s="38"/>
      <c r="G1143" s="38"/>
      <c r="H1143" s="38"/>
      <c r="I1143" s="37"/>
      <c r="J1143" s="38"/>
      <c r="K1143" s="38"/>
      <c r="L1143" s="42"/>
      <c r="M1143" s="42"/>
      <c r="N1143" s="42"/>
      <c r="O1143" s="42"/>
      <c r="R1143" s="37"/>
      <c r="S1143" s="37"/>
      <c r="T1143" s="91"/>
      <c r="U1143" s="91"/>
      <c r="V1143" s="41"/>
      <c r="W1143" s="37"/>
      <c r="X1143" s="37"/>
      <c r="Y1143" s="43"/>
      <c r="Z1143" s="37"/>
      <c r="AA1143" s="37"/>
      <c r="AD1143" s="37"/>
      <c r="AE1143" s="37"/>
      <c r="AF1143" s="37"/>
    </row>
    <row r="1144" spans="1:32" x14ac:dyDescent="0.25">
      <c r="A1144" s="37"/>
      <c r="B1144" s="37"/>
      <c r="C1144" s="37"/>
      <c r="F1144" s="38"/>
      <c r="G1144" s="38"/>
      <c r="H1144" s="38"/>
      <c r="I1144" s="37"/>
      <c r="J1144" s="38"/>
      <c r="K1144" s="38"/>
      <c r="L1144" s="42"/>
      <c r="M1144" s="42"/>
      <c r="N1144" s="42"/>
      <c r="O1144" s="42"/>
      <c r="R1144" s="37"/>
      <c r="S1144" s="37"/>
      <c r="T1144" s="91"/>
      <c r="U1144" s="91"/>
      <c r="V1144" s="41"/>
      <c r="W1144" s="37"/>
      <c r="X1144" s="37"/>
      <c r="Y1144" s="43"/>
      <c r="Z1144" s="37"/>
      <c r="AA1144" s="37"/>
      <c r="AD1144" s="37"/>
      <c r="AE1144" s="37"/>
      <c r="AF1144" s="37"/>
    </row>
    <row r="1145" spans="1:32" x14ac:dyDescent="0.25">
      <c r="A1145" s="37"/>
      <c r="B1145" s="37"/>
      <c r="C1145" s="37"/>
      <c r="F1145" s="38"/>
      <c r="G1145" s="38"/>
      <c r="H1145" s="38"/>
      <c r="I1145" s="37"/>
      <c r="J1145" s="38"/>
      <c r="K1145" s="38"/>
      <c r="L1145" s="42"/>
      <c r="M1145" s="42"/>
      <c r="N1145" s="42"/>
      <c r="O1145" s="42"/>
      <c r="R1145" s="37"/>
      <c r="S1145" s="37"/>
      <c r="T1145" s="91"/>
      <c r="U1145" s="91"/>
      <c r="V1145" s="41"/>
      <c r="W1145" s="37"/>
      <c r="X1145" s="37"/>
      <c r="Y1145" s="43"/>
      <c r="Z1145" s="37"/>
      <c r="AA1145" s="37"/>
      <c r="AD1145" s="37"/>
      <c r="AE1145" s="37"/>
      <c r="AF1145" s="37"/>
    </row>
    <row r="1146" spans="1:32" x14ac:dyDescent="0.25">
      <c r="A1146" s="37"/>
      <c r="B1146" s="37"/>
      <c r="C1146" s="37"/>
      <c r="F1146" s="38"/>
      <c r="G1146" s="38"/>
      <c r="H1146" s="38"/>
      <c r="I1146" s="37"/>
      <c r="J1146" s="38"/>
      <c r="K1146" s="38"/>
      <c r="L1146" s="42"/>
      <c r="M1146" s="42"/>
      <c r="N1146" s="42"/>
      <c r="O1146" s="42"/>
      <c r="R1146" s="37"/>
      <c r="S1146" s="37"/>
      <c r="T1146" s="91"/>
      <c r="U1146" s="91"/>
      <c r="V1146" s="41"/>
      <c r="W1146" s="37"/>
      <c r="X1146" s="37"/>
      <c r="Y1146" s="43"/>
      <c r="Z1146" s="37"/>
      <c r="AA1146" s="37"/>
      <c r="AD1146" s="37"/>
      <c r="AE1146" s="37"/>
      <c r="AF1146" s="37"/>
    </row>
    <row r="1147" spans="1:32" x14ac:dyDescent="0.25">
      <c r="A1147" s="37"/>
      <c r="B1147" s="37"/>
      <c r="C1147" s="37"/>
      <c r="F1147" s="38"/>
      <c r="G1147" s="38"/>
      <c r="H1147" s="38"/>
      <c r="I1147" s="37"/>
      <c r="J1147" s="38"/>
      <c r="K1147" s="38"/>
      <c r="L1147" s="42"/>
      <c r="M1147" s="42"/>
      <c r="N1147" s="42"/>
      <c r="O1147" s="42"/>
      <c r="R1147" s="37"/>
      <c r="S1147" s="37"/>
      <c r="T1147" s="91"/>
      <c r="U1147" s="91"/>
      <c r="V1147" s="41"/>
      <c r="W1147" s="37"/>
      <c r="X1147" s="37"/>
      <c r="Y1147" s="43"/>
      <c r="Z1147" s="37"/>
      <c r="AA1147" s="37"/>
      <c r="AD1147" s="37"/>
      <c r="AE1147" s="37"/>
      <c r="AF1147" s="37"/>
    </row>
    <row r="1148" spans="1:32" x14ac:dyDescent="0.25">
      <c r="A1148" s="37"/>
      <c r="B1148" s="37"/>
      <c r="C1148" s="37"/>
      <c r="F1148" s="38"/>
      <c r="G1148" s="38"/>
      <c r="H1148" s="38"/>
      <c r="I1148" s="37"/>
      <c r="J1148" s="38"/>
      <c r="K1148" s="38"/>
      <c r="L1148" s="42"/>
      <c r="M1148" s="42"/>
      <c r="N1148" s="42"/>
      <c r="O1148" s="42"/>
      <c r="R1148" s="37"/>
      <c r="S1148" s="37"/>
      <c r="T1148" s="91"/>
      <c r="U1148" s="91"/>
      <c r="V1148" s="41"/>
      <c r="W1148" s="37"/>
      <c r="X1148" s="37"/>
      <c r="Y1148" s="43"/>
      <c r="Z1148" s="37"/>
      <c r="AA1148" s="37"/>
      <c r="AD1148" s="37"/>
      <c r="AE1148" s="37"/>
      <c r="AF1148" s="37"/>
    </row>
    <row r="1149" spans="1:32" x14ac:dyDescent="0.25">
      <c r="A1149" s="37"/>
      <c r="B1149" s="37"/>
      <c r="C1149" s="37"/>
      <c r="F1149" s="38"/>
      <c r="G1149" s="38"/>
      <c r="H1149" s="38"/>
      <c r="I1149" s="37"/>
      <c r="J1149" s="38"/>
      <c r="K1149" s="38"/>
      <c r="L1149" s="42"/>
      <c r="M1149" s="42"/>
      <c r="N1149" s="42"/>
      <c r="O1149" s="42"/>
      <c r="R1149" s="37"/>
      <c r="S1149" s="37"/>
      <c r="T1149" s="91"/>
      <c r="U1149" s="91"/>
      <c r="V1149" s="41"/>
      <c r="W1149" s="37"/>
      <c r="X1149" s="37"/>
      <c r="Y1149" s="43"/>
      <c r="Z1149" s="37"/>
      <c r="AA1149" s="37"/>
      <c r="AD1149" s="37"/>
      <c r="AE1149" s="37"/>
      <c r="AF1149" s="37"/>
    </row>
    <row r="1150" spans="1:32" x14ac:dyDescent="0.25">
      <c r="A1150" s="37"/>
      <c r="B1150" s="37"/>
      <c r="C1150" s="37"/>
      <c r="F1150" s="38"/>
      <c r="G1150" s="38"/>
      <c r="H1150" s="38"/>
      <c r="I1150" s="37"/>
      <c r="J1150" s="38"/>
      <c r="K1150" s="38"/>
      <c r="L1150" s="42"/>
      <c r="M1150" s="42"/>
      <c r="N1150" s="42"/>
      <c r="O1150" s="42"/>
      <c r="R1150" s="37"/>
      <c r="S1150" s="37"/>
      <c r="T1150" s="91"/>
      <c r="U1150" s="91"/>
      <c r="V1150" s="41"/>
      <c r="W1150" s="37"/>
      <c r="X1150" s="37"/>
      <c r="Y1150" s="43"/>
      <c r="Z1150" s="37"/>
      <c r="AA1150" s="37"/>
      <c r="AD1150" s="37"/>
      <c r="AE1150" s="37"/>
      <c r="AF1150" s="37"/>
    </row>
    <row r="1151" spans="1:32" x14ac:dyDescent="0.25">
      <c r="A1151" s="37"/>
      <c r="B1151" s="37"/>
      <c r="C1151" s="37"/>
      <c r="F1151" s="38"/>
      <c r="G1151" s="38"/>
      <c r="H1151" s="38"/>
      <c r="I1151" s="37"/>
      <c r="J1151" s="38"/>
      <c r="K1151" s="38"/>
      <c r="L1151" s="42"/>
      <c r="M1151" s="42"/>
      <c r="N1151" s="42"/>
      <c r="O1151" s="42"/>
      <c r="R1151" s="37"/>
      <c r="S1151" s="37"/>
      <c r="T1151" s="91"/>
      <c r="U1151" s="91"/>
      <c r="V1151" s="41"/>
      <c r="W1151" s="37"/>
      <c r="X1151" s="37"/>
      <c r="Y1151" s="43"/>
      <c r="Z1151" s="37"/>
      <c r="AA1151" s="37"/>
      <c r="AD1151" s="37"/>
      <c r="AE1151" s="37"/>
      <c r="AF1151" s="37"/>
    </row>
    <row r="1152" spans="1:32" x14ac:dyDescent="0.25">
      <c r="A1152" s="37"/>
      <c r="B1152" s="37"/>
      <c r="C1152" s="37"/>
      <c r="F1152" s="38"/>
      <c r="G1152" s="38"/>
      <c r="H1152" s="38"/>
      <c r="I1152" s="37"/>
      <c r="J1152" s="38"/>
      <c r="K1152" s="38"/>
      <c r="L1152" s="42"/>
      <c r="M1152" s="42"/>
      <c r="N1152" s="42"/>
      <c r="O1152" s="42"/>
      <c r="R1152" s="37"/>
      <c r="S1152" s="37"/>
      <c r="T1152" s="91"/>
      <c r="U1152" s="91"/>
      <c r="V1152" s="41"/>
      <c r="W1152" s="37"/>
      <c r="X1152" s="37"/>
      <c r="Y1152" s="43"/>
      <c r="Z1152" s="37"/>
      <c r="AA1152" s="37"/>
      <c r="AD1152" s="37"/>
      <c r="AE1152" s="37"/>
      <c r="AF1152" s="37"/>
    </row>
    <row r="1153" spans="1:32" x14ac:dyDescent="0.25">
      <c r="A1153" s="37"/>
      <c r="B1153" s="37"/>
      <c r="C1153" s="37"/>
      <c r="F1153" s="38"/>
      <c r="G1153" s="38"/>
      <c r="H1153" s="38"/>
      <c r="I1153" s="37"/>
      <c r="J1153" s="38"/>
      <c r="K1153" s="38"/>
      <c r="L1153" s="42"/>
      <c r="M1153" s="42"/>
      <c r="N1153" s="42"/>
      <c r="O1153" s="42"/>
      <c r="R1153" s="37"/>
      <c r="S1153" s="37"/>
      <c r="T1153" s="91"/>
      <c r="U1153" s="91"/>
      <c r="V1153" s="41"/>
      <c r="W1153" s="37"/>
      <c r="X1153" s="37"/>
      <c r="Y1153" s="43"/>
      <c r="Z1153" s="37"/>
      <c r="AA1153" s="37"/>
      <c r="AD1153" s="37"/>
      <c r="AE1153" s="37"/>
      <c r="AF1153" s="37"/>
    </row>
    <row r="1154" spans="1:32" x14ac:dyDescent="0.25">
      <c r="A1154" s="37"/>
      <c r="B1154" s="37"/>
      <c r="C1154" s="37"/>
      <c r="F1154" s="38"/>
      <c r="G1154" s="38"/>
      <c r="H1154" s="38"/>
      <c r="I1154" s="37"/>
      <c r="J1154" s="38"/>
      <c r="K1154" s="38"/>
      <c r="L1154" s="42"/>
      <c r="M1154" s="42"/>
      <c r="N1154" s="42"/>
      <c r="O1154" s="42"/>
      <c r="R1154" s="37"/>
      <c r="S1154" s="37"/>
      <c r="T1154" s="91"/>
      <c r="U1154" s="91"/>
      <c r="V1154" s="41"/>
      <c r="W1154" s="37"/>
      <c r="X1154" s="37"/>
      <c r="Y1154" s="43"/>
      <c r="Z1154" s="37"/>
      <c r="AA1154" s="37"/>
      <c r="AD1154" s="37"/>
      <c r="AE1154" s="37"/>
      <c r="AF1154" s="37"/>
    </row>
    <row r="1155" spans="1:32" x14ac:dyDescent="0.25">
      <c r="A1155" s="37"/>
      <c r="B1155" s="37"/>
      <c r="C1155" s="37"/>
      <c r="F1155" s="38"/>
      <c r="G1155" s="38"/>
      <c r="H1155" s="38"/>
      <c r="I1155" s="37"/>
      <c r="J1155" s="38"/>
      <c r="K1155" s="38"/>
      <c r="L1155" s="42"/>
      <c r="M1155" s="42"/>
      <c r="N1155" s="42"/>
      <c r="O1155" s="42"/>
      <c r="R1155" s="37"/>
      <c r="S1155" s="37"/>
      <c r="T1155" s="91"/>
      <c r="U1155" s="91"/>
      <c r="V1155" s="41"/>
      <c r="W1155" s="37"/>
      <c r="X1155" s="37"/>
      <c r="Y1155" s="43"/>
      <c r="Z1155" s="37"/>
      <c r="AA1155" s="37"/>
      <c r="AD1155" s="37"/>
      <c r="AE1155" s="37"/>
      <c r="AF1155" s="37"/>
    </row>
    <row r="1156" spans="1:32" x14ac:dyDescent="0.25">
      <c r="A1156" s="37"/>
      <c r="B1156" s="37"/>
      <c r="C1156" s="37"/>
      <c r="F1156" s="38"/>
      <c r="G1156" s="38"/>
      <c r="H1156" s="38"/>
      <c r="I1156" s="37"/>
      <c r="J1156" s="38"/>
      <c r="K1156" s="38"/>
      <c r="L1156" s="42"/>
      <c r="M1156" s="42"/>
      <c r="N1156" s="42"/>
      <c r="O1156" s="42"/>
      <c r="R1156" s="37"/>
      <c r="S1156" s="37"/>
      <c r="T1156" s="91"/>
      <c r="U1156" s="91"/>
      <c r="V1156" s="41"/>
      <c r="W1156" s="37"/>
      <c r="X1156" s="37"/>
      <c r="Y1156" s="43"/>
      <c r="Z1156" s="37"/>
      <c r="AA1156" s="37"/>
      <c r="AD1156" s="37"/>
      <c r="AE1156" s="37"/>
      <c r="AF1156" s="37"/>
    </row>
    <row r="1157" spans="1:32" x14ac:dyDescent="0.25">
      <c r="A1157" s="37"/>
      <c r="B1157" s="37"/>
      <c r="C1157" s="37"/>
      <c r="F1157" s="38"/>
      <c r="G1157" s="38"/>
      <c r="H1157" s="38"/>
      <c r="I1157" s="37"/>
      <c r="J1157" s="38"/>
      <c r="K1157" s="38"/>
      <c r="L1157" s="42"/>
      <c r="M1157" s="42"/>
      <c r="N1157" s="42"/>
      <c r="O1157" s="42"/>
      <c r="R1157" s="37"/>
      <c r="S1157" s="37"/>
      <c r="T1157" s="91"/>
      <c r="U1157" s="91"/>
      <c r="V1157" s="41"/>
      <c r="W1157" s="37"/>
      <c r="X1157" s="37"/>
      <c r="Y1157" s="43"/>
      <c r="Z1157" s="37"/>
      <c r="AA1157" s="37"/>
      <c r="AD1157" s="37"/>
      <c r="AE1157" s="37"/>
      <c r="AF1157" s="37"/>
    </row>
    <row r="1158" spans="1:32" x14ac:dyDescent="0.25">
      <c r="A1158" s="37"/>
      <c r="B1158" s="37"/>
      <c r="C1158" s="37"/>
      <c r="F1158" s="38"/>
      <c r="G1158" s="38"/>
      <c r="H1158" s="38"/>
      <c r="I1158" s="37"/>
      <c r="J1158" s="38"/>
      <c r="K1158" s="38"/>
      <c r="L1158" s="42"/>
      <c r="M1158" s="42"/>
      <c r="N1158" s="42"/>
      <c r="O1158" s="42"/>
      <c r="R1158" s="37"/>
      <c r="S1158" s="37"/>
      <c r="T1158" s="91"/>
      <c r="U1158" s="91"/>
      <c r="V1158" s="41"/>
      <c r="W1158" s="37"/>
      <c r="X1158" s="37"/>
      <c r="Y1158" s="43"/>
      <c r="Z1158" s="37"/>
      <c r="AA1158" s="37"/>
      <c r="AD1158" s="37"/>
      <c r="AE1158" s="37"/>
      <c r="AF1158" s="37"/>
    </row>
    <row r="1159" spans="1:32" x14ac:dyDescent="0.25">
      <c r="A1159" s="37"/>
      <c r="B1159" s="37"/>
      <c r="C1159" s="37"/>
      <c r="F1159" s="38"/>
      <c r="G1159" s="38"/>
      <c r="H1159" s="38"/>
      <c r="I1159" s="37"/>
      <c r="J1159" s="38"/>
      <c r="K1159" s="38"/>
      <c r="L1159" s="42"/>
      <c r="M1159" s="42"/>
      <c r="N1159" s="42"/>
      <c r="O1159" s="42"/>
      <c r="R1159" s="37"/>
      <c r="S1159" s="37"/>
      <c r="T1159" s="91"/>
      <c r="U1159" s="91"/>
      <c r="V1159" s="41"/>
      <c r="W1159" s="37"/>
      <c r="X1159" s="37"/>
      <c r="Y1159" s="43"/>
      <c r="Z1159" s="37"/>
      <c r="AA1159" s="37"/>
      <c r="AD1159" s="37"/>
      <c r="AE1159" s="37"/>
      <c r="AF1159" s="37"/>
    </row>
    <row r="1160" spans="1:32" x14ac:dyDescent="0.25">
      <c r="A1160" s="37"/>
      <c r="B1160" s="37"/>
      <c r="C1160" s="37"/>
      <c r="F1160" s="38"/>
      <c r="G1160" s="38"/>
      <c r="H1160" s="38"/>
      <c r="I1160" s="37"/>
      <c r="J1160" s="38"/>
      <c r="K1160" s="38"/>
      <c r="L1160" s="42"/>
      <c r="M1160" s="42"/>
      <c r="N1160" s="42"/>
      <c r="O1160" s="42"/>
      <c r="R1160" s="37"/>
      <c r="S1160" s="37"/>
      <c r="T1160" s="91"/>
      <c r="U1160" s="91"/>
      <c r="V1160" s="41"/>
      <c r="W1160" s="37"/>
      <c r="X1160" s="37"/>
      <c r="Y1160" s="43"/>
      <c r="Z1160" s="37"/>
      <c r="AA1160" s="37"/>
      <c r="AD1160" s="37"/>
      <c r="AE1160" s="37"/>
      <c r="AF1160" s="37"/>
    </row>
    <row r="1161" spans="1:32" x14ac:dyDescent="0.25">
      <c r="A1161" s="37"/>
      <c r="B1161" s="37"/>
      <c r="C1161" s="37"/>
      <c r="F1161" s="38"/>
      <c r="G1161" s="38"/>
      <c r="H1161" s="38"/>
      <c r="I1161" s="37"/>
      <c r="J1161" s="38"/>
      <c r="K1161" s="38"/>
      <c r="L1161" s="42"/>
      <c r="M1161" s="42"/>
      <c r="N1161" s="42"/>
      <c r="O1161" s="42"/>
      <c r="R1161" s="37"/>
      <c r="S1161" s="37"/>
      <c r="T1161" s="91"/>
      <c r="U1161" s="91"/>
      <c r="V1161" s="41"/>
      <c r="W1161" s="37"/>
      <c r="X1161" s="37"/>
      <c r="Y1161" s="43"/>
      <c r="Z1161" s="37"/>
      <c r="AA1161" s="37"/>
      <c r="AD1161" s="37"/>
      <c r="AE1161" s="37"/>
      <c r="AF1161" s="37"/>
    </row>
    <row r="1162" spans="1:32" x14ac:dyDescent="0.25">
      <c r="A1162" s="37"/>
      <c r="B1162" s="37"/>
      <c r="C1162" s="37"/>
      <c r="F1162" s="38"/>
      <c r="G1162" s="38"/>
      <c r="H1162" s="38"/>
      <c r="I1162" s="37"/>
      <c r="J1162" s="38"/>
      <c r="K1162" s="38"/>
      <c r="L1162" s="42"/>
      <c r="M1162" s="42"/>
      <c r="N1162" s="42"/>
      <c r="O1162" s="42"/>
      <c r="R1162" s="37"/>
      <c r="S1162" s="37"/>
      <c r="T1162" s="91"/>
      <c r="U1162" s="91"/>
      <c r="V1162" s="41"/>
      <c r="W1162" s="37"/>
      <c r="X1162" s="37"/>
      <c r="Y1162" s="43"/>
      <c r="Z1162" s="37"/>
      <c r="AA1162" s="37"/>
      <c r="AD1162" s="37"/>
      <c r="AE1162" s="37"/>
      <c r="AF1162" s="37"/>
    </row>
    <row r="1163" spans="1:32" x14ac:dyDescent="0.25">
      <c r="A1163" s="37"/>
      <c r="B1163" s="37"/>
      <c r="C1163" s="37"/>
      <c r="F1163" s="38"/>
      <c r="G1163" s="38"/>
      <c r="H1163" s="38"/>
      <c r="I1163" s="37"/>
      <c r="J1163" s="38"/>
      <c r="K1163" s="38"/>
      <c r="L1163" s="42"/>
      <c r="M1163" s="42"/>
      <c r="N1163" s="42"/>
      <c r="O1163" s="42"/>
      <c r="R1163" s="37"/>
      <c r="S1163" s="37"/>
      <c r="T1163" s="91"/>
      <c r="U1163" s="91"/>
      <c r="V1163" s="41"/>
      <c r="W1163" s="37"/>
      <c r="X1163" s="37"/>
      <c r="Y1163" s="43"/>
      <c r="Z1163" s="37"/>
      <c r="AA1163" s="37"/>
      <c r="AD1163" s="37"/>
      <c r="AE1163" s="37"/>
      <c r="AF1163" s="37"/>
    </row>
    <row r="1164" spans="1:32" x14ac:dyDescent="0.25">
      <c r="A1164" s="37"/>
      <c r="B1164" s="37"/>
      <c r="C1164" s="37"/>
      <c r="F1164" s="38"/>
      <c r="G1164" s="38"/>
      <c r="H1164" s="38"/>
      <c r="I1164" s="37"/>
      <c r="J1164" s="38"/>
      <c r="K1164" s="38"/>
      <c r="L1164" s="42"/>
      <c r="M1164" s="42"/>
      <c r="N1164" s="42"/>
      <c r="O1164" s="42"/>
      <c r="R1164" s="37"/>
      <c r="S1164" s="37"/>
      <c r="T1164" s="91"/>
      <c r="U1164" s="91"/>
      <c r="V1164" s="41"/>
      <c r="W1164" s="37"/>
      <c r="X1164" s="37"/>
      <c r="Y1164" s="43"/>
      <c r="Z1164" s="37"/>
      <c r="AA1164" s="37"/>
      <c r="AD1164" s="37"/>
      <c r="AE1164" s="37"/>
      <c r="AF1164" s="37"/>
    </row>
    <row r="1165" spans="1:32" x14ac:dyDescent="0.25">
      <c r="A1165" s="37"/>
      <c r="B1165" s="37"/>
      <c r="C1165" s="37"/>
      <c r="F1165" s="38"/>
      <c r="G1165" s="38"/>
      <c r="H1165" s="38"/>
      <c r="I1165" s="37"/>
      <c r="J1165" s="38"/>
      <c r="K1165" s="38"/>
      <c r="L1165" s="42"/>
      <c r="M1165" s="42"/>
      <c r="N1165" s="42"/>
      <c r="O1165" s="42"/>
      <c r="R1165" s="37"/>
      <c r="S1165" s="37"/>
      <c r="T1165" s="91"/>
      <c r="U1165" s="91"/>
      <c r="V1165" s="41"/>
      <c r="W1165" s="37"/>
      <c r="X1165" s="37"/>
      <c r="Y1165" s="43"/>
      <c r="Z1165" s="37"/>
      <c r="AA1165" s="37"/>
      <c r="AD1165" s="37"/>
      <c r="AE1165" s="37"/>
      <c r="AF1165" s="37"/>
    </row>
    <row r="1166" spans="1:32" x14ac:dyDescent="0.25">
      <c r="A1166" s="37"/>
      <c r="B1166" s="37"/>
      <c r="C1166" s="37"/>
      <c r="F1166" s="38"/>
      <c r="G1166" s="38"/>
      <c r="H1166" s="38"/>
      <c r="I1166" s="37"/>
      <c r="J1166" s="38"/>
      <c r="K1166" s="38"/>
      <c r="L1166" s="42"/>
      <c r="M1166" s="42"/>
      <c r="N1166" s="42"/>
      <c r="O1166" s="42"/>
      <c r="R1166" s="37"/>
      <c r="S1166" s="37"/>
      <c r="T1166" s="91"/>
      <c r="U1166" s="91"/>
      <c r="V1166" s="41"/>
      <c r="W1166" s="37"/>
      <c r="X1166" s="37"/>
      <c r="Y1166" s="43"/>
      <c r="Z1166" s="37"/>
      <c r="AA1166" s="37"/>
      <c r="AD1166" s="37"/>
      <c r="AE1166" s="37"/>
      <c r="AF1166" s="37"/>
    </row>
    <row r="1167" spans="1:32" x14ac:dyDescent="0.25">
      <c r="A1167" s="37"/>
      <c r="B1167" s="37"/>
      <c r="C1167" s="37"/>
      <c r="F1167" s="38"/>
      <c r="G1167" s="38"/>
      <c r="H1167" s="38"/>
      <c r="I1167" s="37"/>
      <c r="J1167" s="38"/>
      <c r="K1167" s="38"/>
      <c r="L1167" s="42"/>
      <c r="M1167" s="42"/>
      <c r="N1167" s="42"/>
      <c r="O1167" s="42"/>
      <c r="R1167" s="37"/>
      <c r="S1167" s="37"/>
      <c r="T1167" s="91"/>
      <c r="U1167" s="91"/>
      <c r="V1167" s="41"/>
      <c r="W1167" s="37"/>
      <c r="X1167" s="37"/>
      <c r="Y1167" s="43"/>
      <c r="Z1167" s="37"/>
      <c r="AA1167" s="37"/>
      <c r="AD1167" s="37"/>
      <c r="AE1167" s="37"/>
      <c r="AF1167" s="37"/>
    </row>
    <row r="1168" spans="1:32" x14ac:dyDescent="0.25">
      <c r="A1168" s="37"/>
      <c r="B1168" s="37"/>
      <c r="C1168" s="37"/>
      <c r="F1168" s="38"/>
      <c r="G1168" s="38"/>
      <c r="H1168" s="38"/>
      <c r="I1168" s="37"/>
      <c r="J1168" s="38"/>
      <c r="K1168" s="38"/>
      <c r="L1168" s="42"/>
      <c r="M1168" s="42"/>
      <c r="N1168" s="42"/>
      <c r="O1168" s="42"/>
      <c r="R1168" s="37"/>
      <c r="S1168" s="37"/>
      <c r="T1168" s="91"/>
      <c r="U1168" s="91"/>
      <c r="V1168" s="41"/>
      <c r="W1168" s="37"/>
      <c r="X1168" s="37"/>
      <c r="Y1168" s="43"/>
      <c r="Z1168" s="37"/>
      <c r="AA1168" s="37"/>
      <c r="AD1168" s="37"/>
      <c r="AE1168" s="37"/>
      <c r="AF1168" s="37"/>
    </row>
    <row r="1169" spans="1:32" x14ac:dyDescent="0.25">
      <c r="A1169" s="37"/>
      <c r="B1169" s="37"/>
      <c r="C1169" s="37"/>
      <c r="F1169" s="38"/>
      <c r="G1169" s="38"/>
      <c r="H1169" s="38"/>
      <c r="I1169" s="37"/>
      <c r="J1169" s="38"/>
      <c r="K1169" s="38"/>
      <c r="L1169" s="42"/>
      <c r="M1169" s="42"/>
      <c r="N1169" s="42"/>
      <c r="O1169" s="42"/>
      <c r="R1169" s="37"/>
      <c r="S1169" s="37"/>
      <c r="T1169" s="91"/>
      <c r="U1169" s="91"/>
      <c r="V1169" s="41"/>
      <c r="W1169" s="37"/>
      <c r="X1169" s="37"/>
      <c r="Y1169" s="43"/>
      <c r="Z1169" s="37"/>
      <c r="AA1169" s="37"/>
      <c r="AD1169" s="37"/>
      <c r="AE1169" s="37"/>
      <c r="AF1169" s="37"/>
    </row>
    <row r="1170" spans="1:32" x14ac:dyDescent="0.25">
      <c r="A1170" s="37"/>
      <c r="B1170" s="37"/>
      <c r="C1170" s="37"/>
      <c r="F1170" s="38"/>
      <c r="G1170" s="38"/>
      <c r="H1170" s="38"/>
      <c r="I1170" s="37"/>
      <c r="J1170" s="38"/>
      <c r="K1170" s="38"/>
      <c r="L1170" s="42"/>
      <c r="M1170" s="42"/>
      <c r="N1170" s="42"/>
      <c r="O1170" s="42"/>
      <c r="R1170" s="37"/>
      <c r="S1170" s="37"/>
      <c r="T1170" s="91"/>
      <c r="U1170" s="91"/>
      <c r="V1170" s="41"/>
      <c r="W1170" s="37"/>
      <c r="X1170" s="37"/>
      <c r="Y1170" s="43"/>
      <c r="Z1170" s="37"/>
      <c r="AA1170" s="37"/>
      <c r="AD1170" s="37"/>
      <c r="AE1170" s="37"/>
      <c r="AF1170" s="37"/>
    </row>
    <row r="1171" spans="1:32" x14ac:dyDescent="0.25">
      <c r="A1171" s="37"/>
      <c r="B1171" s="37"/>
      <c r="C1171" s="37"/>
      <c r="F1171" s="38"/>
      <c r="G1171" s="38"/>
      <c r="H1171" s="38"/>
      <c r="I1171" s="37"/>
      <c r="J1171" s="38"/>
      <c r="K1171" s="38"/>
      <c r="L1171" s="42"/>
      <c r="M1171" s="42"/>
      <c r="N1171" s="42"/>
      <c r="O1171" s="42"/>
      <c r="R1171" s="37"/>
      <c r="S1171" s="37"/>
      <c r="T1171" s="91"/>
      <c r="U1171" s="91"/>
      <c r="V1171" s="41"/>
      <c r="W1171" s="37"/>
      <c r="X1171" s="37"/>
      <c r="Y1171" s="43"/>
      <c r="Z1171" s="37"/>
      <c r="AA1171" s="37"/>
      <c r="AD1171" s="37"/>
      <c r="AE1171" s="37"/>
      <c r="AF1171" s="37"/>
    </row>
    <row r="1172" spans="1:32" x14ac:dyDescent="0.25">
      <c r="A1172" s="37"/>
      <c r="B1172" s="37"/>
      <c r="C1172" s="37"/>
      <c r="F1172" s="38"/>
      <c r="G1172" s="38"/>
      <c r="H1172" s="38"/>
      <c r="I1172" s="37"/>
      <c r="J1172" s="38"/>
      <c r="K1172" s="38"/>
      <c r="L1172" s="42"/>
      <c r="M1172" s="42"/>
      <c r="N1172" s="42"/>
      <c r="O1172" s="42"/>
      <c r="R1172" s="37"/>
      <c r="S1172" s="37"/>
      <c r="T1172" s="91"/>
      <c r="U1172" s="91"/>
      <c r="V1172" s="41"/>
      <c r="W1172" s="37"/>
      <c r="X1172" s="37"/>
      <c r="Y1172" s="43"/>
      <c r="Z1172" s="37"/>
      <c r="AA1172" s="37"/>
      <c r="AD1172" s="37"/>
      <c r="AE1172" s="37"/>
      <c r="AF1172" s="37"/>
    </row>
    <row r="1173" spans="1:32" x14ac:dyDescent="0.25">
      <c r="A1173" s="37"/>
      <c r="B1173" s="37"/>
      <c r="C1173" s="37"/>
      <c r="F1173" s="38"/>
      <c r="G1173" s="38"/>
      <c r="H1173" s="38"/>
      <c r="I1173" s="37"/>
      <c r="J1173" s="38"/>
      <c r="K1173" s="38"/>
      <c r="L1173" s="42"/>
      <c r="M1173" s="42"/>
      <c r="N1173" s="42"/>
      <c r="O1173" s="42"/>
      <c r="R1173" s="37"/>
      <c r="S1173" s="37"/>
      <c r="T1173" s="91"/>
      <c r="U1173" s="91"/>
      <c r="V1173" s="41"/>
      <c r="W1173" s="37"/>
      <c r="X1173" s="37"/>
      <c r="Y1173" s="43"/>
      <c r="Z1173" s="37"/>
      <c r="AA1173" s="37"/>
      <c r="AD1173" s="37"/>
      <c r="AE1173" s="37"/>
      <c r="AF1173" s="37"/>
    </row>
    <row r="1174" spans="1:32" x14ac:dyDescent="0.25">
      <c r="A1174" s="37"/>
      <c r="B1174" s="37"/>
      <c r="C1174" s="37"/>
      <c r="F1174" s="38"/>
      <c r="G1174" s="38"/>
      <c r="H1174" s="38"/>
      <c r="I1174" s="37"/>
      <c r="J1174" s="38"/>
      <c r="K1174" s="38"/>
      <c r="L1174" s="42"/>
      <c r="M1174" s="42"/>
      <c r="N1174" s="42"/>
      <c r="O1174" s="42"/>
      <c r="R1174" s="37"/>
      <c r="S1174" s="37"/>
      <c r="T1174" s="91"/>
      <c r="U1174" s="91"/>
      <c r="V1174" s="41"/>
      <c r="W1174" s="37"/>
      <c r="X1174" s="37"/>
      <c r="Y1174" s="43"/>
      <c r="Z1174" s="37"/>
      <c r="AA1174" s="37"/>
      <c r="AD1174" s="37"/>
      <c r="AE1174" s="37"/>
      <c r="AF1174" s="37"/>
    </row>
    <row r="1175" spans="1:32" x14ac:dyDescent="0.25">
      <c r="A1175" s="37"/>
      <c r="B1175" s="37"/>
      <c r="C1175" s="37"/>
      <c r="F1175" s="38"/>
      <c r="G1175" s="38"/>
      <c r="H1175" s="38"/>
      <c r="I1175" s="37"/>
      <c r="J1175" s="38"/>
      <c r="K1175" s="38"/>
      <c r="L1175" s="42"/>
      <c r="M1175" s="42"/>
      <c r="N1175" s="42"/>
      <c r="O1175" s="42"/>
      <c r="R1175" s="37"/>
      <c r="S1175" s="37"/>
      <c r="T1175" s="91"/>
      <c r="U1175" s="91"/>
      <c r="V1175" s="41"/>
      <c r="W1175" s="37"/>
      <c r="X1175" s="37"/>
      <c r="Y1175" s="43"/>
      <c r="Z1175" s="37"/>
      <c r="AA1175" s="37"/>
      <c r="AD1175" s="37"/>
      <c r="AE1175" s="37"/>
      <c r="AF1175" s="37"/>
    </row>
    <row r="1176" spans="1:32" x14ac:dyDescent="0.25">
      <c r="A1176" s="37"/>
      <c r="B1176" s="37"/>
      <c r="C1176" s="37"/>
      <c r="F1176" s="38"/>
      <c r="G1176" s="38"/>
      <c r="H1176" s="38"/>
      <c r="I1176" s="37"/>
      <c r="J1176" s="38"/>
      <c r="K1176" s="38"/>
      <c r="L1176" s="42"/>
      <c r="M1176" s="42"/>
      <c r="N1176" s="42"/>
      <c r="O1176" s="42"/>
      <c r="R1176" s="37"/>
      <c r="S1176" s="37"/>
      <c r="T1176" s="91"/>
      <c r="U1176" s="91"/>
      <c r="V1176" s="41"/>
      <c r="W1176" s="37"/>
      <c r="X1176" s="37"/>
      <c r="Y1176" s="43"/>
      <c r="Z1176" s="37"/>
      <c r="AA1176" s="37"/>
      <c r="AD1176" s="37"/>
      <c r="AE1176" s="37"/>
      <c r="AF1176" s="37"/>
    </row>
    <row r="1177" spans="1:32" x14ac:dyDescent="0.25">
      <c r="A1177" s="37"/>
      <c r="B1177" s="37"/>
      <c r="C1177" s="37"/>
      <c r="F1177" s="38"/>
      <c r="G1177" s="38"/>
      <c r="H1177" s="38"/>
      <c r="I1177" s="37"/>
      <c r="J1177" s="38"/>
      <c r="K1177" s="38"/>
      <c r="L1177" s="42"/>
      <c r="M1177" s="42"/>
      <c r="N1177" s="42"/>
      <c r="O1177" s="42"/>
      <c r="R1177" s="37"/>
      <c r="S1177" s="37"/>
      <c r="T1177" s="91"/>
      <c r="U1177" s="91"/>
      <c r="V1177" s="41"/>
      <c r="W1177" s="37"/>
      <c r="X1177" s="37"/>
      <c r="Y1177" s="43"/>
      <c r="Z1177" s="37"/>
      <c r="AA1177" s="37"/>
      <c r="AD1177" s="37"/>
      <c r="AE1177" s="37"/>
      <c r="AF1177" s="37"/>
    </row>
    <row r="1178" spans="1:32" x14ac:dyDescent="0.25">
      <c r="A1178" s="37"/>
      <c r="B1178" s="37"/>
      <c r="C1178" s="37"/>
      <c r="F1178" s="38"/>
      <c r="G1178" s="38"/>
      <c r="H1178" s="38"/>
      <c r="I1178" s="37"/>
      <c r="J1178" s="38"/>
      <c r="K1178" s="38"/>
      <c r="L1178" s="42"/>
      <c r="M1178" s="42"/>
      <c r="N1178" s="42"/>
      <c r="O1178" s="42"/>
      <c r="R1178" s="37"/>
      <c r="S1178" s="37"/>
      <c r="T1178" s="91"/>
      <c r="U1178" s="91"/>
      <c r="V1178" s="41"/>
      <c r="W1178" s="37"/>
      <c r="X1178" s="37"/>
      <c r="Y1178" s="43"/>
      <c r="Z1178" s="37"/>
      <c r="AA1178" s="37"/>
      <c r="AD1178" s="37"/>
      <c r="AE1178" s="37"/>
      <c r="AF1178" s="37"/>
    </row>
    <row r="1179" spans="1:32" x14ac:dyDescent="0.25">
      <c r="A1179" s="37"/>
      <c r="B1179" s="37"/>
      <c r="C1179" s="37"/>
      <c r="F1179" s="38"/>
      <c r="G1179" s="38"/>
      <c r="H1179" s="38"/>
      <c r="I1179" s="37"/>
      <c r="J1179" s="38"/>
      <c r="K1179" s="38"/>
      <c r="L1179" s="42"/>
      <c r="M1179" s="42"/>
      <c r="N1179" s="42"/>
      <c r="O1179" s="42"/>
      <c r="R1179" s="37"/>
      <c r="S1179" s="37"/>
      <c r="T1179" s="91"/>
      <c r="U1179" s="91"/>
      <c r="V1179" s="41"/>
      <c r="W1179" s="37"/>
      <c r="X1179" s="37"/>
      <c r="Y1179" s="43"/>
      <c r="Z1179" s="37"/>
      <c r="AA1179" s="37"/>
      <c r="AD1179" s="37"/>
      <c r="AE1179" s="37"/>
      <c r="AF1179" s="37"/>
    </row>
    <row r="1180" spans="1:32" x14ac:dyDescent="0.25">
      <c r="A1180" s="37"/>
      <c r="B1180" s="37"/>
      <c r="C1180" s="37"/>
      <c r="F1180" s="38"/>
      <c r="G1180" s="38"/>
      <c r="H1180" s="38"/>
      <c r="I1180" s="37"/>
      <c r="J1180" s="38"/>
      <c r="K1180" s="38"/>
      <c r="L1180" s="42"/>
      <c r="M1180" s="42"/>
      <c r="N1180" s="42"/>
      <c r="O1180" s="42"/>
      <c r="R1180" s="37"/>
      <c r="S1180" s="37"/>
      <c r="T1180" s="91"/>
      <c r="U1180" s="91"/>
      <c r="V1180" s="41"/>
      <c r="W1180" s="37"/>
      <c r="X1180" s="37"/>
      <c r="Y1180" s="43"/>
      <c r="Z1180" s="37"/>
      <c r="AA1180" s="37"/>
      <c r="AD1180" s="37"/>
      <c r="AE1180" s="37"/>
      <c r="AF1180" s="37"/>
    </row>
    <row r="1181" spans="1:32" x14ac:dyDescent="0.25">
      <c r="A1181" s="37"/>
      <c r="B1181" s="37"/>
      <c r="C1181" s="37"/>
      <c r="F1181" s="38"/>
      <c r="G1181" s="38"/>
      <c r="H1181" s="38"/>
      <c r="I1181" s="37"/>
      <c r="J1181" s="38"/>
      <c r="K1181" s="38"/>
      <c r="L1181" s="42"/>
      <c r="M1181" s="42"/>
      <c r="N1181" s="42"/>
      <c r="O1181" s="42"/>
      <c r="R1181" s="37"/>
      <c r="S1181" s="37"/>
      <c r="T1181" s="91"/>
      <c r="U1181" s="91"/>
      <c r="V1181" s="41"/>
      <c r="W1181" s="37"/>
      <c r="X1181" s="37"/>
      <c r="Y1181" s="43"/>
      <c r="Z1181" s="37"/>
      <c r="AA1181" s="37"/>
      <c r="AD1181" s="37"/>
      <c r="AE1181" s="37"/>
      <c r="AF1181" s="37"/>
    </row>
    <row r="1182" spans="1:32" x14ac:dyDescent="0.25">
      <c r="A1182" s="37"/>
      <c r="B1182" s="37"/>
      <c r="C1182" s="37"/>
      <c r="F1182" s="38"/>
      <c r="G1182" s="38"/>
      <c r="H1182" s="38"/>
      <c r="I1182" s="37"/>
      <c r="J1182" s="38"/>
      <c r="K1182" s="38"/>
      <c r="L1182" s="42"/>
      <c r="M1182" s="42"/>
      <c r="N1182" s="42"/>
      <c r="O1182" s="42"/>
      <c r="R1182" s="37"/>
      <c r="S1182" s="37"/>
      <c r="T1182" s="91"/>
      <c r="U1182" s="91"/>
      <c r="V1182" s="41"/>
      <c r="W1182" s="37"/>
      <c r="X1182" s="37"/>
      <c r="Y1182" s="43"/>
      <c r="Z1182" s="37"/>
      <c r="AA1182" s="37"/>
      <c r="AD1182" s="37"/>
      <c r="AE1182" s="37"/>
      <c r="AF1182" s="37"/>
    </row>
    <row r="1183" spans="1:32" x14ac:dyDescent="0.25">
      <c r="A1183" s="37"/>
      <c r="B1183" s="37"/>
      <c r="C1183" s="37"/>
      <c r="F1183" s="38"/>
      <c r="G1183" s="38"/>
      <c r="H1183" s="38"/>
      <c r="I1183" s="37"/>
      <c r="J1183" s="38"/>
      <c r="K1183" s="38"/>
      <c r="L1183" s="42"/>
      <c r="M1183" s="42"/>
      <c r="N1183" s="42"/>
      <c r="O1183" s="42"/>
      <c r="R1183" s="37"/>
      <c r="S1183" s="37"/>
      <c r="T1183" s="91"/>
      <c r="U1183" s="91"/>
      <c r="V1183" s="41"/>
      <c r="W1183" s="37"/>
      <c r="X1183" s="37"/>
      <c r="Y1183" s="43"/>
      <c r="Z1183" s="37"/>
      <c r="AA1183" s="37"/>
      <c r="AD1183" s="37"/>
      <c r="AE1183" s="37"/>
      <c r="AF1183" s="37"/>
    </row>
    <row r="1184" spans="1:32" x14ac:dyDescent="0.25">
      <c r="A1184" s="37"/>
      <c r="B1184" s="37"/>
      <c r="C1184" s="37"/>
      <c r="F1184" s="38"/>
      <c r="G1184" s="38"/>
      <c r="H1184" s="38"/>
      <c r="I1184" s="37"/>
      <c r="J1184" s="38"/>
      <c r="K1184" s="38"/>
      <c r="L1184" s="42"/>
      <c r="M1184" s="42"/>
      <c r="N1184" s="42"/>
      <c r="O1184" s="42"/>
      <c r="R1184" s="37"/>
      <c r="S1184" s="37"/>
      <c r="T1184" s="91"/>
      <c r="U1184" s="91"/>
      <c r="V1184" s="41"/>
      <c r="W1184" s="37"/>
      <c r="X1184" s="37"/>
      <c r="Y1184" s="43"/>
      <c r="Z1184" s="37"/>
      <c r="AA1184" s="37"/>
      <c r="AD1184" s="37"/>
      <c r="AE1184" s="37"/>
      <c r="AF1184" s="37"/>
    </row>
    <row r="1185" spans="1:32" x14ac:dyDescent="0.25">
      <c r="A1185" s="37"/>
      <c r="B1185" s="37"/>
      <c r="C1185" s="37"/>
      <c r="F1185" s="38"/>
      <c r="G1185" s="38"/>
      <c r="H1185" s="38"/>
      <c r="I1185" s="37"/>
      <c r="J1185" s="38"/>
      <c r="K1185" s="38"/>
      <c r="L1185" s="42"/>
      <c r="M1185" s="42"/>
      <c r="N1185" s="42"/>
      <c r="O1185" s="42"/>
      <c r="R1185" s="37"/>
      <c r="S1185" s="37"/>
      <c r="T1185" s="91"/>
      <c r="U1185" s="91"/>
      <c r="V1185" s="41"/>
      <c r="W1185" s="37"/>
      <c r="X1185" s="37"/>
      <c r="Y1185" s="43"/>
      <c r="Z1185" s="37"/>
      <c r="AA1185" s="37"/>
      <c r="AD1185" s="37"/>
      <c r="AE1185" s="37"/>
      <c r="AF1185" s="37"/>
    </row>
    <row r="1186" spans="1:32" x14ac:dyDescent="0.25">
      <c r="A1186" s="37"/>
      <c r="B1186" s="37"/>
      <c r="C1186" s="37"/>
      <c r="F1186" s="38"/>
      <c r="G1186" s="38"/>
      <c r="H1186" s="38"/>
      <c r="I1186" s="37"/>
      <c r="J1186" s="38"/>
      <c r="K1186" s="38"/>
      <c r="L1186" s="42"/>
      <c r="M1186" s="42"/>
      <c r="N1186" s="42"/>
      <c r="O1186" s="42"/>
      <c r="R1186" s="37"/>
      <c r="S1186" s="37"/>
      <c r="T1186" s="91"/>
      <c r="U1186" s="91"/>
      <c r="V1186" s="41"/>
      <c r="W1186" s="37"/>
      <c r="X1186" s="37"/>
      <c r="Y1186" s="43"/>
      <c r="Z1186" s="37"/>
      <c r="AA1186" s="37"/>
      <c r="AD1186" s="37"/>
      <c r="AE1186" s="37"/>
      <c r="AF1186" s="37"/>
    </row>
    <row r="1187" spans="1:32" x14ac:dyDescent="0.25">
      <c r="A1187" s="37"/>
      <c r="B1187" s="37"/>
      <c r="C1187" s="37"/>
      <c r="F1187" s="38"/>
      <c r="G1187" s="38"/>
      <c r="H1187" s="38"/>
      <c r="I1187" s="37"/>
      <c r="J1187" s="38"/>
      <c r="K1187" s="38"/>
      <c r="L1187" s="42"/>
      <c r="M1187" s="42"/>
      <c r="N1187" s="42"/>
      <c r="O1187" s="42"/>
      <c r="R1187" s="37"/>
      <c r="S1187" s="37"/>
      <c r="T1187" s="91"/>
      <c r="U1187" s="91"/>
      <c r="V1187" s="41"/>
      <c r="W1187" s="37"/>
      <c r="X1187" s="37"/>
      <c r="Y1187" s="43"/>
      <c r="Z1187" s="37"/>
      <c r="AA1187" s="37"/>
      <c r="AD1187" s="37"/>
      <c r="AE1187" s="37"/>
      <c r="AF1187" s="37"/>
    </row>
    <row r="1188" spans="1:32" x14ac:dyDescent="0.25">
      <c r="A1188" s="37"/>
      <c r="B1188" s="37"/>
      <c r="C1188" s="37"/>
      <c r="F1188" s="38"/>
      <c r="G1188" s="38"/>
      <c r="H1188" s="38"/>
      <c r="I1188" s="37"/>
      <c r="J1188" s="38"/>
      <c r="K1188" s="38"/>
      <c r="L1188" s="42"/>
      <c r="M1188" s="42"/>
      <c r="N1188" s="42"/>
      <c r="O1188" s="42"/>
      <c r="R1188" s="37"/>
      <c r="S1188" s="37"/>
      <c r="T1188" s="91"/>
      <c r="U1188" s="91"/>
      <c r="V1188" s="41"/>
      <c r="W1188" s="37"/>
      <c r="X1188" s="37"/>
      <c r="Y1188" s="43"/>
      <c r="Z1188" s="37"/>
      <c r="AA1188" s="37"/>
      <c r="AD1188" s="37"/>
      <c r="AE1188" s="37"/>
      <c r="AF1188" s="37"/>
    </row>
    <row r="1189" spans="1:32" x14ac:dyDescent="0.25">
      <c r="A1189" s="37"/>
      <c r="B1189" s="37"/>
      <c r="C1189" s="37"/>
      <c r="F1189" s="38"/>
      <c r="G1189" s="38"/>
      <c r="H1189" s="38"/>
      <c r="I1189" s="37"/>
      <c r="J1189" s="38"/>
      <c r="K1189" s="38"/>
      <c r="L1189" s="42"/>
      <c r="M1189" s="42"/>
      <c r="N1189" s="42"/>
      <c r="O1189" s="42"/>
      <c r="R1189" s="37"/>
      <c r="S1189" s="37"/>
      <c r="T1189" s="91"/>
      <c r="U1189" s="91"/>
      <c r="V1189" s="41"/>
      <c r="W1189" s="37"/>
      <c r="X1189" s="37"/>
      <c r="Y1189" s="43"/>
      <c r="Z1189" s="37"/>
      <c r="AA1189" s="37"/>
      <c r="AD1189" s="37"/>
      <c r="AE1189" s="37"/>
      <c r="AF1189" s="37"/>
    </row>
    <row r="1190" spans="1:32" x14ac:dyDescent="0.25">
      <c r="A1190" s="37"/>
      <c r="B1190" s="37"/>
      <c r="C1190" s="37"/>
      <c r="F1190" s="38"/>
      <c r="G1190" s="38"/>
      <c r="H1190" s="38"/>
      <c r="I1190" s="37"/>
      <c r="J1190" s="38"/>
      <c r="K1190" s="38"/>
      <c r="L1190" s="42"/>
      <c r="M1190" s="42"/>
      <c r="N1190" s="42"/>
      <c r="O1190" s="42"/>
      <c r="R1190" s="37"/>
      <c r="S1190" s="37"/>
      <c r="T1190" s="91"/>
      <c r="U1190" s="91"/>
      <c r="V1190" s="41"/>
      <c r="W1190" s="37"/>
      <c r="X1190" s="37"/>
      <c r="Y1190" s="43"/>
      <c r="Z1190" s="37"/>
      <c r="AA1190" s="37"/>
      <c r="AD1190" s="37"/>
      <c r="AE1190" s="37"/>
      <c r="AF1190" s="37"/>
    </row>
    <row r="1191" spans="1:32" x14ac:dyDescent="0.25">
      <c r="A1191" s="37"/>
      <c r="B1191" s="37"/>
      <c r="C1191" s="37"/>
      <c r="F1191" s="38"/>
      <c r="G1191" s="38"/>
      <c r="H1191" s="38"/>
      <c r="I1191" s="37"/>
      <c r="J1191" s="38"/>
      <c r="K1191" s="38"/>
      <c r="L1191" s="42"/>
      <c r="M1191" s="42"/>
      <c r="N1191" s="42"/>
      <c r="O1191" s="42"/>
      <c r="R1191" s="37"/>
      <c r="S1191" s="37"/>
      <c r="T1191" s="91"/>
      <c r="U1191" s="91"/>
      <c r="V1191" s="41"/>
      <c r="W1191" s="37"/>
      <c r="X1191" s="37"/>
      <c r="Y1191" s="43"/>
      <c r="Z1191" s="37"/>
      <c r="AA1191" s="37"/>
      <c r="AD1191" s="37"/>
      <c r="AE1191" s="37"/>
      <c r="AF1191" s="37"/>
    </row>
    <row r="1192" spans="1:32" x14ac:dyDescent="0.25">
      <c r="A1192" s="37"/>
      <c r="B1192" s="37"/>
      <c r="C1192" s="37"/>
      <c r="F1192" s="38"/>
      <c r="G1192" s="38"/>
      <c r="H1192" s="38"/>
      <c r="I1192" s="37"/>
      <c r="J1192" s="38"/>
      <c r="K1192" s="38"/>
      <c r="L1192" s="42"/>
      <c r="M1192" s="42"/>
      <c r="N1192" s="42"/>
      <c r="O1192" s="42"/>
      <c r="R1192" s="37"/>
      <c r="S1192" s="37"/>
      <c r="T1192" s="91"/>
      <c r="U1192" s="91"/>
      <c r="V1192" s="41"/>
      <c r="W1192" s="37"/>
      <c r="X1192" s="37"/>
      <c r="Y1192" s="43"/>
      <c r="Z1192" s="37"/>
      <c r="AA1192" s="37"/>
      <c r="AD1192" s="37"/>
      <c r="AE1192" s="37"/>
      <c r="AF1192" s="37"/>
    </row>
    <row r="1193" spans="1:32" x14ac:dyDescent="0.25">
      <c r="A1193" s="37"/>
      <c r="B1193" s="37"/>
      <c r="C1193" s="37"/>
      <c r="F1193" s="38"/>
      <c r="G1193" s="38"/>
      <c r="H1193" s="38"/>
      <c r="I1193" s="37"/>
      <c r="J1193" s="38"/>
      <c r="K1193" s="38"/>
      <c r="L1193" s="42"/>
      <c r="M1193" s="42"/>
      <c r="N1193" s="42"/>
      <c r="O1193" s="42"/>
      <c r="R1193" s="37"/>
      <c r="S1193" s="37"/>
      <c r="T1193" s="91"/>
      <c r="U1193" s="91"/>
      <c r="V1193" s="41"/>
      <c r="W1193" s="37"/>
      <c r="X1193" s="37"/>
      <c r="Y1193" s="43"/>
      <c r="Z1193" s="37"/>
      <c r="AA1193" s="37"/>
      <c r="AD1193" s="37"/>
      <c r="AE1193" s="37"/>
      <c r="AF1193" s="37"/>
    </row>
    <row r="1194" spans="1:32" x14ac:dyDescent="0.25">
      <c r="A1194" s="37"/>
      <c r="B1194" s="37"/>
      <c r="C1194" s="37"/>
      <c r="F1194" s="38"/>
      <c r="G1194" s="38"/>
      <c r="H1194" s="38"/>
      <c r="I1194" s="37"/>
      <c r="J1194" s="38"/>
      <c r="K1194" s="38"/>
      <c r="L1194" s="42"/>
      <c r="M1194" s="42"/>
      <c r="N1194" s="42"/>
      <c r="O1194" s="42"/>
      <c r="R1194" s="37"/>
      <c r="S1194" s="37"/>
      <c r="T1194" s="91"/>
      <c r="U1194" s="91"/>
      <c r="V1194" s="41"/>
      <c r="W1194" s="37"/>
      <c r="X1194" s="37"/>
      <c r="Y1194" s="43"/>
      <c r="Z1194" s="37"/>
      <c r="AA1194" s="37"/>
      <c r="AD1194" s="37"/>
      <c r="AE1194" s="37"/>
      <c r="AF1194" s="37"/>
    </row>
    <row r="1195" spans="1:32" x14ac:dyDescent="0.25">
      <c r="A1195" s="37"/>
      <c r="B1195" s="37"/>
      <c r="C1195" s="37"/>
      <c r="F1195" s="38"/>
      <c r="G1195" s="38"/>
      <c r="H1195" s="38"/>
      <c r="I1195" s="37"/>
      <c r="J1195" s="38"/>
      <c r="K1195" s="38"/>
      <c r="L1195" s="42"/>
      <c r="M1195" s="42"/>
      <c r="N1195" s="42"/>
      <c r="O1195" s="42"/>
      <c r="R1195" s="37"/>
      <c r="S1195" s="37"/>
      <c r="T1195" s="91"/>
      <c r="U1195" s="91"/>
      <c r="V1195" s="41"/>
      <c r="W1195" s="37"/>
      <c r="X1195" s="37"/>
      <c r="Y1195" s="43"/>
      <c r="Z1195" s="37"/>
      <c r="AA1195" s="37"/>
      <c r="AD1195" s="37"/>
      <c r="AE1195" s="37"/>
      <c r="AF1195" s="37"/>
    </row>
    <row r="1196" spans="1:32" x14ac:dyDescent="0.25">
      <c r="A1196" s="37"/>
      <c r="B1196" s="37"/>
      <c r="C1196" s="37"/>
      <c r="F1196" s="38"/>
      <c r="G1196" s="38"/>
      <c r="H1196" s="38"/>
      <c r="I1196" s="37"/>
      <c r="J1196" s="38"/>
      <c r="K1196" s="38"/>
      <c r="L1196" s="42"/>
      <c r="M1196" s="42"/>
      <c r="N1196" s="42"/>
      <c r="O1196" s="42"/>
      <c r="R1196" s="37"/>
      <c r="S1196" s="37"/>
      <c r="T1196" s="91"/>
      <c r="U1196" s="91"/>
      <c r="V1196" s="41"/>
      <c r="W1196" s="37"/>
      <c r="X1196" s="37"/>
      <c r="Y1196" s="43"/>
      <c r="Z1196" s="37"/>
      <c r="AA1196" s="37"/>
      <c r="AD1196" s="37"/>
      <c r="AE1196" s="37"/>
      <c r="AF1196" s="37"/>
    </row>
    <row r="1197" spans="1:32" x14ac:dyDescent="0.25">
      <c r="A1197" s="37"/>
      <c r="B1197" s="37"/>
      <c r="C1197" s="37"/>
      <c r="F1197" s="38"/>
      <c r="G1197" s="38"/>
      <c r="H1197" s="38"/>
      <c r="I1197" s="37"/>
      <c r="J1197" s="38"/>
      <c r="K1197" s="38"/>
      <c r="L1197" s="42"/>
      <c r="M1197" s="42"/>
      <c r="N1197" s="42"/>
      <c r="O1197" s="42"/>
      <c r="R1197" s="37"/>
      <c r="S1197" s="37"/>
      <c r="T1197" s="91"/>
      <c r="U1197" s="91"/>
      <c r="V1197" s="41"/>
      <c r="W1197" s="37"/>
      <c r="X1197" s="37"/>
      <c r="Y1197" s="43"/>
      <c r="Z1197" s="37"/>
      <c r="AA1197" s="37"/>
      <c r="AD1197" s="37"/>
      <c r="AE1197" s="37"/>
      <c r="AF1197" s="37"/>
    </row>
    <row r="1198" spans="1:32" x14ac:dyDescent="0.25">
      <c r="A1198" s="37"/>
      <c r="B1198" s="37"/>
      <c r="C1198" s="37"/>
      <c r="F1198" s="38"/>
      <c r="G1198" s="38"/>
      <c r="H1198" s="38"/>
      <c r="I1198" s="37"/>
      <c r="J1198" s="38"/>
      <c r="K1198" s="38"/>
      <c r="L1198" s="42"/>
      <c r="M1198" s="42"/>
      <c r="N1198" s="42"/>
      <c r="O1198" s="42"/>
      <c r="R1198" s="37"/>
      <c r="S1198" s="37"/>
      <c r="T1198" s="91"/>
      <c r="U1198" s="91"/>
      <c r="V1198" s="41"/>
      <c r="W1198" s="37"/>
      <c r="X1198" s="37"/>
      <c r="Y1198" s="43"/>
      <c r="Z1198" s="37"/>
      <c r="AA1198" s="37"/>
      <c r="AD1198" s="37"/>
      <c r="AE1198" s="37"/>
      <c r="AF1198" s="37"/>
    </row>
    <row r="1199" spans="1:32" x14ac:dyDescent="0.25">
      <c r="A1199" s="37"/>
      <c r="B1199" s="37"/>
      <c r="C1199" s="37"/>
      <c r="F1199" s="38"/>
      <c r="G1199" s="38"/>
      <c r="H1199" s="38"/>
      <c r="I1199" s="37"/>
      <c r="J1199" s="38"/>
      <c r="K1199" s="38"/>
      <c r="L1199" s="42"/>
      <c r="M1199" s="42"/>
      <c r="N1199" s="42"/>
      <c r="O1199" s="42"/>
      <c r="R1199" s="37"/>
      <c r="S1199" s="37"/>
      <c r="T1199" s="91"/>
      <c r="U1199" s="91"/>
      <c r="V1199" s="41"/>
      <c r="W1199" s="37"/>
      <c r="X1199" s="37"/>
      <c r="Y1199" s="43"/>
      <c r="Z1199" s="37"/>
      <c r="AA1199" s="37"/>
      <c r="AD1199" s="37"/>
      <c r="AE1199" s="37"/>
      <c r="AF1199" s="37"/>
    </row>
    <row r="1200" spans="1:32" x14ac:dyDescent="0.25">
      <c r="A1200" s="37"/>
      <c r="B1200" s="37"/>
      <c r="C1200" s="37"/>
      <c r="F1200" s="38"/>
      <c r="G1200" s="38"/>
      <c r="H1200" s="38"/>
      <c r="I1200" s="37"/>
      <c r="J1200" s="38"/>
      <c r="K1200" s="38"/>
      <c r="L1200" s="42"/>
      <c r="M1200" s="42"/>
      <c r="N1200" s="42"/>
      <c r="O1200" s="42"/>
      <c r="R1200" s="37"/>
      <c r="S1200" s="37"/>
      <c r="T1200" s="91"/>
      <c r="U1200" s="91"/>
      <c r="V1200" s="41"/>
      <c r="W1200" s="37"/>
      <c r="X1200" s="37"/>
      <c r="Y1200" s="43"/>
      <c r="Z1200" s="37"/>
      <c r="AA1200" s="37"/>
      <c r="AD1200" s="37"/>
      <c r="AE1200" s="37"/>
      <c r="AF1200" s="37"/>
    </row>
    <row r="1201" spans="1:32" x14ac:dyDescent="0.25">
      <c r="A1201" s="37"/>
      <c r="B1201" s="37"/>
      <c r="C1201" s="37"/>
      <c r="F1201" s="38"/>
      <c r="G1201" s="38"/>
      <c r="H1201" s="38"/>
      <c r="I1201" s="37"/>
      <c r="J1201" s="38"/>
      <c r="K1201" s="38"/>
      <c r="L1201" s="42"/>
      <c r="M1201" s="42"/>
      <c r="N1201" s="42"/>
      <c r="O1201" s="42"/>
      <c r="R1201" s="37"/>
      <c r="S1201" s="37"/>
      <c r="T1201" s="91"/>
      <c r="U1201" s="91"/>
      <c r="V1201" s="41"/>
      <c r="W1201" s="37"/>
      <c r="X1201" s="37"/>
      <c r="Y1201" s="43"/>
      <c r="Z1201" s="37"/>
      <c r="AA1201" s="37"/>
      <c r="AD1201" s="37"/>
      <c r="AE1201" s="37"/>
      <c r="AF1201" s="37"/>
    </row>
    <row r="1202" spans="1:32" x14ac:dyDescent="0.25">
      <c r="A1202" s="37"/>
      <c r="B1202" s="37"/>
      <c r="C1202" s="37"/>
      <c r="F1202" s="38"/>
      <c r="G1202" s="38"/>
      <c r="H1202" s="38"/>
      <c r="I1202" s="37"/>
      <c r="J1202" s="38"/>
      <c r="K1202" s="38"/>
      <c r="L1202" s="42"/>
      <c r="M1202" s="42"/>
      <c r="N1202" s="42"/>
      <c r="O1202" s="42"/>
      <c r="R1202" s="37"/>
      <c r="S1202" s="37"/>
      <c r="T1202" s="91"/>
      <c r="U1202" s="91"/>
      <c r="V1202" s="41"/>
      <c r="W1202" s="37"/>
      <c r="X1202" s="37"/>
      <c r="Y1202" s="43"/>
      <c r="Z1202" s="37"/>
      <c r="AA1202" s="37"/>
      <c r="AD1202" s="37"/>
      <c r="AE1202" s="37"/>
      <c r="AF1202" s="37"/>
    </row>
    <row r="1203" spans="1:32" x14ac:dyDescent="0.25">
      <c r="A1203" s="37"/>
      <c r="B1203" s="37"/>
      <c r="C1203" s="37"/>
      <c r="F1203" s="38"/>
      <c r="G1203" s="38"/>
      <c r="H1203" s="38"/>
      <c r="I1203" s="37"/>
      <c r="J1203" s="38"/>
      <c r="K1203" s="38"/>
      <c r="L1203" s="42"/>
      <c r="M1203" s="42"/>
      <c r="N1203" s="42"/>
      <c r="O1203" s="42"/>
      <c r="R1203" s="37"/>
      <c r="S1203" s="37"/>
      <c r="T1203" s="91"/>
      <c r="U1203" s="91"/>
      <c r="V1203" s="41"/>
      <c r="W1203" s="37"/>
      <c r="X1203" s="37"/>
      <c r="Y1203" s="43"/>
      <c r="Z1203" s="37"/>
      <c r="AA1203" s="37"/>
      <c r="AD1203" s="37"/>
      <c r="AE1203" s="37"/>
      <c r="AF1203" s="37"/>
    </row>
    <row r="1204" spans="1:32" x14ac:dyDescent="0.25">
      <c r="A1204" s="37"/>
      <c r="B1204" s="37"/>
      <c r="C1204" s="37"/>
      <c r="F1204" s="38"/>
      <c r="G1204" s="38"/>
      <c r="H1204" s="38"/>
      <c r="I1204" s="37"/>
      <c r="J1204" s="38"/>
      <c r="K1204" s="38"/>
      <c r="L1204" s="42"/>
      <c r="M1204" s="42"/>
      <c r="N1204" s="42"/>
      <c r="O1204" s="42"/>
      <c r="R1204" s="37"/>
      <c r="S1204" s="37"/>
      <c r="T1204" s="91"/>
      <c r="U1204" s="91"/>
      <c r="V1204" s="41"/>
      <c r="W1204" s="37"/>
      <c r="X1204" s="37"/>
      <c r="Y1204" s="43"/>
      <c r="Z1204" s="37"/>
      <c r="AA1204" s="37"/>
      <c r="AD1204" s="37"/>
      <c r="AE1204" s="37"/>
      <c r="AF1204" s="37"/>
    </row>
    <row r="1205" spans="1:32" x14ac:dyDescent="0.25">
      <c r="A1205" s="37"/>
      <c r="B1205" s="37"/>
      <c r="C1205" s="37"/>
      <c r="F1205" s="38"/>
      <c r="G1205" s="38"/>
      <c r="H1205" s="38"/>
      <c r="I1205" s="37"/>
      <c r="J1205" s="38"/>
      <c r="K1205" s="38"/>
      <c r="L1205" s="42"/>
      <c r="M1205" s="42"/>
      <c r="N1205" s="42"/>
      <c r="O1205" s="42"/>
      <c r="R1205" s="37"/>
      <c r="S1205" s="37"/>
      <c r="T1205" s="91"/>
      <c r="U1205" s="91"/>
      <c r="V1205" s="41"/>
      <c r="W1205" s="37"/>
      <c r="X1205" s="37"/>
      <c r="Y1205" s="43"/>
      <c r="Z1205" s="37"/>
      <c r="AA1205" s="37"/>
      <c r="AD1205" s="37"/>
      <c r="AE1205" s="37"/>
      <c r="AF1205" s="37"/>
    </row>
    <row r="1206" spans="1:32" x14ac:dyDescent="0.25">
      <c r="A1206" s="37"/>
      <c r="B1206" s="37"/>
      <c r="C1206" s="37"/>
      <c r="F1206" s="38"/>
      <c r="G1206" s="38"/>
      <c r="H1206" s="38"/>
      <c r="I1206" s="37"/>
      <c r="J1206" s="38"/>
      <c r="K1206" s="38"/>
      <c r="L1206" s="42"/>
      <c r="M1206" s="42"/>
      <c r="N1206" s="42"/>
      <c r="O1206" s="42"/>
      <c r="R1206" s="37"/>
      <c r="S1206" s="37"/>
      <c r="T1206" s="91"/>
      <c r="U1206" s="91"/>
      <c r="V1206" s="41"/>
      <c r="W1206" s="37"/>
      <c r="X1206" s="37"/>
      <c r="Y1206" s="43"/>
      <c r="Z1206" s="37"/>
      <c r="AA1206" s="37"/>
      <c r="AD1206" s="37"/>
      <c r="AE1206" s="37"/>
      <c r="AF1206" s="37"/>
    </row>
    <row r="1207" spans="1:32" x14ac:dyDescent="0.25">
      <c r="A1207" s="37"/>
      <c r="B1207" s="37"/>
      <c r="C1207" s="37"/>
      <c r="F1207" s="38"/>
      <c r="G1207" s="38"/>
      <c r="H1207" s="38"/>
      <c r="I1207" s="37"/>
      <c r="J1207" s="38"/>
      <c r="K1207" s="38"/>
      <c r="L1207" s="42"/>
      <c r="M1207" s="42"/>
      <c r="N1207" s="42"/>
      <c r="O1207" s="42"/>
      <c r="R1207" s="37"/>
      <c r="S1207" s="37"/>
      <c r="T1207" s="91"/>
      <c r="U1207" s="91"/>
      <c r="V1207" s="41"/>
      <c r="W1207" s="37"/>
      <c r="X1207" s="37"/>
      <c r="Y1207" s="43"/>
      <c r="Z1207" s="37"/>
      <c r="AA1207" s="37"/>
      <c r="AD1207" s="37"/>
      <c r="AE1207" s="37"/>
      <c r="AF1207" s="37"/>
    </row>
    <row r="1208" spans="1:32" x14ac:dyDescent="0.25">
      <c r="A1208" s="37"/>
      <c r="B1208" s="37"/>
      <c r="C1208" s="37"/>
      <c r="F1208" s="38"/>
      <c r="G1208" s="38"/>
      <c r="H1208" s="38"/>
      <c r="I1208" s="37"/>
      <c r="J1208" s="38"/>
      <c r="K1208" s="38"/>
      <c r="L1208" s="42"/>
      <c r="M1208" s="42"/>
      <c r="N1208" s="42"/>
      <c r="O1208" s="42"/>
      <c r="R1208" s="37"/>
      <c r="S1208" s="37"/>
      <c r="T1208" s="91"/>
      <c r="U1208" s="91"/>
      <c r="V1208" s="41"/>
      <c r="W1208" s="37"/>
      <c r="X1208" s="37"/>
      <c r="Y1208" s="43"/>
      <c r="Z1208" s="37"/>
      <c r="AA1208" s="37"/>
      <c r="AD1208" s="37"/>
      <c r="AE1208" s="37"/>
      <c r="AF1208" s="37"/>
    </row>
    <row r="1209" spans="1:32" x14ac:dyDescent="0.25">
      <c r="A1209" s="37"/>
      <c r="B1209" s="37"/>
      <c r="C1209" s="37"/>
      <c r="F1209" s="38"/>
      <c r="G1209" s="38"/>
      <c r="H1209" s="38"/>
      <c r="I1209" s="37"/>
      <c r="J1209" s="38"/>
      <c r="K1209" s="38"/>
      <c r="L1209" s="42"/>
      <c r="M1209" s="42"/>
      <c r="N1209" s="42"/>
      <c r="O1209" s="42"/>
      <c r="R1209" s="37"/>
      <c r="S1209" s="37"/>
      <c r="T1209" s="91"/>
      <c r="U1209" s="91"/>
      <c r="V1209" s="41"/>
      <c r="W1209" s="37"/>
      <c r="X1209" s="37"/>
      <c r="Y1209" s="43"/>
      <c r="Z1209" s="37"/>
      <c r="AA1209" s="37"/>
      <c r="AD1209" s="37"/>
      <c r="AE1209" s="37"/>
      <c r="AF1209" s="37"/>
    </row>
    <row r="1210" spans="1:32" x14ac:dyDescent="0.25">
      <c r="A1210" s="37"/>
      <c r="B1210" s="37"/>
      <c r="C1210" s="37"/>
      <c r="F1210" s="38"/>
      <c r="G1210" s="38"/>
      <c r="H1210" s="38"/>
      <c r="I1210" s="37"/>
      <c r="J1210" s="38"/>
      <c r="K1210" s="38"/>
      <c r="L1210" s="42"/>
      <c r="M1210" s="42"/>
      <c r="N1210" s="42"/>
      <c r="O1210" s="42"/>
      <c r="R1210" s="37"/>
      <c r="S1210" s="37"/>
      <c r="T1210" s="91"/>
      <c r="U1210" s="91"/>
      <c r="V1210" s="41"/>
      <c r="W1210" s="37"/>
      <c r="X1210" s="37"/>
      <c r="Y1210" s="43"/>
      <c r="Z1210" s="37"/>
      <c r="AA1210" s="37"/>
      <c r="AD1210" s="37"/>
      <c r="AE1210" s="37"/>
      <c r="AF1210" s="37"/>
    </row>
    <row r="1211" spans="1:32" x14ac:dyDescent="0.25">
      <c r="A1211" s="37"/>
      <c r="B1211" s="37"/>
      <c r="C1211" s="37"/>
      <c r="F1211" s="38"/>
      <c r="G1211" s="38"/>
      <c r="H1211" s="38"/>
      <c r="I1211" s="37"/>
      <c r="J1211" s="38"/>
      <c r="K1211" s="38"/>
      <c r="L1211" s="42"/>
      <c r="M1211" s="42"/>
      <c r="N1211" s="42"/>
      <c r="O1211" s="42"/>
      <c r="R1211" s="37"/>
      <c r="S1211" s="37"/>
      <c r="T1211" s="91"/>
      <c r="U1211" s="91"/>
      <c r="V1211" s="41"/>
      <c r="W1211" s="37"/>
      <c r="X1211" s="37"/>
      <c r="Y1211" s="43"/>
      <c r="Z1211" s="37"/>
      <c r="AA1211" s="37"/>
      <c r="AD1211" s="37"/>
      <c r="AE1211" s="37"/>
      <c r="AF1211" s="37"/>
    </row>
    <row r="1212" spans="1:32" x14ac:dyDescent="0.25">
      <c r="A1212" s="37"/>
      <c r="B1212" s="37"/>
      <c r="C1212" s="37"/>
      <c r="F1212" s="38"/>
      <c r="G1212" s="38"/>
      <c r="H1212" s="38"/>
      <c r="I1212" s="37"/>
      <c r="J1212" s="38"/>
      <c r="K1212" s="38"/>
      <c r="L1212" s="42"/>
      <c r="M1212" s="42"/>
      <c r="N1212" s="42"/>
      <c r="O1212" s="42"/>
      <c r="R1212" s="37"/>
      <c r="S1212" s="37"/>
      <c r="T1212" s="91"/>
      <c r="U1212" s="91"/>
      <c r="V1212" s="41"/>
      <c r="W1212" s="37"/>
      <c r="X1212" s="37"/>
      <c r="Y1212" s="43"/>
      <c r="Z1212" s="37"/>
      <c r="AA1212" s="37"/>
      <c r="AD1212" s="37"/>
      <c r="AE1212" s="37"/>
      <c r="AF1212" s="37"/>
    </row>
    <row r="1213" spans="1:32" x14ac:dyDescent="0.25">
      <c r="A1213" s="37"/>
      <c r="B1213" s="37"/>
      <c r="C1213" s="37"/>
      <c r="F1213" s="38"/>
      <c r="G1213" s="38"/>
      <c r="H1213" s="38"/>
      <c r="I1213" s="37"/>
      <c r="J1213" s="38"/>
      <c r="K1213" s="38"/>
      <c r="L1213" s="42"/>
      <c r="M1213" s="42"/>
      <c r="N1213" s="42"/>
      <c r="O1213" s="42"/>
      <c r="R1213" s="37"/>
      <c r="S1213" s="37"/>
      <c r="T1213" s="91"/>
      <c r="U1213" s="91"/>
      <c r="V1213" s="41"/>
      <c r="W1213" s="37"/>
      <c r="X1213" s="37"/>
      <c r="Y1213" s="43"/>
      <c r="Z1213" s="37"/>
      <c r="AA1213" s="37"/>
      <c r="AD1213" s="37"/>
      <c r="AE1213" s="37"/>
      <c r="AF1213" s="37"/>
    </row>
    <row r="1214" spans="1:32" x14ac:dyDescent="0.25">
      <c r="A1214" s="37"/>
      <c r="B1214" s="37"/>
      <c r="C1214" s="37"/>
      <c r="F1214" s="38"/>
      <c r="G1214" s="38"/>
      <c r="H1214" s="38"/>
      <c r="I1214" s="37"/>
      <c r="J1214" s="38"/>
      <c r="K1214" s="38"/>
      <c r="L1214" s="42"/>
      <c r="M1214" s="42"/>
      <c r="N1214" s="42"/>
      <c r="O1214" s="42"/>
      <c r="R1214" s="37"/>
      <c r="S1214" s="37"/>
      <c r="T1214" s="91"/>
      <c r="U1214" s="91"/>
      <c r="V1214" s="41"/>
      <c r="W1214" s="37"/>
      <c r="X1214" s="37"/>
      <c r="Y1214" s="43"/>
      <c r="Z1214" s="37"/>
      <c r="AA1214" s="37"/>
      <c r="AD1214" s="37"/>
      <c r="AE1214" s="37"/>
      <c r="AF1214" s="37"/>
    </row>
    <row r="1215" spans="1:32" x14ac:dyDescent="0.25">
      <c r="A1215" s="37"/>
      <c r="B1215" s="37"/>
      <c r="C1215" s="37"/>
      <c r="F1215" s="38"/>
      <c r="G1215" s="38"/>
      <c r="H1215" s="38"/>
      <c r="I1215" s="37"/>
      <c r="J1215" s="38"/>
      <c r="K1215" s="38"/>
      <c r="L1215" s="42"/>
      <c r="M1215" s="42"/>
      <c r="N1215" s="42"/>
      <c r="O1215" s="42"/>
      <c r="R1215" s="37"/>
      <c r="S1215" s="37"/>
      <c r="T1215" s="91"/>
      <c r="U1215" s="91"/>
      <c r="V1215" s="41"/>
      <c r="W1215" s="37"/>
      <c r="X1215" s="37"/>
      <c r="Y1215" s="43"/>
      <c r="Z1215" s="37"/>
      <c r="AA1215" s="37"/>
      <c r="AD1215" s="37"/>
      <c r="AE1215" s="37"/>
      <c r="AF1215" s="37"/>
    </row>
    <row r="1216" spans="1:32" x14ac:dyDescent="0.25">
      <c r="A1216" s="37"/>
      <c r="B1216" s="37"/>
      <c r="C1216" s="37"/>
      <c r="F1216" s="38"/>
      <c r="G1216" s="38"/>
      <c r="H1216" s="38"/>
      <c r="I1216" s="37"/>
      <c r="J1216" s="38"/>
      <c r="K1216" s="38"/>
      <c r="L1216" s="42"/>
      <c r="M1216" s="42"/>
      <c r="N1216" s="42"/>
      <c r="O1216" s="42"/>
      <c r="R1216" s="37"/>
      <c r="S1216" s="37"/>
      <c r="T1216" s="91"/>
      <c r="U1216" s="91"/>
      <c r="V1216" s="41"/>
      <c r="W1216" s="37"/>
      <c r="X1216" s="37"/>
      <c r="Y1216" s="43"/>
      <c r="Z1216" s="37"/>
      <c r="AA1216" s="37"/>
      <c r="AD1216" s="37"/>
      <c r="AE1216" s="37"/>
      <c r="AF1216" s="37"/>
    </row>
    <row r="1217" spans="1:32" x14ac:dyDescent="0.25">
      <c r="A1217" s="37"/>
      <c r="B1217" s="37"/>
      <c r="C1217" s="37"/>
      <c r="F1217" s="38"/>
      <c r="G1217" s="38"/>
      <c r="H1217" s="38"/>
      <c r="I1217" s="37"/>
      <c r="J1217" s="38"/>
      <c r="K1217" s="38"/>
      <c r="L1217" s="42"/>
      <c r="M1217" s="42"/>
      <c r="N1217" s="42"/>
      <c r="O1217" s="42"/>
      <c r="R1217" s="37"/>
      <c r="S1217" s="37"/>
      <c r="T1217" s="91"/>
      <c r="U1217" s="91"/>
      <c r="V1217" s="41"/>
      <c r="W1217" s="37"/>
      <c r="X1217" s="37"/>
      <c r="Y1217" s="43"/>
      <c r="Z1217" s="37"/>
      <c r="AA1217" s="37"/>
      <c r="AD1217" s="37"/>
      <c r="AE1217" s="37"/>
      <c r="AF1217" s="37"/>
    </row>
    <row r="1218" spans="1:32" x14ac:dyDescent="0.25">
      <c r="A1218" s="37"/>
      <c r="B1218" s="37"/>
      <c r="C1218" s="37"/>
      <c r="F1218" s="38"/>
      <c r="G1218" s="38"/>
      <c r="H1218" s="38"/>
      <c r="I1218" s="37"/>
      <c r="J1218" s="38"/>
      <c r="K1218" s="38"/>
      <c r="L1218" s="42"/>
      <c r="M1218" s="42"/>
      <c r="N1218" s="42"/>
      <c r="O1218" s="42"/>
      <c r="R1218" s="37"/>
      <c r="S1218" s="37"/>
      <c r="T1218" s="91"/>
      <c r="U1218" s="91"/>
      <c r="V1218" s="41"/>
      <c r="W1218" s="37"/>
      <c r="X1218" s="37"/>
      <c r="Y1218" s="43"/>
      <c r="Z1218" s="37"/>
      <c r="AA1218" s="37"/>
      <c r="AD1218" s="37"/>
      <c r="AE1218" s="37"/>
      <c r="AF1218" s="37"/>
    </row>
    <row r="1219" spans="1:32" x14ac:dyDescent="0.25">
      <c r="A1219" s="37"/>
      <c r="B1219" s="37"/>
      <c r="C1219" s="37"/>
      <c r="F1219" s="38"/>
      <c r="G1219" s="38"/>
      <c r="H1219" s="38"/>
      <c r="I1219" s="37"/>
      <c r="J1219" s="38"/>
      <c r="K1219" s="38"/>
      <c r="L1219" s="42"/>
      <c r="M1219" s="42"/>
      <c r="N1219" s="42"/>
      <c r="O1219" s="42"/>
      <c r="R1219" s="37"/>
      <c r="S1219" s="37"/>
      <c r="T1219" s="91"/>
      <c r="U1219" s="91"/>
      <c r="V1219" s="41"/>
      <c r="W1219" s="37"/>
      <c r="X1219" s="37"/>
      <c r="Y1219" s="43"/>
      <c r="Z1219" s="37"/>
      <c r="AA1219" s="37"/>
      <c r="AD1219" s="37"/>
      <c r="AE1219" s="37"/>
      <c r="AF1219" s="37"/>
    </row>
    <row r="1220" spans="1:32" x14ac:dyDescent="0.25">
      <c r="A1220" s="37"/>
      <c r="B1220" s="37"/>
      <c r="C1220" s="37"/>
      <c r="F1220" s="38"/>
      <c r="G1220" s="38"/>
      <c r="H1220" s="38"/>
      <c r="I1220" s="37"/>
      <c r="J1220" s="38"/>
      <c r="K1220" s="38"/>
      <c r="L1220" s="42"/>
      <c r="M1220" s="42"/>
      <c r="N1220" s="42"/>
      <c r="O1220" s="42"/>
      <c r="R1220" s="37"/>
      <c r="S1220" s="37"/>
      <c r="T1220" s="91"/>
      <c r="U1220" s="91"/>
      <c r="V1220" s="41"/>
      <c r="W1220" s="37"/>
      <c r="X1220" s="37"/>
      <c r="Y1220" s="43"/>
      <c r="Z1220" s="37"/>
      <c r="AA1220" s="37"/>
      <c r="AD1220" s="37"/>
      <c r="AE1220" s="37"/>
      <c r="AF1220" s="37"/>
    </row>
    <row r="1221" spans="1:32" x14ac:dyDescent="0.25">
      <c r="A1221" s="37"/>
      <c r="B1221" s="37"/>
      <c r="C1221" s="37"/>
      <c r="F1221" s="38"/>
      <c r="G1221" s="38"/>
      <c r="H1221" s="38"/>
      <c r="I1221" s="37"/>
      <c r="J1221" s="38"/>
      <c r="K1221" s="38"/>
      <c r="L1221" s="42"/>
      <c r="M1221" s="42"/>
      <c r="N1221" s="42"/>
      <c r="O1221" s="42"/>
      <c r="R1221" s="37"/>
      <c r="S1221" s="37"/>
      <c r="T1221" s="91"/>
      <c r="U1221" s="91"/>
      <c r="V1221" s="41"/>
      <c r="W1221" s="37"/>
      <c r="X1221" s="37"/>
      <c r="Y1221" s="43"/>
      <c r="Z1221" s="37"/>
      <c r="AA1221" s="37"/>
      <c r="AD1221" s="37"/>
      <c r="AE1221" s="37"/>
      <c r="AF1221" s="37"/>
    </row>
    <row r="1222" spans="1:32" x14ac:dyDescent="0.25">
      <c r="A1222" s="37"/>
      <c r="B1222" s="37"/>
      <c r="C1222" s="37"/>
      <c r="F1222" s="38"/>
      <c r="G1222" s="38"/>
      <c r="H1222" s="38"/>
      <c r="I1222" s="37"/>
      <c r="J1222" s="38"/>
      <c r="K1222" s="38"/>
      <c r="L1222" s="42"/>
      <c r="M1222" s="42"/>
      <c r="N1222" s="42"/>
      <c r="O1222" s="42"/>
      <c r="R1222" s="37"/>
      <c r="S1222" s="37"/>
      <c r="T1222" s="91"/>
      <c r="U1222" s="91"/>
      <c r="V1222" s="41"/>
      <c r="W1222" s="37"/>
      <c r="X1222" s="37"/>
      <c r="Y1222" s="43"/>
      <c r="Z1222" s="37"/>
      <c r="AA1222" s="37"/>
      <c r="AD1222" s="37"/>
      <c r="AE1222" s="37"/>
      <c r="AF1222" s="37"/>
    </row>
    <row r="1223" spans="1:32" x14ac:dyDescent="0.25">
      <c r="A1223" s="37"/>
      <c r="B1223" s="37"/>
      <c r="C1223" s="37"/>
      <c r="F1223" s="38"/>
      <c r="G1223" s="38"/>
      <c r="H1223" s="38"/>
      <c r="I1223" s="37"/>
      <c r="J1223" s="38"/>
      <c r="K1223" s="38"/>
      <c r="L1223" s="42"/>
      <c r="M1223" s="42"/>
      <c r="N1223" s="42"/>
      <c r="O1223" s="42"/>
      <c r="R1223" s="37"/>
      <c r="S1223" s="37"/>
      <c r="T1223" s="91"/>
      <c r="U1223" s="91"/>
      <c r="V1223" s="41"/>
      <c r="W1223" s="37"/>
      <c r="X1223" s="37"/>
      <c r="Y1223" s="43"/>
      <c r="Z1223" s="37"/>
      <c r="AA1223" s="37"/>
      <c r="AD1223" s="37"/>
      <c r="AE1223" s="37"/>
      <c r="AF1223" s="37"/>
    </row>
    <row r="1224" spans="1:32" x14ac:dyDescent="0.25">
      <c r="A1224" s="37"/>
      <c r="B1224" s="37"/>
      <c r="C1224" s="37"/>
      <c r="F1224" s="38"/>
      <c r="G1224" s="38"/>
      <c r="H1224" s="38"/>
      <c r="I1224" s="37"/>
      <c r="J1224" s="38"/>
      <c r="K1224" s="38"/>
      <c r="L1224" s="42"/>
      <c r="M1224" s="42"/>
      <c r="N1224" s="42"/>
      <c r="O1224" s="42"/>
      <c r="R1224" s="37"/>
      <c r="S1224" s="37"/>
      <c r="T1224" s="91"/>
      <c r="U1224" s="91"/>
      <c r="V1224" s="41"/>
      <c r="W1224" s="37"/>
      <c r="X1224" s="37"/>
      <c r="Y1224" s="43"/>
      <c r="Z1224" s="37"/>
      <c r="AA1224" s="37"/>
      <c r="AD1224" s="37"/>
      <c r="AE1224" s="37"/>
      <c r="AF1224" s="37"/>
    </row>
    <row r="1225" spans="1:32" x14ac:dyDescent="0.25">
      <c r="A1225" s="37"/>
      <c r="B1225" s="37"/>
      <c r="C1225" s="37"/>
      <c r="F1225" s="38"/>
      <c r="G1225" s="38"/>
      <c r="H1225" s="38"/>
      <c r="I1225" s="37"/>
      <c r="J1225" s="38"/>
      <c r="K1225" s="38"/>
      <c r="L1225" s="42"/>
      <c r="M1225" s="42"/>
      <c r="N1225" s="42"/>
      <c r="O1225" s="42"/>
      <c r="R1225" s="37"/>
      <c r="S1225" s="37"/>
      <c r="T1225" s="91"/>
      <c r="U1225" s="91"/>
      <c r="V1225" s="41"/>
      <c r="W1225" s="37"/>
      <c r="X1225" s="37"/>
      <c r="Y1225" s="43"/>
      <c r="Z1225" s="37"/>
      <c r="AA1225" s="37"/>
      <c r="AD1225" s="37"/>
      <c r="AE1225" s="37"/>
      <c r="AF1225" s="37"/>
    </row>
    <row r="1226" spans="1:32" x14ac:dyDescent="0.25">
      <c r="A1226" s="37"/>
      <c r="B1226" s="37"/>
      <c r="C1226" s="37"/>
      <c r="F1226" s="38"/>
      <c r="G1226" s="38"/>
      <c r="H1226" s="38"/>
      <c r="I1226" s="37"/>
      <c r="J1226" s="38"/>
      <c r="K1226" s="38"/>
      <c r="L1226" s="42"/>
      <c r="M1226" s="42"/>
      <c r="N1226" s="42"/>
      <c r="O1226" s="42"/>
      <c r="R1226" s="37"/>
      <c r="S1226" s="37"/>
      <c r="T1226" s="91"/>
      <c r="U1226" s="91"/>
      <c r="V1226" s="41"/>
      <c r="W1226" s="37"/>
      <c r="X1226" s="37"/>
      <c r="Y1226" s="43"/>
      <c r="Z1226" s="37"/>
      <c r="AA1226" s="37"/>
      <c r="AD1226" s="37"/>
      <c r="AE1226" s="37"/>
      <c r="AF1226" s="37"/>
    </row>
    <row r="1227" spans="1:32" x14ac:dyDescent="0.25">
      <c r="A1227" s="37"/>
      <c r="B1227" s="37"/>
      <c r="C1227" s="37"/>
      <c r="F1227" s="38"/>
      <c r="G1227" s="38"/>
      <c r="H1227" s="38"/>
      <c r="I1227" s="37"/>
      <c r="J1227" s="38"/>
      <c r="K1227" s="38"/>
      <c r="L1227" s="42"/>
      <c r="M1227" s="42"/>
      <c r="N1227" s="42"/>
      <c r="O1227" s="42"/>
      <c r="R1227" s="37"/>
      <c r="S1227" s="37"/>
      <c r="T1227" s="91"/>
      <c r="U1227" s="91"/>
      <c r="V1227" s="41"/>
      <c r="W1227" s="37"/>
      <c r="X1227" s="37"/>
      <c r="Y1227" s="43"/>
      <c r="Z1227" s="37"/>
      <c r="AA1227" s="37"/>
      <c r="AD1227" s="37"/>
      <c r="AE1227" s="37"/>
      <c r="AF1227" s="37"/>
    </row>
    <row r="1228" spans="1:32" x14ac:dyDescent="0.25">
      <c r="A1228" s="37"/>
      <c r="B1228" s="37"/>
      <c r="C1228" s="37"/>
      <c r="F1228" s="38"/>
      <c r="G1228" s="38"/>
      <c r="H1228" s="38"/>
      <c r="I1228" s="37"/>
      <c r="J1228" s="38"/>
      <c r="K1228" s="38"/>
      <c r="L1228" s="42"/>
      <c r="M1228" s="42"/>
      <c r="N1228" s="42"/>
      <c r="O1228" s="42"/>
      <c r="R1228" s="37"/>
      <c r="S1228" s="37"/>
      <c r="T1228" s="91"/>
      <c r="U1228" s="91"/>
      <c r="V1228" s="41"/>
      <c r="W1228" s="37"/>
      <c r="X1228" s="37"/>
      <c r="Y1228" s="43"/>
      <c r="Z1228" s="37"/>
      <c r="AA1228" s="37"/>
      <c r="AD1228" s="37"/>
      <c r="AE1228" s="37"/>
      <c r="AF1228" s="37"/>
    </row>
    <row r="1229" spans="1:32" x14ac:dyDescent="0.25">
      <c r="A1229" s="37"/>
      <c r="B1229" s="37"/>
      <c r="C1229" s="37"/>
      <c r="F1229" s="38"/>
      <c r="G1229" s="38"/>
      <c r="H1229" s="38"/>
      <c r="I1229" s="37"/>
      <c r="J1229" s="38"/>
      <c r="K1229" s="38"/>
      <c r="L1229" s="42"/>
      <c r="M1229" s="42"/>
      <c r="N1229" s="42"/>
      <c r="O1229" s="42"/>
      <c r="R1229" s="37"/>
      <c r="S1229" s="37"/>
      <c r="T1229" s="91"/>
      <c r="U1229" s="91"/>
      <c r="V1229" s="41"/>
      <c r="W1229" s="37"/>
      <c r="X1229" s="37"/>
      <c r="Y1229" s="43"/>
      <c r="Z1229" s="37"/>
      <c r="AA1229" s="37"/>
      <c r="AD1229" s="37"/>
      <c r="AE1229" s="37"/>
      <c r="AF1229" s="37"/>
    </row>
    <row r="1230" spans="1:32" x14ac:dyDescent="0.25">
      <c r="A1230" s="37"/>
      <c r="B1230" s="37"/>
      <c r="C1230" s="37"/>
      <c r="F1230" s="38"/>
      <c r="G1230" s="38"/>
      <c r="H1230" s="38"/>
      <c r="I1230" s="37"/>
      <c r="J1230" s="38"/>
      <c r="K1230" s="38"/>
      <c r="L1230" s="42"/>
      <c r="M1230" s="42"/>
      <c r="N1230" s="42"/>
      <c r="O1230" s="42"/>
      <c r="R1230" s="37"/>
      <c r="S1230" s="37"/>
      <c r="T1230" s="91"/>
      <c r="U1230" s="91"/>
      <c r="V1230" s="41"/>
      <c r="W1230" s="37"/>
      <c r="X1230" s="37"/>
      <c r="Y1230" s="43"/>
      <c r="Z1230" s="37"/>
      <c r="AA1230" s="37"/>
      <c r="AD1230" s="37"/>
      <c r="AE1230" s="37"/>
      <c r="AF1230" s="37"/>
    </row>
    <row r="1231" spans="1:32" x14ac:dyDescent="0.25">
      <c r="A1231" s="37"/>
      <c r="B1231" s="37"/>
      <c r="C1231" s="37"/>
      <c r="F1231" s="38"/>
      <c r="G1231" s="38"/>
      <c r="H1231" s="38"/>
      <c r="I1231" s="37"/>
      <c r="J1231" s="38"/>
      <c r="K1231" s="38"/>
      <c r="L1231" s="42"/>
      <c r="M1231" s="42"/>
      <c r="N1231" s="42"/>
      <c r="O1231" s="42"/>
      <c r="R1231" s="37"/>
      <c r="S1231" s="37"/>
      <c r="T1231" s="91"/>
      <c r="U1231" s="91"/>
      <c r="V1231" s="41"/>
      <c r="W1231" s="37"/>
      <c r="X1231" s="37"/>
      <c r="Y1231" s="43"/>
      <c r="Z1231" s="37"/>
      <c r="AA1231" s="37"/>
      <c r="AD1231" s="37"/>
      <c r="AE1231" s="37"/>
      <c r="AF1231" s="37"/>
    </row>
    <row r="1232" spans="1:32" x14ac:dyDescent="0.25">
      <c r="A1232" s="37"/>
      <c r="B1232" s="37"/>
      <c r="C1232" s="37"/>
      <c r="F1232" s="38"/>
      <c r="G1232" s="38"/>
      <c r="H1232" s="38"/>
      <c r="I1232" s="37"/>
      <c r="J1232" s="38"/>
      <c r="K1232" s="38"/>
      <c r="L1232" s="42"/>
      <c r="M1232" s="42"/>
      <c r="N1232" s="42"/>
      <c r="O1232" s="42"/>
      <c r="R1232" s="37"/>
      <c r="S1232" s="37"/>
      <c r="T1232" s="91"/>
      <c r="U1232" s="91"/>
      <c r="V1232" s="41"/>
      <c r="W1232" s="37"/>
      <c r="X1232" s="37"/>
      <c r="Y1232" s="43"/>
      <c r="Z1232" s="37"/>
      <c r="AA1232" s="37"/>
      <c r="AD1232" s="37"/>
      <c r="AE1232" s="37"/>
      <c r="AF1232" s="37"/>
    </row>
    <row r="1233" spans="1:32" x14ac:dyDescent="0.25">
      <c r="A1233" s="37"/>
      <c r="B1233" s="37"/>
      <c r="C1233" s="37"/>
      <c r="F1233" s="38"/>
      <c r="G1233" s="38"/>
      <c r="H1233" s="38"/>
      <c r="I1233" s="37"/>
      <c r="J1233" s="38"/>
      <c r="K1233" s="38"/>
      <c r="L1233" s="42"/>
      <c r="M1233" s="42"/>
      <c r="N1233" s="42"/>
      <c r="O1233" s="42"/>
      <c r="R1233" s="37"/>
      <c r="S1233" s="37"/>
      <c r="T1233" s="91"/>
      <c r="U1233" s="91"/>
      <c r="V1233" s="41"/>
      <c r="W1233" s="37"/>
      <c r="X1233" s="37"/>
      <c r="Y1233" s="43"/>
      <c r="Z1233" s="37"/>
      <c r="AA1233" s="37"/>
      <c r="AD1233" s="37"/>
      <c r="AE1233" s="37"/>
      <c r="AF1233" s="37"/>
    </row>
    <row r="1234" spans="1:32" x14ac:dyDescent="0.25">
      <c r="A1234" s="37"/>
      <c r="B1234" s="37"/>
      <c r="C1234" s="37"/>
      <c r="F1234" s="38"/>
      <c r="G1234" s="38"/>
      <c r="H1234" s="38"/>
      <c r="I1234" s="37"/>
      <c r="J1234" s="38"/>
      <c r="K1234" s="38"/>
      <c r="L1234" s="42"/>
      <c r="M1234" s="42"/>
      <c r="N1234" s="42"/>
      <c r="O1234" s="42"/>
      <c r="R1234" s="37"/>
      <c r="S1234" s="37"/>
      <c r="T1234" s="91"/>
      <c r="U1234" s="91"/>
      <c r="V1234" s="41"/>
      <c r="W1234" s="37"/>
      <c r="X1234" s="37"/>
      <c r="Y1234" s="43"/>
      <c r="Z1234" s="37"/>
      <c r="AA1234" s="37"/>
      <c r="AD1234" s="37"/>
      <c r="AE1234" s="37"/>
      <c r="AF1234" s="37"/>
    </row>
    <row r="1235" spans="1:32" x14ac:dyDescent="0.25">
      <c r="A1235" s="37"/>
      <c r="B1235" s="37"/>
      <c r="C1235" s="37"/>
      <c r="F1235" s="38"/>
      <c r="G1235" s="38"/>
      <c r="H1235" s="38"/>
      <c r="I1235" s="37"/>
      <c r="J1235" s="38"/>
      <c r="K1235" s="38"/>
      <c r="L1235" s="42"/>
      <c r="M1235" s="42"/>
      <c r="N1235" s="42"/>
      <c r="O1235" s="42"/>
      <c r="R1235" s="37"/>
      <c r="S1235" s="37"/>
      <c r="T1235" s="91"/>
      <c r="U1235" s="91"/>
      <c r="V1235" s="41"/>
      <c r="W1235" s="37"/>
      <c r="X1235" s="37"/>
      <c r="Y1235" s="43"/>
      <c r="Z1235" s="37"/>
      <c r="AA1235" s="37"/>
      <c r="AD1235" s="37"/>
      <c r="AE1235" s="37"/>
      <c r="AF1235" s="37"/>
    </row>
    <row r="1236" spans="1:32" x14ac:dyDescent="0.25">
      <c r="A1236" s="37"/>
      <c r="B1236" s="37"/>
      <c r="C1236" s="37"/>
      <c r="F1236" s="38"/>
      <c r="G1236" s="38"/>
      <c r="H1236" s="38"/>
      <c r="I1236" s="37"/>
      <c r="J1236" s="38"/>
      <c r="K1236" s="38"/>
      <c r="L1236" s="42"/>
      <c r="M1236" s="42"/>
      <c r="N1236" s="42"/>
      <c r="O1236" s="42"/>
      <c r="R1236" s="37"/>
      <c r="S1236" s="37"/>
      <c r="T1236" s="91"/>
      <c r="U1236" s="91"/>
      <c r="V1236" s="41"/>
      <c r="W1236" s="37"/>
      <c r="X1236" s="37"/>
      <c r="Y1236" s="43"/>
      <c r="Z1236" s="37"/>
      <c r="AA1236" s="37"/>
      <c r="AD1236" s="37"/>
      <c r="AE1236" s="37"/>
      <c r="AF1236" s="37"/>
    </row>
    <row r="1237" spans="1:32" x14ac:dyDescent="0.25">
      <c r="A1237" s="37"/>
      <c r="B1237" s="37"/>
      <c r="C1237" s="37"/>
      <c r="F1237" s="38"/>
      <c r="G1237" s="38"/>
      <c r="H1237" s="38"/>
      <c r="I1237" s="37"/>
      <c r="J1237" s="38"/>
      <c r="K1237" s="38"/>
      <c r="L1237" s="42"/>
      <c r="M1237" s="42"/>
      <c r="N1237" s="42"/>
      <c r="O1237" s="42"/>
      <c r="R1237" s="37"/>
      <c r="S1237" s="37"/>
      <c r="T1237" s="91"/>
      <c r="U1237" s="91"/>
      <c r="V1237" s="41"/>
      <c r="W1237" s="37"/>
      <c r="X1237" s="37"/>
      <c r="Y1237" s="43"/>
      <c r="Z1237" s="37"/>
      <c r="AA1237" s="37"/>
      <c r="AD1237" s="37"/>
      <c r="AE1237" s="37"/>
      <c r="AF1237" s="37"/>
    </row>
    <row r="1238" spans="1:32" x14ac:dyDescent="0.25">
      <c r="A1238" s="37"/>
      <c r="B1238" s="37"/>
      <c r="C1238" s="37"/>
      <c r="F1238" s="38"/>
      <c r="G1238" s="38"/>
      <c r="H1238" s="38"/>
      <c r="I1238" s="37"/>
      <c r="J1238" s="38"/>
      <c r="K1238" s="38"/>
      <c r="L1238" s="42"/>
      <c r="M1238" s="42"/>
      <c r="N1238" s="42"/>
      <c r="O1238" s="42"/>
      <c r="R1238" s="37"/>
      <c r="S1238" s="37"/>
      <c r="T1238" s="91"/>
      <c r="U1238" s="91"/>
      <c r="V1238" s="41"/>
      <c r="W1238" s="37"/>
      <c r="X1238" s="37"/>
      <c r="Y1238" s="43"/>
      <c r="Z1238" s="37"/>
      <c r="AA1238" s="37"/>
      <c r="AD1238" s="37"/>
      <c r="AE1238" s="37"/>
      <c r="AF1238" s="37"/>
    </row>
    <row r="1239" spans="1:32" x14ac:dyDescent="0.25">
      <c r="A1239" s="37"/>
      <c r="B1239" s="37"/>
      <c r="C1239" s="37"/>
      <c r="F1239" s="38"/>
      <c r="G1239" s="38"/>
      <c r="H1239" s="38"/>
      <c r="I1239" s="37"/>
      <c r="J1239" s="38"/>
      <c r="K1239" s="38"/>
      <c r="L1239" s="42"/>
      <c r="M1239" s="42"/>
      <c r="N1239" s="42"/>
      <c r="O1239" s="42"/>
      <c r="R1239" s="37"/>
      <c r="S1239" s="37"/>
      <c r="T1239" s="91"/>
      <c r="U1239" s="91"/>
      <c r="V1239" s="41"/>
      <c r="W1239" s="37"/>
      <c r="X1239" s="37"/>
      <c r="Y1239" s="43"/>
      <c r="Z1239" s="37"/>
      <c r="AA1239" s="37"/>
      <c r="AD1239" s="37"/>
      <c r="AE1239" s="37"/>
      <c r="AF1239" s="37"/>
    </row>
    <row r="1240" spans="1:32" x14ac:dyDescent="0.25">
      <c r="A1240" s="37"/>
      <c r="B1240" s="37"/>
      <c r="C1240" s="37"/>
      <c r="F1240" s="38"/>
      <c r="G1240" s="38"/>
      <c r="H1240" s="38"/>
      <c r="I1240" s="37"/>
      <c r="J1240" s="38"/>
      <c r="K1240" s="38"/>
      <c r="L1240" s="42"/>
      <c r="M1240" s="42"/>
      <c r="N1240" s="42"/>
      <c r="O1240" s="42"/>
      <c r="R1240" s="37"/>
      <c r="S1240" s="37"/>
      <c r="T1240" s="91"/>
      <c r="U1240" s="91"/>
      <c r="V1240" s="41"/>
      <c r="W1240" s="37"/>
      <c r="X1240" s="37"/>
      <c r="Y1240" s="43"/>
      <c r="Z1240" s="37"/>
      <c r="AA1240" s="37"/>
      <c r="AD1240" s="37"/>
      <c r="AE1240" s="37"/>
      <c r="AF1240" s="37"/>
    </row>
    <row r="1241" spans="1:32" x14ac:dyDescent="0.25">
      <c r="A1241" s="37"/>
      <c r="B1241" s="37"/>
      <c r="C1241" s="37"/>
      <c r="F1241" s="38"/>
      <c r="G1241" s="38"/>
      <c r="H1241" s="38"/>
      <c r="I1241" s="37"/>
      <c r="J1241" s="38"/>
      <c r="K1241" s="38"/>
      <c r="L1241" s="42"/>
      <c r="M1241" s="42"/>
      <c r="N1241" s="42"/>
      <c r="O1241" s="42"/>
      <c r="R1241" s="37"/>
      <c r="S1241" s="37"/>
      <c r="T1241" s="91"/>
      <c r="U1241" s="91"/>
      <c r="V1241" s="41"/>
      <c r="W1241" s="37"/>
      <c r="X1241" s="37"/>
      <c r="Y1241" s="43"/>
      <c r="Z1241" s="37"/>
      <c r="AA1241" s="37"/>
      <c r="AD1241" s="37"/>
      <c r="AE1241" s="37"/>
      <c r="AF1241" s="37"/>
    </row>
    <row r="1242" spans="1:32" x14ac:dyDescent="0.25">
      <c r="A1242" s="37"/>
      <c r="B1242" s="37"/>
      <c r="C1242" s="37"/>
      <c r="F1242" s="38"/>
      <c r="G1242" s="38"/>
      <c r="H1242" s="38"/>
      <c r="I1242" s="37"/>
      <c r="J1242" s="38"/>
      <c r="K1242" s="38"/>
      <c r="L1242" s="42"/>
      <c r="M1242" s="42"/>
      <c r="N1242" s="42"/>
      <c r="O1242" s="42"/>
      <c r="R1242" s="37"/>
      <c r="S1242" s="37"/>
      <c r="T1242" s="91"/>
      <c r="U1242" s="91"/>
      <c r="V1242" s="41"/>
      <c r="W1242" s="37"/>
      <c r="X1242" s="37"/>
      <c r="Y1242" s="43"/>
      <c r="Z1242" s="37"/>
      <c r="AA1242" s="37"/>
      <c r="AD1242" s="37"/>
      <c r="AE1242" s="37"/>
      <c r="AF1242" s="37"/>
    </row>
    <row r="1243" spans="1:32" x14ac:dyDescent="0.25">
      <c r="A1243" s="37"/>
      <c r="B1243" s="37"/>
      <c r="C1243" s="37"/>
      <c r="F1243" s="38"/>
      <c r="G1243" s="38"/>
      <c r="H1243" s="38"/>
      <c r="I1243" s="37"/>
      <c r="J1243" s="38"/>
      <c r="K1243" s="38"/>
      <c r="L1243" s="42"/>
      <c r="M1243" s="42"/>
      <c r="N1243" s="42"/>
      <c r="O1243" s="42"/>
      <c r="R1243" s="37"/>
      <c r="S1243" s="37"/>
      <c r="T1243" s="91"/>
      <c r="U1243" s="91"/>
      <c r="V1243" s="41"/>
      <c r="W1243" s="37"/>
      <c r="X1243" s="37"/>
      <c r="Y1243" s="43"/>
      <c r="Z1243" s="37"/>
      <c r="AA1243" s="37"/>
      <c r="AD1243" s="37"/>
      <c r="AE1243" s="37"/>
      <c r="AF1243" s="37"/>
    </row>
    <row r="1244" spans="1:32" x14ac:dyDescent="0.25">
      <c r="A1244" s="37"/>
      <c r="B1244" s="37"/>
      <c r="C1244" s="37"/>
      <c r="F1244" s="38"/>
      <c r="G1244" s="38"/>
      <c r="H1244" s="38"/>
      <c r="I1244" s="37"/>
      <c r="J1244" s="38"/>
      <c r="K1244" s="38"/>
      <c r="L1244" s="42"/>
      <c r="M1244" s="42"/>
      <c r="N1244" s="42"/>
      <c r="O1244" s="42"/>
      <c r="R1244" s="37"/>
      <c r="S1244" s="37"/>
      <c r="T1244" s="91"/>
      <c r="U1244" s="91"/>
      <c r="V1244" s="41"/>
      <c r="W1244" s="37"/>
      <c r="X1244" s="37"/>
      <c r="Y1244" s="43"/>
      <c r="Z1244" s="37"/>
      <c r="AA1244" s="37"/>
      <c r="AD1244" s="37"/>
      <c r="AE1244" s="37"/>
      <c r="AF1244" s="37"/>
    </row>
    <row r="1245" spans="1:32" x14ac:dyDescent="0.25">
      <c r="A1245" s="37"/>
      <c r="B1245" s="37"/>
      <c r="C1245" s="37"/>
      <c r="F1245" s="38"/>
      <c r="G1245" s="38"/>
      <c r="H1245" s="38"/>
      <c r="I1245" s="37"/>
      <c r="J1245" s="38"/>
      <c r="K1245" s="38"/>
      <c r="L1245" s="42"/>
      <c r="M1245" s="42"/>
      <c r="N1245" s="42"/>
      <c r="O1245" s="42"/>
      <c r="R1245" s="37"/>
      <c r="S1245" s="37"/>
      <c r="T1245" s="91"/>
      <c r="U1245" s="91"/>
      <c r="V1245" s="41"/>
      <c r="W1245" s="37"/>
      <c r="X1245" s="37"/>
      <c r="Y1245" s="43"/>
      <c r="Z1245" s="37"/>
      <c r="AA1245" s="37"/>
      <c r="AD1245" s="37"/>
      <c r="AE1245" s="37"/>
      <c r="AF1245" s="37"/>
    </row>
    <row r="1246" spans="1:32" x14ac:dyDescent="0.25">
      <c r="A1246" s="37"/>
      <c r="B1246" s="37"/>
      <c r="C1246" s="37"/>
      <c r="F1246" s="38"/>
      <c r="G1246" s="38"/>
      <c r="H1246" s="38"/>
      <c r="I1246" s="37"/>
      <c r="J1246" s="38"/>
      <c r="K1246" s="38"/>
      <c r="L1246" s="42"/>
      <c r="M1246" s="42"/>
      <c r="N1246" s="42"/>
      <c r="O1246" s="42"/>
      <c r="R1246" s="37"/>
      <c r="S1246" s="37"/>
      <c r="T1246" s="91"/>
      <c r="U1246" s="91"/>
      <c r="V1246" s="41"/>
      <c r="W1246" s="37"/>
      <c r="X1246" s="37"/>
      <c r="Y1246" s="43"/>
      <c r="Z1246" s="37"/>
      <c r="AA1246" s="37"/>
      <c r="AD1246" s="37"/>
      <c r="AE1246" s="37"/>
      <c r="AF1246" s="37"/>
    </row>
    <row r="1247" spans="1:32" x14ac:dyDescent="0.25">
      <c r="A1247" s="37"/>
      <c r="B1247" s="37"/>
      <c r="C1247" s="37"/>
      <c r="F1247" s="38"/>
      <c r="G1247" s="38"/>
      <c r="H1247" s="38"/>
      <c r="I1247" s="37"/>
      <c r="J1247" s="38"/>
      <c r="K1247" s="38"/>
      <c r="L1247" s="42"/>
      <c r="M1247" s="42"/>
      <c r="N1247" s="42"/>
      <c r="O1247" s="42"/>
      <c r="R1247" s="37"/>
      <c r="S1247" s="37"/>
      <c r="T1247" s="91"/>
      <c r="U1247" s="91"/>
      <c r="V1247" s="41"/>
      <c r="W1247" s="37"/>
      <c r="X1247" s="37"/>
      <c r="Y1247" s="43"/>
      <c r="Z1247" s="37"/>
      <c r="AA1247" s="37"/>
      <c r="AD1247" s="37"/>
      <c r="AE1247" s="37"/>
      <c r="AF1247" s="37"/>
    </row>
    <row r="1248" spans="1:32" x14ac:dyDescent="0.25">
      <c r="A1248" s="37"/>
      <c r="B1248" s="37"/>
      <c r="C1248" s="37"/>
      <c r="F1248" s="38"/>
      <c r="G1248" s="38"/>
      <c r="H1248" s="38"/>
      <c r="I1248" s="37"/>
      <c r="J1248" s="38"/>
      <c r="K1248" s="38"/>
      <c r="L1248" s="42"/>
      <c r="M1248" s="42"/>
      <c r="N1248" s="42"/>
      <c r="O1248" s="42"/>
      <c r="R1248" s="37"/>
      <c r="S1248" s="37"/>
      <c r="T1248" s="91"/>
      <c r="U1248" s="91"/>
      <c r="V1248" s="41"/>
      <c r="W1248" s="37"/>
      <c r="X1248" s="37"/>
      <c r="Y1248" s="43"/>
      <c r="Z1248" s="37"/>
      <c r="AA1248" s="37"/>
      <c r="AD1248" s="37"/>
      <c r="AE1248" s="37"/>
      <c r="AF1248" s="37"/>
    </row>
    <row r="1249" spans="1:32" x14ac:dyDescent="0.25">
      <c r="A1249" s="37"/>
      <c r="B1249" s="37"/>
      <c r="C1249" s="37"/>
      <c r="F1249" s="38"/>
      <c r="G1249" s="38"/>
      <c r="H1249" s="38"/>
      <c r="I1249" s="37"/>
      <c r="J1249" s="38"/>
      <c r="K1249" s="38"/>
      <c r="L1249" s="42"/>
      <c r="M1249" s="42"/>
      <c r="N1249" s="42"/>
      <c r="O1249" s="42"/>
      <c r="R1249" s="37"/>
      <c r="S1249" s="37"/>
      <c r="T1249" s="91"/>
      <c r="U1249" s="91"/>
      <c r="V1249" s="41"/>
      <c r="W1249" s="37"/>
      <c r="X1249" s="37"/>
      <c r="Y1249" s="43"/>
      <c r="Z1249" s="37"/>
      <c r="AA1249" s="37"/>
      <c r="AD1249" s="37"/>
      <c r="AE1249" s="37"/>
      <c r="AF1249" s="37"/>
    </row>
    <row r="1250" spans="1:32" x14ac:dyDescent="0.25">
      <c r="A1250" s="37"/>
      <c r="B1250" s="37"/>
      <c r="C1250" s="37"/>
      <c r="F1250" s="38"/>
      <c r="G1250" s="38"/>
      <c r="H1250" s="38"/>
      <c r="I1250" s="37"/>
      <c r="J1250" s="38"/>
      <c r="K1250" s="38"/>
      <c r="L1250" s="42"/>
      <c r="M1250" s="42"/>
      <c r="N1250" s="42"/>
      <c r="O1250" s="42"/>
      <c r="R1250" s="37"/>
      <c r="S1250" s="37"/>
      <c r="T1250" s="91"/>
      <c r="U1250" s="91"/>
      <c r="V1250" s="41"/>
      <c r="W1250" s="37"/>
      <c r="X1250" s="37"/>
      <c r="Y1250" s="43"/>
      <c r="Z1250" s="37"/>
      <c r="AA1250" s="37"/>
      <c r="AD1250" s="37"/>
      <c r="AE1250" s="37"/>
      <c r="AF1250" s="37"/>
    </row>
    <row r="1251" spans="1:32" x14ac:dyDescent="0.25">
      <c r="A1251" s="37"/>
      <c r="B1251" s="37"/>
      <c r="C1251" s="37"/>
      <c r="F1251" s="38"/>
      <c r="G1251" s="38"/>
      <c r="H1251" s="38"/>
      <c r="I1251" s="37"/>
      <c r="J1251" s="38"/>
      <c r="K1251" s="38"/>
      <c r="L1251" s="42"/>
      <c r="M1251" s="42"/>
      <c r="N1251" s="42"/>
      <c r="O1251" s="42"/>
      <c r="R1251" s="37"/>
      <c r="S1251" s="37"/>
      <c r="T1251" s="91"/>
      <c r="U1251" s="91"/>
      <c r="V1251" s="41"/>
      <c r="W1251" s="37"/>
      <c r="X1251" s="37"/>
      <c r="Y1251" s="43"/>
      <c r="Z1251" s="37"/>
      <c r="AA1251" s="37"/>
      <c r="AD1251" s="37"/>
      <c r="AE1251" s="37"/>
      <c r="AF1251" s="37"/>
    </row>
    <row r="1252" spans="1:32" x14ac:dyDescent="0.25">
      <c r="A1252" s="37"/>
      <c r="B1252" s="37"/>
      <c r="C1252" s="37"/>
      <c r="F1252" s="38"/>
      <c r="G1252" s="38"/>
      <c r="H1252" s="38"/>
      <c r="I1252" s="37"/>
      <c r="J1252" s="38"/>
      <c r="K1252" s="38"/>
      <c r="L1252" s="42"/>
      <c r="M1252" s="42"/>
      <c r="N1252" s="42"/>
      <c r="O1252" s="42"/>
      <c r="R1252" s="37"/>
      <c r="S1252" s="37"/>
      <c r="T1252" s="91"/>
      <c r="U1252" s="91"/>
      <c r="V1252" s="41"/>
      <c r="W1252" s="37"/>
      <c r="X1252" s="37"/>
      <c r="Y1252" s="43"/>
      <c r="Z1252" s="37"/>
      <c r="AA1252" s="37"/>
      <c r="AD1252" s="37"/>
      <c r="AE1252" s="37"/>
      <c r="AF1252" s="37"/>
    </row>
    <row r="1253" spans="1:32" x14ac:dyDescent="0.25">
      <c r="A1253" s="37"/>
      <c r="B1253" s="37"/>
      <c r="C1253" s="37"/>
      <c r="F1253" s="38"/>
      <c r="G1253" s="38"/>
      <c r="H1253" s="38"/>
      <c r="I1253" s="37"/>
      <c r="J1253" s="38"/>
      <c r="K1253" s="38"/>
      <c r="L1253" s="42"/>
      <c r="M1253" s="42"/>
      <c r="N1253" s="42"/>
      <c r="O1253" s="42"/>
      <c r="R1253" s="37"/>
      <c r="S1253" s="37"/>
      <c r="T1253" s="91"/>
      <c r="U1253" s="91"/>
      <c r="V1253" s="41"/>
      <c r="W1253" s="37"/>
      <c r="X1253" s="37"/>
      <c r="Y1253" s="43"/>
      <c r="Z1253" s="37"/>
      <c r="AA1253" s="37"/>
      <c r="AD1253" s="37"/>
      <c r="AE1253" s="37"/>
      <c r="AF1253" s="37"/>
    </row>
    <row r="1254" spans="1:32" x14ac:dyDescent="0.25">
      <c r="A1254" s="37"/>
      <c r="B1254" s="37"/>
      <c r="C1254" s="37"/>
      <c r="F1254" s="38"/>
      <c r="G1254" s="38"/>
      <c r="H1254" s="38"/>
      <c r="I1254" s="37"/>
      <c r="J1254" s="38"/>
      <c r="K1254" s="38"/>
      <c r="L1254" s="42"/>
      <c r="M1254" s="42"/>
      <c r="N1254" s="42"/>
      <c r="O1254" s="42"/>
      <c r="R1254" s="37"/>
      <c r="S1254" s="37"/>
      <c r="T1254" s="91"/>
      <c r="U1254" s="91"/>
      <c r="V1254" s="41"/>
      <c r="W1254" s="37"/>
      <c r="X1254" s="37"/>
      <c r="Y1254" s="43"/>
      <c r="Z1254" s="37"/>
      <c r="AA1254" s="37"/>
      <c r="AD1254" s="37"/>
      <c r="AE1254" s="37"/>
      <c r="AF1254" s="37"/>
    </row>
    <row r="1255" spans="1:32" x14ac:dyDescent="0.25">
      <c r="A1255" s="37"/>
      <c r="B1255" s="37"/>
      <c r="C1255" s="37"/>
      <c r="F1255" s="38"/>
      <c r="G1255" s="38"/>
      <c r="H1255" s="38"/>
      <c r="I1255" s="37"/>
      <c r="J1255" s="38"/>
      <c r="K1255" s="38"/>
      <c r="L1255" s="42"/>
      <c r="M1255" s="42"/>
      <c r="N1255" s="42"/>
      <c r="O1255" s="42"/>
      <c r="R1255" s="37"/>
      <c r="S1255" s="37"/>
      <c r="T1255" s="91"/>
      <c r="U1255" s="91"/>
      <c r="V1255" s="41"/>
      <c r="W1255" s="37"/>
      <c r="X1255" s="37"/>
      <c r="Y1255" s="43"/>
      <c r="Z1255" s="37"/>
      <c r="AA1255" s="37"/>
      <c r="AD1255" s="37"/>
      <c r="AE1255" s="37"/>
      <c r="AF1255" s="37"/>
    </row>
    <row r="1256" spans="1:32" x14ac:dyDescent="0.25">
      <c r="A1256" s="37"/>
      <c r="B1256" s="37"/>
      <c r="C1256" s="37"/>
      <c r="F1256" s="38"/>
      <c r="G1256" s="38"/>
      <c r="H1256" s="38"/>
      <c r="I1256" s="37"/>
      <c r="J1256" s="38"/>
      <c r="K1256" s="38"/>
      <c r="L1256" s="42"/>
      <c r="M1256" s="42"/>
      <c r="N1256" s="42"/>
      <c r="O1256" s="42"/>
      <c r="R1256" s="37"/>
      <c r="S1256" s="37"/>
      <c r="T1256" s="91"/>
      <c r="U1256" s="91"/>
      <c r="V1256" s="41"/>
      <c r="W1256" s="37"/>
      <c r="X1256" s="37"/>
      <c r="Y1256" s="43"/>
      <c r="Z1256" s="37"/>
      <c r="AA1256" s="37"/>
      <c r="AD1256" s="37"/>
      <c r="AE1256" s="37"/>
      <c r="AF1256" s="37"/>
    </row>
    <row r="1257" spans="1:32" x14ac:dyDescent="0.25">
      <c r="A1257" s="37"/>
      <c r="B1257" s="37"/>
      <c r="C1257" s="37"/>
      <c r="F1257" s="38"/>
      <c r="G1257" s="38"/>
      <c r="H1257" s="38"/>
      <c r="I1257" s="37"/>
      <c r="J1257" s="38"/>
      <c r="K1257" s="38"/>
      <c r="L1257" s="42"/>
      <c r="M1257" s="42"/>
      <c r="N1257" s="42"/>
      <c r="O1257" s="42"/>
      <c r="R1257" s="37"/>
      <c r="S1257" s="37"/>
      <c r="T1257" s="91"/>
      <c r="U1257" s="91"/>
      <c r="V1257" s="41"/>
      <c r="W1257" s="37"/>
      <c r="X1257" s="37"/>
      <c r="Y1257" s="43"/>
      <c r="Z1257" s="37"/>
      <c r="AA1257" s="37"/>
      <c r="AD1257" s="37"/>
      <c r="AE1257" s="37"/>
      <c r="AF1257" s="37"/>
    </row>
    <row r="1258" spans="1:32" x14ac:dyDescent="0.25">
      <c r="A1258" s="37"/>
      <c r="B1258" s="37"/>
      <c r="C1258" s="37"/>
      <c r="F1258" s="38"/>
      <c r="G1258" s="38"/>
      <c r="H1258" s="38"/>
      <c r="I1258" s="37"/>
      <c r="J1258" s="38"/>
      <c r="K1258" s="38"/>
      <c r="L1258" s="42"/>
      <c r="M1258" s="42"/>
      <c r="N1258" s="42"/>
      <c r="O1258" s="42"/>
      <c r="R1258" s="37"/>
      <c r="S1258" s="37"/>
      <c r="T1258" s="91"/>
      <c r="U1258" s="91"/>
      <c r="V1258" s="41"/>
      <c r="W1258" s="37"/>
      <c r="X1258" s="37"/>
      <c r="Y1258" s="43"/>
      <c r="Z1258" s="37"/>
      <c r="AA1258" s="37"/>
      <c r="AD1258" s="37"/>
      <c r="AE1258" s="37"/>
      <c r="AF1258" s="37"/>
    </row>
    <row r="1259" spans="1:32" x14ac:dyDescent="0.25">
      <c r="A1259" s="37"/>
      <c r="B1259" s="37"/>
      <c r="C1259" s="37"/>
      <c r="F1259" s="38"/>
      <c r="G1259" s="38"/>
      <c r="H1259" s="38"/>
      <c r="I1259" s="37"/>
      <c r="J1259" s="38"/>
      <c r="K1259" s="38"/>
      <c r="L1259" s="42"/>
      <c r="M1259" s="42"/>
      <c r="N1259" s="42"/>
      <c r="O1259" s="42"/>
      <c r="R1259" s="37"/>
      <c r="S1259" s="37"/>
      <c r="T1259" s="91"/>
      <c r="U1259" s="91"/>
      <c r="V1259" s="41"/>
      <c r="W1259" s="37"/>
      <c r="X1259" s="37"/>
      <c r="Y1259" s="43"/>
      <c r="Z1259" s="37"/>
      <c r="AA1259" s="37"/>
      <c r="AD1259" s="37"/>
      <c r="AE1259" s="37"/>
      <c r="AF1259" s="37"/>
    </row>
    <row r="1260" spans="1:32" x14ac:dyDescent="0.25">
      <c r="A1260" s="37"/>
      <c r="B1260" s="37"/>
      <c r="C1260" s="37"/>
      <c r="F1260" s="38"/>
      <c r="G1260" s="38"/>
      <c r="H1260" s="38"/>
      <c r="I1260" s="37"/>
      <c r="J1260" s="38"/>
      <c r="K1260" s="38"/>
      <c r="L1260" s="42"/>
      <c r="M1260" s="42"/>
      <c r="N1260" s="42"/>
      <c r="O1260" s="42"/>
      <c r="R1260" s="37"/>
      <c r="S1260" s="37"/>
      <c r="T1260" s="91"/>
      <c r="U1260" s="91"/>
      <c r="V1260" s="41"/>
      <c r="W1260" s="37"/>
      <c r="X1260" s="37"/>
      <c r="Y1260" s="43"/>
      <c r="Z1260" s="37"/>
      <c r="AA1260" s="37"/>
      <c r="AD1260" s="37"/>
      <c r="AE1260" s="37"/>
      <c r="AF1260" s="37"/>
    </row>
    <row r="1261" spans="1:32" x14ac:dyDescent="0.25">
      <c r="A1261" s="37"/>
      <c r="B1261" s="37"/>
      <c r="C1261" s="37"/>
      <c r="F1261" s="38"/>
      <c r="G1261" s="38"/>
      <c r="H1261" s="38"/>
      <c r="I1261" s="37"/>
      <c r="J1261" s="38"/>
      <c r="K1261" s="38"/>
      <c r="L1261" s="42"/>
      <c r="M1261" s="42"/>
      <c r="N1261" s="42"/>
      <c r="O1261" s="42"/>
      <c r="R1261" s="37"/>
      <c r="S1261" s="37"/>
      <c r="T1261" s="91"/>
      <c r="U1261" s="91"/>
      <c r="V1261" s="41"/>
      <c r="W1261" s="37"/>
      <c r="X1261" s="37"/>
      <c r="Y1261" s="43"/>
      <c r="Z1261" s="37"/>
      <c r="AA1261" s="37"/>
      <c r="AD1261" s="37"/>
      <c r="AE1261" s="37"/>
      <c r="AF1261" s="37"/>
    </row>
    <row r="1262" spans="1:32" x14ac:dyDescent="0.25">
      <c r="A1262" s="37"/>
      <c r="B1262" s="37"/>
      <c r="C1262" s="37"/>
      <c r="F1262" s="38"/>
      <c r="G1262" s="38"/>
      <c r="H1262" s="38"/>
      <c r="I1262" s="37"/>
      <c r="J1262" s="38"/>
      <c r="K1262" s="38"/>
      <c r="L1262" s="42"/>
      <c r="M1262" s="42"/>
      <c r="N1262" s="42"/>
      <c r="O1262" s="42"/>
      <c r="R1262" s="37"/>
      <c r="S1262" s="37"/>
      <c r="T1262" s="91"/>
      <c r="U1262" s="91"/>
      <c r="V1262" s="41"/>
      <c r="W1262" s="37"/>
      <c r="X1262" s="37"/>
      <c r="Y1262" s="43"/>
      <c r="Z1262" s="37"/>
      <c r="AA1262" s="37"/>
      <c r="AD1262" s="37"/>
      <c r="AE1262" s="37"/>
      <c r="AF1262" s="37"/>
    </row>
    <row r="1263" spans="1:32" x14ac:dyDescent="0.25">
      <c r="A1263" s="37"/>
      <c r="B1263" s="37"/>
      <c r="C1263" s="37"/>
      <c r="F1263" s="38"/>
      <c r="G1263" s="38"/>
      <c r="H1263" s="38"/>
      <c r="I1263" s="37"/>
      <c r="J1263" s="38"/>
      <c r="K1263" s="38"/>
      <c r="L1263" s="42"/>
      <c r="M1263" s="42"/>
      <c r="N1263" s="42"/>
      <c r="O1263" s="42"/>
      <c r="R1263" s="37"/>
      <c r="S1263" s="37"/>
      <c r="T1263" s="91"/>
      <c r="U1263" s="91"/>
      <c r="V1263" s="41"/>
      <c r="W1263" s="37"/>
      <c r="X1263" s="37"/>
      <c r="Y1263" s="43"/>
      <c r="Z1263" s="37"/>
      <c r="AA1263" s="37"/>
      <c r="AD1263" s="37"/>
      <c r="AE1263" s="37"/>
      <c r="AF1263" s="37"/>
    </row>
    <row r="1264" spans="1:32" x14ac:dyDescent="0.25">
      <c r="A1264" s="37"/>
      <c r="B1264" s="37"/>
      <c r="C1264" s="37"/>
      <c r="F1264" s="38"/>
      <c r="G1264" s="38"/>
      <c r="H1264" s="38"/>
      <c r="I1264" s="37"/>
      <c r="J1264" s="38"/>
      <c r="K1264" s="38"/>
      <c r="L1264" s="42"/>
      <c r="M1264" s="42"/>
      <c r="N1264" s="42"/>
      <c r="O1264" s="42"/>
      <c r="R1264" s="37"/>
      <c r="S1264" s="37"/>
      <c r="T1264" s="91"/>
      <c r="U1264" s="91"/>
      <c r="V1264" s="41"/>
      <c r="W1264" s="37"/>
      <c r="X1264" s="37"/>
      <c r="Y1264" s="43"/>
      <c r="Z1264" s="37"/>
      <c r="AA1264" s="37"/>
      <c r="AD1264" s="37"/>
      <c r="AE1264" s="37"/>
      <c r="AF1264" s="37"/>
    </row>
    <row r="1265" spans="1:32" x14ac:dyDescent="0.25">
      <c r="A1265" s="37"/>
      <c r="B1265" s="37"/>
      <c r="C1265" s="37"/>
      <c r="F1265" s="38"/>
      <c r="G1265" s="38"/>
      <c r="H1265" s="38"/>
      <c r="I1265" s="37"/>
      <c r="J1265" s="38"/>
      <c r="K1265" s="38"/>
      <c r="L1265" s="42"/>
      <c r="M1265" s="42"/>
      <c r="N1265" s="42"/>
      <c r="O1265" s="42"/>
      <c r="R1265" s="37"/>
      <c r="S1265" s="37"/>
      <c r="T1265" s="91"/>
      <c r="U1265" s="91"/>
      <c r="V1265" s="41"/>
      <c r="W1265" s="37"/>
      <c r="X1265" s="37"/>
      <c r="Y1265" s="43"/>
      <c r="Z1265" s="37"/>
      <c r="AA1265" s="37"/>
      <c r="AD1265" s="37"/>
      <c r="AE1265" s="37"/>
      <c r="AF1265" s="37"/>
    </row>
    <row r="1266" spans="1:32" x14ac:dyDescent="0.25">
      <c r="A1266" s="37"/>
      <c r="B1266" s="37"/>
      <c r="C1266" s="37"/>
      <c r="F1266" s="38"/>
      <c r="G1266" s="38"/>
      <c r="H1266" s="38"/>
      <c r="I1266" s="37"/>
      <c r="J1266" s="38"/>
      <c r="K1266" s="38"/>
      <c r="L1266" s="42"/>
      <c r="M1266" s="42"/>
      <c r="N1266" s="42"/>
      <c r="O1266" s="42"/>
      <c r="R1266" s="37"/>
      <c r="S1266" s="37"/>
      <c r="T1266" s="91"/>
      <c r="U1266" s="91"/>
      <c r="V1266" s="41"/>
      <c r="W1266" s="37"/>
      <c r="X1266" s="37"/>
      <c r="Y1266" s="43"/>
      <c r="Z1266" s="37"/>
      <c r="AA1266" s="37"/>
      <c r="AD1266" s="37"/>
      <c r="AE1266" s="37"/>
      <c r="AF1266" s="37"/>
    </row>
    <row r="1267" spans="1:32" x14ac:dyDescent="0.25">
      <c r="A1267" s="37"/>
      <c r="B1267" s="37"/>
      <c r="C1267" s="37"/>
      <c r="F1267" s="38"/>
      <c r="G1267" s="38"/>
      <c r="H1267" s="38"/>
      <c r="I1267" s="37"/>
      <c r="J1267" s="38"/>
      <c r="K1267" s="38"/>
      <c r="L1267" s="42"/>
      <c r="M1267" s="42"/>
      <c r="N1267" s="42"/>
      <c r="O1267" s="42"/>
      <c r="R1267" s="37"/>
      <c r="S1267" s="37"/>
      <c r="T1267" s="91"/>
      <c r="U1267" s="91"/>
      <c r="V1267" s="41"/>
      <c r="W1267" s="37"/>
      <c r="X1267" s="37"/>
      <c r="Y1267" s="43"/>
      <c r="Z1267" s="37"/>
      <c r="AA1267" s="37"/>
      <c r="AD1267" s="37"/>
      <c r="AE1267" s="37"/>
      <c r="AF1267" s="37"/>
    </row>
    <row r="1268" spans="1:32" x14ac:dyDescent="0.25">
      <c r="A1268" s="37"/>
      <c r="B1268" s="37"/>
      <c r="C1268" s="37"/>
      <c r="F1268" s="38"/>
      <c r="G1268" s="38"/>
      <c r="H1268" s="38"/>
      <c r="I1268" s="37"/>
      <c r="J1268" s="38"/>
      <c r="K1268" s="38"/>
      <c r="L1268" s="42"/>
      <c r="M1268" s="42"/>
      <c r="N1268" s="42"/>
      <c r="O1268" s="42"/>
      <c r="R1268" s="37"/>
      <c r="S1268" s="37"/>
      <c r="T1268" s="91"/>
      <c r="U1268" s="91"/>
      <c r="V1268" s="41"/>
      <c r="W1268" s="37"/>
      <c r="X1268" s="37"/>
      <c r="Y1268" s="43"/>
      <c r="Z1268" s="37"/>
      <c r="AA1268" s="37"/>
      <c r="AD1268" s="37"/>
      <c r="AE1268" s="37"/>
      <c r="AF1268" s="37"/>
    </row>
    <row r="1269" spans="1:32" x14ac:dyDescent="0.25">
      <c r="A1269" s="37"/>
      <c r="B1269" s="37"/>
      <c r="C1269" s="37"/>
      <c r="F1269" s="38"/>
      <c r="G1269" s="38"/>
      <c r="H1269" s="38"/>
      <c r="I1269" s="37"/>
      <c r="J1269" s="38"/>
      <c r="K1269" s="38"/>
      <c r="L1269" s="42"/>
      <c r="M1269" s="42"/>
      <c r="N1269" s="42"/>
      <c r="O1269" s="42"/>
      <c r="R1269" s="37"/>
      <c r="S1269" s="37"/>
      <c r="T1269" s="91"/>
      <c r="U1269" s="91"/>
      <c r="V1269" s="41"/>
      <c r="W1269" s="37"/>
      <c r="X1269" s="37"/>
      <c r="Y1269" s="43"/>
      <c r="Z1269" s="37"/>
      <c r="AA1269" s="37"/>
      <c r="AD1269" s="37"/>
      <c r="AE1269" s="37"/>
      <c r="AF1269" s="37"/>
    </row>
    <row r="1270" spans="1:32" x14ac:dyDescent="0.25">
      <c r="A1270" s="37"/>
      <c r="B1270" s="37"/>
      <c r="C1270" s="37"/>
      <c r="F1270" s="38"/>
      <c r="G1270" s="38"/>
      <c r="H1270" s="38"/>
      <c r="I1270" s="37"/>
      <c r="J1270" s="38"/>
      <c r="K1270" s="38"/>
      <c r="L1270" s="42"/>
      <c r="M1270" s="42"/>
      <c r="N1270" s="42"/>
      <c r="O1270" s="42"/>
      <c r="R1270" s="37"/>
      <c r="S1270" s="37"/>
      <c r="T1270" s="91"/>
      <c r="U1270" s="91"/>
      <c r="V1270" s="41"/>
      <c r="W1270" s="37"/>
      <c r="X1270" s="37"/>
      <c r="Y1270" s="43"/>
      <c r="Z1270" s="37"/>
      <c r="AA1270" s="37"/>
      <c r="AD1270" s="37"/>
      <c r="AE1270" s="37"/>
      <c r="AF1270" s="37"/>
    </row>
    <row r="1271" spans="1:32" x14ac:dyDescent="0.25">
      <c r="A1271" s="37"/>
      <c r="B1271" s="37"/>
      <c r="C1271" s="37"/>
      <c r="F1271" s="38"/>
      <c r="G1271" s="38"/>
      <c r="H1271" s="38"/>
      <c r="I1271" s="37"/>
      <c r="J1271" s="38"/>
      <c r="K1271" s="38"/>
      <c r="L1271" s="42"/>
      <c r="M1271" s="42"/>
      <c r="N1271" s="42"/>
      <c r="O1271" s="42"/>
      <c r="R1271" s="37"/>
      <c r="S1271" s="37"/>
      <c r="T1271" s="91"/>
      <c r="U1271" s="91"/>
      <c r="V1271" s="41"/>
      <c r="W1271" s="37"/>
      <c r="X1271" s="37"/>
      <c r="Y1271" s="43"/>
      <c r="Z1271" s="37"/>
      <c r="AA1271" s="37"/>
      <c r="AD1271" s="37"/>
      <c r="AE1271" s="37"/>
      <c r="AF1271" s="37"/>
    </row>
    <row r="1272" spans="1:32" x14ac:dyDescent="0.25">
      <c r="A1272" s="37"/>
      <c r="B1272" s="37"/>
      <c r="C1272" s="37"/>
      <c r="F1272" s="38"/>
      <c r="G1272" s="38"/>
      <c r="H1272" s="38"/>
      <c r="I1272" s="37"/>
      <c r="J1272" s="38"/>
      <c r="K1272" s="38"/>
      <c r="L1272" s="42"/>
      <c r="M1272" s="42"/>
      <c r="N1272" s="42"/>
      <c r="O1272" s="42"/>
      <c r="R1272" s="37"/>
      <c r="S1272" s="37"/>
      <c r="T1272" s="91"/>
      <c r="U1272" s="91"/>
      <c r="V1272" s="41"/>
      <c r="W1272" s="37"/>
      <c r="X1272" s="37"/>
      <c r="Y1272" s="43"/>
      <c r="Z1272" s="37"/>
      <c r="AA1272" s="37"/>
      <c r="AD1272" s="37"/>
      <c r="AE1272" s="37"/>
      <c r="AF1272" s="37"/>
    </row>
    <row r="1273" spans="1:32" x14ac:dyDescent="0.25">
      <c r="A1273" s="37"/>
      <c r="B1273" s="37"/>
      <c r="C1273" s="37"/>
      <c r="F1273" s="38"/>
      <c r="G1273" s="38"/>
      <c r="H1273" s="38"/>
      <c r="I1273" s="37"/>
      <c r="J1273" s="38"/>
      <c r="K1273" s="38"/>
      <c r="L1273" s="42"/>
      <c r="M1273" s="42"/>
      <c r="N1273" s="42"/>
      <c r="O1273" s="42"/>
      <c r="R1273" s="37"/>
      <c r="S1273" s="37"/>
      <c r="T1273" s="91"/>
      <c r="U1273" s="91"/>
      <c r="V1273" s="41"/>
      <c r="W1273" s="37"/>
      <c r="X1273" s="37"/>
      <c r="Y1273" s="43"/>
      <c r="Z1273" s="37"/>
      <c r="AA1273" s="37"/>
      <c r="AD1273" s="37"/>
      <c r="AE1273" s="37"/>
      <c r="AF1273" s="37"/>
    </row>
    <row r="1274" spans="1:32" x14ac:dyDescent="0.25">
      <c r="A1274" s="37"/>
      <c r="B1274" s="37"/>
      <c r="C1274" s="37"/>
      <c r="F1274" s="38"/>
      <c r="G1274" s="38"/>
      <c r="H1274" s="38"/>
      <c r="I1274" s="37"/>
      <c r="J1274" s="38"/>
      <c r="K1274" s="38"/>
      <c r="L1274" s="42"/>
      <c r="M1274" s="42"/>
      <c r="N1274" s="42"/>
      <c r="O1274" s="42"/>
      <c r="R1274" s="37"/>
      <c r="S1274" s="37"/>
      <c r="T1274" s="91"/>
      <c r="U1274" s="91"/>
      <c r="V1274" s="41"/>
      <c r="W1274" s="37"/>
      <c r="X1274" s="37"/>
      <c r="Y1274" s="43"/>
      <c r="Z1274" s="37"/>
      <c r="AA1274" s="37"/>
      <c r="AD1274" s="37"/>
      <c r="AE1274" s="37"/>
      <c r="AF1274" s="37"/>
    </row>
    <row r="1275" spans="1:32" x14ac:dyDescent="0.25">
      <c r="A1275" s="37"/>
      <c r="B1275" s="37"/>
      <c r="C1275" s="37"/>
      <c r="F1275" s="38"/>
      <c r="G1275" s="38"/>
      <c r="H1275" s="38"/>
      <c r="I1275" s="37"/>
      <c r="J1275" s="38"/>
      <c r="K1275" s="38"/>
      <c r="L1275" s="42"/>
      <c r="M1275" s="42"/>
      <c r="N1275" s="42"/>
      <c r="O1275" s="42"/>
      <c r="R1275" s="37"/>
      <c r="S1275" s="37"/>
      <c r="T1275" s="91"/>
      <c r="U1275" s="91"/>
      <c r="V1275" s="41"/>
      <c r="W1275" s="37"/>
      <c r="X1275" s="37"/>
      <c r="Y1275" s="43"/>
      <c r="Z1275" s="37"/>
      <c r="AA1275" s="37"/>
      <c r="AD1275" s="37"/>
      <c r="AE1275" s="37"/>
      <c r="AF1275" s="37"/>
    </row>
    <row r="1276" spans="1:32" x14ac:dyDescent="0.25">
      <c r="A1276" s="37"/>
      <c r="B1276" s="37"/>
      <c r="C1276" s="37"/>
      <c r="F1276" s="38"/>
      <c r="G1276" s="38"/>
      <c r="H1276" s="38"/>
      <c r="I1276" s="37"/>
      <c r="J1276" s="38"/>
      <c r="K1276" s="38"/>
      <c r="L1276" s="42"/>
      <c r="M1276" s="42"/>
      <c r="N1276" s="42"/>
      <c r="O1276" s="42"/>
      <c r="R1276" s="37"/>
      <c r="S1276" s="37"/>
      <c r="T1276" s="91"/>
      <c r="U1276" s="91"/>
      <c r="V1276" s="41"/>
      <c r="W1276" s="37"/>
      <c r="X1276" s="37"/>
      <c r="Y1276" s="43"/>
      <c r="Z1276" s="37"/>
      <c r="AA1276" s="37"/>
      <c r="AD1276" s="37"/>
      <c r="AE1276" s="37"/>
      <c r="AF1276" s="37"/>
    </row>
    <row r="1277" spans="1:32" x14ac:dyDescent="0.25">
      <c r="A1277" s="37"/>
      <c r="B1277" s="37"/>
      <c r="C1277" s="37"/>
      <c r="F1277" s="38"/>
      <c r="G1277" s="38"/>
      <c r="H1277" s="38"/>
      <c r="I1277" s="37"/>
      <c r="J1277" s="38"/>
      <c r="K1277" s="38"/>
      <c r="L1277" s="42"/>
      <c r="M1277" s="42"/>
      <c r="N1277" s="42"/>
      <c r="O1277" s="42"/>
      <c r="R1277" s="37"/>
      <c r="S1277" s="37"/>
      <c r="T1277" s="91"/>
      <c r="U1277" s="91"/>
      <c r="V1277" s="41"/>
      <c r="W1277" s="37"/>
      <c r="X1277" s="37"/>
      <c r="Y1277" s="43"/>
      <c r="Z1277" s="37"/>
      <c r="AA1277" s="37"/>
      <c r="AD1277" s="37"/>
      <c r="AE1277" s="37"/>
      <c r="AF1277" s="37"/>
    </row>
    <row r="1278" spans="1:32" x14ac:dyDescent="0.25">
      <c r="A1278" s="37"/>
      <c r="B1278" s="37"/>
      <c r="C1278" s="37"/>
      <c r="F1278" s="38"/>
      <c r="G1278" s="38"/>
      <c r="H1278" s="38"/>
      <c r="I1278" s="37"/>
      <c r="J1278" s="38"/>
      <c r="K1278" s="38"/>
      <c r="L1278" s="42"/>
      <c r="M1278" s="42"/>
      <c r="N1278" s="42"/>
      <c r="O1278" s="42"/>
      <c r="R1278" s="37"/>
      <c r="S1278" s="37"/>
      <c r="T1278" s="91"/>
      <c r="U1278" s="91"/>
      <c r="V1278" s="41"/>
      <c r="W1278" s="37"/>
      <c r="X1278" s="37"/>
      <c r="Y1278" s="43"/>
      <c r="Z1278" s="37"/>
      <c r="AA1278" s="37"/>
      <c r="AD1278" s="37"/>
      <c r="AE1278" s="37"/>
      <c r="AF1278" s="37"/>
    </row>
    <row r="1279" spans="1:32" x14ac:dyDescent="0.25">
      <c r="A1279" s="37"/>
      <c r="B1279" s="37"/>
      <c r="C1279" s="37"/>
      <c r="F1279" s="38"/>
      <c r="G1279" s="38"/>
      <c r="H1279" s="38"/>
      <c r="I1279" s="37"/>
      <c r="J1279" s="38"/>
      <c r="K1279" s="38"/>
      <c r="L1279" s="42"/>
      <c r="M1279" s="42"/>
      <c r="N1279" s="42"/>
      <c r="O1279" s="42"/>
      <c r="R1279" s="37"/>
      <c r="S1279" s="37"/>
      <c r="T1279" s="91"/>
      <c r="U1279" s="91"/>
      <c r="V1279" s="41"/>
      <c r="W1279" s="37"/>
      <c r="X1279" s="37"/>
      <c r="Y1279" s="43"/>
      <c r="Z1279" s="37"/>
      <c r="AA1279" s="37"/>
      <c r="AD1279" s="37"/>
      <c r="AE1279" s="37"/>
      <c r="AF1279" s="37"/>
    </row>
    <row r="1280" spans="1:32" x14ac:dyDescent="0.25">
      <c r="A1280" s="37"/>
      <c r="B1280" s="37"/>
      <c r="C1280" s="37"/>
      <c r="F1280" s="38"/>
      <c r="G1280" s="38"/>
      <c r="H1280" s="38"/>
      <c r="I1280" s="37"/>
      <c r="J1280" s="38"/>
      <c r="K1280" s="38"/>
      <c r="L1280" s="42"/>
      <c r="M1280" s="42"/>
      <c r="N1280" s="42"/>
      <c r="O1280" s="42"/>
      <c r="R1280" s="37"/>
      <c r="S1280" s="37"/>
      <c r="T1280" s="91"/>
      <c r="U1280" s="91"/>
      <c r="V1280" s="41"/>
      <c r="W1280" s="37"/>
      <c r="X1280" s="37"/>
      <c r="Y1280" s="43"/>
      <c r="Z1280" s="37"/>
      <c r="AA1280" s="37"/>
      <c r="AD1280" s="37"/>
      <c r="AE1280" s="37"/>
      <c r="AF1280" s="37"/>
    </row>
    <row r="1281" spans="1:32" x14ac:dyDescent="0.25">
      <c r="A1281" s="37"/>
      <c r="B1281" s="37"/>
      <c r="C1281" s="37"/>
      <c r="F1281" s="38"/>
      <c r="G1281" s="38"/>
      <c r="H1281" s="38"/>
      <c r="I1281" s="37"/>
      <c r="J1281" s="38"/>
      <c r="K1281" s="38"/>
      <c r="L1281" s="42"/>
      <c r="M1281" s="42"/>
      <c r="N1281" s="42"/>
      <c r="O1281" s="42"/>
      <c r="R1281" s="37"/>
      <c r="S1281" s="37"/>
      <c r="T1281" s="91"/>
      <c r="U1281" s="91"/>
      <c r="V1281" s="41"/>
      <c r="W1281" s="37"/>
      <c r="X1281" s="37"/>
      <c r="Y1281" s="43"/>
      <c r="Z1281" s="37"/>
      <c r="AA1281" s="37"/>
      <c r="AD1281" s="37"/>
      <c r="AE1281" s="37"/>
      <c r="AF1281" s="37"/>
    </row>
    <row r="1282" spans="1:32" x14ac:dyDescent="0.25">
      <c r="A1282" s="37"/>
      <c r="B1282" s="37"/>
      <c r="C1282" s="37"/>
      <c r="F1282" s="38"/>
      <c r="G1282" s="38"/>
      <c r="H1282" s="38"/>
      <c r="I1282" s="37"/>
      <c r="J1282" s="38"/>
      <c r="K1282" s="38"/>
      <c r="L1282" s="42"/>
      <c r="M1282" s="42"/>
      <c r="N1282" s="42"/>
      <c r="O1282" s="42"/>
      <c r="R1282" s="37"/>
      <c r="S1282" s="37"/>
      <c r="T1282" s="91"/>
      <c r="U1282" s="91"/>
      <c r="V1282" s="41"/>
      <c r="W1282" s="37"/>
      <c r="X1282" s="37"/>
      <c r="Y1282" s="43"/>
      <c r="Z1282" s="37"/>
      <c r="AA1282" s="37"/>
      <c r="AD1282" s="37"/>
      <c r="AE1282" s="37"/>
      <c r="AF1282" s="37"/>
    </row>
    <row r="1283" spans="1:32" x14ac:dyDescent="0.25">
      <c r="A1283" s="37"/>
      <c r="B1283" s="37"/>
      <c r="C1283" s="37"/>
      <c r="F1283" s="38"/>
      <c r="G1283" s="38"/>
      <c r="H1283" s="38"/>
      <c r="I1283" s="37"/>
      <c r="J1283" s="38"/>
      <c r="K1283" s="38"/>
      <c r="L1283" s="42"/>
      <c r="M1283" s="42"/>
      <c r="N1283" s="42"/>
      <c r="O1283" s="42"/>
      <c r="R1283" s="37"/>
      <c r="S1283" s="37"/>
      <c r="T1283" s="91"/>
      <c r="U1283" s="91"/>
      <c r="V1283" s="41"/>
      <c r="W1283" s="37"/>
      <c r="X1283" s="37"/>
      <c r="Y1283" s="43"/>
      <c r="Z1283" s="37"/>
      <c r="AA1283" s="37"/>
      <c r="AD1283" s="37"/>
      <c r="AE1283" s="37"/>
      <c r="AF1283" s="37"/>
    </row>
    <row r="1284" spans="1:32" x14ac:dyDescent="0.25">
      <c r="A1284" s="37"/>
      <c r="B1284" s="37"/>
      <c r="C1284" s="37"/>
      <c r="F1284" s="38"/>
      <c r="G1284" s="38"/>
      <c r="H1284" s="38"/>
      <c r="I1284" s="37"/>
      <c r="J1284" s="38"/>
      <c r="K1284" s="38"/>
      <c r="L1284" s="42"/>
      <c r="M1284" s="42"/>
      <c r="N1284" s="42"/>
      <c r="O1284" s="42"/>
      <c r="R1284" s="37"/>
      <c r="S1284" s="37"/>
      <c r="T1284" s="91"/>
      <c r="U1284" s="91"/>
      <c r="V1284" s="41"/>
      <c r="W1284" s="37"/>
      <c r="X1284" s="37"/>
      <c r="Y1284" s="43"/>
      <c r="Z1284" s="37"/>
      <c r="AA1284" s="37"/>
      <c r="AD1284" s="37"/>
      <c r="AE1284" s="37"/>
      <c r="AF1284" s="37"/>
    </row>
    <row r="1285" spans="1:32" x14ac:dyDescent="0.25">
      <c r="A1285" s="37"/>
      <c r="B1285" s="37"/>
      <c r="C1285" s="37"/>
      <c r="F1285" s="38"/>
      <c r="G1285" s="38"/>
      <c r="H1285" s="38"/>
      <c r="I1285" s="37"/>
      <c r="J1285" s="38"/>
      <c r="K1285" s="38"/>
      <c r="L1285" s="42"/>
      <c r="M1285" s="42"/>
      <c r="N1285" s="42"/>
      <c r="O1285" s="42"/>
      <c r="R1285" s="37"/>
      <c r="S1285" s="37"/>
      <c r="T1285" s="91"/>
      <c r="U1285" s="91"/>
      <c r="V1285" s="41"/>
      <c r="W1285" s="37"/>
      <c r="X1285" s="37"/>
      <c r="Y1285" s="43"/>
      <c r="Z1285" s="37"/>
      <c r="AA1285" s="37"/>
      <c r="AD1285" s="37"/>
      <c r="AE1285" s="37"/>
      <c r="AF1285" s="37"/>
    </row>
    <row r="1286" spans="1:32" x14ac:dyDescent="0.25">
      <c r="A1286" s="37"/>
      <c r="B1286" s="37"/>
      <c r="C1286" s="37"/>
      <c r="F1286" s="38"/>
      <c r="G1286" s="38"/>
      <c r="H1286" s="38"/>
      <c r="I1286" s="37"/>
      <c r="J1286" s="38"/>
      <c r="K1286" s="38"/>
      <c r="L1286" s="42"/>
      <c r="M1286" s="42"/>
      <c r="N1286" s="42"/>
      <c r="O1286" s="42"/>
      <c r="R1286" s="37"/>
      <c r="S1286" s="37"/>
      <c r="T1286" s="91"/>
      <c r="U1286" s="91"/>
      <c r="V1286" s="41"/>
      <c r="W1286" s="37"/>
      <c r="X1286" s="37"/>
      <c r="Y1286" s="43"/>
      <c r="Z1286" s="37"/>
      <c r="AA1286" s="37"/>
      <c r="AD1286" s="37"/>
      <c r="AE1286" s="37"/>
      <c r="AF1286" s="37"/>
    </row>
    <row r="1287" spans="1:32" x14ac:dyDescent="0.25">
      <c r="A1287" s="37"/>
      <c r="B1287" s="37"/>
      <c r="C1287" s="37"/>
      <c r="F1287" s="38"/>
      <c r="G1287" s="38"/>
      <c r="H1287" s="38"/>
      <c r="I1287" s="37"/>
      <c r="J1287" s="38"/>
      <c r="K1287" s="38"/>
      <c r="L1287" s="42"/>
      <c r="M1287" s="42"/>
      <c r="N1287" s="42"/>
      <c r="O1287" s="42"/>
      <c r="R1287" s="37"/>
      <c r="S1287" s="37"/>
      <c r="T1287" s="91"/>
      <c r="U1287" s="91"/>
      <c r="V1287" s="41"/>
      <c r="W1287" s="37"/>
      <c r="X1287" s="37"/>
      <c r="Y1287" s="43"/>
      <c r="Z1287" s="37"/>
      <c r="AA1287" s="37"/>
      <c r="AD1287" s="37"/>
      <c r="AE1287" s="37"/>
      <c r="AF1287" s="37"/>
    </row>
    <row r="1288" spans="1:32" x14ac:dyDescent="0.25">
      <c r="A1288" s="37"/>
      <c r="B1288" s="37"/>
      <c r="C1288" s="37"/>
      <c r="F1288" s="38"/>
      <c r="G1288" s="38"/>
      <c r="H1288" s="38"/>
      <c r="I1288" s="37"/>
      <c r="J1288" s="38"/>
      <c r="K1288" s="38"/>
      <c r="L1288" s="42"/>
      <c r="M1288" s="42"/>
      <c r="N1288" s="42"/>
      <c r="O1288" s="42"/>
      <c r="R1288" s="37"/>
      <c r="S1288" s="37"/>
      <c r="T1288" s="91"/>
      <c r="U1288" s="91"/>
      <c r="V1288" s="41"/>
      <c r="W1288" s="37"/>
      <c r="X1288" s="37"/>
      <c r="Y1288" s="43"/>
      <c r="Z1288" s="37"/>
      <c r="AA1288" s="37"/>
      <c r="AD1288" s="37"/>
      <c r="AE1288" s="37"/>
      <c r="AF1288" s="37"/>
    </row>
    <row r="1289" spans="1:32" x14ac:dyDescent="0.25">
      <c r="A1289" s="37"/>
      <c r="B1289" s="37"/>
      <c r="C1289" s="37"/>
      <c r="F1289" s="38"/>
      <c r="G1289" s="38"/>
      <c r="H1289" s="38"/>
      <c r="I1289" s="37"/>
      <c r="J1289" s="38"/>
      <c r="K1289" s="38"/>
      <c r="L1289" s="42"/>
      <c r="M1289" s="42"/>
      <c r="N1289" s="42"/>
      <c r="O1289" s="42"/>
      <c r="R1289" s="37"/>
      <c r="S1289" s="37"/>
      <c r="T1289" s="91"/>
      <c r="U1289" s="91"/>
      <c r="V1289" s="41"/>
      <c r="W1289" s="37"/>
      <c r="X1289" s="37"/>
      <c r="Y1289" s="43"/>
      <c r="Z1289" s="37"/>
      <c r="AA1289" s="37"/>
      <c r="AD1289" s="37"/>
      <c r="AE1289" s="37"/>
      <c r="AF1289" s="37"/>
    </row>
    <row r="1290" spans="1:32" x14ac:dyDescent="0.25">
      <c r="A1290" s="37"/>
      <c r="B1290" s="37"/>
      <c r="C1290" s="37"/>
      <c r="F1290" s="38"/>
      <c r="G1290" s="38"/>
      <c r="H1290" s="38"/>
      <c r="I1290" s="37"/>
      <c r="J1290" s="38"/>
      <c r="K1290" s="38"/>
      <c r="L1290" s="42"/>
      <c r="M1290" s="42"/>
      <c r="N1290" s="42"/>
      <c r="O1290" s="42"/>
      <c r="R1290" s="37"/>
      <c r="S1290" s="37"/>
      <c r="T1290" s="91"/>
      <c r="U1290" s="91"/>
      <c r="V1290" s="41"/>
      <c r="W1290" s="37"/>
      <c r="X1290" s="37"/>
      <c r="Y1290" s="43"/>
      <c r="Z1290" s="37"/>
      <c r="AA1290" s="37"/>
      <c r="AD1290" s="37"/>
      <c r="AE1290" s="37"/>
      <c r="AF1290" s="37"/>
    </row>
    <row r="1291" spans="1:32" x14ac:dyDescent="0.25">
      <c r="A1291" s="37"/>
      <c r="B1291" s="37"/>
      <c r="C1291" s="37"/>
      <c r="F1291" s="38"/>
      <c r="G1291" s="38"/>
      <c r="H1291" s="38"/>
      <c r="I1291" s="37"/>
      <c r="J1291" s="38"/>
      <c r="K1291" s="38"/>
      <c r="L1291" s="42"/>
      <c r="M1291" s="42"/>
      <c r="N1291" s="42"/>
      <c r="O1291" s="42"/>
      <c r="R1291" s="37"/>
      <c r="S1291" s="37"/>
      <c r="T1291" s="91"/>
      <c r="U1291" s="91"/>
      <c r="V1291" s="41"/>
      <c r="W1291" s="37"/>
      <c r="X1291" s="37"/>
      <c r="Y1291" s="43"/>
      <c r="Z1291" s="37"/>
      <c r="AA1291" s="37"/>
      <c r="AD1291" s="37"/>
      <c r="AE1291" s="37"/>
      <c r="AF1291" s="37"/>
    </row>
    <row r="1292" spans="1:32" x14ac:dyDescent="0.25">
      <c r="A1292" s="37"/>
      <c r="B1292" s="37"/>
      <c r="C1292" s="37"/>
      <c r="F1292" s="38"/>
      <c r="G1292" s="38"/>
      <c r="H1292" s="38"/>
      <c r="I1292" s="37"/>
      <c r="J1292" s="38"/>
      <c r="K1292" s="38"/>
      <c r="L1292" s="42"/>
      <c r="M1292" s="42"/>
      <c r="N1292" s="42"/>
      <c r="O1292" s="42"/>
      <c r="R1292" s="37"/>
      <c r="S1292" s="37"/>
      <c r="T1292" s="91"/>
      <c r="U1292" s="91"/>
      <c r="V1292" s="41"/>
      <c r="W1292" s="37"/>
      <c r="X1292" s="37"/>
      <c r="Y1292" s="43"/>
      <c r="Z1292" s="37"/>
      <c r="AA1292" s="37"/>
      <c r="AD1292" s="37"/>
      <c r="AE1292" s="37"/>
      <c r="AF1292" s="37"/>
    </row>
    <row r="1293" spans="1:32" x14ac:dyDescent="0.25">
      <c r="A1293" s="37"/>
      <c r="B1293" s="37"/>
      <c r="C1293" s="37"/>
      <c r="F1293" s="38"/>
      <c r="G1293" s="38"/>
      <c r="H1293" s="38"/>
      <c r="I1293" s="37"/>
      <c r="J1293" s="38"/>
      <c r="K1293" s="38"/>
      <c r="L1293" s="42"/>
      <c r="M1293" s="42"/>
      <c r="N1293" s="42"/>
      <c r="O1293" s="42"/>
      <c r="R1293" s="37"/>
      <c r="S1293" s="37"/>
      <c r="T1293" s="91"/>
      <c r="U1293" s="91"/>
      <c r="V1293" s="41"/>
      <c r="W1293" s="37"/>
      <c r="X1293" s="37"/>
      <c r="Y1293" s="43"/>
      <c r="Z1293" s="37"/>
      <c r="AA1293" s="37"/>
      <c r="AD1293" s="37"/>
      <c r="AE1293" s="37"/>
      <c r="AF1293" s="37"/>
    </row>
    <row r="1294" spans="1:32" x14ac:dyDescent="0.25">
      <c r="A1294" s="37"/>
      <c r="B1294" s="37"/>
      <c r="C1294" s="37"/>
      <c r="F1294" s="38"/>
      <c r="G1294" s="38"/>
      <c r="H1294" s="38"/>
      <c r="I1294" s="37"/>
      <c r="J1294" s="38"/>
      <c r="K1294" s="38"/>
      <c r="L1294" s="42"/>
      <c r="M1294" s="42"/>
      <c r="N1294" s="42"/>
      <c r="O1294" s="42"/>
      <c r="R1294" s="37"/>
      <c r="S1294" s="37"/>
      <c r="T1294" s="91"/>
      <c r="U1294" s="91"/>
      <c r="V1294" s="41"/>
      <c r="W1294" s="37"/>
      <c r="X1294" s="37"/>
      <c r="Y1294" s="43"/>
      <c r="Z1294" s="37"/>
      <c r="AA1294" s="37"/>
      <c r="AD1294" s="37"/>
      <c r="AE1294" s="37"/>
      <c r="AF1294" s="37"/>
    </row>
    <row r="1295" spans="1:32" x14ac:dyDescent="0.25">
      <c r="A1295" s="37"/>
      <c r="B1295" s="37"/>
      <c r="C1295" s="37"/>
      <c r="F1295" s="38"/>
      <c r="G1295" s="38"/>
      <c r="H1295" s="38"/>
      <c r="I1295" s="37"/>
      <c r="J1295" s="38"/>
      <c r="K1295" s="38"/>
      <c r="L1295" s="42"/>
      <c r="M1295" s="42"/>
      <c r="N1295" s="42"/>
      <c r="O1295" s="42"/>
      <c r="R1295" s="37"/>
      <c r="S1295" s="37"/>
      <c r="T1295" s="91"/>
      <c r="U1295" s="91"/>
      <c r="V1295" s="41"/>
      <c r="W1295" s="37"/>
      <c r="X1295" s="37"/>
      <c r="Y1295" s="43"/>
      <c r="Z1295" s="37"/>
      <c r="AA1295" s="37"/>
      <c r="AD1295" s="37"/>
      <c r="AE1295" s="37"/>
      <c r="AF1295" s="37"/>
    </row>
    <row r="1296" spans="1:32" x14ac:dyDescent="0.25">
      <c r="A1296" s="37"/>
      <c r="B1296" s="37"/>
      <c r="C1296" s="37"/>
      <c r="F1296" s="38"/>
      <c r="G1296" s="38"/>
      <c r="H1296" s="38"/>
      <c r="I1296" s="37"/>
      <c r="J1296" s="38"/>
      <c r="K1296" s="38"/>
      <c r="L1296" s="42"/>
      <c r="M1296" s="42"/>
      <c r="N1296" s="42"/>
      <c r="O1296" s="42"/>
      <c r="R1296" s="37"/>
      <c r="S1296" s="37"/>
      <c r="T1296" s="91"/>
      <c r="U1296" s="91"/>
      <c r="V1296" s="41"/>
      <c r="W1296" s="37"/>
      <c r="X1296" s="37"/>
      <c r="Y1296" s="43"/>
      <c r="Z1296" s="37"/>
      <c r="AA1296" s="37"/>
      <c r="AD1296" s="37"/>
      <c r="AE1296" s="37"/>
      <c r="AF1296" s="37"/>
    </row>
    <row r="1297" spans="1:32" x14ac:dyDescent="0.25">
      <c r="A1297" s="37"/>
      <c r="B1297" s="37"/>
      <c r="C1297" s="37"/>
      <c r="F1297" s="38"/>
      <c r="G1297" s="38"/>
      <c r="H1297" s="38"/>
      <c r="I1297" s="37"/>
      <c r="J1297" s="38"/>
      <c r="K1297" s="38"/>
      <c r="L1297" s="42"/>
      <c r="M1297" s="42"/>
      <c r="N1297" s="42"/>
      <c r="O1297" s="42"/>
      <c r="R1297" s="37"/>
      <c r="S1297" s="37"/>
      <c r="T1297" s="91"/>
      <c r="U1297" s="91"/>
      <c r="V1297" s="41"/>
      <c r="W1297" s="37"/>
      <c r="X1297" s="37"/>
      <c r="Y1297" s="43"/>
      <c r="Z1297" s="37"/>
      <c r="AA1297" s="37"/>
      <c r="AD1297" s="37"/>
      <c r="AE1297" s="37"/>
      <c r="AF1297" s="37"/>
    </row>
    <row r="1298" spans="1:32" x14ac:dyDescent="0.25">
      <c r="A1298" s="37"/>
      <c r="B1298" s="37"/>
      <c r="C1298" s="37"/>
      <c r="F1298" s="38"/>
      <c r="G1298" s="38"/>
      <c r="H1298" s="38"/>
      <c r="I1298" s="37"/>
      <c r="J1298" s="38"/>
      <c r="K1298" s="38"/>
      <c r="L1298" s="42"/>
      <c r="M1298" s="42"/>
      <c r="N1298" s="42"/>
      <c r="O1298" s="42"/>
      <c r="R1298" s="37"/>
      <c r="S1298" s="37"/>
      <c r="T1298" s="91"/>
      <c r="U1298" s="91"/>
      <c r="V1298" s="41"/>
      <c r="W1298" s="37"/>
      <c r="X1298" s="37"/>
      <c r="Y1298" s="43"/>
      <c r="Z1298" s="37"/>
      <c r="AA1298" s="37"/>
      <c r="AD1298" s="37"/>
      <c r="AE1298" s="37"/>
      <c r="AF1298" s="37"/>
    </row>
    <row r="1299" spans="1:32" x14ac:dyDescent="0.25">
      <c r="A1299" s="37"/>
      <c r="B1299" s="37"/>
      <c r="C1299" s="37"/>
      <c r="F1299" s="38"/>
      <c r="G1299" s="38"/>
      <c r="H1299" s="38"/>
      <c r="I1299" s="37"/>
      <c r="J1299" s="38"/>
      <c r="K1299" s="38"/>
      <c r="L1299" s="42"/>
      <c r="M1299" s="42"/>
      <c r="N1299" s="42"/>
      <c r="O1299" s="42"/>
      <c r="R1299" s="37"/>
      <c r="S1299" s="37"/>
      <c r="T1299" s="91"/>
      <c r="U1299" s="91"/>
      <c r="V1299" s="41"/>
      <c r="W1299" s="37"/>
      <c r="X1299" s="37"/>
      <c r="Y1299" s="43"/>
      <c r="Z1299" s="37"/>
      <c r="AA1299" s="37"/>
      <c r="AD1299" s="37"/>
      <c r="AE1299" s="37"/>
      <c r="AF1299" s="37"/>
    </row>
    <row r="1300" spans="1:32" x14ac:dyDescent="0.25">
      <c r="A1300" s="37"/>
      <c r="B1300" s="37"/>
      <c r="C1300" s="37"/>
      <c r="F1300" s="38"/>
      <c r="G1300" s="38"/>
      <c r="H1300" s="38"/>
      <c r="I1300" s="37"/>
      <c r="J1300" s="38"/>
      <c r="K1300" s="38"/>
      <c r="L1300" s="42"/>
      <c r="M1300" s="42"/>
      <c r="N1300" s="42"/>
      <c r="O1300" s="42"/>
      <c r="R1300" s="37"/>
      <c r="S1300" s="37"/>
      <c r="T1300" s="91"/>
      <c r="U1300" s="91"/>
      <c r="V1300" s="41"/>
      <c r="W1300" s="37"/>
      <c r="X1300" s="37"/>
      <c r="Y1300" s="43"/>
      <c r="Z1300" s="37"/>
      <c r="AA1300" s="37"/>
      <c r="AD1300" s="37"/>
      <c r="AE1300" s="37"/>
      <c r="AF1300" s="37"/>
    </row>
    <row r="1301" spans="1:32" x14ac:dyDescent="0.25">
      <c r="A1301" s="37"/>
      <c r="B1301" s="37"/>
      <c r="C1301" s="37"/>
      <c r="F1301" s="38"/>
      <c r="G1301" s="38"/>
      <c r="H1301" s="38"/>
      <c r="I1301" s="37"/>
      <c r="J1301" s="38"/>
      <c r="K1301" s="38"/>
      <c r="L1301" s="42"/>
      <c r="M1301" s="42"/>
      <c r="N1301" s="42"/>
      <c r="O1301" s="42"/>
      <c r="R1301" s="37"/>
      <c r="S1301" s="37"/>
      <c r="T1301" s="91"/>
      <c r="U1301" s="91"/>
      <c r="V1301" s="41"/>
      <c r="W1301" s="37"/>
      <c r="X1301" s="37"/>
      <c r="Y1301" s="43"/>
      <c r="Z1301" s="37"/>
      <c r="AA1301" s="37"/>
      <c r="AD1301" s="37"/>
      <c r="AE1301" s="37"/>
      <c r="AF1301" s="37"/>
    </row>
    <row r="1302" spans="1:32" x14ac:dyDescent="0.25">
      <c r="A1302" s="37"/>
      <c r="B1302" s="37"/>
      <c r="C1302" s="37"/>
      <c r="F1302" s="38"/>
      <c r="G1302" s="38"/>
      <c r="H1302" s="38"/>
      <c r="I1302" s="37"/>
      <c r="J1302" s="38"/>
      <c r="K1302" s="38"/>
      <c r="L1302" s="42"/>
      <c r="M1302" s="42"/>
      <c r="N1302" s="42"/>
      <c r="O1302" s="42"/>
      <c r="R1302" s="37"/>
      <c r="S1302" s="37"/>
      <c r="T1302" s="91"/>
      <c r="U1302" s="91"/>
      <c r="V1302" s="41"/>
      <c r="W1302" s="37"/>
      <c r="X1302" s="37"/>
      <c r="Y1302" s="43"/>
      <c r="Z1302" s="37"/>
      <c r="AA1302" s="37"/>
      <c r="AD1302" s="37"/>
      <c r="AE1302" s="37"/>
      <c r="AF1302" s="37"/>
    </row>
    <row r="1303" spans="1:32" x14ac:dyDescent="0.25">
      <c r="A1303" s="37"/>
      <c r="B1303" s="37"/>
      <c r="C1303" s="37"/>
      <c r="F1303" s="38"/>
      <c r="G1303" s="38"/>
      <c r="H1303" s="38"/>
      <c r="I1303" s="37"/>
      <c r="J1303" s="38"/>
      <c r="K1303" s="38"/>
      <c r="L1303" s="42"/>
      <c r="M1303" s="42"/>
      <c r="N1303" s="42"/>
      <c r="O1303" s="42"/>
      <c r="R1303" s="37"/>
      <c r="S1303" s="37"/>
      <c r="T1303" s="91"/>
      <c r="U1303" s="91"/>
      <c r="V1303" s="41"/>
      <c r="W1303" s="37"/>
      <c r="X1303" s="37"/>
      <c r="Y1303" s="43"/>
      <c r="Z1303" s="37"/>
      <c r="AA1303" s="37"/>
      <c r="AD1303" s="37"/>
      <c r="AE1303" s="37"/>
      <c r="AF1303" s="37"/>
    </row>
    <row r="1304" spans="1:32" x14ac:dyDescent="0.25">
      <c r="A1304" s="37"/>
      <c r="B1304" s="37"/>
      <c r="C1304" s="37"/>
      <c r="F1304" s="38"/>
      <c r="G1304" s="38"/>
      <c r="H1304" s="38"/>
      <c r="I1304" s="37"/>
      <c r="J1304" s="38"/>
      <c r="K1304" s="38"/>
      <c r="L1304" s="42"/>
      <c r="M1304" s="42"/>
      <c r="N1304" s="42"/>
      <c r="O1304" s="42"/>
      <c r="R1304" s="37"/>
      <c r="S1304" s="37"/>
      <c r="T1304" s="91"/>
      <c r="U1304" s="91"/>
      <c r="V1304" s="41"/>
      <c r="W1304" s="37"/>
      <c r="X1304" s="37"/>
      <c r="Y1304" s="43"/>
      <c r="Z1304" s="37"/>
      <c r="AA1304" s="37"/>
      <c r="AD1304" s="37"/>
      <c r="AE1304" s="37"/>
      <c r="AF1304" s="37"/>
    </row>
    <row r="1305" spans="1:32" x14ac:dyDescent="0.25">
      <c r="A1305" s="37"/>
      <c r="B1305" s="37"/>
      <c r="C1305" s="37"/>
      <c r="F1305" s="38"/>
      <c r="G1305" s="38"/>
      <c r="H1305" s="38"/>
      <c r="I1305" s="37"/>
      <c r="J1305" s="38"/>
      <c r="K1305" s="38"/>
      <c r="L1305" s="42"/>
      <c r="M1305" s="42"/>
      <c r="N1305" s="42"/>
      <c r="O1305" s="42"/>
      <c r="R1305" s="37"/>
      <c r="S1305" s="37"/>
      <c r="T1305" s="91"/>
      <c r="U1305" s="91"/>
      <c r="V1305" s="41"/>
      <c r="W1305" s="37"/>
      <c r="X1305" s="37"/>
      <c r="Y1305" s="43"/>
      <c r="Z1305" s="37"/>
      <c r="AA1305" s="37"/>
      <c r="AD1305" s="37"/>
      <c r="AE1305" s="37"/>
      <c r="AF1305" s="37"/>
    </row>
    <row r="1306" spans="1:32" x14ac:dyDescent="0.25">
      <c r="A1306" s="37"/>
      <c r="B1306" s="37"/>
      <c r="C1306" s="37"/>
      <c r="F1306" s="38"/>
      <c r="G1306" s="38"/>
      <c r="H1306" s="38"/>
      <c r="I1306" s="37"/>
      <c r="J1306" s="38"/>
      <c r="K1306" s="38"/>
      <c r="L1306" s="42"/>
      <c r="M1306" s="42"/>
      <c r="N1306" s="42"/>
      <c r="O1306" s="42"/>
      <c r="R1306" s="37"/>
      <c r="S1306" s="37"/>
      <c r="T1306" s="91"/>
      <c r="U1306" s="91"/>
      <c r="V1306" s="41"/>
      <c r="W1306" s="37"/>
      <c r="X1306" s="37"/>
      <c r="Y1306" s="43"/>
      <c r="Z1306" s="37"/>
      <c r="AA1306" s="37"/>
      <c r="AD1306" s="37"/>
      <c r="AE1306" s="37"/>
      <c r="AF1306" s="37"/>
    </row>
    <row r="1307" spans="1:32" x14ac:dyDescent="0.25">
      <c r="A1307" s="37"/>
      <c r="B1307" s="37"/>
      <c r="C1307" s="37"/>
      <c r="F1307" s="38"/>
      <c r="G1307" s="38"/>
      <c r="H1307" s="38"/>
      <c r="I1307" s="37"/>
      <c r="J1307" s="38"/>
      <c r="K1307" s="38"/>
      <c r="L1307" s="42"/>
      <c r="M1307" s="42"/>
      <c r="N1307" s="42"/>
      <c r="O1307" s="42"/>
      <c r="R1307" s="37"/>
      <c r="S1307" s="37"/>
      <c r="T1307" s="91"/>
      <c r="U1307" s="91"/>
      <c r="V1307" s="41"/>
      <c r="W1307" s="37"/>
      <c r="X1307" s="37"/>
      <c r="Y1307" s="43"/>
      <c r="Z1307" s="37"/>
      <c r="AA1307" s="37"/>
      <c r="AD1307" s="37"/>
      <c r="AE1307" s="37"/>
      <c r="AF1307" s="37"/>
    </row>
    <row r="1308" spans="1:32" x14ac:dyDescent="0.25">
      <c r="A1308" s="37"/>
      <c r="B1308" s="37"/>
      <c r="C1308" s="37"/>
      <c r="F1308" s="38"/>
      <c r="G1308" s="38"/>
      <c r="H1308" s="38"/>
      <c r="I1308" s="37"/>
      <c r="J1308" s="38"/>
      <c r="K1308" s="38"/>
      <c r="L1308" s="42"/>
      <c r="M1308" s="42"/>
      <c r="N1308" s="42"/>
      <c r="O1308" s="42"/>
      <c r="R1308" s="37"/>
      <c r="S1308" s="37"/>
      <c r="T1308" s="91"/>
      <c r="U1308" s="91"/>
      <c r="V1308" s="41"/>
      <c r="W1308" s="37"/>
      <c r="X1308" s="37"/>
      <c r="Y1308" s="43"/>
      <c r="Z1308" s="37"/>
      <c r="AA1308" s="37"/>
      <c r="AD1308" s="37"/>
      <c r="AE1308" s="37"/>
      <c r="AF1308" s="37"/>
    </row>
    <row r="1309" spans="1:32" x14ac:dyDescent="0.25">
      <c r="A1309" s="37"/>
      <c r="B1309" s="37"/>
      <c r="C1309" s="37"/>
      <c r="F1309" s="38"/>
      <c r="G1309" s="38"/>
      <c r="H1309" s="38"/>
      <c r="I1309" s="37"/>
      <c r="J1309" s="38"/>
      <c r="K1309" s="38"/>
      <c r="L1309" s="42"/>
      <c r="M1309" s="42"/>
      <c r="N1309" s="42"/>
      <c r="O1309" s="42"/>
      <c r="R1309" s="37"/>
      <c r="S1309" s="37"/>
      <c r="T1309" s="91"/>
      <c r="U1309" s="91"/>
      <c r="V1309" s="41"/>
      <c r="W1309" s="37"/>
      <c r="X1309" s="37"/>
      <c r="Y1309" s="43"/>
      <c r="Z1309" s="37"/>
      <c r="AA1309" s="37"/>
      <c r="AD1309" s="37"/>
      <c r="AE1309" s="37"/>
      <c r="AF1309" s="37"/>
    </row>
    <row r="1310" spans="1:32" x14ac:dyDescent="0.25">
      <c r="A1310" s="37"/>
      <c r="B1310" s="37"/>
      <c r="C1310" s="37"/>
      <c r="F1310" s="38"/>
      <c r="G1310" s="38"/>
      <c r="H1310" s="38"/>
      <c r="I1310" s="37"/>
      <c r="J1310" s="38"/>
      <c r="K1310" s="38"/>
      <c r="L1310" s="42"/>
      <c r="M1310" s="42"/>
      <c r="N1310" s="42"/>
      <c r="O1310" s="42"/>
      <c r="R1310" s="37"/>
      <c r="S1310" s="37"/>
      <c r="T1310" s="91"/>
      <c r="U1310" s="91"/>
      <c r="V1310" s="41"/>
      <c r="W1310" s="37"/>
      <c r="X1310" s="37"/>
      <c r="Y1310" s="43"/>
      <c r="Z1310" s="37"/>
      <c r="AA1310" s="37"/>
      <c r="AD1310" s="37"/>
      <c r="AE1310" s="37"/>
      <c r="AF1310" s="37"/>
    </row>
    <row r="1311" spans="1:32" x14ac:dyDescent="0.25">
      <c r="A1311" s="37"/>
      <c r="B1311" s="37"/>
      <c r="C1311" s="37"/>
      <c r="F1311" s="38"/>
      <c r="G1311" s="38"/>
      <c r="H1311" s="38"/>
      <c r="I1311" s="37"/>
      <c r="J1311" s="38"/>
      <c r="K1311" s="38"/>
      <c r="L1311" s="42"/>
      <c r="M1311" s="42"/>
      <c r="N1311" s="42"/>
      <c r="O1311" s="42"/>
      <c r="R1311" s="37"/>
      <c r="S1311" s="37"/>
      <c r="T1311" s="91"/>
      <c r="U1311" s="91"/>
      <c r="V1311" s="41"/>
      <c r="W1311" s="37"/>
      <c r="X1311" s="37"/>
      <c r="Y1311" s="43"/>
      <c r="Z1311" s="37"/>
      <c r="AA1311" s="37"/>
      <c r="AD1311" s="37"/>
      <c r="AE1311" s="37"/>
      <c r="AF1311" s="37"/>
    </row>
    <row r="1312" spans="1:32" x14ac:dyDescent="0.25">
      <c r="A1312" s="37"/>
      <c r="B1312" s="37"/>
      <c r="C1312" s="37"/>
      <c r="F1312" s="38"/>
      <c r="G1312" s="38"/>
      <c r="H1312" s="38"/>
      <c r="I1312" s="37"/>
      <c r="J1312" s="38"/>
      <c r="K1312" s="38"/>
      <c r="L1312" s="42"/>
      <c r="M1312" s="42"/>
      <c r="N1312" s="42"/>
      <c r="O1312" s="42"/>
      <c r="R1312" s="37"/>
      <c r="S1312" s="37"/>
      <c r="T1312" s="91"/>
      <c r="U1312" s="91"/>
      <c r="V1312" s="41"/>
      <c r="W1312" s="37"/>
      <c r="X1312" s="37"/>
      <c r="Y1312" s="43"/>
      <c r="Z1312" s="37"/>
      <c r="AA1312" s="37"/>
      <c r="AD1312" s="37"/>
      <c r="AE1312" s="37"/>
      <c r="AF1312" s="37"/>
    </row>
    <row r="1313" spans="1:32" x14ac:dyDescent="0.25">
      <c r="A1313" s="37"/>
      <c r="B1313" s="37"/>
      <c r="C1313" s="37"/>
      <c r="F1313" s="38"/>
      <c r="G1313" s="38"/>
      <c r="H1313" s="38"/>
      <c r="I1313" s="37"/>
      <c r="J1313" s="38"/>
      <c r="K1313" s="38"/>
      <c r="L1313" s="42"/>
      <c r="M1313" s="42"/>
      <c r="N1313" s="42"/>
      <c r="O1313" s="42"/>
      <c r="R1313" s="37"/>
      <c r="S1313" s="37"/>
      <c r="T1313" s="91"/>
      <c r="U1313" s="91"/>
      <c r="V1313" s="41"/>
      <c r="W1313" s="37"/>
      <c r="X1313" s="37"/>
      <c r="Y1313" s="43"/>
      <c r="Z1313" s="37"/>
      <c r="AA1313" s="37"/>
      <c r="AD1313" s="37"/>
      <c r="AE1313" s="37"/>
      <c r="AF1313" s="37"/>
    </row>
    <row r="1314" spans="1:32" x14ac:dyDescent="0.25">
      <c r="A1314" s="37"/>
      <c r="B1314" s="37"/>
      <c r="C1314" s="37"/>
      <c r="F1314" s="38"/>
      <c r="G1314" s="38"/>
      <c r="H1314" s="38"/>
      <c r="I1314" s="37"/>
      <c r="J1314" s="38"/>
      <c r="K1314" s="38"/>
      <c r="L1314" s="42"/>
      <c r="M1314" s="42"/>
      <c r="N1314" s="42"/>
      <c r="O1314" s="42"/>
      <c r="R1314" s="37"/>
      <c r="S1314" s="37"/>
      <c r="T1314" s="91"/>
      <c r="U1314" s="91"/>
      <c r="V1314" s="41"/>
      <c r="W1314" s="37"/>
      <c r="X1314" s="37"/>
      <c r="Y1314" s="43"/>
      <c r="Z1314" s="37"/>
      <c r="AA1314" s="37"/>
      <c r="AD1314" s="37"/>
      <c r="AE1314" s="37"/>
      <c r="AF1314" s="37"/>
    </row>
    <row r="1315" spans="1:32" x14ac:dyDescent="0.25">
      <c r="A1315" s="37"/>
      <c r="B1315" s="37"/>
      <c r="C1315" s="37"/>
      <c r="F1315" s="38"/>
      <c r="G1315" s="38"/>
      <c r="H1315" s="38"/>
      <c r="I1315" s="37"/>
      <c r="J1315" s="38"/>
      <c r="K1315" s="38"/>
      <c r="L1315" s="42"/>
      <c r="M1315" s="42"/>
      <c r="N1315" s="42"/>
      <c r="O1315" s="42"/>
      <c r="R1315" s="37"/>
      <c r="S1315" s="37"/>
      <c r="T1315" s="91"/>
      <c r="U1315" s="91"/>
      <c r="V1315" s="41"/>
      <c r="W1315" s="37"/>
      <c r="X1315" s="37"/>
      <c r="Y1315" s="43"/>
      <c r="Z1315" s="37"/>
      <c r="AA1315" s="37"/>
      <c r="AD1315" s="37"/>
      <c r="AE1315" s="37"/>
      <c r="AF1315" s="37"/>
    </row>
    <row r="1316" spans="1:32" x14ac:dyDescent="0.25">
      <c r="A1316" s="37"/>
      <c r="B1316" s="37"/>
      <c r="C1316" s="37"/>
      <c r="F1316" s="38"/>
      <c r="G1316" s="38"/>
      <c r="H1316" s="38"/>
      <c r="I1316" s="37"/>
      <c r="J1316" s="38"/>
      <c r="K1316" s="38"/>
      <c r="L1316" s="42"/>
      <c r="M1316" s="42"/>
      <c r="N1316" s="42"/>
      <c r="O1316" s="42"/>
      <c r="R1316" s="37"/>
      <c r="S1316" s="37"/>
      <c r="T1316" s="91"/>
      <c r="U1316" s="91"/>
      <c r="V1316" s="41"/>
      <c r="W1316" s="37"/>
      <c r="X1316" s="37"/>
      <c r="Y1316" s="43"/>
      <c r="Z1316" s="37"/>
      <c r="AA1316" s="37"/>
      <c r="AD1316" s="37"/>
      <c r="AE1316" s="37"/>
      <c r="AF1316" s="37"/>
    </row>
    <row r="1317" spans="1:32" x14ac:dyDescent="0.25">
      <c r="A1317" s="37"/>
      <c r="B1317" s="37"/>
      <c r="C1317" s="37"/>
      <c r="F1317" s="38"/>
      <c r="G1317" s="38"/>
      <c r="H1317" s="38"/>
      <c r="I1317" s="37"/>
      <c r="J1317" s="38"/>
      <c r="K1317" s="38"/>
      <c r="L1317" s="42"/>
      <c r="M1317" s="42"/>
      <c r="N1317" s="42"/>
      <c r="O1317" s="42"/>
      <c r="R1317" s="37"/>
      <c r="S1317" s="37"/>
      <c r="T1317" s="91"/>
      <c r="U1317" s="91"/>
      <c r="V1317" s="41"/>
      <c r="W1317" s="37"/>
      <c r="X1317" s="37"/>
      <c r="Y1317" s="43"/>
      <c r="Z1317" s="37"/>
      <c r="AA1317" s="37"/>
      <c r="AD1317" s="37"/>
      <c r="AE1317" s="37"/>
      <c r="AF1317" s="37"/>
    </row>
    <row r="1318" spans="1:32" x14ac:dyDescent="0.25">
      <c r="A1318" s="37"/>
      <c r="B1318" s="37"/>
      <c r="C1318" s="37"/>
      <c r="F1318" s="38"/>
      <c r="G1318" s="38"/>
      <c r="H1318" s="38"/>
      <c r="I1318" s="37"/>
      <c r="J1318" s="38"/>
      <c r="K1318" s="38"/>
      <c r="L1318" s="42"/>
      <c r="M1318" s="42"/>
      <c r="N1318" s="42"/>
      <c r="O1318" s="42"/>
      <c r="R1318" s="37"/>
      <c r="S1318" s="37"/>
      <c r="T1318" s="91"/>
      <c r="U1318" s="91"/>
      <c r="V1318" s="41"/>
      <c r="W1318" s="37"/>
      <c r="X1318" s="37"/>
      <c r="Y1318" s="43"/>
      <c r="Z1318" s="37"/>
      <c r="AA1318" s="37"/>
      <c r="AD1318" s="37"/>
      <c r="AE1318" s="37"/>
      <c r="AF1318" s="37"/>
    </row>
    <row r="1319" spans="1:32" x14ac:dyDescent="0.25">
      <c r="A1319" s="37"/>
      <c r="B1319" s="37"/>
      <c r="C1319" s="37"/>
      <c r="F1319" s="38"/>
      <c r="G1319" s="38"/>
      <c r="H1319" s="38"/>
      <c r="I1319" s="37"/>
      <c r="J1319" s="38"/>
      <c r="K1319" s="38"/>
      <c r="L1319" s="42"/>
      <c r="M1319" s="42"/>
      <c r="N1319" s="42"/>
      <c r="O1319" s="42"/>
      <c r="R1319" s="37"/>
      <c r="S1319" s="37"/>
      <c r="T1319" s="91"/>
      <c r="U1319" s="91"/>
      <c r="V1319" s="41"/>
      <c r="W1319" s="37"/>
      <c r="X1319" s="37"/>
      <c r="Y1319" s="43"/>
      <c r="Z1319" s="37"/>
      <c r="AA1319" s="37"/>
      <c r="AD1319" s="37"/>
      <c r="AE1319" s="37"/>
      <c r="AF1319" s="37"/>
    </row>
    <row r="1320" spans="1:32" x14ac:dyDescent="0.25">
      <c r="A1320" s="37"/>
      <c r="B1320" s="37"/>
      <c r="C1320" s="37"/>
      <c r="F1320" s="38"/>
      <c r="G1320" s="38"/>
      <c r="H1320" s="38"/>
      <c r="I1320" s="37"/>
      <c r="J1320" s="38"/>
      <c r="K1320" s="38"/>
      <c r="L1320" s="42"/>
      <c r="M1320" s="42"/>
      <c r="N1320" s="42"/>
      <c r="O1320" s="42"/>
      <c r="R1320" s="37"/>
      <c r="S1320" s="37"/>
      <c r="T1320" s="91"/>
      <c r="U1320" s="91"/>
      <c r="V1320" s="41"/>
      <c r="W1320" s="37"/>
      <c r="X1320" s="37"/>
      <c r="Y1320" s="43"/>
      <c r="Z1320" s="37"/>
      <c r="AA1320" s="37"/>
      <c r="AD1320" s="37"/>
      <c r="AE1320" s="37"/>
      <c r="AF1320" s="37"/>
    </row>
    <row r="1321" spans="1:32" x14ac:dyDescent="0.25">
      <c r="A1321" s="37"/>
      <c r="B1321" s="37"/>
      <c r="C1321" s="37"/>
      <c r="F1321" s="38"/>
      <c r="G1321" s="38"/>
      <c r="H1321" s="38"/>
      <c r="I1321" s="37"/>
      <c r="J1321" s="38"/>
      <c r="K1321" s="38"/>
      <c r="L1321" s="42"/>
      <c r="M1321" s="42"/>
      <c r="N1321" s="42"/>
      <c r="O1321" s="42"/>
      <c r="R1321" s="37"/>
      <c r="S1321" s="37"/>
      <c r="T1321" s="91"/>
      <c r="U1321" s="91"/>
      <c r="V1321" s="41"/>
      <c r="W1321" s="37"/>
      <c r="X1321" s="37"/>
      <c r="Y1321" s="43"/>
      <c r="Z1321" s="37"/>
      <c r="AA1321" s="37"/>
      <c r="AD1321" s="37"/>
      <c r="AE1321" s="37"/>
      <c r="AF1321" s="37"/>
    </row>
    <row r="1322" spans="1:32" x14ac:dyDescent="0.25">
      <c r="A1322" s="37"/>
      <c r="B1322" s="37"/>
      <c r="C1322" s="37"/>
      <c r="F1322" s="38"/>
      <c r="G1322" s="38"/>
      <c r="H1322" s="38"/>
      <c r="I1322" s="37"/>
      <c r="J1322" s="38"/>
      <c r="K1322" s="38"/>
      <c r="L1322" s="42"/>
      <c r="M1322" s="42"/>
      <c r="N1322" s="42"/>
      <c r="O1322" s="42"/>
      <c r="R1322" s="37"/>
      <c r="S1322" s="37"/>
      <c r="T1322" s="91"/>
      <c r="U1322" s="91"/>
      <c r="V1322" s="41"/>
      <c r="W1322" s="37"/>
      <c r="X1322" s="37"/>
      <c r="Y1322" s="43"/>
      <c r="Z1322" s="37"/>
      <c r="AA1322" s="37"/>
      <c r="AD1322" s="37"/>
      <c r="AE1322" s="37"/>
      <c r="AF1322" s="37"/>
    </row>
    <row r="1323" spans="1:32" x14ac:dyDescent="0.25">
      <c r="A1323" s="37"/>
      <c r="B1323" s="37"/>
      <c r="C1323" s="37"/>
      <c r="F1323" s="38"/>
      <c r="G1323" s="38"/>
      <c r="H1323" s="38"/>
      <c r="I1323" s="37"/>
      <c r="J1323" s="38"/>
      <c r="K1323" s="38"/>
      <c r="L1323" s="42"/>
      <c r="M1323" s="42"/>
      <c r="N1323" s="42"/>
      <c r="O1323" s="42"/>
      <c r="R1323" s="37"/>
      <c r="S1323" s="37"/>
      <c r="T1323" s="91"/>
      <c r="U1323" s="91"/>
      <c r="V1323" s="41"/>
      <c r="W1323" s="37"/>
      <c r="X1323" s="37"/>
      <c r="Y1323" s="43"/>
      <c r="Z1323" s="37"/>
      <c r="AA1323" s="37"/>
      <c r="AD1323" s="37"/>
      <c r="AE1323" s="37"/>
      <c r="AF1323" s="37"/>
    </row>
    <row r="1324" spans="1:32" x14ac:dyDescent="0.25">
      <c r="A1324" s="37"/>
      <c r="B1324" s="37"/>
      <c r="C1324" s="37"/>
      <c r="F1324" s="38"/>
      <c r="G1324" s="38"/>
      <c r="H1324" s="38"/>
      <c r="I1324" s="37"/>
      <c r="J1324" s="38"/>
      <c r="K1324" s="38"/>
      <c r="L1324" s="42"/>
      <c r="M1324" s="42"/>
      <c r="N1324" s="42"/>
      <c r="O1324" s="42"/>
      <c r="R1324" s="37"/>
      <c r="S1324" s="37"/>
      <c r="T1324" s="91"/>
      <c r="U1324" s="91"/>
      <c r="V1324" s="41"/>
      <c r="W1324" s="37"/>
      <c r="X1324" s="37"/>
      <c r="Y1324" s="43"/>
      <c r="Z1324" s="37"/>
      <c r="AA1324" s="37"/>
      <c r="AD1324" s="37"/>
      <c r="AE1324" s="37"/>
      <c r="AF1324" s="37"/>
    </row>
    <row r="1325" spans="1:32" x14ac:dyDescent="0.25">
      <c r="A1325" s="37"/>
      <c r="B1325" s="37"/>
      <c r="C1325" s="37"/>
      <c r="F1325" s="38"/>
      <c r="G1325" s="38"/>
      <c r="H1325" s="38"/>
      <c r="I1325" s="37"/>
      <c r="J1325" s="38"/>
      <c r="K1325" s="38"/>
      <c r="L1325" s="42"/>
      <c r="M1325" s="42"/>
      <c r="N1325" s="42"/>
      <c r="O1325" s="42"/>
      <c r="R1325" s="37"/>
      <c r="S1325" s="37"/>
      <c r="T1325" s="91"/>
      <c r="U1325" s="91"/>
      <c r="V1325" s="41"/>
      <c r="W1325" s="37"/>
      <c r="X1325" s="37"/>
      <c r="Y1325" s="43"/>
      <c r="Z1325" s="37"/>
      <c r="AA1325" s="37"/>
      <c r="AD1325" s="37"/>
      <c r="AE1325" s="37"/>
      <c r="AF1325" s="37"/>
    </row>
    <row r="1326" spans="1:32" x14ac:dyDescent="0.25">
      <c r="A1326" s="37"/>
      <c r="B1326" s="37"/>
      <c r="C1326" s="37"/>
      <c r="F1326" s="38"/>
      <c r="G1326" s="38"/>
      <c r="H1326" s="38"/>
      <c r="I1326" s="37"/>
      <c r="J1326" s="38"/>
      <c r="K1326" s="38"/>
      <c r="L1326" s="42"/>
      <c r="M1326" s="42"/>
      <c r="N1326" s="42"/>
      <c r="O1326" s="42"/>
      <c r="R1326" s="37"/>
      <c r="S1326" s="37"/>
      <c r="T1326" s="91"/>
      <c r="U1326" s="91"/>
      <c r="V1326" s="41"/>
      <c r="W1326" s="37"/>
      <c r="X1326" s="37"/>
      <c r="Y1326" s="43"/>
      <c r="Z1326" s="37"/>
      <c r="AA1326" s="37"/>
      <c r="AD1326" s="37"/>
      <c r="AE1326" s="37"/>
      <c r="AF1326" s="37"/>
    </row>
    <row r="1327" spans="1:32" x14ac:dyDescent="0.25">
      <c r="A1327" s="37"/>
      <c r="B1327" s="37"/>
      <c r="C1327" s="37"/>
      <c r="F1327" s="38"/>
      <c r="G1327" s="38"/>
      <c r="H1327" s="38"/>
      <c r="I1327" s="37"/>
      <c r="J1327" s="38"/>
      <c r="K1327" s="38"/>
      <c r="L1327" s="42"/>
      <c r="M1327" s="42"/>
      <c r="N1327" s="42"/>
      <c r="O1327" s="42"/>
      <c r="R1327" s="37"/>
      <c r="S1327" s="37"/>
      <c r="T1327" s="91"/>
      <c r="U1327" s="91"/>
      <c r="V1327" s="41"/>
      <c r="W1327" s="37"/>
      <c r="X1327" s="37"/>
      <c r="Y1327" s="43"/>
      <c r="Z1327" s="37"/>
      <c r="AA1327" s="37"/>
      <c r="AD1327" s="37"/>
      <c r="AE1327" s="37"/>
      <c r="AF1327" s="37"/>
    </row>
    <row r="1328" spans="1:32" x14ac:dyDescent="0.25">
      <c r="A1328" s="37"/>
      <c r="B1328" s="37"/>
      <c r="C1328" s="37"/>
      <c r="F1328" s="38"/>
      <c r="G1328" s="38"/>
      <c r="H1328" s="38"/>
      <c r="I1328" s="37"/>
      <c r="J1328" s="38"/>
      <c r="K1328" s="38"/>
      <c r="L1328" s="42"/>
      <c r="M1328" s="42"/>
      <c r="N1328" s="42"/>
      <c r="O1328" s="42"/>
      <c r="R1328" s="37"/>
      <c r="S1328" s="37"/>
      <c r="T1328" s="91"/>
      <c r="U1328" s="91"/>
      <c r="V1328" s="41"/>
      <c r="W1328" s="37"/>
      <c r="X1328" s="37"/>
      <c r="Y1328" s="43"/>
      <c r="Z1328" s="37"/>
      <c r="AA1328" s="37"/>
      <c r="AD1328" s="37"/>
      <c r="AE1328" s="37"/>
      <c r="AF1328" s="37"/>
    </row>
    <row r="1329" spans="1:32" x14ac:dyDescent="0.25">
      <c r="A1329" s="37"/>
      <c r="B1329" s="37"/>
      <c r="C1329" s="37"/>
      <c r="F1329" s="38"/>
      <c r="G1329" s="38"/>
      <c r="H1329" s="38"/>
      <c r="I1329" s="37"/>
      <c r="J1329" s="38"/>
      <c r="K1329" s="38"/>
      <c r="L1329" s="42"/>
      <c r="M1329" s="42"/>
      <c r="N1329" s="42"/>
      <c r="O1329" s="42"/>
      <c r="R1329" s="37"/>
      <c r="S1329" s="37"/>
      <c r="T1329" s="91"/>
      <c r="U1329" s="91"/>
      <c r="V1329" s="41"/>
      <c r="W1329" s="37"/>
      <c r="X1329" s="37"/>
      <c r="Y1329" s="43"/>
      <c r="Z1329" s="37"/>
      <c r="AA1329" s="37"/>
      <c r="AD1329" s="37"/>
      <c r="AE1329" s="37"/>
      <c r="AF1329" s="37"/>
    </row>
    <row r="1330" spans="1:32" x14ac:dyDescent="0.25">
      <c r="A1330" s="37"/>
      <c r="B1330" s="37"/>
      <c r="C1330" s="37"/>
      <c r="F1330" s="38"/>
      <c r="G1330" s="38"/>
      <c r="H1330" s="38"/>
      <c r="I1330" s="37"/>
      <c r="J1330" s="38"/>
      <c r="K1330" s="38"/>
      <c r="L1330" s="42"/>
      <c r="M1330" s="42"/>
      <c r="N1330" s="42"/>
      <c r="O1330" s="42"/>
      <c r="R1330" s="37"/>
      <c r="S1330" s="37"/>
      <c r="T1330" s="91"/>
      <c r="U1330" s="91"/>
      <c r="V1330" s="41"/>
      <c r="W1330" s="37"/>
      <c r="X1330" s="37"/>
      <c r="Y1330" s="43"/>
      <c r="Z1330" s="37"/>
      <c r="AA1330" s="37"/>
      <c r="AD1330" s="37"/>
      <c r="AE1330" s="37"/>
      <c r="AF1330" s="37"/>
    </row>
    <row r="1331" spans="1:32" x14ac:dyDescent="0.25">
      <c r="A1331" s="37"/>
      <c r="B1331" s="37"/>
      <c r="C1331" s="37"/>
      <c r="F1331" s="38"/>
      <c r="G1331" s="38"/>
      <c r="H1331" s="38"/>
      <c r="I1331" s="37"/>
      <c r="J1331" s="38"/>
      <c r="K1331" s="38"/>
      <c r="L1331" s="42"/>
      <c r="M1331" s="42"/>
      <c r="N1331" s="42"/>
      <c r="O1331" s="42"/>
      <c r="R1331" s="37"/>
      <c r="S1331" s="37"/>
      <c r="T1331" s="91"/>
      <c r="U1331" s="91"/>
      <c r="V1331" s="41"/>
      <c r="W1331" s="37"/>
      <c r="X1331" s="37"/>
      <c r="Y1331" s="43"/>
      <c r="Z1331" s="37"/>
      <c r="AA1331" s="37"/>
      <c r="AD1331" s="37"/>
      <c r="AE1331" s="37"/>
      <c r="AF1331" s="37"/>
    </row>
    <row r="1332" spans="1:32" x14ac:dyDescent="0.25">
      <c r="A1332" s="37"/>
      <c r="B1332" s="37"/>
      <c r="C1332" s="37"/>
      <c r="F1332" s="38"/>
      <c r="G1332" s="38"/>
      <c r="H1332" s="38"/>
      <c r="I1332" s="37"/>
      <c r="J1332" s="38"/>
      <c r="K1332" s="38"/>
      <c r="L1332" s="42"/>
      <c r="M1332" s="42"/>
      <c r="N1332" s="42"/>
      <c r="O1332" s="42"/>
      <c r="R1332" s="37"/>
      <c r="S1332" s="37"/>
      <c r="T1332" s="91"/>
      <c r="U1332" s="91"/>
      <c r="V1332" s="41"/>
      <c r="W1332" s="37"/>
      <c r="X1332" s="37"/>
      <c r="Y1332" s="43"/>
      <c r="Z1332" s="37"/>
      <c r="AA1332" s="37"/>
      <c r="AD1332" s="37"/>
      <c r="AE1332" s="37"/>
      <c r="AF1332" s="37"/>
    </row>
    <row r="1333" spans="1:32" x14ac:dyDescent="0.25">
      <c r="A1333" s="37"/>
      <c r="B1333" s="37"/>
      <c r="C1333" s="37"/>
      <c r="F1333" s="38"/>
      <c r="G1333" s="38"/>
      <c r="H1333" s="38"/>
      <c r="I1333" s="37"/>
      <c r="J1333" s="38"/>
      <c r="K1333" s="38"/>
      <c r="L1333" s="42"/>
      <c r="M1333" s="42"/>
      <c r="N1333" s="42"/>
      <c r="O1333" s="42"/>
      <c r="R1333" s="37"/>
      <c r="S1333" s="37"/>
      <c r="T1333" s="91"/>
      <c r="U1333" s="91"/>
      <c r="V1333" s="41"/>
      <c r="W1333" s="37"/>
      <c r="X1333" s="37"/>
      <c r="Y1333" s="43"/>
      <c r="Z1333" s="37"/>
      <c r="AA1333" s="37"/>
      <c r="AD1333" s="37"/>
      <c r="AE1333" s="37"/>
      <c r="AF1333" s="37"/>
    </row>
    <row r="1334" spans="1:32" x14ac:dyDescent="0.25">
      <c r="A1334" s="37"/>
      <c r="B1334" s="37"/>
      <c r="C1334" s="37"/>
      <c r="F1334" s="38"/>
      <c r="G1334" s="38"/>
      <c r="H1334" s="38"/>
      <c r="I1334" s="37"/>
      <c r="J1334" s="38"/>
      <c r="K1334" s="38"/>
      <c r="L1334" s="42"/>
      <c r="M1334" s="42"/>
      <c r="N1334" s="42"/>
      <c r="O1334" s="42"/>
      <c r="R1334" s="37"/>
      <c r="S1334" s="37"/>
      <c r="T1334" s="91"/>
      <c r="U1334" s="91"/>
      <c r="V1334" s="41"/>
      <c r="W1334" s="37"/>
      <c r="X1334" s="37"/>
      <c r="Y1334" s="43"/>
      <c r="Z1334" s="37"/>
      <c r="AA1334" s="37"/>
      <c r="AD1334" s="37"/>
      <c r="AE1334" s="37"/>
      <c r="AF1334" s="37"/>
    </row>
    <row r="1335" spans="1:32" x14ac:dyDescent="0.25">
      <c r="A1335" s="37"/>
      <c r="B1335" s="37"/>
      <c r="C1335" s="37"/>
      <c r="F1335" s="38"/>
      <c r="G1335" s="38"/>
      <c r="H1335" s="38"/>
      <c r="I1335" s="37"/>
      <c r="J1335" s="38"/>
      <c r="K1335" s="38"/>
      <c r="L1335" s="42"/>
      <c r="M1335" s="42"/>
      <c r="N1335" s="42"/>
      <c r="O1335" s="42"/>
      <c r="R1335" s="37"/>
      <c r="S1335" s="37"/>
      <c r="T1335" s="91"/>
      <c r="U1335" s="91"/>
      <c r="V1335" s="41"/>
      <c r="W1335" s="37"/>
      <c r="X1335" s="37"/>
      <c r="Y1335" s="43"/>
      <c r="Z1335" s="37"/>
      <c r="AA1335" s="37"/>
      <c r="AD1335" s="37"/>
      <c r="AE1335" s="37"/>
      <c r="AF1335" s="37"/>
    </row>
    <row r="1336" spans="1:32" x14ac:dyDescent="0.25">
      <c r="A1336" s="37"/>
      <c r="B1336" s="37"/>
      <c r="C1336" s="37"/>
      <c r="F1336" s="38"/>
      <c r="G1336" s="38"/>
      <c r="H1336" s="38"/>
      <c r="I1336" s="37"/>
      <c r="J1336" s="38"/>
      <c r="K1336" s="38"/>
      <c r="L1336" s="42"/>
      <c r="M1336" s="42"/>
      <c r="N1336" s="42"/>
      <c r="O1336" s="42"/>
      <c r="R1336" s="37"/>
      <c r="S1336" s="37"/>
      <c r="T1336" s="91"/>
      <c r="U1336" s="91"/>
      <c r="V1336" s="41"/>
      <c r="W1336" s="37"/>
      <c r="X1336" s="37"/>
      <c r="Y1336" s="43"/>
      <c r="Z1336" s="37"/>
      <c r="AA1336" s="37"/>
      <c r="AD1336" s="37"/>
      <c r="AE1336" s="37"/>
      <c r="AF1336" s="37"/>
    </row>
    <row r="1337" spans="1:32" x14ac:dyDescent="0.25">
      <c r="A1337" s="37"/>
      <c r="B1337" s="37"/>
      <c r="C1337" s="37"/>
      <c r="F1337" s="38"/>
      <c r="G1337" s="38"/>
      <c r="H1337" s="38"/>
      <c r="I1337" s="37"/>
      <c r="J1337" s="38"/>
      <c r="K1337" s="38"/>
      <c r="L1337" s="42"/>
      <c r="M1337" s="42"/>
      <c r="N1337" s="42"/>
      <c r="O1337" s="42"/>
      <c r="R1337" s="37"/>
      <c r="S1337" s="37"/>
      <c r="T1337" s="91"/>
      <c r="U1337" s="91"/>
      <c r="V1337" s="41"/>
      <c r="W1337" s="37"/>
      <c r="X1337" s="37"/>
      <c r="Y1337" s="43"/>
      <c r="Z1337" s="37"/>
      <c r="AA1337" s="37"/>
      <c r="AD1337" s="37"/>
      <c r="AE1337" s="37"/>
      <c r="AF1337" s="37"/>
    </row>
    <row r="1338" spans="1:32" x14ac:dyDescent="0.25">
      <c r="A1338" s="37"/>
      <c r="B1338" s="37"/>
      <c r="C1338" s="37"/>
      <c r="F1338" s="38"/>
      <c r="G1338" s="38"/>
      <c r="H1338" s="38"/>
      <c r="I1338" s="37"/>
      <c r="J1338" s="38"/>
      <c r="K1338" s="38"/>
      <c r="L1338" s="42"/>
      <c r="M1338" s="42"/>
      <c r="N1338" s="42"/>
      <c r="O1338" s="42"/>
      <c r="R1338" s="37"/>
      <c r="S1338" s="37"/>
      <c r="T1338" s="91"/>
      <c r="U1338" s="91"/>
      <c r="V1338" s="41"/>
      <c r="W1338" s="37"/>
      <c r="X1338" s="37"/>
      <c r="Y1338" s="43"/>
      <c r="Z1338" s="37"/>
      <c r="AA1338" s="37"/>
      <c r="AD1338" s="37"/>
      <c r="AE1338" s="37"/>
      <c r="AF1338" s="37"/>
    </row>
    <row r="1339" spans="1:32" x14ac:dyDescent="0.25">
      <c r="A1339" s="37"/>
      <c r="B1339" s="37"/>
      <c r="C1339" s="37"/>
      <c r="F1339" s="38"/>
      <c r="G1339" s="38"/>
      <c r="H1339" s="38"/>
      <c r="I1339" s="37"/>
      <c r="J1339" s="38"/>
      <c r="K1339" s="38"/>
      <c r="L1339" s="42"/>
      <c r="M1339" s="42"/>
      <c r="N1339" s="42"/>
      <c r="O1339" s="42"/>
      <c r="R1339" s="37"/>
      <c r="S1339" s="37"/>
      <c r="T1339" s="91"/>
      <c r="U1339" s="91"/>
      <c r="V1339" s="41"/>
      <c r="W1339" s="37"/>
      <c r="X1339" s="37"/>
      <c r="Y1339" s="43"/>
      <c r="Z1339" s="37"/>
      <c r="AA1339" s="37"/>
      <c r="AD1339" s="37"/>
      <c r="AE1339" s="37"/>
      <c r="AF1339" s="37"/>
    </row>
    <row r="1340" spans="1:32" x14ac:dyDescent="0.25">
      <c r="A1340" s="37"/>
      <c r="B1340" s="37"/>
      <c r="C1340" s="37"/>
      <c r="F1340" s="38"/>
      <c r="G1340" s="38"/>
      <c r="H1340" s="38"/>
      <c r="I1340" s="37"/>
      <c r="J1340" s="38"/>
      <c r="K1340" s="38"/>
      <c r="L1340" s="42"/>
      <c r="M1340" s="42"/>
      <c r="N1340" s="42"/>
      <c r="O1340" s="42"/>
      <c r="R1340" s="37"/>
      <c r="S1340" s="37"/>
      <c r="T1340" s="91"/>
      <c r="U1340" s="91"/>
      <c r="V1340" s="41"/>
      <c r="W1340" s="37"/>
      <c r="X1340" s="37"/>
      <c r="Y1340" s="43"/>
      <c r="Z1340" s="37"/>
      <c r="AA1340" s="37"/>
      <c r="AD1340" s="37"/>
      <c r="AE1340" s="37"/>
      <c r="AF1340" s="37"/>
    </row>
    <row r="1341" spans="1:32" x14ac:dyDescent="0.25">
      <c r="A1341" s="37"/>
      <c r="B1341" s="37"/>
      <c r="C1341" s="37"/>
      <c r="F1341" s="38"/>
      <c r="G1341" s="38"/>
      <c r="H1341" s="38"/>
      <c r="I1341" s="37"/>
      <c r="J1341" s="38"/>
      <c r="K1341" s="38"/>
      <c r="L1341" s="42"/>
      <c r="M1341" s="42"/>
      <c r="N1341" s="42"/>
      <c r="O1341" s="42"/>
      <c r="R1341" s="37"/>
      <c r="S1341" s="37"/>
      <c r="T1341" s="91"/>
      <c r="U1341" s="91"/>
      <c r="V1341" s="41"/>
      <c r="W1341" s="37"/>
      <c r="X1341" s="37"/>
      <c r="Y1341" s="43"/>
      <c r="Z1341" s="37"/>
      <c r="AA1341" s="37"/>
      <c r="AD1341" s="37"/>
      <c r="AE1341" s="37"/>
      <c r="AF1341" s="37"/>
    </row>
    <row r="1342" spans="1:32" x14ac:dyDescent="0.25">
      <c r="A1342" s="37"/>
      <c r="B1342" s="37"/>
      <c r="C1342" s="37"/>
      <c r="F1342" s="38"/>
      <c r="G1342" s="38"/>
      <c r="H1342" s="38"/>
      <c r="I1342" s="37"/>
      <c r="J1342" s="38"/>
      <c r="K1342" s="38"/>
      <c r="L1342" s="42"/>
      <c r="M1342" s="42"/>
      <c r="N1342" s="42"/>
      <c r="O1342" s="42"/>
      <c r="R1342" s="37"/>
      <c r="S1342" s="37"/>
      <c r="T1342" s="91"/>
      <c r="U1342" s="91"/>
      <c r="V1342" s="41"/>
      <c r="W1342" s="37"/>
      <c r="X1342" s="37"/>
      <c r="Y1342" s="43"/>
      <c r="Z1342" s="37"/>
      <c r="AA1342" s="37"/>
      <c r="AD1342" s="37"/>
      <c r="AE1342" s="37"/>
      <c r="AF1342" s="37"/>
    </row>
    <row r="1343" spans="1:32" x14ac:dyDescent="0.25">
      <c r="A1343" s="37"/>
      <c r="B1343" s="37"/>
      <c r="C1343" s="37"/>
      <c r="F1343" s="38"/>
      <c r="G1343" s="38"/>
      <c r="H1343" s="38"/>
      <c r="I1343" s="37"/>
      <c r="J1343" s="38"/>
      <c r="K1343" s="38"/>
      <c r="L1343" s="42"/>
      <c r="M1343" s="42"/>
      <c r="N1343" s="42"/>
      <c r="O1343" s="42"/>
      <c r="R1343" s="37"/>
      <c r="S1343" s="37"/>
      <c r="T1343" s="91"/>
      <c r="U1343" s="91"/>
      <c r="V1343" s="41"/>
      <c r="W1343" s="37"/>
      <c r="X1343" s="37"/>
      <c r="Y1343" s="43"/>
      <c r="Z1343" s="37"/>
      <c r="AA1343" s="37"/>
      <c r="AD1343" s="37"/>
      <c r="AE1343" s="37"/>
      <c r="AF1343" s="37"/>
    </row>
    <row r="1344" spans="1:32" x14ac:dyDescent="0.25">
      <c r="A1344" s="37"/>
      <c r="B1344" s="37"/>
      <c r="C1344" s="37"/>
      <c r="F1344" s="38"/>
      <c r="G1344" s="38"/>
      <c r="H1344" s="38"/>
      <c r="I1344" s="37"/>
      <c r="J1344" s="38"/>
      <c r="K1344" s="38"/>
      <c r="L1344" s="42"/>
      <c r="M1344" s="42"/>
      <c r="N1344" s="42"/>
      <c r="O1344" s="42"/>
      <c r="R1344" s="37"/>
      <c r="S1344" s="37"/>
      <c r="T1344" s="91"/>
      <c r="U1344" s="91"/>
      <c r="V1344" s="41"/>
      <c r="W1344" s="37"/>
      <c r="X1344" s="37"/>
      <c r="Y1344" s="43"/>
      <c r="Z1344" s="37"/>
      <c r="AA1344" s="37"/>
      <c r="AD1344" s="37"/>
      <c r="AE1344" s="37"/>
      <c r="AF1344" s="37"/>
    </row>
    <row r="1345" spans="1:32" x14ac:dyDescent="0.25">
      <c r="A1345" s="37"/>
      <c r="B1345" s="37"/>
      <c r="C1345" s="37"/>
      <c r="F1345" s="38"/>
      <c r="G1345" s="38"/>
      <c r="H1345" s="38"/>
      <c r="I1345" s="37"/>
      <c r="J1345" s="38"/>
      <c r="K1345" s="38"/>
      <c r="L1345" s="42"/>
      <c r="M1345" s="42"/>
      <c r="N1345" s="42"/>
      <c r="O1345" s="42"/>
      <c r="R1345" s="37"/>
      <c r="S1345" s="37"/>
      <c r="T1345" s="91"/>
      <c r="U1345" s="91"/>
      <c r="V1345" s="41"/>
      <c r="W1345" s="37"/>
      <c r="X1345" s="37"/>
      <c r="Y1345" s="43"/>
      <c r="Z1345" s="37"/>
      <c r="AA1345" s="37"/>
      <c r="AD1345" s="37"/>
      <c r="AE1345" s="37"/>
      <c r="AF1345" s="37"/>
    </row>
    <row r="1346" spans="1:32" x14ac:dyDescent="0.25">
      <c r="A1346" s="37"/>
      <c r="B1346" s="37"/>
      <c r="C1346" s="37"/>
      <c r="F1346" s="38"/>
      <c r="G1346" s="38"/>
      <c r="H1346" s="38"/>
      <c r="I1346" s="37"/>
      <c r="J1346" s="38"/>
      <c r="K1346" s="38"/>
      <c r="L1346" s="42"/>
      <c r="M1346" s="42"/>
      <c r="N1346" s="42"/>
      <c r="O1346" s="42"/>
      <c r="R1346" s="37"/>
      <c r="S1346" s="37"/>
      <c r="T1346" s="91"/>
      <c r="U1346" s="91"/>
      <c r="V1346" s="41"/>
      <c r="W1346" s="37"/>
      <c r="X1346" s="37"/>
      <c r="Y1346" s="43"/>
      <c r="Z1346" s="37"/>
      <c r="AA1346" s="37"/>
      <c r="AD1346" s="37"/>
      <c r="AE1346" s="37"/>
      <c r="AF1346" s="37"/>
    </row>
    <row r="1347" spans="1:32" x14ac:dyDescent="0.25">
      <c r="A1347" s="37"/>
      <c r="B1347" s="37"/>
      <c r="C1347" s="37"/>
      <c r="F1347" s="38"/>
      <c r="G1347" s="38"/>
      <c r="H1347" s="38"/>
      <c r="I1347" s="37"/>
      <c r="J1347" s="38"/>
      <c r="K1347" s="38"/>
      <c r="L1347" s="42"/>
      <c r="M1347" s="42"/>
      <c r="N1347" s="42"/>
      <c r="O1347" s="42"/>
      <c r="R1347" s="37"/>
      <c r="S1347" s="37"/>
      <c r="T1347" s="91"/>
      <c r="U1347" s="91"/>
      <c r="V1347" s="41"/>
      <c r="W1347" s="37"/>
      <c r="X1347" s="37"/>
      <c r="Y1347" s="43"/>
      <c r="Z1347" s="37"/>
      <c r="AA1347" s="37"/>
      <c r="AD1347" s="37"/>
      <c r="AE1347" s="37"/>
      <c r="AF1347" s="37"/>
    </row>
    <row r="1348" spans="1:32" x14ac:dyDescent="0.25">
      <c r="A1348" s="37"/>
      <c r="B1348" s="37"/>
      <c r="C1348" s="37"/>
      <c r="F1348" s="38"/>
      <c r="G1348" s="38"/>
      <c r="H1348" s="38"/>
      <c r="I1348" s="37"/>
      <c r="J1348" s="38"/>
      <c r="K1348" s="38"/>
      <c r="L1348" s="42"/>
      <c r="M1348" s="42"/>
      <c r="N1348" s="42"/>
      <c r="O1348" s="42"/>
      <c r="R1348" s="37"/>
      <c r="S1348" s="37"/>
      <c r="T1348" s="91"/>
      <c r="U1348" s="91"/>
      <c r="V1348" s="41"/>
      <c r="W1348" s="37"/>
      <c r="X1348" s="37"/>
      <c r="Y1348" s="43"/>
      <c r="Z1348" s="37"/>
      <c r="AA1348" s="37"/>
      <c r="AD1348" s="37"/>
      <c r="AE1348" s="37"/>
      <c r="AF1348" s="37"/>
    </row>
    <row r="1349" spans="1:32" x14ac:dyDescent="0.25">
      <c r="A1349" s="37"/>
      <c r="B1349" s="37"/>
      <c r="C1349" s="37"/>
      <c r="F1349" s="38"/>
      <c r="G1349" s="38"/>
      <c r="H1349" s="38"/>
      <c r="I1349" s="37"/>
      <c r="J1349" s="38"/>
      <c r="K1349" s="38"/>
      <c r="L1349" s="42"/>
      <c r="M1349" s="42"/>
      <c r="N1349" s="42"/>
      <c r="O1349" s="42"/>
      <c r="R1349" s="37"/>
      <c r="S1349" s="37"/>
      <c r="T1349" s="91"/>
      <c r="U1349" s="91"/>
      <c r="V1349" s="41"/>
      <c r="W1349" s="37"/>
      <c r="X1349" s="37"/>
      <c r="Y1349" s="43"/>
      <c r="Z1349" s="37"/>
      <c r="AA1349" s="37"/>
      <c r="AD1349" s="37"/>
      <c r="AE1349" s="37"/>
      <c r="AF1349" s="37"/>
    </row>
    <row r="1350" spans="1:32" x14ac:dyDescent="0.25">
      <c r="A1350" s="37"/>
      <c r="B1350" s="37"/>
      <c r="C1350" s="37"/>
      <c r="F1350" s="38"/>
      <c r="G1350" s="38"/>
      <c r="H1350" s="38"/>
      <c r="I1350" s="37"/>
      <c r="J1350" s="38"/>
      <c r="K1350" s="38"/>
      <c r="L1350" s="42"/>
      <c r="M1350" s="42"/>
      <c r="N1350" s="42"/>
      <c r="O1350" s="42"/>
      <c r="R1350" s="37"/>
      <c r="S1350" s="37"/>
      <c r="T1350" s="91"/>
      <c r="U1350" s="91"/>
      <c r="V1350" s="41"/>
      <c r="W1350" s="37"/>
      <c r="X1350" s="37"/>
      <c r="Y1350" s="43"/>
      <c r="Z1350" s="37"/>
      <c r="AA1350" s="37"/>
      <c r="AD1350" s="37"/>
      <c r="AE1350" s="37"/>
      <c r="AF1350" s="37"/>
    </row>
    <row r="1351" spans="1:32" x14ac:dyDescent="0.25">
      <c r="A1351" s="37"/>
      <c r="B1351" s="37"/>
      <c r="C1351" s="37"/>
      <c r="F1351" s="38"/>
      <c r="G1351" s="38"/>
      <c r="H1351" s="38"/>
      <c r="I1351" s="37"/>
      <c r="J1351" s="38"/>
      <c r="K1351" s="38"/>
      <c r="L1351" s="42"/>
      <c r="M1351" s="42"/>
      <c r="N1351" s="42"/>
      <c r="O1351" s="42"/>
      <c r="R1351" s="37"/>
      <c r="S1351" s="37"/>
      <c r="T1351" s="91"/>
      <c r="U1351" s="91"/>
      <c r="V1351" s="41"/>
      <c r="W1351" s="37"/>
      <c r="X1351" s="37"/>
      <c r="Y1351" s="43"/>
      <c r="Z1351" s="37"/>
      <c r="AA1351" s="37"/>
      <c r="AD1351" s="37"/>
      <c r="AE1351" s="37"/>
      <c r="AF1351" s="37"/>
    </row>
    <row r="1352" spans="1:32" x14ac:dyDescent="0.25">
      <c r="A1352" s="37"/>
      <c r="B1352" s="37"/>
      <c r="C1352" s="37"/>
      <c r="F1352" s="38"/>
      <c r="G1352" s="38"/>
      <c r="H1352" s="38"/>
      <c r="I1352" s="37"/>
      <c r="J1352" s="38"/>
      <c r="K1352" s="38"/>
      <c r="L1352" s="42"/>
      <c r="M1352" s="42"/>
      <c r="N1352" s="42"/>
      <c r="O1352" s="42"/>
      <c r="R1352" s="37"/>
      <c r="S1352" s="37"/>
      <c r="T1352" s="91"/>
      <c r="U1352" s="91"/>
      <c r="V1352" s="41"/>
      <c r="W1352" s="37"/>
      <c r="X1352" s="37"/>
      <c r="Y1352" s="43"/>
      <c r="Z1352" s="37"/>
      <c r="AA1352" s="37"/>
      <c r="AD1352" s="37"/>
      <c r="AE1352" s="37"/>
      <c r="AF1352" s="37"/>
    </row>
    <row r="1353" spans="1:32" x14ac:dyDescent="0.25">
      <c r="A1353" s="37"/>
      <c r="B1353" s="37"/>
      <c r="C1353" s="37"/>
      <c r="F1353" s="38"/>
      <c r="G1353" s="38"/>
      <c r="H1353" s="38"/>
      <c r="I1353" s="37"/>
      <c r="J1353" s="38"/>
      <c r="K1353" s="38"/>
      <c r="L1353" s="42"/>
      <c r="M1353" s="42"/>
      <c r="N1353" s="42"/>
      <c r="O1353" s="42"/>
      <c r="R1353" s="37"/>
      <c r="S1353" s="37"/>
      <c r="T1353" s="91"/>
      <c r="U1353" s="91"/>
      <c r="V1353" s="41"/>
      <c r="W1353" s="37"/>
      <c r="X1353" s="37"/>
      <c r="Y1353" s="43"/>
      <c r="Z1353" s="37"/>
      <c r="AA1353" s="37"/>
      <c r="AD1353" s="37"/>
      <c r="AE1353" s="37"/>
      <c r="AF1353" s="37"/>
    </row>
    <row r="1354" spans="1:32" x14ac:dyDescent="0.25">
      <c r="A1354" s="37"/>
      <c r="B1354" s="37"/>
      <c r="C1354" s="37"/>
      <c r="F1354" s="38"/>
      <c r="G1354" s="38"/>
      <c r="H1354" s="38"/>
      <c r="I1354" s="37"/>
      <c r="J1354" s="38"/>
      <c r="K1354" s="38"/>
      <c r="L1354" s="42"/>
      <c r="M1354" s="42"/>
      <c r="N1354" s="42"/>
      <c r="O1354" s="42"/>
      <c r="R1354" s="37"/>
      <c r="S1354" s="37"/>
      <c r="T1354" s="91"/>
      <c r="U1354" s="91"/>
      <c r="V1354" s="41"/>
      <c r="W1354" s="37"/>
      <c r="X1354" s="37"/>
      <c r="Y1354" s="43"/>
      <c r="Z1354" s="37"/>
      <c r="AA1354" s="37"/>
      <c r="AD1354" s="37"/>
      <c r="AE1354" s="37"/>
      <c r="AF1354" s="37"/>
    </row>
    <row r="1355" spans="1:32" x14ac:dyDescent="0.25">
      <c r="A1355" s="37"/>
      <c r="B1355" s="37"/>
      <c r="C1355" s="37"/>
      <c r="F1355" s="38"/>
      <c r="G1355" s="38"/>
      <c r="H1355" s="38"/>
      <c r="I1355" s="37"/>
      <c r="J1355" s="38"/>
      <c r="K1355" s="38"/>
      <c r="L1355" s="42"/>
      <c r="M1355" s="42"/>
      <c r="N1355" s="42"/>
      <c r="O1355" s="42"/>
      <c r="R1355" s="37"/>
      <c r="S1355" s="37"/>
      <c r="T1355" s="91"/>
      <c r="U1355" s="91"/>
      <c r="V1355" s="41"/>
      <c r="W1355" s="37"/>
      <c r="X1355" s="37"/>
      <c r="Y1355" s="43"/>
      <c r="Z1355" s="37"/>
      <c r="AA1355" s="37"/>
      <c r="AD1355" s="37"/>
      <c r="AE1355" s="37"/>
      <c r="AF1355" s="37"/>
    </row>
    <row r="1356" spans="1:32" x14ac:dyDescent="0.25">
      <c r="A1356" s="37"/>
      <c r="B1356" s="37"/>
      <c r="C1356" s="37"/>
      <c r="F1356" s="38"/>
      <c r="G1356" s="38"/>
      <c r="H1356" s="38"/>
      <c r="I1356" s="37"/>
      <c r="J1356" s="38"/>
      <c r="K1356" s="38"/>
      <c r="L1356" s="42"/>
      <c r="M1356" s="42"/>
      <c r="N1356" s="42"/>
      <c r="O1356" s="42"/>
      <c r="R1356" s="37"/>
      <c r="S1356" s="37"/>
      <c r="T1356" s="91"/>
      <c r="U1356" s="91"/>
      <c r="V1356" s="41"/>
      <c r="W1356" s="37"/>
      <c r="X1356" s="37"/>
      <c r="Y1356" s="43"/>
      <c r="Z1356" s="37"/>
      <c r="AA1356" s="37"/>
      <c r="AD1356" s="37"/>
      <c r="AE1356" s="37"/>
      <c r="AF1356" s="37"/>
    </row>
    <row r="1357" spans="1:32" x14ac:dyDescent="0.25">
      <c r="A1357" s="37"/>
      <c r="B1357" s="37"/>
      <c r="C1357" s="37"/>
      <c r="F1357" s="38"/>
      <c r="G1357" s="38"/>
      <c r="H1357" s="38"/>
      <c r="I1357" s="37"/>
      <c r="J1357" s="38"/>
      <c r="K1357" s="38"/>
      <c r="L1357" s="42"/>
      <c r="M1357" s="42"/>
      <c r="N1357" s="42"/>
      <c r="O1357" s="42"/>
      <c r="R1357" s="37"/>
      <c r="S1357" s="37"/>
      <c r="T1357" s="91"/>
      <c r="U1357" s="91"/>
      <c r="V1357" s="41"/>
      <c r="W1357" s="37"/>
      <c r="X1357" s="37"/>
      <c r="Y1357" s="43"/>
      <c r="Z1357" s="37"/>
      <c r="AA1357" s="37"/>
      <c r="AD1357" s="37"/>
      <c r="AE1357" s="37"/>
      <c r="AF1357" s="37"/>
    </row>
    <row r="1358" spans="1:32" x14ac:dyDescent="0.25">
      <c r="A1358" s="37"/>
      <c r="B1358" s="37"/>
      <c r="C1358" s="37"/>
      <c r="F1358" s="38"/>
      <c r="G1358" s="38"/>
      <c r="H1358" s="38"/>
      <c r="I1358" s="37"/>
      <c r="J1358" s="38"/>
      <c r="K1358" s="38"/>
      <c r="L1358" s="42"/>
      <c r="M1358" s="42"/>
      <c r="N1358" s="42"/>
      <c r="O1358" s="42"/>
      <c r="R1358" s="37"/>
      <c r="S1358" s="37"/>
      <c r="T1358" s="91"/>
      <c r="U1358" s="91"/>
      <c r="V1358" s="41"/>
      <c r="W1358" s="37"/>
      <c r="X1358" s="37"/>
      <c r="Y1358" s="43"/>
      <c r="Z1358" s="37"/>
      <c r="AA1358" s="37"/>
      <c r="AD1358" s="37"/>
      <c r="AE1358" s="37"/>
      <c r="AF1358" s="37"/>
    </row>
    <row r="1359" spans="1:32" x14ac:dyDescent="0.25">
      <c r="A1359" s="37"/>
      <c r="B1359" s="37"/>
      <c r="C1359" s="37"/>
      <c r="F1359" s="38"/>
      <c r="G1359" s="38"/>
      <c r="H1359" s="38"/>
      <c r="I1359" s="37"/>
      <c r="J1359" s="38"/>
      <c r="K1359" s="38"/>
      <c r="L1359" s="42"/>
      <c r="M1359" s="42"/>
      <c r="N1359" s="42"/>
      <c r="O1359" s="42"/>
      <c r="R1359" s="37"/>
      <c r="S1359" s="37"/>
      <c r="T1359" s="91"/>
      <c r="U1359" s="91"/>
      <c r="V1359" s="41"/>
      <c r="W1359" s="37"/>
      <c r="X1359" s="37"/>
      <c r="Y1359" s="43"/>
      <c r="Z1359" s="37"/>
      <c r="AA1359" s="37"/>
      <c r="AD1359" s="37"/>
      <c r="AE1359" s="37"/>
      <c r="AF1359" s="37"/>
    </row>
    <row r="1360" spans="1:32" x14ac:dyDescent="0.25">
      <c r="A1360" s="37"/>
      <c r="B1360" s="37"/>
      <c r="C1360" s="37"/>
      <c r="F1360" s="38"/>
      <c r="G1360" s="38"/>
      <c r="H1360" s="38"/>
      <c r="I1360" s="37"/>
      <c r="J1360" s="38"/>
      <c r="K1360" s="38"/>
      <c r="L1360" s="42"/>
      <c r="M1360" s="42"/>
      <c r="N1360" s="42"/>
      <c r="O1360" s="42"/>
      <c r="R1360" s="37"/>
      <c r="S1360" s="37"/>
      <c r="T1360" s="91"/>
      <c r="U1360" s="91"/>
      <c r="V1360" s="41"/>
      <c r="W1360" s="37"/>
      <c r="X1360" s="37"/>
      <c r="Y1360" s="43"/>
      <c r="Z1360" s="37"/>
      <c r="AA1360" s="37"/>
      <c r="AD1360" s="37"/>
      <c r="AE1360" s="37"/>
      <c r="AF1360" s="37"/>
    </row>
    <row r="1361" spans="1:32" x14ac:dyDescent="0.25">
      <c r="A1361" s="37"/>
      <c r="B1361" s="37"/>
      <c r="C1361" s="37"/>
      <c r="F1361" s="38"/>
      <c r="G1361" s="38"/>
      <c r="H1361" s="38"/>
      <c r="I1361" s="37"/>
      <c r="J1361" s="38"/>
      <c r="K1361" s="38"/>
      <c r="L1361" s="42"/>
      <c r="M1361" s="42"/>
      <c r="N1361" s="42"/>
      <c r="O1361" s="42"/>
      <c r="R1361" s="37"/>
      <c r="S1361" s="37"/>
      <c r="T1361" s="91"/>
      <c r="U1361" s="91"/>
      <c r="V1361" s="41"/>
      <c r="W1361" s="37"/>
      <c r="X1361" s="37"/>
      <c r="Y1361" s="43"/>
      <c r="Z1361" s="37"/>
      <c r="AA1361" s="37"/>
      <c r="AD1361" s="37"/>
      <c r="AE1361" s="37"/>
      <c r="AF1361" s="37"/>
    </row>
    <row r="1362" spans="1:32" x14ac:dyDescent="0.25">
      <c r="A1362" s="37"/>
      <c r="B1362" s="37"/>
      <c r="C1362" s="37"/>
      <c r="F1362" s="38"/>
      <c r="G1362" s="38"/>
      <c r="H1362" s="38"/>
      <c r="I1362" s="37"/>
      <c r="J1362" s="38"/>
      <c r="K1362" s="38"/>
      <c r="L1362" s="42"/>
      <c r="M1362" s="42"/>
      <c r="N1362" s="42"/>
      <c r="O1362" s="42"/>
      <c r="R1362" s="37"/>
      <c r="S1362" s="37"/>
      <c r="T1362" s="91"/>
      <c r="U1362" s="91"/>
      <c r="V1362" s="41"/>
      <c r="W1362" s="37"/>
      <c r="X1362" s="37"/>
      <c r="Y1362" s="43"/>
      <c r="Z1362" s="37"/>
      <c r="AA1362" s="37"/>
      <c r="AD1362" s="37"/>
      <c r="AE1362" s="37"/>
      <c r="AF1362" s="37"/>
    </row>
    <row r="1363" spans="1:32" x14ac:dyDescent="0.25">
      <c r="A1363" s="37"/>
      <c r="B1363" s="37"/>
      <c r="C1363" s="37"/>
      <c r="F1363" s="38"/>
      <c r="G1363" s="38"/>
      <c r="H1363" s="38"/>
      <c r="I1363" s="37"/>
      <c r="J1363" s="38"/>
      <c r="K1363" s="38"/>
      <c r="L1363" s="42"/>
      <c r="M1363" s="42"/>
      <c r="N1363" s="42"/>
      <c r="O1363" s="42"/>
      <c r="R1363" s="37"/>
      <c r="S1363" s="37"/>
      <c r="T1363" s="91"/>
      <c r="U1363" s="91"/>
      <c r="V1363" s="41"/>
      <c r="W1363" s="37"/>
      <c r="X1363" s="37"/>
      <c r="Y1363" s="43"/>
      <c r="Z1363" s="37"/>
      <c r="AA1363" s="37"/>
      <c r="AD1363" s="37"/>
      <c r="AE1363" s="37"/>
      <c r="AF1363" s="37"/>
    </row>
    <row r="1364" spans="1:32" x14ac:dyDescent="0.25">
      <c r="A1364" s="37"/>
      <c r="B1364" s="37"/>
      <c r="C1364" s="37"/>
      <c r="F1364" s="38"/>
      <c r="G1364" s="38"/>
      <c r="H1364" s="38"/>
      <c r="I1364" s="37"/>
      <c r="J1364" s="38"/>
      <c r="K1364" s="38"/>
      <c r="L1364" s="42"/>
      <c r="M1364" s="42"/>
      <c r="N1364" s="42"/>
      <c r="O1364" s="42"/>
      <c r="R1364" s="37"/>
      <c r="S1364" s="37"/>
      <c r="T1364" s="91"/>
      <c r="U1364" s="91"/>
      <c r="V1364" s="41"/>
      <c r="W1364" s="37"/>
      <c r="X1364" s="37"/>
      <c r="Y1364" s="43"/>
      <c r="Z1364" s="37"/>
      <c r="AA1364" s="37"/>
      <c r="AD1364" s="37"/>
      <c r="AE1364" s="37"/>
      <c r="AF1364" s="37"/>
    </row>
    <row r="1365" spans="1:32" x14ac:dyDescent="0.25">
      <c r="A1365" s="37"/>
      <c r="B1365" s="37"/>
      <c r="C1365" s="37"/>
      <c r="F1365" s="38"/>
      <c r="G1365" s="38"/>
      <c r="H1365" s="38"/>
      <c r="I1365" s="37"/>
      <c r="J1365" s="38"/>
      <c r="K1365" s="38"/>
      <c r="L1365" s="42"/>
      <c r="M1365" s="42"/>
      <c r="N1365" s="42"/>
      <c r="O1365" s="42"/>
      <c r="R1365" s="37"/>
      <c r="S1365" s="37"/>
      <c r="T1365" s="91"/>
      <c r="U1365" s="91"/>
      <c r="V1365" s="41"/>
      <c r="W1365" s="37"/>
      <c r="X1365" s="37"/>
      <c r="Y1365" s="43"/>
      <c r="Z1365" s="37"/>
      <c r="AA1365" s="37"/>
      <c r="AD1365" s="37"/>
      <c r="AE1365" s="37"/>
      <c r="AF1365" s="37"/>
    </row>
    <row r="1366" spans="1:32" x14ac:dyDescent="0.25">
      <c r="A1366" s="37"/>
      <c r="B1366" s="37"/>
      <c r="C1366" s="37"/>
      <c r="F1366" s="38"/>
      <c r="G1366" s="38"/>
      <c r="H1366" s="38"/>
      <c r="I1366" s="37"/>
      <c r="J1366" s="38"/>
      <c r="K1366" s="38"/>
      <c r="L1366" s="42"/>
      <c r="M1366" s="42"/>
      <c r="N1366" s="42"/>
      <c r="O1366" s="42"/>
      <c r="R1366" s="37"/>
      <c r="S1366" s="37"/>
      <c r="T1366" s="91"/>
      <c r="U1366" s="91"/>
      <c r="V1366" s="41"/>
      <c r="W1366" s="37"/>
      <c r="X1366" s="37"/>
      <c r="Y1366" s="43"/>
      <c r="Z1366" s="37"/>
      <c r="AA1366" s="37"/>
      <c r="AD1366" s="37"/>
      <c r="AE1366" s="37"/>
      <c r="AF1366" s="37"/>
    </row>
    <row r="1367" spans="1:32" x14ac:dyDescent="0.25">
      <c r="A1367" s="37"/>
      <c r="B1367" s="37"/>
      <c r="C1367" s="37"/>
      <c r="F1367" s="38"/>
      <c r="G1367" s="38"/>
      <c r="H1367" s="38"/>
      <c r="I1367" s="37"/>
      <c r="J1367" s="38"/>
      <c r="K1367" s="38"/>
      <c r="L1367" s="42"/>
      <c r="M1367" s="42"/>
      <c r="N1367" s="42"/>
      <c r="O1367" s="42"/>
      <c r="R1367" s="37"/>
      <c r="S1367" s="37"/>
      <c r="T1367" s="91"/>
      <c r="U1367" s="91"/>
      <c r="V1367" s="41"/>
      <c r="W1367" s="37"/>
      <c r="X1367" s="37"/>
      <c r="Y1367" s="43"/>
      <c r="Z1367" s="37"/>
      <c r="AA1367" s="37"/>
      <c r="AD1367" s="37"/>
      <c r="AE1367" s="37"/>
      <c r="AF1367" s="37"/>
    </row>
    <row r="1368" spans="1:32" x14ac:dyDescent="0.25">
      <c r="A1368" s="37"/>
      <c r="B1368" s="37"/>
      <c r="C1368" s="37"/>
      <c r="F1368" s="38"/>
      <c r="G1368" s="38"/>
      <c r="H1368" s="38"/>
      <c r="I1368" s="37"/>
      <c r="J1368" s="38"/>
      <c r="K1368" s="38"/>
      <c r="L1368" s="42"/>
      <c r="M1368" s="42"/>
      <c r="N1368" s="42"/>
      <c r="O1368" s="42"/>
      <c r="R1368" s="37"/>
      <c r="S1368" s="37"/>
      <c r="T1368" s="91"/>
      <c r="U1368" s="91"/>
      <c r="V1368" s="41"/>
      <c r="W1368" s="37"/>
      <c r="X1368" s="37"/>
      <c r="Y1368" s="43"/>
      <c r="Z1368" s="37"/>
      <c r="AA1368" s="37"/>
      <c r="AD1368" s="37"/>
      <c r="AE1368" s="37"/>
      <c r="AF1368" s="37"/>
    </row>
    <row r="1369" spans="1:32" x14ac:dyDescent="0.25">
      <c r="A1369" s="37"/>
      <c r="B1369" s="37"/>
      <c r="C1369" s="37"/>
      <c r="F1369" s="38"/>
      <c r="G1369" s="38"/>
      <c r="H1369" s="38"/>
      <c r="I1369" s="37"/>
      <c r="J1369" s="38"/>
      <c r="K1369" s="38"/>
      <c r="L1369" s="42"/>
      <c r="M1369" s="42"/>
      <c r="N1369" s="42"/>
      <c r="O1369" s="42"/>
      <c r="R1369" s="37"/>
      <c r="S1369" s="37"/>
      <c r="T1369" s="91"/>
      <c r="U1369" s="91"/>
      <c r="V1369" s="41"/>
      <c r="W1369" s="37"/>
      <c r="X1369" s="37"/>
      <c r="Y1369" s="43"/>
      <c r="Z1369" s="37"/>
      <c r="AA1369" s="37"/>
      <c r="AD1369" s="37"/>
      <c r="AE1369" s="37"/>
      <c r="AF1369" s="37"/>
    </row>
    <row r="1370" spans="1:32" x14ac:dyDescent="0.25">
      <c r="A1370" s="37"/>
      <c r="B1370" s="37"/>
      <c r="C1370" s="37"/>
      <c r="F1370" s="38"/>
      <c r="G1370" s="38"/>
      <c r="H1370" s="38"/>
      <c r="I1370" s="37"/>
      <c r="J1370" s="38"/>
      <c r="K1370" s="38"/>
      <c r="L1370" s="42"/>
      <c r="M1370" s="42"/>
      <c r="N1370" s="42"/>
      <c r="O1370" s="42"/>
      <c r="R1370" s="37"/>
      <c r="S1370" s="37"/>
      <c r="T1370" s="91"/>
      <c r="U1370" s="91"/>
      <c r="V1370" s="41"/>
      <c r="W1370" s="37"/>
      <c r="X1370" s="37"/>
      <c r="Y1370" s="43"/>
      <c r="Z1370" s="37"/>
      <c r="AA1370" s="37"/>
      <c r="AD1370" s="37"/>
      <c r="AE1370" s="37"/>
      <c r="AF1370" s="37"/>
    </row>
    <row r="1371" spans="1:32" x14ac:dyDescent="0.25">
      <c r="A1371" s="37"/>
      <c r="B1371" s="37"/>
      <c r="C1371" s="37"/>
      <c r="F1371" s="38"/>
      <c r="G1371" s="38"/>
      <c r="H1371" s="38"/>
      <c r="I1371" s="37"/>
      <c r="J1371" s="38"/>
      <c r="K1371" s="38"/>
      <c r="L1371" s="42"/>
      <c r="M1371" s="42"/>
      <c r="N1371" s="42"/>
      <c r="O1371" s="42"/>
      <c r="R1371" s="37"/>
      <c r="S1371" s="37"/>
      <c r="T1371" s="91"/>
      <c r="U1371" s="91"/>
      <c r="V1371" s="41"/>
      <c r="W1371" s="37"/>
      <c r="X1371" s="37"/>
      <c r="Y1371" s="43"/>
      <c r="Z1371" s="37"/>
      <c r="AA1371" s="37"/>
      <c r="AD1371" s="37"/>
      <c r="AE1371" s="37"/>
      <c r="AF1371" s="37"/>
    </row>
    <row r="1372" spans="1:32" x14ac:dyDescent="0.25">
      <c r="A1372" s="37"/>
      <c r="B1372" s="37"/>
      <c r="C1372" s="37"/>
      <c r="F1372" s="38"/>
      <c r="G1372" s="38"/>
      <c r="H1372" s="38"/>
      <c r="I1372" s="37"/>
      <c r="J1372" s="38"/>
      <c r="K1372" s="38"/>
      <c r="L1372" s="42"/>
      <c r="M1372" s="42"/>
      <c r="N1372" s="42"/>
      <c r="O1372" s="42"/>
      <c r="R1372" s="37"/>
      <c r="S1372" s="37"/>
      <c r="T1372" s="91"/>
      <c r="U1372" s="91"/>
      <c r="V1372" s="41"/>
      <c r="W1372" s="37"/>
      <c r="X1372" s="37"/>
      <c r="Y1372" s="43"/>
      <c r="Z1372" s="37"/>
      <c r="AA1372" s="37"/>
      <c r="AD1372" s="37"/>
      <c r="AE1372" s="37"/>
      <c r="AF1372" s="37"/>
    </row>
    <row r="1373" spans="1:32" x14ac:dyDescent="0.25">
      <c r="A1373" s="37"/>
      <c r="B1373" s="37"/>
      <c r="C1373" s="37"/>
      <c r="F1373" s="38"/>
      <c r="G1373" s="38"/>
      <c r="H1373" s="38"/>
      <c r="I1373" s="37"/>
      <c r="J1373" s="38"/>
      <c r="K1373" s="38"/>
      <c r="L1373" s="42"/>
      <c r="M1373" s="42"/>
      <c r="N1373" s="42"/>
      <c r="O1373" s="42"/>
      <c r="R1373" s="37"/>
      <c r="S1373" s="37"/>
      <c r="T1373" s="91"/>
      <c r="U1373" s="91"/>
      <c r="V1373" s="41"/>
      <c r="W1373" s="37"/>
      <c r="X1373" s="37"/>
      <c r="Y1373" s="43"/>
      <c r="Z1373" s="37"/>
      <c r="AA1373" s="37"/>
      <c r="AD1373" s="37"/>
      <c r="AE1373" s="37"/>
      <c r="AF1373" s="37"/>
    </row>
    <row r="1374" spans="1:32" x14ac:dyDescent="0.25">
      <c r="A1374" s="37"/>
      <c r="B1374" s="37"/>
      <c r="C1374" s="37"/>
      <c r="F1374" s="38"/>
      <c r="G1374" s="38"/>
      <c r="H1374" s="38"/>
      <c r="I1374" s="37"/>
      <c r="J1374" s="38"/>
      <c r="K1374" s="38"/>
      <c r="L1374" s="42"/>
      <c r="M1374" s="42"/>
      <c r="N1374" s="42"/>
      <c r="O1374" s="42"/>
      <c r="R1374" s="37"/>
      <c r="S1374" s="37"/>
      <c r="T1374" s="91"/>
      <c r="U1374" s="91"/>
      <c r="V1374" s="41"/>
      <c r="W1374" s="37"/>
      <c r="X1374" s="37"/>
      <c r="Y1374" s="43"/>
      <c r="Z1374" s="37"/>
      <c r="AA1374" s="37"/>
      <c r="AD1374" s="37"/>
      <c r="AE1374" s="37"/>
      <c r="AF1374" s="37"/>
    </row>
    <row r="1375" spans="1:32" x14ac:dyDescent="0.25">
      <c r="A1375" s="37"/>
      <c r="B1375" s="37"/>
      <c r="C1375" s="37"/>
      <c r="F1375" s="38"/>
      <c r="G1375" s="38"/>
      <c r="H1375" s="38"/>
      <c r="I1375" s="37"/>
      <c r="J1375" s="38"/>
      <c r="K1375" s="38"/>
      <c r="L1375" s="42"/>
      <c r="M1375" s="42"/>
      <c r="N1375" s="42"/>
      <c r="O1375" s="42"/>
      <c r="R1375" s="37"/>
      <c r="S1375" s="37"/>
      <c r="T1375" s="91"/>
      <c r="U1375" s="91"/>
      <c r="V1375" s="41"/>
      <c r="W1375" s="37"/>
      <c r="X1375" s="37"/>
      <c r="Y1375" s="43"/>
      <c r="Z1375" s="37"/>
      <c r="AA1375" s="37"/>
      <c r="AD1375" s="37"/>
      <c r="AE1375" s="37"/>
      <c r="AF1375" s="37"/>
    </row>
    <row r="1376" spans="1:32" x14ac:dyDescent="0.25">
      <c r="A1376" s="37"/>
      <c r="B1376" s="37"/>
      <c r="C1376" s="37"/>
      <c r="F1376" s="38"/>
      <c r="G1376" s="38"/>
      <c r="H1376" s="38"/>
      <c r="I1376" s="37"/>
      <c r="J1376" s="38"/>
      <c r="K1376" s="38"/>
      <c r="L1376" s="42"/>
      <c r="M1376" s="42"/>
      <c r="N1376" s="42"/>
      <c r="O1376" s="42"/>
      <c r="R1376" s="37"/>
      <c r="S1376" s="37"/>
      <c r="T1376" s="91"/>
      <c r="U1376" s="91"/>
      <c r="V1376" s="41"/>
      <c r="W1376" s="37"/>
      <c r="X1376" s="37"/>
      <c r="Y1376" s="43"/>
      <c r="Z1376" s="37"/>
      <c r="AA1376" s="37"/>
      <c r="AD1376" s="37"/>
      <c r="AE1376" s="37"/>
      <c r="AF1376" s="37"/>
    </row>
    <row r="1377" spans="1:32" x14ac:dyDescent="0.25">
      <c r="A1377" s="37"/>
      <c r="B1377" s="37"/>
      <c r="C1377" s="37"/>
      <c r="F1377" s="38"/>
      <c r="G1377" s="38"/>
      <c r="H1377" s="38"/>
      <c r="I1377" s="37"/>
      <c r="J1377" s="38"/>
      <c r="K1377" s="38"/>
      <c r="L1377" s="42"/>
      <c r="M1377" s="42"/>
      <c r="N1377" s="42"/>
      <c r="O1377" s="42"/>
      <c r="R1377" s="37"/>
      <c r="S1377" s="37"/>
      <c r="T1377" s="91"/>
      <c r="U1377" s="91"/>
      <c r="V1377" s="41"/>
      <c r="W1377" s="37"/>
      <c r="X1377" s="37"/>
      <c r="Y1377" s="43"/>
      <c r="Z1377" s="37"/>
      <c r="AA1377" s="37"/>
      <c r="AD1377" s="37"/>
      <c r="AE1377" s="37"/>
      <c r="AF1377" s="37"/>
    </row>
    <row r="1378" spans="1:32" x14ac:dyDescent="0.25">
      <c r="A1378" s="37"/>
      <c r="B1378" s="37"/>
      <c r="C1378" s="37"/>
      <c r="F1378" s="38"/>
      <c r="G1378" s="38"/>
      <c r="H1378" s="38"/>
      <c r="I1378" s="37"/>
      <c r="J1378" s="38"/>
      <c r="K1378" s="38"/>
      <c r="L1378" s="42"/>
      <c r="M1378" s="42"/>
      <c r="N1378" s="42"/>
      <c r="O1378" s="42"/>
      <c r="R1378" s="37"/>
      <c r="S1378" s="37"/>
      <c r="T1378" s="91"/>
      <c r="U1378" s="91"/>
      <c r="V1378" s="41"/>
      <c r="W1378" s="37"/>
      <c r="X1378" s="37"/>
      <c r="Y1378" s="43"/>
      <c r="Z1378" s="37"/>
      <c r="AA1378" s="37"/>
      <c r="AD1378" s="37"/>
      <c r="AE1378" s="37"/>
      <c r="AF1378" s="37"/>
    </row>
    <row r="1379" spans="1:32" x14ac:dyDescent="0.25">
      <c r="A1379" s="37"/>
      <c r="B1379" s="37"/>
      <c r="C1379" s="37"/>
      <c r="F1379" s="38"/>
      <c r="G1379" s="38"/>
      <c r="H1379" s="38"/>
      <c r="I1379" s="37"/>
      <c r="J1379" s="38"/>
      <c r="K1379" s="38"/>
      <c r="L1379" s="42"/>
      <c r="M1379" s="42"/>
      <c r="N1379" s="42"/>
      <c r="O1379" s="42"/>
      <c r="R1379" s="37"/>
      <c r="S1379" s="37"/>
      <c r="T1379" s="91"/>
      <c r="U1379" s="91"/>
      <c r="V1379" s="41"/>
      <c r="W1379" s="37"/>
      <c r="X1379" s="37"/>
      <c r="Y1379" s="43"/>
      <c r="Z1379" s="37"/>
      <c r="AA1379" s="37"/>
      <c r="AD1379" s="37"/>
      <c r="AE1379" s="37"/>
      <c r="AF1379" s="37"/>
    </row>
    <row r="1380" spans="1:32" x14ac:dyDescent="0.25">
      <c r="A1380" s="37"/>
      <c r="B1380" s="37"/>
      <c r="C1380" s="37"/>
      <c r="F1380" s="38"/>
      <c r="G1380" s="38"/>
      <c r="H1380" s="38"/>
      <c r="I1380" s="37"/>
      <c r="J1380" s="38"/>
      <c r="K1380" s="38"/>
      <c r="L1380" s="42"/>
      <c r="M1380" s="42"/>
      <c r="N1380" s="42"/>
      <c r="O1380" s="42"/>
      <c r="R1380" s="37"/>
      <c r="S1380" s="37"/>
      <c r="T1380" s="91"/>
      <c r="U1380" s="91"/>
      <c r="V1380" s="41"/>
      <c r="W1380" s="37"/>
      <c r="X1380" s="37"/>
      <c r="Y1380" s="43"/>
      <c r="Z1380" s="37"/>
      <c r="AA1380" s="37"/>
      <c r="AD1380" s="37"/>
      <c r="AE1380" s="37"/>
      <c r="AF1380" s="37"/>
    </row>
    <row r="1381" spans="1:32" x14ac:dyDescent="0.25">
      <c r="A1381" s="37"/>
      <c r="B1381" s="37"/>
      <c r="C1381" s="37"/>
      <c r="F1381" s="38"/>
      <c r="G1381" s="38"/>
      <c r="H1381" s="38"/>
      <c r="I1381" s="37"/>
      <c r="J1381" s="38"/>
      <c r="K1381" s="38"/>
      <c r="L1381" s="42"/>
      <c r="M1381" s="42"/>
      <c r="N1381" s="42"/>
      <c r="O1381" s="42"/>
      <c r="R1381" s="37"/>
      <c r="S1381" s="37"/>
      <c r="T1381" s="91"/>
      <c r="U1381" s="91"/>
      <c r="V1381" s="41"/>
      <c r="W1381" s="37"/>
      <c r="X1381" s="37"/>
      <c r="Y1381" s="43"/>
      <c r="Z1381" s="37"/>
      <c r="AA1381" s="37"/>
      <c r="AD1381" s="37"/>
      <c r="AE1381" s="37"/>
      <c r="AF1381" s="37"/>
    </row>
    <row r="1382" spans="1:32" x14ac:dyDescent="0.25">
      <c r="A1382" s="37"/>
      <c r="B1382" s="37"/>
      <c r="C1382" s="37"/>
      <c r="F1382" s="38"/>
      <c r="G1382" s="38"/>
      <c r="H1382" s="38"/>
      <c r="I1382" s="37"/>
      <c r="J1382" s="38"/>
      <c r="K1382" s="38"/>
      <c r="L1382" s="42"/>
      <c r="M1382" s="42"/>
      <c r="N1382" s="42"/>
      <c r="O1382" s="42"/>
      <c r="R1382" s="37"/>
      <c r="S1382" s="37"/>
      <c r="T1382" s="91"/>
      <c r="U1382" s="91"/>
      <c r="V1382" s="41"/>
      <c r="W1382" s="37"/>
      <c r="X1382" s="37"/>
      <c r="Y1382" s="43"/>
      <c r="Z1382" s="37"/>
      <c r="AA1382" s="37"/>
      <c r="AD1382" s="37"/>
      <c r="AE1382" s="37"/>
      <c r="AF1382" s="37"/>
    </row>
    <row r="1383" spans="1:32" x14ac:dyDescent="0.25">
      <c r="A1383" s="37"/>
      <c r="B1383" s="37"/>
      <c r="C1383" s="37"/>
      <c r="F1383" s="38"/>
      <c r="G1383" s="38"/>
      <c r="H1383" s="38"/>
      <c r="I1383" s="37"/>
      <c r="J1383" s="38"/>
      <c r="K1383" s="38"/>
      <c r="L1383" s="42"/>
      <c r="M1383" s="42"/>
      <c r="N1383" s="42"/>
      <c r="O1383" s="42"/>
      <c r="R1383" s="37"/>
      <c r="S1383" s="37"/>
      <c r="T1383" s="91"/>
      <c r="U1383" s="91"/>
      <c r="V1383" s="41"/>
      <c r="W1383" s="37"/>
      <c r="X1383" s="37"/>
      <c r="Y1383" s="43"/>
      <c r="Z1383" s="37"/>
      <c r="AA1383" s="37"/>
      <c r="AD1383" s="37"/>
      <c r="AE1383" s="37"/>
      <c r="AF1383" s="37"/>
    </row>
    <row r="1384" spans="1:32" x14ac:dyDescent="0.25">
      <c r="A1384" s="37"/>
      <c r="B1384" s="37"/>
      <c r="C1384" s="37"/>
      <c r="F1384" s="38"/>
      <c r="G1384" s="38"/>
      <c r="H1384" s="38"/>
      <c r="I1384" s="37"/>
      <c r="J1384" s="38"/>
      <c r="K1384" s="38"/>
      <c r="L1384" s="42"/>
      <c r="M1384" s="42"/>
      <c r="N1384" s="42"/>
      <c r="O1384" s="42"/>
      <c r="R1384" s="37"/>
      <c r="S1384" s="37"/>
      <c r="T1384" s="91"/>
      <c r="U1384" s="91"/>
      <c r="V1384" s="41"/>
      <c r="W1384" s="37"/>
      <c r="X1384" s="37"/>
      <c r="Y1384" s="43"/>
      <c r="Z1384" s="37"/>
      <c r="AA1384" s="37"/>
      <c r="AD1384" s="37"/>
      <c r="AE1384" s="37"/>
      <c r="AF1384" s="37"/>
    </row>
    <row r="1385" spans="1:32" x14ac:dyDescent="0.25">
      <c r="A1385" s="37"/>
      <c r="B1385" s="37"/>
      <c r="C1385" s="37"/>
      <c r="F1385" s="38"/>
      <c r="G1385" s="38"/>
      <c r="H1385" s="38"/>
      <c r="I1385" s="37"/>
      <c r="J1385" s="38"/>
      <c r="K1385" s="38"/>
      <c r="L1385" s="42"/>
      <c r="M1385" s="42"/>
      <c r="N1385" s="42"/>
      <c r="O1385" s="42"/>
      <c r="R1385" s="37"/>
      <c r="S1385" s="37"/>
      <c r="T1385" s="91"/>
      <c r="U1385" s="91"/>
      <c r="V1385" s="41"/>
      <c r="W1385" s="37"/>
      <c r="X1385" s="37"/>
      <c r="Y1385" s="43"/>
      <c r="Z1385" s="37"/>
      <c r="AA1385" s="37"/>
      <c r="AD1385" s="37"/>
      <c r="AE1385" s="37"/>
      <c r="AF1385" s="37"/>
    </row>
    <row r="1386" spans="1:32" x14ac:dyDescent="0.25">
      <c r="A1386" s="37"/>
      <c r="B1386" s="37"/>
      <c r="C1386" s="37"/>
      <c r="F1386" s="38"/>
      <c r="G1386" s="38"/>
      <c r="H1386" s="38"/>
      <c r="I1386" s="37"/>
      <c r="J1386" s="38"/>
      <c r="K1386" s="38"/>
      <c r="L1386" s="42"/>
      <c r="M1386" s="42"/>
      <c r="N1386" s="42"/>
      <c r="O1386" s="42"/>
      <c r="R1386" s="37"/>
      <c r="S1386" s="37"/>
      <c r="T1386" s="91"/>
      <c r="U1386" s="91"/>
      <c r="V1386" s="41"/>
      <c r="W1386" s="37"/>
      <c r="X1386" s="37"/>
      <c r="Y1386" s="43"/>
      <c r="Z1386" s="37"/>
      <c r="AA1386" s="37"/>
      <c r="AD1386" s="37"/>
      <c r="AE1386" s="37"/>
      <c r="AF1386" s="37"/>
    </row>
    <row r="1387" spans="1:32" x14ac:dyDescent="0.25">
      <c r="A1387" s="37"/>
      <c r="B1387" s="37"/>
      <c r="C1387" s="37"/>
      <c r="F1387" s="38"/>
      <c r="G1387" s="38"/>
      <c r="H1387" s="38"/>
      <c r="I1387" s="37"/>
      <c r="J1387" s="38"/>
      <c r="K1387" s="38"/>
      <c r="L1387" s="42"/>
      <c r="M1387" s="42"/>
      <c r="N1387" s="42"/>
      <c r="O1387" s="42"/>
      <c r="R1387" s="37"/>
      <c r="S1387" s="37"/>
      <c r="T1387" s="91"/>
      <c r="U1387" s="91"/>
      <c r="V1387" s="41"/>
      <c r="W1387" s="37"/>
      <c r="X1387" s="37"/>
      <c r="Y1387" s="43"/>
      <c r="Z1387" s="37"/>
      <c r="AA1387" s="37"/>
      <c r="AD1387" s="37"/>
      <c r="AE1387" s="37"/>
      <c r="AF1387" s="37"/>
    </row>
    <row r="1388" spans="1:32" x14ac:dyDescent="0.25">
      <c r="A1388" s="37"/>
      <c r="B1388" s="37"/>
      <c r="C1388" s="37"/>
      <c r="F1388" s="38"/>
      <c r="G1388" s="38"/>
      <c r="H1388" s="38"/>
      <c r="I1388" s="37"/>
      <c r="J1388" s="38"/>
      <c r="K1388" s="38"/>
      <c r="L1388" s="42"/>
      <c r="M1388" s="42"/>
      <c r="N1388" s="42"/>
      <c r="O1388" s="42"/>
      <c r="R1388" s="37"/>
      <c r="S1388" s="37"/>
      <c r="T1388" s="91"/>
      <c r="U1388" s="91"/>
      <c r="V1388" s="41"/>
      <c r="W1388" s="37"/>
      <c r="X1388" s="37"/>
      <c r="Y1388" s="43"/>
      <c r="Z1388" s="37"/>
      <c r="AA1388" s="37"/>
      <c r="AD1388" s="37"/>
      <c r="AE1388" s="37"/>
      <c r="AF1388" s="37"/>
    </row>
    <row r="1389" spans="1:32" x14ac:dyDescent="0.25">
      <c r="A1389" s="37"/>
      <c r="B1389" s="37"/>
      <c r="C1389" s="37"/>
      <c r="F1389" s="38"/>
      <c r="G1389" s="38"/>
      <c r="H1389" s="38"/>
      <c r="I1389" s="37"/>
      <c r="J1389" s="38"/>
      <c r="K1389" s="38"/>
      <c r="L1389" s="42"/>
      <c r="M1389" s="42"/>
      <c r="N1389" s="42"/>
      <c r="O1389" s="42"/>
      <c r="R1389" s="37"/>
      <c r="S1389" s="37"/>
      <c r="T1389" s="91"/>
      <c r="U1389" s="91"/>
      <c r="V1389" s="41"/>
      <c r="W1389" s="37"/>
      <c r="X1389" s="37"/>
      <c r="Y1389" s="43"/>
      <c r="Z1389" s="37"/>
      <c r="AA1389" s="37"/>
      <c r="AD1389" s="37"/>
      <c r="AE1389" s="37"/>
      <c r="AF1389" s="37"/>
    </row>
    <row r="1390" spans="1:32" x14ac:dyDescent="0.25">
      <c r="A1390" s="37"/>
      <c r="B1390" s="37"/>
      <c r="C1390" s="37"/>
      <c r="F1390" s="38"/>
      <c r="G1390" s="38"/>
      <c r="H1390" s="38"/>
      <c r="I1390" s="37"/>
      <c r="J1390" s="38"/>
      <c r="K1390" s="38"/>
      <c r="L1390" s="42"/>
      <c r="M1390" s="42"/>
      <c r="N1390" s="42"/>
      <c r="O1390" s="42"/>
      <c r="R1390" s="37"/>
      <c r="S1390" s="37"/>
      <c r="T1390" s="91"/>
      <c r="U1390" s="91"/>
      <c r="V1390" s="41"/>
      <c r="W1390" s="37"/>
      <c r="X1390" s="37"/>
      <c r="Y1390" s="43"/>
      <c r="Z1390" s="37"/>
      <c r="AA1390" s="37"/>
      <c r="AD1390" s="37"/>
      <c r="AE1390" s="37"/>
      <c r="AF1390" s="37"/>
    </row>
    <row r="1391" spans="1:32" x14ac:dyDescent="0.25">
      <c r="A1391" s="37"/>
      <c r="B1391" s="37"/>
      <c r="C1391" s="37"/>
      <c r="F1391" s="38"/>
      <c r="G1391" s="38"/>
      <c r="H1391" s="38"/>
      <c r="I1391" s="37"/>
      <c r="J1391" s="38"/>
      <c r="K1391" s="38"/>
      <c r="L1391" s="42"/>
      <c r="M1391" s="42"/>
      <c r="N1391" s="42"/>
      <c r="O1391" s="42"/>
      <c r="R1391" s="37"/>
      <c r="S1391" s="37"/>
      <c r="T1391" s="91"/>
      <c r="U1391" s="91"/>
      <c r="V1391" s="41"/>
      <c r="W1391" s="37"/>
      <c r="X1391" s="37"/>
      <c r="Y1391" s="43"/>
      <c r="Z1391" s="37"/>
      <c r="AA1391" s="37"/>
      <c r="AD1391" s="37"/>
      <c r="AE1391" s="37"/>
      <c r="AF1391" s="37"/>
    </row>
    <row r="1392" spans="1:32" x14ac:dyDescent="0.25">
      <c r="A1392" s="37"/>
      <c r="B1392" s="37"/>
      <c r="C1392" s="37"/>
      <c r="F1392" s="38"/>
      <c r="G1392" s="38"/>
      <c r="H1392" s="38"/>
      <c r="I1392" s="37"/>
      <c r="J1392" s="38"/>
      <c r="K1392" s="38"/>
      <c r="L1392" s="42"/>
      <c r="M1392" s="42"/>
      <c r="N1392" s="42"/>
      <c r="O1392" s="42"/>
      <c r="R1392" s="37"/>
      <c r="S1392" s="37"/>
      <c r="T1392" s="91"/>
      <c r="U1392" s="91"/>
      <c r="V1392" s="41"/>
      <c r="W1392" s="37"/>
      <c r="X1392" s="37"/>
      <c r="Y1392" s="43"/>
      <c r="Z1392" s="37"/>
      <c r="AA1392" s="37"/>
      <c r="AD1392" s="37"/>
      <c r="AE1392" s="37"/>
      <c r="AF1392" s="37"/>
    </row>
    <row r="1393" spans="1:32" x14ac:dyDescent="0.25">
      <c r="A1393" s="37"/>
      <c r="B1393" s="37"/>
      <c r="C1393" s="37"/>
      <c r="F1393" s="38"/>
      <c r="G1393" s="38"/>
      <c r="H1393" s="38"/>
      <c r="I1393" s="37"/>
      <c r="J1393" s="38"/>
      <c r="K1393" s="38"/>
      <c r="L1393" s="42"/>
      <c r="M1393" s="42"/>
      <c r="N1393" s="42"/>
      <c r="O1393" s="42"/>
      <c r="R1393" s="37"/>
      <c r="S1393" s="37"/>
      <c r="T1393" s="91"/>
      <c r="U1393" s="91"/>
      <c r="V1393" s="41"/>
      <c r="W1393" s="37"/>
      <c r="X1393" s="37"/>
      <c r="Y1393" s="43"/>
      <c r="Z1393" s="37"/>
      <c r="AA1393" s="37"/>
      <c r="AD1393" s="37"/>
      <c r="AE1393" s="37"/>
      <c r="AF1393" s="37"/>
    </row>
    <row r="1394" spans="1:32" x14ac:dyDescent="0.25">
      <c r="A1394" s="37"/>
      <c r="B1394" s="37"/>
      <c r="C1394" s="37"/>
      <c r="F1394" s="38"/>
      <c r="G1394" s="38"/>
      <c r="H1394" s="38"/>
      <c r="I1394" s="37"/>
      <c r="J1394" s="38"/>
      <c r="K1394" s="38"/>
      <c r="L1394" s="42"/>
      <c r="M1394" s="42"/>
      <c r="N1394" s="42"/>
      <c r="O1394" s="42"/>
      <c r="R1394" s="37"/>
      <c r="S1394" s="37"/>
      <c r="T1394" s="91"/>
      <c r="U1394" s="91"/>
      <c r="V1394" s="41"/>
      <c r="W1394" s="37"/>
      <c r="X1394" s="37"/>
      <c r="Y1394" s="43"/>
      <c r="Z1394" s="37"/>
      <c r="AA1394" s="37"/>
      <c r="AD1394" s="37"/>
      <c r="AE1394" s="37"/>
      <c r="AF1394" s="37"/>
    </row>
    <row r="1395" spans="1:32" x14ac:dyDescent="0.25">
      <c r="A1395" s="37"/>
      <c r="B1395" s="37"/>
      <c r="C1395" s="37"/>
      <c r="F1395" s="38"/>
      <c r="G1395" s="38"/>
      <c r="H1395" s="38"/>
      <c r="I1395" s="37"/>
      <c r="J1395" s="38"/>
      <c r="K1395" s="38"/>
      <c r="L1395" s="42"/>
      <c r="M1395" s="42"/>
      <c r="N1395" s="42"/>
      <c r="O1395" s="42"/>
      <c r="R1395" s="37"/>
      <c r="S1395" s="37"/>
      <c r="T1395" s="91"/>
      <c r="U1395" s="91"/>
      <c r="V1395" s="41"/>
      <c r="W1395" s="37"/>
      <c r="X1395" s="37"/>
      <c r="Y1395" s="43"/>
      <c r="Z1395" s="37"/>
      <c r="AA1395" s="37"/>
      <c r="AD1395" s="37"/>
      <c r="AE1395" s="37"/>
      <c r="AF1395" s="37"/>
    </row>
    <row r="1396" spans="1:32" x14ac:dyDescent="0.25">
      <c r="A1396" s="37"/>
      <c r="B1396" s="37"/>
      <c r="C1396" s="37"/>
      <c r="F1396" s="38"/>
      <c r="G1396" s="38"/>
      <c r="H1396" s="38"/>
      <c r="I1396" s="37"/>
      <c r="J1396" s="38"/>
      <c r="K1396" s="38"/>
      <c r="L1396" s="42"/>
      <c r="M1396" s="42"/>
      <c r="N1396" s="42"/>
      <c r="O1396" s="42"/>
      <c r="R1396" s="37"/>
      <c r="S1396" s="37"/>
      <c r="T1396" s="91"/>
      <c r="U1396" s="91"/>
      <c r="V1396" s="41"/>
      <c r="W1396" s="37"/>
      <c r="X1396" s="37"/>
      <c r="Y1396" s="43"/>
      <c r="Z1396" s="37"/>
      <c r="AA1396" s="37"/>
      <c r="AD1396" s="37"/>
      <c r="AE1396" s="37"/>
      <c r="AF1396" s="37"/>
    </row>
    <row r="1397" spans="1:32" x14ac:dyDescent="0.25">
      <c r="A1397" s="37"/>
      <c r="B1397" s="37"/>
      <c r="C1397" s="37"/>
      <c r="F1397" s="38"/>
      <c r="G1397" s="38"/>
      <c r="H1397" s="38"/>
      <c r="I1397" s="37"/>
      <c r="J1397" s="38"/>
      <c r="K1397" s="38"/>
      <c r="L1397" s="42"/>
      <c r="M1397" s="42"/>
      <c r="N1397" s="42"/>
      <c r="O1397" s="42"/>
      <c r="R1397" s="37"/>
      <c r="S1397" s="37"/>
      <c r="T1397" s="91"/>
      <c r="U1397" s="91"/>
      <c r="V1397" s="41"/>
      <c r="W1397" s="37"/>
      <c r="X1397" s="37"/>
      <c r="Y1397" s="43"/>
      <c r="Z1397" s="37"/>
      <c r="AA1397" s="37"/>
      <c r="AD1397" s="37"/>
      <c r="AE1397" s="37"/>
      <c r="AF1397" s="37"/>
    </row>
    <row r="1398" spans="1:32" x14ac:dyDescent="0.25">
      <c r="A1398" s="37"/>
      <c r="B1398" s="37"/>
      <c r="C1398" s="37"/>
      <c r="F1398" s="38"/>
      <c r="G1398" s="38"/>
      <c r="H1398" s="38"/>
      <c r="I1398" s="37"/>
      <c r="J1398" s="38"/>
      <c r="K1398" s="38"/>
      <c r="L1398" s="42"/>
      <c r="M1398" s="42"/>
      <c r="N1398" s="42"/>
      <c r="O1398" s="42"/>
      <c r="R1398" s="37"/>
      <c r="S1398" s="37"/>
      <c r="T1398" s="91"/>
      <c r="U1398" s="91"/>
      <c r="V1398" s="41"/>
      <c r="W1398" s="37"/>
      <c r="X1398" s="37"/>
      <c r="Y1398" s="43"/>
      <c r="Z1398" s="37"/>
      <c r="AA1398" s="37"/>
      <c r="AD1398" s="37"/>
      <c r="AE1398" s="37"/>
      <c r="AF1398" s="37"/>
    </row>
    <row r="1399" spans="1:32" x14ac:dyDescent="0.25">
      <c r="A1399" s="37"/>
      <c r="B1399" s="37"/>
      <c r="C1399" s="37"/>
      <c r="F1399" s="38"/>
      <c r="G1399" s="38"/>
      <c r="H1399" s="38"/>
      <c r="I1399" s="37"/>
      <c r="J1399" s="38"/>
      <c r="K1399" s="38"/>
      <c r="L1399" s="42"/>
      <c r="M1399" s="42"/>
      <c r="N1399" s="42"/>
      <c r="O1399" s="42"/>
      <c r="R1399" s="37"/>
      <c r="S1399" s="37"/>
      <c r="T1399" s="91"/>
      <c r="U1399" s="91"/>
      <c r="V1399" s="41"/>
      <c r="W1399" s="37"/>
      <c r="X1399" s="37"/>
      <c r="Y1399" s="43"/>
      <c r="Z1399" s="37"/>
      <c r="AA1399" s="37"/>
      <c r="AD1399" s="37"/>
      <c r="AE1399" s="37"/>
      <c r="AF1399" s="37"/>
    </row>
    <row r="1400" spans="1:32" x14ac:dyDescent="0.25">
      <c r="A1400" s="37"/>
      <c r="B1400" s="37"/>
      <c r="C1400" s="37"/>
      <c r="F1400" s="38"/>
      <c r="G1400" s="38"/>
      <c r="H1400" s="38"/>
      <c r="I1400" s="37"/>
      <c r="J1400" s="38"/>
      <c r="K1400" s="38"/>
      <c r="L1400" s="42"/>
      <c r="M1400" s="42"/>
      <c r="N1400" s="42"/>
      <c r="O1400" s="42"/>
      <c r="R1400" s="37"/>
      <c r="S1400" s="37"/>
      <c r="T1400" s="91"/>
      <c r="U1400" s="91"/>
      <c r="V1400" s="41"/>
      <c r="W1400" s="37"/>
      <c r="X1400" s="37"/>
      <c r="Y1400" s="43"/>
      <c r="Z1400" s="37"/>
      <c r="AA1400" s="37"/>
      <c r="AD1400" s="37"/>
      <c r="AE1400" s="37"/>
      <c r="AF1400" s="37"/>
    </row>
    <row r="1401" spans="1:32" x14ac:dyDescent="0.25">
      <c r="A1401" s="37"/>
      <c r="B1401" s="37"/>
      <c r="C1401" s="37"/>
      <c r="F1401" s="38"/>
      <c r="G1401" s="38"/>
      <c r="H1401" s="38"/>
      <c r="I1401" s="37"/>
      <c r="J1401" s="38"/>
      <c r="K1401" s="38"/>
      <c r="L1401" s="42"/>
      <c r="M1401" s="42"/>
      <c r="N1401" s="42"/>
      <c r="O1401" s="42"/>
      <c r="R1401" s="37"/>
      <c r="S1401" s="37"/>
      <c r="T1401" s="91"/>
      <c r="U1401" s="91"/>
      <c r="V1401" s="41"/>
      <c r="W1401" s="37"/>
      <c r="X1401" s="37"/>
      <c r="Y1401" s="43"/>
      <c r="Z1401" s="37"/>
      <c r="AA1401" s="37"/>
      <c r="AD1401" s="37"/>
      <c r="AE1401" s="37"/>
      <c r="AF1401" s="37"/>
    </row>
    <row r="1402" spans="1:32" x14ac:dyDescent="0.25">
      <c r="A1402" s="37"/>
      <c r="B1402" s="37"/>
      <c r="C1402" s="37"/>
      <c r="F1402" s="38"/>
      <c r="G1402" s="38"/>
      <c r="H1402" s="38"/>
      <c r="I1402" s="37"/>
      <c r="J1402" s="38"/>
      <c r="K1402" s="38"/>
      <c r="L1402" s="42"/>
      <c r="M1402" s="42"/>
      <c r="N1402" s="42"/>
      <c r="O1402" s="42"/>
      <c r="R1402" s="37"/>
      <c r="S1402" s="37"/>
      <c r="T1402" s="91"/>
      <c r="U1402" s="91"/>
      <c r="V1402" s="41"/>
      <c r="W1402" s="37"/>
      <c r="X1402" s="37"/>
      <c r="Y1402" s="43"/>
      <c r="Z1402" s="37"/>
      <c r="AA1402" s="37"/>
      <c r="AD1402" s="37"/>
      <c r="AE1402" s="37"/>
      <c r="AF1402" s="37"/>
    </row>
    <row r="1403" spans="1:32" x14ac:dyDescent="0.25">
      <c r="A1403" s="37"/>
      <c r="B1403" s="37"/>
      <c r="C1403" s="37"/>
      <c r="F1403" s="38"/>
      <c r="G1403" s="38"/>
      <c r="H1403" s="38"/>
      <c r="I1403" s="37"/>
      <c r="J1403" s="38"/>
      <c r="K1403" s="38"/>
      <c r="L1403" s="42"/>
      <c r="M1403" s="42"/>
      <c r="N1403" s="42"/>
      <c r="O1403" s="42"/>
      <c r="R1403" s="37"/>
      <c r="S1403" s="37"/>
      <c r="T1403" s="91"/>
      <c r="U1403" s="91"/>
      <c r="V1403" s="41"/>
      <c r="W1403" s="37"/>
      <c r="X1403" s="37"/>
      <c r="Y1403" s="43"/>
      <c r="Z1403" s="37"/>
      <c r="AA1403" s="37"/>
      <c r="AD1403" s="37"/>
      <c r="AE1403" s="37"/>
      <c r="AF1403" s="37"/>
    </row>
    <row r="1404" spans="1:32" x14ac:dyDescent="0.25">
      <c r="A1404" s="37"/>
      <c r="B1404" s="37"/>
      <c r="C1404" s="37"/>
      <c r="F1404" s="38"/>
      <c r="G1404" s="38"/>
      <c r="H1404" s="38"/>
      <c r="I1404" s="37"/>
      <c r="J1404" s="38"/>
      <c r="K1404" s="38"/>
      <c r="L1404" s="42"/>
      <c r="M1404" s="42"/>
      <c r="N1404" s="42"/>
      <c r="O1404" s="42"/>
      <c r="R1404" s="37"/>
      <c r="S1404" s="37"/>
      <c r="T1404" s="91"/>
      <c r="U1404" s="91"/>
      <c r="V1404" s="41"/>
      <c r="W1404" s="37"/>
      <c r="X1404" s="37"/>
      <c r="Y1404" s="43"/>
      <c r="Z1404" s="37"/>
      <c r="AA1404" s="37"/>
      <c r="AD1404" s="37"/>
      <c r="AE1404" s="37"/>
      <c r="AF1404" s="37"/>
    </row>
    <row r="1405" spans="1:32" x14ac:dyDescent="0.25">
      <c r="A1405" s="37"/>
      <c r="B1405" s="37"/>
      <c r="C1405" s="37"/>
      <c r="F1405" s="38"/>
      <c r="G1405" s="38"/>
      <c r="H1405" s="38"/>
      <c r="I1405" s="37"/>
      <c r="J1405" s="38"/>
      <c r="K1405" s="38"/>
      <c r="L1405" s="42"/>
      <c r="M1405" s="42"/>
      <c r="N1405" s="42"/>
      <c r="O1405" s="42"/>
      <c r="R1405" s="37"/>
      <c r="S1405" s="37"/>
      <c r="T1405" s="91"/>
      <c r="U1405" s="91"/>
      <c r="V1405" s="41"/>
      <c r="W1405" s="37"/>
      <c r="X1405" s="37"/>
      <c r="Y1405" s="43"/>
      <c r="Z1405" s="37"/>
      <c r="AA1405" s="37"/>
      <c r="AD1405" s="37"/>
      <c r="AE1405" s="37"/>
      <c r="AF1405" s="37"/>
    </row>
    <row r="1406" spans="1:32" x14ac:dyDescent="0.25">
      <c r="A1406" s="37"/>
      <c r="B1406" s="37"/>
      <c r="C1406" s="37"/>
      <c r="F1406" s="38"/>
      <c r="G1406" s="38"/>
      <c r="H1406" s="38"/>
      <c r="I1406" s="37"/>
      <c r="J1406" s="38"/>
      <c r="K1406" s="38"/>
      <c r="L1406" s="42"/>
      <c r="M1406" s="42"/>
      <c r="N1406" s="42"/>
      <c r="O1406" s="42"/>
      <c r="R1406" s="37"/>
      <c r="S1406" s="37"/>
      <c r="T1406" s="91"/>
      <c r="U1406" s="91"/>
      <c r="V1406" s="41"/>
      <c r="W1406" s="37"/>
      <c r="X1406" s="37"/>
      <c r="Y1406" s="43"/>
      <c r="Z1406" s="37"/>
      <c r="AA1406" s="37"/>
      <c r="AD1406" s="37"/>
      <c r="AE1406" s="37"/>
      <c r="AF1406" s="37"/>
    </row>
    <row r="1407" spans="1:32" x14ac:dyDescent="0.25">
      <c r="A1407" s="37"/>
      <c r="B1407" s="37"/>
      <c r="C1407" s="37"/>
      <c r="F1407" s="38"/>
      <c r="G1407" s="38"/>
      <c r="H1407" s="38"/>
      <c r="I1407" s="37"/>
      <c r="J1407" s="38"/>
      <c r="K1407" s="38"/>
      <c r="L1407" s="42"/>
      <c r="M1407" s="42"/>
      <c r="N1407" s="42"/>
      <c r="O1407" s="42"/>
      <c r="R1407" s="37"/>
      <c r="S1407" s="37"/>
      <c r="T1407" s="91"/>
      <c r="U1407" s="91"/>
      <c r="V1407" s="41"/>
      <c r="W1407" s="37"/>
      <c r="X1407" s="37"/>
      <c r="Y1407" s="43"/>
      <c r="Z1407" s="37"/>
      <c r="AA1407" s="37"/>
      <c r="AD1407" s="37"/>
      <c r="AE1407" s="37"/>
      <c r="AF1407" s="37"/>
    </row>
    <row r="1408" spans="1:32" x14ac:dyDescent="0.25">
      <c r="A1408" s="37"/>
      <c r="B1408" s="37"/>
      <c r="C1408" s="37"/>
      <c r="F1408" s="38"/>
      <c r="G1408" s="38"/>
      <c r="H1408" s="38"/>
      <c r="I1408" s="37"/>
      <c r="J1408" s="38"/>
      <c r="K1408" s="38"/>
      <c r="L1408" s="42"/>
      <c r="M1408" s="42"/>
      <c r="N1408" s="42"/>
      <c r="O1408" s="42"/>
      <c r="R1408" s="37"/>
      <c r="S1408" s="37"/>
      <c r="T1408" s="91"/>
      <c r="U1408" s="91"/>
      <c r="V1408" s="41"/>
      <c r="W1408" s="37"/>
      <c r="X1408" s="37"/>
      <c r="Y1408" s="43"/>
      <c r="Z1408" s="37"/>
      <c r="AA1408" s="37"/>
      <c r="AD1408" s="37"/>
      <c r="AE1408" s="37"/>
      <c r="AF1408" s="37"/>
    </row>
    <row r="1409" spans="1:32" x14ac:dyDescent="0.25">
      <c r="A1409" s="37"/>
      <c r="B1409" s="37"/>
      <c r="C1409" s="37"/>
      <c r="F1409" s="38"/>
      <c r="G1409" s="38"/>
      <c r="H1409" s="38"/>
      <c r="I1409" s="37"/>
      <c r="J1409" s="38"/>
      <c r="K1409" s="38"/>
      <c r="L1409" s="42"/>
      <c r="M1409" s="42"/>
      <c r="N1409" s="42"/>
      <c r="O1409" s="42"/>
      <c r="R1409" s="37"/>
      <c r="S1409" s="37"/>
      <c r="T1409" s="91"/>
      <c r="U1409" s="91"/>
      <c r="V1409" s="41"/>
      <c r="W1409" s="37"/>
      <c r="X1409" s="37"/>
      <c r="Y1409" s="43"/>
      <c r="Z1409" s="37"/>
      <c r="AA1409" s="37"/>
      <c r="AD1409" s="37"/>
      <c r="AE1409" s="37"/>
      <c r="AF1409" s="37"/>
    </row>
    <row r="1410" spans="1:32" x14ac:dyDescent="0.25">
      <c r="A1410" s="37"/>
      <c r="B1410" s="37"/>
      <c r="C1410" s="37"/>
      <c r="F1410" s="38"/>
      <c r="G1410" s="38"/>
      <c r="H1410" s="38"/>
      <c r="I1410" s="37"/>
      <c r="J1410" s="38"/>
      <c r="K1410" s="38"/>
      <c r="L1410" s="42"/>
      <c r="M1410" s="42"/>
      <c r="N1410" s="42"/>
      <c r="O1410" s="42"/>
      <c r="R1410" s="37"/>
      <c r="S1410" s="37"/>
      <c r="T1410" s="91"/>
      <c r="U1410" s="91"/>
      <c r="V1410" s="41"/>
      <c r="W1410" s="37"/>
      <c r="X1410" s="37"/>
      <c r="Y1410" s="43"/>
      <c r="Z1410" s="37"/>
      <c r="AA1410" s="37"/>
      <c r="AD1410" s="37"/>
      <c r="AE1410" s="37"/>
      <c r="AF1410" s="37"/>
    </row>
    <row r="1411" spans="1:32" x14ac:dyDescent="0.25">
      <c r="A1411" s="37"/>
      <c r="B1411" s="37"/>
      <c r="C1411" s="37"/>
      <c r="F1411" s="38"/>
      <c r="G1411" s="38"/>
      <c r="H1411" s="38"/>
      <c r="I1411" s="37"/>
      <c r="J1411" s="38"/>
      <c r="K1411" s="38"/>
      <c r="L1411" s="42"/>
      <c r="M1411" s="42"/>
      <c r="N1411" s="42"/>
      <c r="O1411" s="42"/>
      <c r="R1411" s="37"/>
      <c r="S1411" s="37"/>
      <c r="T1411" s="91"/>
      <c r="U1411" s="91"/>
      <c r="V1411" s="41"/>
      <c r="W1411" s="37"/>
      <c r="X1411" s="37"/>
      <c r="Y1411" s="43"/>
      <c r="Z1411" s="37"/>
      <c r="AA1411" s="37"/>
      <c r="AD1411" s="37"/>
      <c r="AE1411" s="37"/>
      <c r="AF1411" s="37"/>
    </row>
    <row r="1412" spans="1:32" x14ac:dyDescent="0.25">
      <c r="A1412" s="37"/>
      <c r="B1412" s="37"/>
      <c r="C1412" s="37"/>
      <c r="F1412" s="38"/>
      <c r="G1412" s="38"/>
      <c r="H1412" s="38"/>
      <c r="I1412" s="37"/>
      <c r="J1412" s="38"/>
      <c r="K1412" s="38"/>
      <c r="L1412" s="42"/>
      <c r="M1412" s="42"/>
      <c r="N1412" s="42"/>
      <c r="O1412" s="42"/>
      <c r="R1412" s="37"/>
      <c r="S1412" s="37"/>
      <c r="T1412" s="91"/>
      <c r="U1412" s="91"/>
      <c r="V1412" s="41"/>
      <c r="W1412" s="37"/>
      <c r="X1412" s="37"/>
      <c r="Y1412" s="43"/>
      <c r="Z1412" s="37"/>
      <c r="AA1412" s="37"/>
      <c r="AD1412" s="37"/>
      <c r="AE1412" s="37"/>
      <c r="AF1412" s="37"/>
    </row>
    <row r="1413" spans="1:32" x14ac:dyDescent="0.25">
      <c r="A1413" s="37"/>
      <c r="B1413" s="37"/>
      <c r="C1413" s="37"/>
      <c r="F1413" s="38"/>
      <c r="G1413" s="38"/>
      <c r="H1413" s="38"/>
      <c r="I1413" s="37"/>
      <c r="J1413" s="38"/>
      <c r="K1413" s="38"/>
      <c r="L1413" s="42"/>
      <c r="M1413" s="42"/>
      <c r="N1413" s="42"/>
      <c r="O1413" s="42"/>
      <c r="R1413" s="37"/>
      <c r="S1413" s="37"/>
      <c r="T1413" s="91"/>
      <c r="U1413" s="91"/>
      <c r="V1413" s="41"/>
      <c r="W1413" s="37"/>
      <c r="X1413" s="37"/>
      <c r="Y1413" s="43"/>
      <c r="Z1413" s="37"/>
      <c r="AA1413" s="37"/>
      <c r="AD1413" s="37"/>
      <c r="AE1413" s="37"/>
      <c r="AF1413" s="37"/>
    </row>
    <row r="1414" spans="1:32" x14ac:dyDescent="0.25">
      <c r="A1414" s="37"/>
      <c r="B1414" s="37"/>
      <c r="C1414" s="37"/>
      <c r="F1414" s="38"/>
      <c r="G1414" s="38"/>
      <c r="H1414" s="38"/>
      <c r="I1414" s="37"/>
      <c r="J1414" s="38"/>
      <c r="K1414" s="38"/>
      <c r="L1414" s="42"/>
      <c r="M1414" s="42"/>
      <c r="N1414" s="42"/>
      <c r="O1414" s="42"/>
      <c r="R1414" s="37"/>
      <c r="S1414" s="37"/>
      <c r="T1414" s="91"/>
      <c r="U1414" s="91"/>
      <c r="V1414" s="41"/>
      <c r="W1414" s="37"/>
      <c r="X1414" s="37"/>
      <c r="Y1414" s="43"/>
      <c r="Z1414" s="37"/>
      <c r="AA1414" s="37"/>
      <c r="AD1414" s="37"/>
      <c r="AE1414" s="37"/>
      <c r="AF1414" s="37"/>
    </row>
    <row r="1415" spans="1:32" x14ac:dyDescent="0.25">
      <c r="A1415" s="37"/>
      <c r="B1415" s="37"/>
      <c r="C1415" s="37"/>
      <c r="F1415" s="38"/>
      <c r="G1415" s="38"/>
      <c r="H1415" s="38"/>
      <c r="I1415" s="37"/>
      <c r="J1415" s="38"/>
      <c r="K1415" s="38"/>
      <c r="L1415" s="42"/>
      <c r="M1415" s="42"/>
      <c r="N1415" s="42"/>
      <c r="O1415" s="42"/>
      <c r="R1415" s="37"/>
      <c r="S1415" s="37"/>
      <c r="T1415" s="91"/>
      <c r="U1415" s="91"/>
      <c r="V1415" s="41"/>
      <c r="W1415" s="37"/>
      <c r="X1415" s="37"/>
      <c r="Y1415" s="43"/>
      <c r="Z1415" s="37"/>
      <c r="AA1415" s="37"/>
      <c r="AD1415" s="37"/>
      <c r="AE1415" s="37"/>
      <c r="AF1415" s="37"/>
    </row>
    <row r="1416" spans="1:32" x14ac:dyDescent="0.25">
      <c r="A1416" s="37"/>
      <c r="B1416" s="37"/>
      <c r="C1416" s="37"/>
      <c r="F1416" s="38"/>
      <c r="G1416" s="38"/>
      <c r="H1416" s="38"/>
      <c r="I1416" s="37"/>
      <c r="J1416" s="38"/>
      <c r="K1416" s="38"/>
      <c r="L1416" s="42"/>
      <c r="M1416" s="42"/>
      <c r="N1416" s="42"/>
      <c r="O1416" s="42"/>
      <c r="R1416" s="37"/>
      <c r="S1416" s="37"/>
      <c r="T1416" s="91"/>
      <c r="U1416" s="91"/>
      <c r="V1416" s="41"/>
      <c r="W1416" s="37"/>
      <c r="X1416" s="37"/>
      <c r="Y1416" s="43"/>
      <c r="Z1416" s="37"/>
      <c r="AA1416" s="37"/>
      <c r="AD1416" s="37"/>
      <c r="AE1416" s="37"/>
      <c r="AF1416" s="37"/>
    </row>
    <row r="1417" spans="1:32" x14ac:dyDescent="0.25">
      <c r="A1417" s="37"/>
      <c r="B1417" s="37"/>
      <c r="C1417" s="37"/>
      <c r="F1417" s="38"/>
      <c r="G1417" s="38"/>
      <c r="H1417" s="38"/>
      <c r="I1417" s="37"/>
      <c r="J1417" s="38"/>
      <c r="K1417" s="38"/>
      <c r="L1417" s="42"/>
      <c r="M1417" s="42"/>
      <c r="N1417" s="42"/>
      <c r="O1417" s="42"/>
      <c r="R1417" s="37"/>
      <c r="S1417" s="37"/>
      <c r="T1417" s="91"/>
      <c r="U1417" s="91"/>
      <c r="V1417" s="41"/>
      <c r="W1417" s="37"/>
      <c r="X1417" s="37"/>
      <c r="Y1417" s="43"/>
      <c r="Z1417" s="37"/>
      <c r="AA1417" s="37"/>
      <c r="AD1417" s="37"/>
      <c r="AE1417" s="37"/>
      <c r="AF1417" s="37"/>
    </row>
    <row r="1418" spans="1:32" x14ac:dyDescent="0.25">
      <c r="A1418" s="37"/>
      <c r="B1418" s="37"/>
      <c r="C1418" s="37"/>
      <c r="F1418" s="38"/>
      <c r="G1418" s="38"/>
      <c r="H1418" s="38"/>
      <c r="I1418" s="37"/>
      <c r="J1418" s="38"/>
      <c r="K1418" s="38"/>
      <c r="L1418" s="42"/>
      <c r="M1418" s="42"/>
      <c r="N1418" s="42"/>
      <c r="O1418" s="42"/>
      <c r="R1418" s="37"/>
      <c r="S1418" s="37"/>
      <c r="T1418" s="91"/>
      <c r="U1418" s="91"/>
      <c r="V1418" s="41"/>
      <c r="W1418" s="37"/>
      <c r="X1418" s="37"/>
      <c r="Y1418" s="43"/>
      <c r="Z1418" s="37"/>
      <c r="AA1418" s="37"/>
      <c r="AD1418" s="37"/>
      <c r="AE1418" s="37"/>
      <c r="AF1418" s="37"/>
    </row>
    <row r="1419" spans="1:32" x14ac:dyDescent="0.25">
      <c r="A1419" s="37"/>
      <c r="B1419" s="37"/>
      <c r="C1419" s="37"/>
      <c r="F1419" s="38"/>
      <c r="G1419" s="38"/>
      <c r="H1419" s="38"/>
      <c r="I1419" s="37"/>
      <c r="J1419" s="38"/>
      <c r="K1419" s="38"/>
      <c r="L1419" s="42"/>
      <c r="M1419" s="42"/>
      <c r="N1419" s="42"/>
      <c r="O1419" s="42"/>
      <c r="R1419" s="37"/>
      <c r="S1419" s="37"/>
      <c r="T1419" s="91"/>
      <c r="U1419" s="91"/>
      <c r="V1419" s="41"/>
      <c r="W1419" s="37"/>
      <c r="X1419" s="37"/>
      <c r="Y1419" s="43"/>
      <c r="Z1419" s="37"/>
      <c r="AA1419" s="37"/>
      <c r="AD1419" s="37"/>
      <c r="AE1419" s="37"/>
      <c r="AF1419" s="37"/>
    </row>
    <row r="1420" spans="1:32" x14ac:dyDescent="0.25">
      <c r="A1420" s="37"/>
      <c r="B1420" s="37"/>
      <c r="C1420" s="37"/>
      <c r="F1420" s="38"/>
      <c r="G1420" s="38"/>
      <c r="H1420" s="38"/>
      <c r="I1420" s="37"/>
      <c r="J1420" s="38"/>
      <c r="K1420" s="38"/>
      <c r="L1420" s="42"/>
      <c r="M1420" s="42"/>
      <c r="N1420" s="42"/>
      <c r="O1420" s="42"/>
      <c r="R1420" s="37"/>
      <c r="S1420" s="37"/>
      <c r="T1420" s="91"/>
      <c r="U1420" s="91"/>
      <c r="V1420" s="41"/>
      <c r="W1420" s="37"/>
      <c r="X1420" s="37"/>
      <c r="Y1420" s="43"/>
      <c r="Z1420" s="37"/>
      <c r="AA1420" s="37"/>
      <c r="AD1420" s="37"/>
      <c r="AE1420" s="37"/>
      <c r="AF1420" s="37"/>
    </row>
    <row r="1421" spans="1:32" x14ac:dyDescent="0.25">
      <c r="A1421" s="37"/>
      <c r="B1421" s="37"/>
      <c r="C1421" s="37"/>
      <c r="F1421" s="38"/>
      <c r="G1421" s="38"/>
      <c r="H1421" s="38"/>
      <c r="I1421" s="37"/>
      <c r="J1421" s="38"/>
      <c r="K1421" s="38"/>
      <c r="L1421" s="42"/>
      <c r="M1421" s="42"/>
      <c r="N1421" s="42"/>
      <c r="O1421" s="42"/>
      <c r="R1421" s="37"/>
      <c r="S1421" s="37"/>
      <c r="T1421" s="91"/>
      <c r="U1421" s="91"/>
      <c r="V1421" s="41"/>
      <c r="W1421" s="37"/>
      <c r="X1421" s="37"/>
      <c r="Y1421" s="43"/>
      <c r="Z1421" s="37"/>
      <c r="AA1421" s="37"/>
      <c r="AD1421" s="37"/>
      <c r="AE1421" s="37"/>
      <c r="AF1421" s="37"/>
    </row>
    <row r="1422" spans="1:32" x14ac:dyDescent="0.25">
      <c r="A1422" s="37"/>
      <c r="B1422" s="37"/>
      <c r="C1422" s="37"/>
      <c r="F1422" s="38"/>
      <c r="G1422" s="38"/>
      <c r="H1422" s="38"/>
      <c r="I1422" s="37"/>
      <c r="J1422" s="38"/>
      <c r="K1422" s="38"/>
      <c r="L1422" s="42"/>
      <c r="M1422" s="42"/>
      <c r="N1422" s="42"/>
      <c r="O1422" s="42"/>
      <c r="R1422" s="37"/>
      <c r="S1422" s="37"/>
      <c r="T1422" s="91"/>
      <c r="U1422" s="91"/>
      <c r="V1422" s="41"/>
      <c r="W1422" s="37"/>
      <c r="X1422" s="37"/>
      <c r="Y1422" s="43"/>
      <c r="Z1422" s="37"/>
      <c r="AA1422" s="37"/>
      <c r="AD1422" s="37"/>
      <c r="AE1422" s="37"/>
      <c r="AF1422" s="37"/>
    </row>
    <row r="1423" spans="1:32" x14ac:dyDescent="0.25">
      <c r="A1423" s="37"/>
      <c r="B1423" s="37"/>
      <c r="C1423" s="37"/>
      <c r="F1423" s="38"/>
      <c r="G1423" s="38"/>
      <c r="H1423" s="38"/>
      <c r="I1423" s="37"/>
      <c r="J1423" s="38"/>
      <c r="K1423" s="38"/>
      <c r="L1423" s="42"/>
      <c r="M1423" s="42"/>
      <c r="N1423" s="42"/>
      <c r="O1423" s="42"/>
      <c r="R1423" s="37"/>
      <c r="S1423" s="37"/>
      <c r="T1423" s="91"/>
      <c r="U1423" s="91"/>
      <c r="V1423" s="41"/>
      <c r="W1423" s="37"/>
      <c r="X1423" s="37"/>
      <c r="Y1423" s="43"/>
      <c r="Z1423" s="37"/>
      <c r="AA1423" s="37"/>
      <c r="AD1423" s="37"/>
      <c r="AE1423" s="37"/>
      <c r="AF1423" s="37"/>
    </row>
    <row r="1424" spans="1:32" x14ac:dyDescent="0.25">
      <c r="A1424" s="37"/>
      <c r="B1424" s="37"/>
      <c r="C1424" s="37"/>
      <c r="F1424" s="38"/>
      <c r="G1424" s="38"/>
      <c r="H1424" s="38"/>
      <c r="I1424" s="37"/>
      <c r="J1424" s="38"/>
      <c r="K1424" s="38"/>
      <c r="L1424" s="42"/>
      <c r="M1424" s="42"/>
      <c r="N1424" s="42"/>
      <c r="O1424" s="42"/>
      <c r="R1424" s="37"/>
      <c r="S1424" s="37"/>
      <c r="T1424" s="91"/>
      <c r="U1424" s="91"/>
      <c r="V1424" s="41"/>
      <c r="W1424" s="37"/>
      <c r="X1424" s="37"/>
      <c r="Y1424" s="43"/>
      <c r="Z1424" s="37"/>
      <c r="AA1424" s="37"/>
      <c r="AD1424" s="37"/>
      <c r="AE1424" s="37"/>
      <c r="AF1424" s="37"/>
    </row>
    <row r="1425" spans="1:32" x14ac:dyDescent="0.25">
      <c r="A1425" s="37"/>
      <c r="B1425" s="37"/>
      <c r="C1425" s="37"/>
      <c r="F1425" s="38"/>
      <c r="G1425" s="38"/>
      <c r="H1425" s="38"/>
      <c r="I1425" s="37"/>
      <c r="J1425" s="38"/>
      <c r="K1425" s="38"/>
      <c r="L1425" s="42"/>
      <c r="M1425" s="42"/>
      <c r="N1425" s="42"/>
      <c r="O1425" s="42"/>
      <c r="R1425" s="37"/>
      <c r="S1425" s="37"/>
      <c r="T1425" s="91"/>
      <c r="U1425" s="91"/>
      <c r="V1425" s="41"/>
      <c r="W1425" s="37"/>
      <c r="X1425" s="37"/>
      <c r="Y1425" s="43"/>
      <c r="Z1425" s="37"/>
      <c r="AA1425" s="37"/>
      <c r="AD1425" s="37"/>
      <c r="AE1425" s="37"/>
      <c r="AF1425" s="37"/>
    </row>
    <row r="1426" spans="1:32" x14ac:dyDescent="0.25">
      <c r="A1426" s="37"/>
      <c r="B1426" s="37"/>
      <c r="C1426" s="37"/>
      <c r="F1426" s="38"/>
      <c r="G1426" s="38"/>
      <c r="H1426" s="38"/>
      <c r="I1426" s="37"/>
      <c r="J1426" s="38"/>
      <c r="K1426" s="38"/>
      <c r="L1426" s="42"/>
      <c r="M1426" s="42"/>
      <c r="N1426" s="42"/>
      <c r="O1426" s="42"/>
      <c r="R1426" s="37"/>
      <c r="S1426" s="37"/>
      <c r="T1426" s="91"/>
      <c r="U1426" s="91"/>
      <c r="V1426" s="41"/>
      <c r="W1426" s="37"/>
      <c r="X1426" s="37"/>
      <c r="Y1426" s="43"/>
      <c r="Z1426" s="37"/>
      <c r="AA1426" s="37"/>
      <c r="AD1426" s="37"/>
      <c r="AE1426" s="37"/>
      <c r="AF1426" s="37"/>
    </row>
    <row r="1427" spans="1:32" x14ac:dyDescent="0.25">
      <c r="A1427" s="37"/>
      <c r="B1427" s="37"/>
      <c r="C1427" s="37"/>
      <c r="F1427" s="38"/>
      <c r="G1427" s="38"/>
      <c r="H1427" s="38"/>
      <c r="I1427" s="37"/>
      <c r="J1427" s="38"/>
      <c r="K1427" s="38"/>
      <c r="L1427" s="42"/>
      <c r="M1427" s="42"/>
      <c r="N1427" s="42"/>
      <c r="O1427" s="42"/>
      <c r="R1427" s="37"/>
      <c r="S1427" s="37"/>
      <c r="T1427" s="91"/>
      <c r="U1427" s="91"/>
      <c r="V1427" s="41"/>
      <c r="W1427" s="37"/>
      <c r="X1427" s="37"/>
      <c r="Y1427" s="43"/>
      <c r="Z1427" s="37"/>
      <c r="AA1427" s="37"/>
      <c r="AD1427" s="37"/>
      <c r="AE1427" s="37"/>
      <c r="AF1427" s="37"/>
    </row>
    <row r="1428" spans="1:32" x14ac:dyDescent="0.25">
      <c r="A1428" s="37"/>
      <c r="B1428" s="37"/>
      <c r="C1428" s="37"/>
      <c r="F1428" s="38"/>
      <c r="G1428" s="38"/>
      <c r="H1428" s="38"/>
      <c r="I1428" s="37"/>
      <c r="J1428" s="38"/>
      <c r="K1428" s="38"/>
      <c r="L1428" s="42"/>
      <c r="M1428" s="42"/>
      <c r="N1428" s="42"/>
      <c r="O1428" s="42"/>
      <c r="R1428" s="37"/>
      <c r="S1428" s="37"/>
      <c r="T1428" s="91"/>
      <c r="U1428" s="91"/>
      <c r="V1428" s="41"/>
      <c r="W1428" s="37"/>
      <c r="X1428" s="37"/>
      <c r="Y1428" s="43"/>
      <c r="Z1428" s="37"/>
      <c r="AA1428" s="37"/>
      <c r="AD1428" s="37"/>
      <c r="AE1428" s="37"/>
      <c r="AF1428" s="37"/>
    </row>
    <row r="1429" spans="1:32" x14ac:dyDescent="0.25">
      <c r="A1429" s="37"/>
      <c r="B1429" s="37"/>
      <c r="C1429" s="37"/>
      <c r="F1429" s="38"/>
      <c r="G1429" s="38"/>
      <c r="H1429" s="38"/>
      <c r="I1429" s="37"/>
      <c r="J1429" s="38"/>
      <c r="K1429" s="38"/>
      <c r="L1429" s="42"/>
      <c r="M1429" s="42"/>
      <c r="N1429" s="42"/>
      <c r="O1429" s="42"/>
      <c r="R1429" s="37"/>
      <c r="S1429" s="37"/>
      <c r="T1429" s="91"/>
      <c r="U1429" s="91"/>
      <c r="V1429" s="41"/>
      <c r="W1429" s="37"/>
      <c r="X1429" s="37"/>
      <c r="Y1429" s="43"/>
      <c r="Z1429" s="37"/>
      <c r="AA1429" s="37"/>
      <c r="AD1429" s="37"/>
      <c r="AE1429" s="37"/>
      <c r="AF1429" s="37"/>
    </row>
    <row r="1430" spans="1:32" x14ac:dyDescent="0.25">
      <c r="A1430" s="37"/>
      <c r="B1430" s="37"/>
      <c r="C1430" s="37"/>
      <c r="F1430" s="38"/>
      <c r="G1430" s="38"/>
      <c r="H1430" s="38"/>
      <c r="I1430" s="37"/>
      <c r="J1430" s="38"/>
      <c r="K1430" s="38"/>
      <c r="L1430" s="42"/>
      <c r="M1430" s="42"/>
      <c r="N1430" s="42"/>
      <c r="O1430" s="42"/>
      <c r="R1430" s="37"/>
      <c r="S1430" s="37"/>
      <c r="T1430" s="91"/>
      <c r="U1430" s="91"/>
      <c r="V1430" s="41"/>
      <c r="W1430" s="37"/>
      <c r="X1430" s="37"/>
      <c r="Y1430" s="43"/>
      <c r="Z1430" s="37"/>
      <c r="AA1430" s="37"/>
      <c r="AD1430" s="37"/>
      <c r="AE1430" s="37"/>
      <c r="AF1430" s="37"/>
    </row>
    <row r="1431" spans="1:32" x14ac:dyDescent="0.25">
      <c r="A1431" s="37"/>
      <c r="B1431" s="37"/>
      <c r="C1431" s="37"/>
      <c r="F1431" s="38"/>
      <c r="G1431" s="38"/>
      <c r="H1431" s="38"/>
      <c r="I1431" s="37"/>
      <c r="J1431" s="38"/>
      <c r="K1431" s="38"/>
      <c r="L1431" s="42"/>
      <c r="M1431" s="42"/>
      <c r="N1431" s="42"/>
      <c r="O1431" s="42"/>
      <c r="R1431" s="37"/>
      <c r="S1431" s="37"/>
      <c r="T1431" s="91"/>
      <c r="U1431" s="91"/>
      <c r="V1431" s="41"/>
      <c r="W1431" s="37"/>
      <c r="X1431" s="37"/>
      <c r="Y1431" s="43"/>
      <c r="Z1431" s="37"/>
      <c r="AA1431" s="37"/>
      <c r="AD1431" s="37"/>
      <c r="AE1431" s="37"/>
      <c r="AF1431" s="37"/>
    </row>
    <row r="1432" spans="1:32" x14ac:dyDescent="0.25">
      <c r="A1432" s="37"/>
      <c r="B1432" s="37"/>
      <c r="C1432" s="37"/>
      <c r="F1432" s="38"/>
      <c r="G1432" s="38"/>
      <c r="H1432" s="38"/>
      <c r="I1432" s="37"/>
      <c r="J1432" s="38"/>
      <c r="K1432" s="38"/>
      <c r="L1432" s="42"/>
      <c r="M1432" s="42"/>
      <c r="N1432" s="42"/>
      <c r="O1432" s="42"/>
      <c r="R1432" s="37"/>
      <c r="S1432" s="37"/>
      <c r="T1432" s="91"/>
      <c r="U1432" s="91"/>
      <c r="V1432" s="41"/>
      <c r="W1432" s="37"/>
      <c r="X1432" s="37"/>
      <c r="Y1432" s="43"/>
      <c r="Z1432" s="37"/>
      <c r="AA1432" s="37"/>
      <c r="AD1432" s="37"/>
      <c r="AE1432" s="37"/>
      <c r="AF1432" s="37"/>
    </row>
    <row r="1433" spans="1:32" x14ac:dyDescent="0.25">
      <c r="A1433" s="37"/>
      <c r="B1433" s="37"/>
      <c r="C1433" s="37"/>
      <c r="F1433" s="38"/>
      <c r="G1433" s="38"/>
      <c r="H1433" s="38"/>
      <c r="I1433" s="37"/>
      <c r="J1433" s="38"/>
      <c r="K1433" s="38"/>
      <c r="L1433" s="42"/>
      <c r="M1433" s="42"/>
      <c r="N1433" s="42"/>
      <c r="O1433" s="42"/>
      <c r="R1433" s="37"/>
      <c r="S1433" s="37"/>
      <c r="T1433" s="91"/>
      <c r="U1433" s="91"/>
      <c r="V1433" s="41"/>
      <c r="W1433" s="37"/>
      <c r="X1433" s="37"/>
      <c r="Y1433" s="43"/>
      <c r="Z1433" s="37"/>
      <c r="AA1433" s="37"/>
      <c r="AD1433" s="37"/>
      <c r="AE1433" s="37"/>
      <c r="AF1433" s="37"/>
    </row>
    <row r="1434" spans="1:32" x14ac:dyDescent="0.25">
      <c r="A1434" s="37"/>
      <c r="B1434" s="37"/>
      <c r="C1434" s="37"/>
      <c r="F1434" s="38"/>
      <c r="G1434" s="38"/>
      <c r="H1434" s="38"/>
      <c r="I1434" s="37"/>
      <c r="J1434" s="38"/>
      <c r="K1434" s="38"/>
      <c r="L1434" s="42"/>
      <c r="M1434" s="42"/>
      <c r="N1434" s="42"/>
      <c r="O1434" s="42"/>
      <c r="R1434" s="37"/>
      <c r="S1434" s="37"/>
      <c r="T1434" s="91"/>
      <c r="U1434" s="91"/>
      <c r="V1434" s="41"/>
      <c r="W1434" s="37"/>
      <c r="X1434" s="37"/>
      <c r="Y1434" s="43"/>
      <c r="Z1434" s="37"/>
      <c r="AA1434" s="37"/>
      <c r="AD1434" s="37"/>
      <c r="AE1434" s="37"/>
      <c r="AF1434" s="37"/>
    </row>
    <row r="1435" spans="1:32" x14ac:dyDescent="0.25">
      <c r="A1435" s="37"/>
      <c r="B1435" s="37"/>
      <c r="C1435" s="37"/>
      <c r="F1435" s="38"/>
      <c r="G1435" s="38"/>
      <c r="H1435" s="38"/>
      <c r="I1435" s="37"/>
      <c r="J1435" s="38"/>
      <c r="K1435" s="38"/>
      <c r="L1435" s="42"/>
      <c r="M1435" s="42"/>
      <c r="N1435" s="42"/>
      <c r="O1435" s="42"/>
      <c r="R1435" s="37"/>
      <c r="S1435" s="37"/>
      <c r="T1435" s="91"/>
      <c r="U1435" s="91"/>
      <c r="V1435" s="41"/>
      <c r="W1435" s="37"/>
      <c r="X1435" s="37"/>
      <c r="Y1435" s="43"/>
      <c r="Z1435" s="37"/>
      <c r="AA1435" s="37"/>
      <c r="AD1435" s="37"/>
      <c r="AE1435" s="37"/>
      <c r="AF1435" s="37"/>
    </row>
    <row r="1436" spans="1:32" x14ac:dyDescent="0.25">
      <c r="A1436" s="37"/>
      <c r="B1436" s="37"/>
      <c r="C1436" s="37"/>
      <c r="F1436" s="38"/>
      <c r="G1436" s="38"/>
      <c r="H1436" s="38"/>
      <c r="I1436" s="37"/>
      <c r="J1436" s="38"/>
      <c r="K1436" s="38"/>
      <c r="L1436" s="42"/>
      <c r="M1436" s="42"/>
      <c r="N1436" s="42"/>
      <c r="O1436" s="42"/>
      <c r="R1436" s="37"/>
      <c r="S1436" s="37"/>
      <c r="T1436" s="91"/>
      <c r="U1436" s="91"/>
      <c r="V1436" s="41"/>
      <c r="W1436" s="37"/>
      <c r="X1436" s="37"/>
      <c r="Y1436" s="43"/>
      <c r="Z1436" s="37"/>
      <c r="AA1436" s="37"/>
      <c r="AD1436" s="37"/>
      <c r="AE1436" s="37"/>
      <c r="AF1436" s="37"/>
    </row>
    <row r="1437" spans="1:32" x14ac:dyDescent="0.25">
      <c r="A1437" s="37"/>
      <c r="B1437" s="37"/>
      <c r="C1437" s="37"/>
      <c r="F1437" s="38"/>
      <c r="G1437" s="38"/>
      <c r="H1437" s="38"/>
      <c r="I1437" s="37"/>
      <c r="J1437" s="38"/>
      <c r="K1437" s="38"/>
      <c r="L1437" s="42"/>
      <c r="M1437" s="42"/>
      <c r="N1437" s="42"/>
      <c r="O1437" s="42"/>
      <c r="R1437" s="37"/>
      <c r="S1437" s="37"/>
      <c r="T1437" s="91"/>
      <c r="U1437" s="91"/>
      <c r="V1437" s="41"/>
      <c r="W1437" s="37"/>
      <c r="X1437" s="37"/>
      <c r="Y1437" s="43"/>
      <c r="Z1437" s="37"/>
      <c r="AA1437" s="37"/>
      <c r="AD1437" s="37"/>
      <c r="AE1437" s="37"/>
      <c r="AF1437" s="37"/>
    </row>
    <row r="1438" spans="1:32" x14ac:dyDescent="0.25">
      <c r="A1438" s="37"/>
      <c r="B1438" s="37"/>
      <c r="C1438" s="37"/>
      <c r="F1438" s="38"/>
      <c r="G1438" s="38"/>
      <c r="H1438" s="38"/>
      <c r="I1438" s="37"/>
      <c r="J1438" s="38"/>
      <c r="K1438" s="38"/>
      <c r="L1438" s="42"/>
      <c r="M1438" s="42"/>
      <c r="N1438" s="42"/>
      <c r="O1438" s="42"/>
      <c r="R1438" s="37"/>
      <c r="S1438" s="37"/>
      <c r="T1438" s="91"/>
      <c r="U1438" s="91"/>
      <c r="V1438" s="41"/>
      <c r="W1438" s="37"/>
      <c r="X1438" s="37"/>
      <c r="Y1438" s="43"/>
      <c r="Z1438" s="37"/>
      <c r="AA1438" s="37"/>
      <c r="AD1438" s="37"/>
      <c r="AE1438" s="37"/>
      <c r="AF1438" s="37"/>
    </row>
    <row r="1439" spans="1:32" x14ac:dyDescent="0.25">
      <c r="A1439" s="37"/>
      <c r="B1439" s="37"/>
      <c r="C1439" s="37"/>
      <c r="F1439" s="38"/>
      <c r="G1439" s="38"/>
      <c r="H1439" s="38"/>
      <c r="I1439" s="37"/>
      <c r="J1439" s="38"/>
      <c r="K1439" s="38"/>
      <c r="L1439" s="42"/>
      <c r="M1439" s="42"/>
      <c r="N1439" s="42"/>
      <c r="O1439" s="42"/>
      <c r="R1439" s="37"/>
      <c r="S1439" s="37"/>
      <c r="T1439" s="91"/>
      <c r="U1439" s="91"/>
      <c r="V1439" s="41"/>
      <c r="W1439" s="37"/>
      <c r="X1439" s="37"/>
      <c r="Y1439" s="43"/>
      <c r="Z1439" s="37"/>
      <c r="AA1439" s="37"/>
      <c r="AD1439" s="37"/>
      <c r="AE1439" s="37"/>
      <c r="AF1439" s="37"/>
    </row>
    <row r="1440" spans="1:32" x14ac:dyDescent="0.25">
      <c r="A1440" s="37"/>
      <c r="B1440" s="37"/>
      <c r="C1440" s="37"/>
      <c r="F1440" s="38"/>
      <c r="G1440" s="38"/>
      <c r="H1440" s="38"/>
      <c r="I1440" s="37"/>
      <c r="J1440" s="38"/>
      <c r="K1440" s="38"/>
      <c r="L1440" s="42"/>
      <c r="M1440" s="42"/>
      <c r="N1440" s="42"/>
      <c r="O1440" s="42"/>
      <c r="R1440" s="37"/>
      <c r="S1440" s="37"/>
      <c r="T1440" s="91"/>
      <c r="U1440" s="91"/>
      <c r="V1440" s="41"/>
      <c r="W1440" s="37"/>
      <c r="X1440" s="37"/>
      <c r="Y1440" s="43"/>
      <c r="Z1440" s="37"/>
      <c r="AA1440" s="37"/>
      <c r="AD1440" s="37"/>
      <c r="AE1440" s="37"/>
      <c r="AF1440" s="37"/>
    </row>
    <row r="1441" spans="1:32" x14ac:dyDescent="0.25">
      <c r="A1441" s="37"/>
      <c r="B1441" s="37"/>
      <c r="C1441" s="37"/>
      <c r="F1441" s="38"/>
      <c r="G1441" s="38"/>
      <c r="H1441" s="38"/>
      <c r="I1441" s="37"/>
      <c r="J1441" s="38"/>
      <c r="K1441" s="38"/>
      <c r="L1441" s="42"/>
      <c r="M1441" s="42"/>
      <c r="N1441" s="42"/>
      <c r="O1441" s="42"/>
      <c r="R1441" s="37"/>
      <c r="S1441" s="37"/>
      <c r="T1441" s="91"/>
      <c r="U1441" s="91"/>
      <c r="V1441" s="41"/>
      <c r="W1441" s="37"/>
      <c r="X1441" s="37"/>
      <c r="Y1441" s="43"/>
      <c r="Z1441" s="37"/>
      <c r="AA1441" s="37"/>
      <c r="AD1441" s="37"/>
      <c r="AE1441" s="37"/>
      <c r="AF1441" s="37"/>
    </row>
    <row r="1442" spans="1:32" x14ac:dyDescent="0.25">
      <c r="A1442" s="37"/>
      <c r="B1442" s="37"/>
      <c r="C1442" s="37"/>
      <c r="F1442" s="38"/>
      <c r="G1442" s="38"/>
      <c r="H1442" s="38"/>
      <c r="I1442" s="37"/>
      <c r="J1442" s="38"/>
      <c r="K1442" s="38"/>
      <c r="L1442" s="42"/>
      <c r="M1442" s="42"/>
      <c r="N1442" s="42"/>
      <c r="O1442" s="42"/>
      <c r="R1442" s="37"/>
      <c r="S1442" s="37"/>
      <c r="T1442" s="91"/>
      <c r="U1442" s="91"/>
      <c r="V1442" s="41"/>
      <c r="W1442" s="37"/>
      <c r="X1442" s="37"/>
      <c r="Y1442" s="43"/>
      <c r="Z1442" s="37"/>
      <c r="AA1442" s="37"/>
      <c r="AD1442" s="37"/>
      <c r="AE1442" s="37"/>
      <c r="AF1442" s="37"/>
    </row>
    <row r="1443" spans="1:32" x14ac:dyDescent="0.25">
      <c r="A1443" s="37"/>
      <c r="B1443" s="37"/>
      <c r="C1443" s="37"/>
      <c r="F1443" s="38"/>
      <c r="G1443" s="38"/>
      <c r="H1443" s="38"/>
      <c r="I1443" s="37"/>
      <c r="J1443" s="38"/>
      <c r="K1443" s="38"/>
      <c r="L1443" s="42"/>
      <c r="M1443" s="42"/>
      <c r="N1443" s="42"/>
      <c r="O1443" s="42"/>
      <c r="R1443" s="37"/>
      <c r="S1443" s="37"/>
      <c r="T1443" s="91"/>
      <c r="U1443" s="91"/>
      <c r="V1443" s="41"/>
      <c r="W1443" s="37"/>
      <c r="X1443" s="37"/>
      <c r="Y1443" s="43"/>
      <c r="Z1443" s="37"/>
      <c r="AA1443" s="37"/>
      <c r="AD1443" s="37"/>
      <c r="AE1443" s="37"/>
      <c r="AF1443" s="37"/>
    </row>
    <row r="1444" spans="1:32" x14ac:dyDescent="0.25">
      <c r="A1444" s="37"/>
      <c r="B1444" s="37"/>
      <c r="C1444" s="37"/>
      <c r="F1444" s="38"/>
      <c r="G1444" s="38"/>
      <c r="H1444" s="38"/>
      <c r="I1444" s="37"/>
      <c r="J1444" s="38"/>
      <c r="K1444" s="38"/>
      <c r="L1444" s="42"/>
      <c r="M1444" s="42"/>
      <c r="N1444" s="42"/>
      <c r="O1444" s="42"/>
      <c r="R1444" s="37"/>
      <c r="S1444" s="37"/>
      <c r="T1444" s="91"/>
      <c r="U1444" s="91"/>
      <c r="V1444" s="41"/>
      <c r="W1444" s="37"/>
      <c r="X1444" s="37"/>
      <c r="Y1444" s="43"/>
      <c r="Z1444" s="37"/>
      <c r="AA1444" s="37"/>
      <c r="AD1444" s="37"/>
      <c r="AE1444" s="37"/>
      <c r="AF1444" s="37"/>
    </row>
    <row r="1445" spans="1:32" x14ac:dyDescent="0.25">
      <c r="A1445" s="37"/>
      <c r="B1445" s="37"/>
      <c r="C1445" s="37"/>
      <c r="F1445" s="38"/>
      <c r="G1445" s="38"/>
      <c r="H1445" s="38"/>
      <c r="I1445" s="37"/>
      <c r="J1445" s="38"/>
      <c r="K1445" s="38"/>
      <c r="L1445" s="42"/>
      <c r="M1445" s="42"/>
      <c r="N1445" s="42"/>
      <c r="O1445" s="42"/>
      <c r="R1445" s="37"/>
      <c r="S1445" s="37"/>
      <c r="T1445" s="91"/>
      <c r="U1445" s="91"/>
      <c r="V1445" s="41"/>
      <c r="W1445" s="37"/>
      <c r="X1445" s="37"/>
      <c r="Y1445" s="43"/>
      <c r="Z1445" s="37"/>
      <c r="AA1445" s="37"/>
      <c r="AD1445" s="37"/>
      <c r="AE1445" s="37"/>
      <c r="AF1445" s="37"/>
    </row>
    <row r="1446" spans="1:32" x14ac:dyDescent="0.25">
      <c r="A1446" s="37"/>
      <c r="B1446" s="37"/>
      <c r="C1446" s="37"/>
      <c r="F1446" s="38"/>
      <c r="G1446" s="38"/>
      <c r="H1446" s="38"/>
      <c r="I1446" s="37"/>
      <c r="J1446" s="38"/>
      <c r="K1446" s="38"/>
      <c r="L1446" s="42"/>
      <c r="M1446" s="42"/>
      <c r="N1446" s="42"/>
      <c r="O1446" s="42"/>
      <c r="R1446" s="37"/>
      <c r="S1446" s="37"/>
      <c r="T1446" s="91"/>
      <c r="U1446" s="91"/>
      <c r="V1446" s="41"/>
      <c r="W1446" s="37"/>
      <c r="X1446" s="37"/>
      <c r="Y1446" s="43"/>
      <c r="Z1446" s="37"/>
      <c r="AA1446" s="37"/>
      <c r="AD1446" s="37"/>
      <c r="AE1446" s="37"/>
      <c r="AF1446" s="37"/>
    </row>
    <row r="1447" spans="1:32" x14ac:dyDescent="0.25">
      <c r="A1447" s="37"/>
      <c r="B1447" s="37"/>
      <c r="C1447" s="37"/>
      <c r="F1447" s="38"/>
      <c r="G1447" s="38"/>
      <c r="H1447" s="38"/>
      <c r="I1447" s="37"/>
      <c r="J1447" s="38"/>
      <c r="K1447" s="38"/>
      <c r="L1447" s="42"/>
      <c r="M1447" s="42"/>
      <c r="N1447" s="42"/>
      <c r="O1447" s="42"/>
      <c r="R1447" s="37"/>
      <c r="S1447" s="37"/>
      <c r="T1447" s="91"/>
      <c r="U1447" s="91"/>
      <c r="V1447" s="41"/>
      <c r="W1447" s="37"/>
      <c r="X1447" s="37"/>
      <c r="Y1447" s="43"/>
      <c r="Z1447" s="37"/>
      <c r="AA1447" s="37"/>
      <c r="AD1447" s="37"/>
      <c r="AE1447" s="37"/>
      <c r="AF1447" s="37"/>
    </row>
    <row r="1448" spans="1:32" x14ac:dyDescent="0.25">
      <c r="A1448" s="37"/>
      <c r="B1448" s="37"/>
      <c r="C1448" s="37"/>
      <c r="F1448" s="38"/>
      <c r="G1448" s="38"/>
      <c r="H1448" s="38"/>
      <c r="I1448" s="37"/>
      <c r="J1448" s="38"/>
      <c r="K1448" s="38"/>
      <c r="L1448" s="42"/>
      <c r="M1448" s="42"/>
      <c r="N1448" s="42"/>
      <c r="O1448" s="42"/>
      <c r="R1448" s="37"/>
      <c r="S1448" s="37"/>
      <c r="T1448" s="91"/>
      <c r="U1448" s="91"/>
      <c r="V1448" s="41"/>
      <c r="W1448" s="37"/>
      <c r="X1448" s="37"/>
      <c r="Y1448" s="43"/>
      <c r="Z1448" s="37"/>
      <c r="AA1448" s="37"/>
      <c r="AD1448" s="37"/>
      <c r="AE1448" s="37"/>
      <c r="AF1448" s="37"/>
    </row>
    <row r="1449" spans="1:32" x14ac:dyDescent="0.25">
      <c r="A1449" s="37"/>
      <c r="B1449" s="37"/>
      <c r="C1449" s="37"/>
      <c r="F1449" s="38"/>
      <c r="G1449" s="38"/>
      <c r="H1449" s="38"/>
      <c r="I1449" s="37"/>
      <c r="J1449" s="38"/>
      <c r="K1449" s="38"/>
      <c r="L1449" s="42"/>
      <c r="M1449" s="42"/>
      <c r="N1449" s="42"/>
      <c r="O1449" s="42"/>
      <c r="R1449" s="37"/>
      <c r="S1449" s="37"/>
      <c r="T1449" s="91"/>
      <c r="U1449" s="91"/>
      <c r="V1449" s="41"/>
      <c r="W1449" s="37"/>
      <c r="X1449" s="37"/>
      <c r="Y1449" s="43"/>
      <c r="Z1449" s="37"/>
      <c r="AA1449" s="37"/>
      <c r="AD1449" s="37"/>
      <c r="AE1449" s="37"/>
      <c r="AF1449" s="37"/>
    </row>
    <row r="1450" spans="1:32" x14ac:dyDescent="0.25">
      <c r="A1450" s="37"/>
      <c r="B1450" s="37"/>
      <c r="C1450" s="37"/>
      <c r="F1450" s="38"/>
      <c r="G1450" s="38"/>
      <c r="H1450" s="38"/>
      <c r="I1450" s="37"/>
      <c r="J1450" s="38"/>
      <c r="K1450" s="38"/>
      <c r="L1450" s="42"/>
      <c r="M1450" s="42"/>
      <c r="N1450" s="42"/>
      <c r="O1450" s="42"/>
      <c r="R1450" s="37"/>
      <c r="S1450" s="37"/>
      <c r="T1450" s="91"/>
      <c r="U1450" s="91"/>
      <c r="V1450" s="41"/>
      <c r="W1450" s="37"/>
      <c r="X1450" s="37"/>
      <c r="Y1450" s="43"/>
      <c r="Z1450" s="37"/>
      <c r="AA1450" s="37"/>
      <c r="AD1450" s="37"/>
      <c r="AE1450" s="37"/>
      <c r="AF1450" s="37"/>
    </row>
    <row r="1451" spans="1:32" x14ac:dyDescent="0.25">
      <c r="A1451" s="37"/>
      <c r="B1451" s="37"/>
      <c r="C1451" s="37"/>
      <c r="F1451" s="38"/>
      <c r="G1451" s="38"/>
      <c r="H1451" s="38"/>
      <c r="I1451" s="37"/>
      <c r="J1451" s="38"/>
      <c r="K1451" s="38"/>
      <c r="L1451" s="42"/>
      <c r="M1451" s="42"/>
      <c r="N1451" s="42"/>
      <c r="O1451" s="42"/>
      <c r="R1451" s="37"/>
      <c r="S1451" s="37"/>
      <c r="T1451" s="91"/>
      <c r="U1451" s="91"/>
      <c r="V1451" s="41"/>
      <c r="W1451" s="37"/>
      <c r="X1451" s="37"/>
      <c r="Y1451" s="43"/>
      <c r="Z1451" s="37"/>
      <c r="AA1451" s="37"/>
      <c r="AD1451" s="37"/>
      <c r="AE1451" s="37"/>
      <c r="AF1451" s="37"/>
    </row>
    <row r="1452" spans="1:32" x14ac:dyDescent="0.25">
      <c r="A1452" s="37"/>
      <c r="B1452" s="37"/>
      <c r="C1452" s="37"/>
      <c r="F1452" s="38"/>
      <c r="G1452" s="38"/>
      <c r="H1452" s="38"/>
      <c r="I1452" s="37"/>
      <c r="J1452" s="38"/>
      <c r="K1452" s="38"/>
      <c r="L1452" s="42"/>
      <c r="M1452" s="42"/>
      <c r="N1452" s="42"/>
      <c r="O1452" s="42"/>
      <c r="R1452" s="37"/>
      <c r="S1452" s="37"/>
      <c r="T1452" s="91"/>
      <c r="U1452" s="91"/>
      <c r="V1452" s="41"/>
      <c r="W1452" s="37"/>
      <c r="X1452" s="37"/>
      <c r="Y1452" s="43"/>
      <c r="Z1452" s="37"/>
      <c r="AA1452" s="37"/>
      <c r="AD1452" s="37"/>
      <c r="AE1452" s="37"/>
      <c r="AF1452" s="37"/>
    </row>
    <row r="1453" spans="1:32" x14ac:dyDescent="0.25">
      <c r="A1453" s="37"/>
      <c r="B1453" s="37"/>
      <c r="C1453" s="37"/>
      <c r="F1453" s="38"/>
      <c r="G1453" s="38"/>
      <c r="H1453" s="38"/>
      <c r="I1453" s="37"/>
      <c r="J1453" s="38"/>
      <c r="K1453" s="38"/>
      <c r="L1453" s="42"/>
      <c r="M1453" s="42"/>
      <c r="N1453" s="42"/>
      <c r="O1453" s="42"/>
      <c r="R1453" s="37"/>
      <c r="S1453" s="37"/>
      <c r="T1453" s="91"/>
      <c r="U1453" s="91"/>
      <c r="V1453" s="41"/>
      <c r="W1453" s="37"/>
      <c r="X1453" s="37"/>
      <c r="Y1453" s="43"/>
      <c r="Z1453" s="37"/>
      <c r="AA1453" s="37"/>
      <c r="AD1453" s="37"/>
      <c r="AE1453" s="37"/>
      <c r="AF1453" s="37"/>
    </row>
    <row r="1454" spans="1:32" x14ac:dyDescent="0.25">
      <c r="A1454" s="37"/>
      <c r="B1454" s="37"/>
      <c r="C1454" s="37"/>
      <c r="F1454" s="38"/>
      <c r="G1454" s="38"/>
      <c r="H1454" s="38"/>
      <c r="I1454" s="37"/>
      <c r="J1454" s="38"/>
      <c r="K1454" s="38"/>
      <c r="L1454" s="42"/>
      <c r="M1454" s="42"/>
      <c r="N1454" s="42"/>
      <c r="O1454" s="42"/>
      <c r="R1454" s="37"/>
      <c r="S1454" s="37"/>
      <c r="T1454" s="91"/>
      <c r="U1454" s="91"/>
      <c r="V1454" s="41"/>
      <c r="W1454" s="37"/>
      <c r="X1454" s="37"/>
      <c r="Y1454" s="43"/>
      <c r="Z1454" s="37"/>
      <c r="AA1454" s="37"/>
      <c r="AD1454" s="37"/>
      <c r="AE1454" s="37"/>
      <c r="AF1454" s="37"/>
    </row>
    <row r="1455" spans="1:32" x14ac:dyDescent="0.25">
      <c r="A1455" s="37"/>
      <c r="B1455" s="37"/>
      <c r="C1455" s="37"/>
      <c r="F1455" s="38"/>
      <c r="G1455" s="38"/>
      <c r="H1455" s="38"/>
      <c r="I1455" s="37"/>
      <c r="J1455" s="38"/>
      <c r="K1455" s="38"/>
      <c r="L1455" s="42"/>
      <c r="M1455" s="42"/>
      <c r="N1455" s="42"/>
      <c r="O1455" s="42"/>
      <c r="R1455" s="37"/>
      <c r="S1455" s="37"/>
      <c r="T1455" s="91"/>
      <c r="U1455" s="91"/>
      <c r="V1455" s="41"/>
      <c r="W1455" s="37"/>
      <c r="X1455" s="37"/>
      <c r="Y1455" s="43"/>
      <c r="Z1455" s="37"/>
      <c r="AA1455" s="37"/>
      <c r="AD1455" s="37"/>
      <c r="AE1455" s="37"/>
      <c r="AF1455" s="37"/>
    </row>
    <row r="1456" spans="1:32" x14ac:dyDescent="0.25">
      <c r="A1456" s="37"/>
      <c r="B1456" s="37"/>
      <c r="C1456" s="37"/>
      <c r="F1456" s="38"/>
      <c r="G1456" s="38"/>
      <c r="H1456" s="38"/>
      <c r="I1456" s="37"/>
      <c r="J1456" s="38"/>
      <c r="K1456" s="38"/>
      <c r="L1456" s="42"/>
      <c r="M1456" s="42"/>
      <c r="N1456" s="42"/>
      <c r="O1456" s="42"/>
      <c r="R1456" s="37"/>
      <c r="S1456" s="37"/>
      <c r="T1456" s="91"/>
      <c r="U1456" s="91"/>
      <c r="V1456" s="41"/>
      <c r="W1456" s="37"/>
      <c r="X1456" s="37"/>
      <c r="Y1456" s="43"/>
      <c r="Z1456" s="37"/>
      <c r="AA1456" s="37"/>
      <c r="AD1456" s="37"/>
      <c r="AE1456" s="37"/>
      <c r="AF1456" s="37"/>
    </row>
    <row r="1457" spans="1:32" x14ac:dyDescent="0.25">
      <c r="A1457" s="37"/>
      <c r="B1457" s="37"/>
      <c r="C1457" s="37"/>
      <c r="F1457" s="38"/>
      <c r="G1457" s="38"/>
      <c r="H1457" s="38"/>
      <c r="I1457" s="37"/>
      <c r="J1457" s="38"/>
      <c r="K1457" s="38"/>
      <c r="L1457" s="42"/>
      <c r="M1457" s="42"/>
      <c r="N1457" s="42"/>
      <c r="O1457" s="42"/>
      <c r="R1457" s="37"/>
      <c r="S1457" s="37"/>
      <c r="T1457" s="91"/>
      <c r="U1457" s="91"/>
      <c r="V1457" s="41"/>
      <c r="W1457" s="37"/>
      <c r="X1457" s="37"/>
      <c r="Y1457" s="43"/>
      <c r="Z1457" s="37"/>
      <c r="AA1457" s="37"/>
      <c r="AD1457" s="37"/>
      <c r="AE1457" s="37"/>
      <c r="AF1457" s="37"/>
    </row>
    <row r="1458" spans="1:32" x14ac:dyDescent="0.25">
      <c r="A1458" s="37"/>
      <c r="B1458" s="37"/>
      <c r="C1458" s="37"/>
      <c r="F1458" s="38"/>
      <c r="G1458" s="38"/>
      <c r="H1458" s="38"/>
      <c r="I1458" s="37"/>
      <c r="J1458" s="38"/>
      <c r="K1458" s="38"/>
      <c r="L1458" s="42"/>
      <c r="M1458" s="42"/>
      <c r="N1458" s="42"/>
      <c r="O1458" s="42"/>
      <c r="R1458" s="37"/>
      <c r="S1458" s="37"/>
      <c r="T1458" s="91"/>
      <c r="U1458" s="91"/>
      <c r="V1458" s="41"/>
      <c r="W1458" s="37"/>
      <c r="X1458" s="37"/>
      <c r="Y1458" s="43"/>
      <c r="Z1458" s="37"/>
      <c r="AA1458" s="37"/>
      <c r="AD1458" s="37"/>
      <c r="AE1458" s="37"/>
      <c r="AF1458" s="37"/>
    </row>
    <row r="1459" spans="1:32" x14ac:dyDescent="0.25">
      <c r="A1459" s="37"/>
      <c r="B1459" s="37"/>
      <c r="C1459" s="37"/>
      <c r="F1459" s="38"/>
      <c r="G1459" s="38"/>
      <c r="H1459" s="38"/>
      <c r="I1459" s="37"/>
      <c r="J1459" s="38"/>
      <c r="K1459" s="38"/>
      <c r="L1459" s="42"/>
      <c r="M1459" s="42"/>
      <c r="N1459" s="42"/>
      <c r="O1459" s="42"/>
      <c r="R1459" s="37"/>
      <c r="S1459" s="37"/>
      <c r="T1459" s="91"/>
      <c r="U1459" s="91"/>
      <c r="V1459" s="41"/>
      <c r="W1459" s="37"/>
      <c r="X1459" s="37"/>
      <c r="Y1459" s="43"/>
      <c r="Z1459" s="37"/>
      <c r="AA1459" s="37"/>
      <c r="AD1459" s="37"/>
      <c r="AE1459" s="37"/>
      <c r="AF1459" s="37"/>
    </row>
    <row r="1460" spans="1:32" x14ac:dyDescent="0.25">
      <c r="A1460" s="37"/>
      <c r="B1460" s="37"/>
      <c r="C1460" s="37"/>
      <c r="F1460" s="38"/>
      <c r="G1460" s="38"/>
      <c r="H1460" s="38"/>
      <c r="I1460" s="37"/>
      <c r="J1460" s="38"/>
      <c r="K1460" s="38"/>
      <c r="L1460" s="42"/>
      <c r="M1460" s="42"/>
      <c r="N1460" s="42"/>
      <c r="O1460" s="42"/>
      <c r="R1460" s="37"/>
      <c r="S1460" s="37"/>
      <c r="T1460" s="91"/>
      <c r="U1460" s="91"/>
      <c r="V1460" s="41"/>
      <c r="W1460" s="37"/>
      <c r="X1460" s="37"/>
      <c r="Y1460" s="43"/>
      <c r="Z1460" s="37"/>
      <c r="AA1460" s="37"/>
      <c r="AD1460" s="37"/>
      <c r="AE1460" s="37"/>
      <c r="AF1460" s="37"/>
    </row>
    <row r="1461" spans="1:32" x14ac:dyDescent="0.25">
      <c r="A1461" s="37"/>
      <c r="B1461" s="37"/>
      <c r="C1461" s="37"/>
      <c r="F1461" s="38"/>
      <c r="G1461" s="38"/>
      <c r="H1461" s="38"/>
      <c r="I1461" s="37"/>
      <c r="J1461" s="38"/>
      <c r="K1461" s="38"/>
      <c r="L1461" s="42"/>
      <c r="M1461" s="42"/>
      <c r="N1461" s="42"/>
      <c r="O1461" s="42"/>
      <c r="R1461" s="37"/>
      <c r="S1461" s="37"/>
      <c r="T1461" s="91"/>
      <c r="U1461" s="91"/>
      <c r="V1461" s="41"/>
      <c r="W1461" s="37"/>
      <c r="X1461" s="37"/>
      <c r="Y1461" s="43"/>
      <c r="Z1461" s="37"/>
      <c r="AA1461" s="37"/>
      <c r="AD1461" s="37"/>
      <c r="AE1461" s="37"/>
      <c r="AF1461" s="37"/>
    </row>
    <row r="1462" spans="1:32" x14ac:dyDescent="0.25">
      <c r="A1462" s="37"/>
      <c r="B1462" s="37"/>
      <c r="C1462" s="37"/>
      <c r="F1462" s="38"/>
      <c r="G1462" s="38"/>
      <c r="H1462" s="38"/>
      <c r="I1462" s="37"/>
      <c r="J1462" s="38"/>
      <c r="K1462" s="38"/>
      <c r="L1462" s="42"/>
      <c r="M1462" s="42"/>
      <c r="N1462" s="42"/>
      <c r="O1462" s="42"/>
      <c r="R1462" s="37"/>
      <c r="S1462" s="37"/>
      <c r="T1462" s="91"/>
      <c r="U1462" s="91"/>
      <c r="V1462" s="41"/>
      <c r="W1462" s="37"/>
      <c r="X1462" s="37"/>
      <c r="Y1462" s="43"/>
      <c r="Z1462" s="37"/>
      <c r="AA1462" s="37"/>
      <c r="AD1462" s="37"/>
      <c r="AE1462" s="37"/>
      <c r="AF1462" s="37"/>
    </row>
    <row r="1463" spans="1:32" x14ac:dyDescent="0.25">
      <c r="A1463" s="37"/>
      <c r="B1463" s="37"/>
      <c r="C1463" s="37"/>
      <c r="F1463" s="38"/>
      <c r="G1463" s="38"/>
      <c r="H1463" s="38"/>
      <c r="I1463" s="37"/>
      <c r="J1463" s="38"/>
      <c r="K1463" s="38"/>
      <c r="L1463" s="42"/>
      <c r="M1463" s="42"/>
      <c r="N1463" s="42"/>
      <c r="O1463" s="42"/>
      <c r="R1463" s="37"/>
      <c r="S1463" s="37"/>
      <c r="T1463" s="91"/>
      <c r="U1463" s="91"/>
      <c r="V1463" s="41"/>
      <c r="W1463" s="37"/>
      <c r="X1463" s="37"/>
      <c r="Y1463" s="43"/>
      <c r="Z1463" s="37"/>
      <c r="AA1463" s="37"/>
      <c r="AD1463" s="37"/>
      <c r="AE1463" s="37"/>
      <c r="AF1463" s="37"/>
    </row>
    <row r="1464" spans="1:32" x14ac:dyDescent="0.25">
      <c r="A1464" s="37"/>
      <c r="B1464" s="37"/>
      <c r="C1464" s="37"/>
      <c r="F1464" s="38"/>
      <c r="G1464" s="38"/>
      <c r="H1464" s="38"/>
      <c r="I1464" s="37"/>
      <c r="J1464" s="38"/>
      <c r="K1464" s="38"/>
      <c r="L1464" s="42"/>
      <c r="M1464" s="42"/>
      <c r="N1464" s="42"/>
      <c r="O1464" s="42"/>
      <c r="R1464" s="37"/>
      <c r="S1464" s="37"/>
      <c r="T1464" s="91"/>
      <c r="U1464" s="91"/>
      <c r="V1464" s="41"/>
      <c r="W1464" s="37"/>
      <c r="X1464" s="37"/>
      <c r="Y1464" s="43"/>
      <c r="Z1464" s="37"/>
      <c r="AA1464" s="37"/>
      <c r="AD1464" s="37"/>
      <c r="AE1464" s="37"/>
      <c r="AF1464" s="37"/>
    </row>
    <row r="1465" spans="1:32" x14ac:dyDescent="0.25">
      <c r="A1465" s="37"/>
      <c r="B1465" s="37"/>
      <c r="C1465" s="37"/>
      <c r="F1465" s="38"/>
      <c r="G1465" s="38"/>
      <c r="H1465" s="38"/>
      <c r="I1465" s="37"/>
      <c r="J1465" s="38"/>
      <c r="K1465" s="38"/>
      <c r="L1465" s="42"/>
      <c r="M1465" s="42"/>
      <c r="N1465" s="42"/>
      <c r="O1465" s="42"/>
      <c r="R1465" s="37"/>
      <c r="S1465" s="37"/>
      <c r="T1465" s="91"/>
      <c r="U1465" s="91"/>
      <c r="V1465" s="41"/>
      <c r="W1465" s="37"/>
      <c r="X1465" s="37"/>
      <c r="Y1465" s="43"/>
      <c r="Z1465" s="37"/>
      <c r="AA1465" s="37"/>
      <c r="AD1465" s="37"/>
      <c r="AE1465" s="37"/>
      <c r="AF1465" s="37"/>
    </row>
    <row r="1466" spans="1:32" x14ac:dyDescent="0.25">
      <c r="A1466" s="37"/>
      <c r="B1466" s="37"/>
      <c r="C1466" s="37"/>
      <c r="F1466" s="38"/>
      <c r="G1466" s="38"/>
      <c r="H1466" s="38"/>
      <c r="I1466" s="37"/>
      <c r="J1466" s="38"/>
      <c r="K1466" s="38"/>
      <c r="L1466" s="42"/>
      <c r="M1466" s="42"/>
      <c r="N1466" s="42"/>
      <c r="O1466" s="42"/>
      <c r="R1466" s="37"/>
      <c r="S1466" s="37"/>
      <c r="T1466" s="91"/>
      <c r="U1466" s="91"/>
      <c r="V1466" s="41"/>
      <c r="W1466" s="37"/>
      <c r="X1466" s="37"/>
      <c r="Y1466" s="43"/>
      <c r="Z1466" s="37"/>
      <c r="AA1466" s="37"/>
      <c r="AD1466" s="37"/>
      <c r="AE1466" s="37"/>
      <c r="AF1466" s="37"/>
    </row>
    <row r="1467" spans="1:32" x14ac:dyDescent="0.25">
      <c r="A1467" s="37"/>
      <c r="B1467" s="37"/>
      <c r="C1467" s="37"/>
      <c r="F1467" s="38"/>
      <c r="G1467" s="38"/>
      <c r="H1467" s="38"/>
      <c r="I1467" s="37"/>
      <c r="J1467" s="38"/>
      <c r="K1467" s="38"/>
      <c r="L1467" s="42"/>
      <c r="M1467" s="42"/>
      <c r="N1467" s="42"/>
      <c r="O1467" s="42"/>
      <c r="R1467" s="37"/>
      <c r="S1467" s="37"/>
      <c r="T1467" s="91"/>
      <c r="U1467" s="91"/>
      <c r="V1467" s="41"/>
      <c r="W1467" s="37"/>
      <c r="X1467" s="37"/>
      <c r="Y1467" s="43"/>
      <c r="Z1467" s="37"/>
      <c r="AA1467" s="37"/>
      <c r="AD1467" s="37"/>
      <c r="AE1467" s="37"/>
      <c r="AF1467" s="37"/>
    </row>
    <row r="1468" spans="1:32" x14ac:dyDescent="0.25">
      <c r="A1468" s="37"/>
      <c r="B1468" s="37"/>
      <c r="C1468" s="37"/>
      <c r="F1468" s="38"/>
      <c r="G1468" s="38"/>
      <c r="H1468" s="38"/>
      <c r="I1468" s="37"/>
      <c r="J1468" s="38"/>
      <c r="K1468" s="38"/>
      <c r="L1468" s="42"/>
      <c r="M1468" s="42"/>
      <c r="N1468" s="42"/>
      <c r="O1468" s="42"/>
      <c r="R1468" s="37"/>
      <c r="S1468" s="37"/>
      <c r="T1468" s="91"/>
      <c r="U1468" s="91"/>
      <c r="V1468" s="41"/>
      <c r="W1468" s="37"/>
      <c r="X1468" s="37"/>
      <c r="Y1468" s="43"/>
      <c r="Z1468" s="37"/>
      <c r="AA1468" s="37"/>
      <c r="AD1468" s="37"/>
      <c r="AE1468" s="37"/>
      <c r="AF1468" s="37"/>
    </row>
    <row r="1469" spans="1:32" x14ac:dyDescent="0.25">
      <c r="A1469" s="37"/>
      <c r="B1469" s="37"/>
      <c r="C1469" s="37"/>
      <c r="F1469" s="38"/>
      <c r="G1469" s="38"/>
      <c r="H1469" s="38"/>
      <c r="I1469" s="37"/>
      <c r="J1469" s="38"/>
      <c r="K1469" s="38"/>
      <c r="L1469" s="42"/>
      <c r="M1469" s="42"/>
      <c r="N1469" s="42"/>
      <c r="O1469" s="42"/>
      <c r="R1469" s="37"/>
      <c r="S1469" s="37"/>
      <c r="T1469" s="91"/>
      <c r="U1469" s="91"/>
      <c r="V1469" s="41"/>
      <c r="W1469" s="37"/>
      <c r="X1469" s="37"/>
      <c r="Y1469" s="43"/>
      <c r="Z1469" s="37"/>
      <c r="AA1469" s="37"/>
      <c r="AD1469" s="37"/>
      <c r="AE1469" s="37"/>
      <c r="AF1469" s="37"/>
    </row>
    <row r="1470" spans="1:32" x14ac:dyDescent="0.25">
      <c r="A1470" s="37"/>
      <c r="B1470" s="37"/>
      <c r="C1470" s="37"/>
      <c r="F1470" s="38"/>
      <c r="G1470" s="38"/>
      <c r="H1470" s="38"/>
      <c r="I1470" s="37"/>
      <c r="J1470" s="38"/>
      <c r="K1470" s="38"/>
      <c r="L1470" s="42"/>
      <c r="M1470" s="42"/>
      <c r="N1470" s="42"/>
      <c r="O1470" s="42"/>
      <c r="R1470" s="37"/>
      <c r="S1470" s="37"/>
      <c r="T1470" s="91"/>
      <c r="U1470" s="91"/>
      <c r="V1470" s="41"/>
      <c r="W1470" s="37"/>
      <c r="X1470" s="37"/>
      <c r="Y1470" s="43"/>
      <c r="Z1470" s="37"/>
      <c r="AA1470" s="37"/>
      <c r="AD1470" s="37"/>
      <c r="AE1470" s="37"/>
      <c r="AF1470" s="37"/>
    </row>
    <row r="1471" spans="1:32" x14ac:dyDescent="0.25">
      <c r="A1471" s="37"/>
      <c r="B1471" s="37"/>
      <c r="C1471" s="37"/>
      <c r="F1471" s="38"/>
      <c r="G1471" s="38"/>
      <c r="H1471" s="38"/>
      <c r="I1471" s="37"/>
      <c r="J1471" s="38"/>
      <c r="K1471" s="38"/>
      <c r="L1471" s="42"/>
      <c r="M1471" s="42"/>
      <c r="N1471" s="42"/>
      <c r="O1471" s="42"/>
      <c r="R1471" s="37"/>
      <c r="S1471" s="37"/>
      <c r="T1471" s="91"/>
      <c r="U1471" s="91"/>
      <c r="V1471" s="41"/>
      <c r="W1471" s="37"/>
      <c r="X1471" s="37"/>
      <c r="Y1471" s="43"/>
      <c r="Z1471" s="37"/>
      <c r="AA1471" s="37"/>
      <c r="AD1471" s="37"/>
      <c r="AE1471" s="37"/>
      <c r="AF1471" s="37"/>
    </row>
    <row r="1472" spans="1:32" x14ac:dyDescent="0.25">
      <c r="A1472" s="37"/>
      <c r="B1472" s="37"/>
      <c r="C1472" s="37"/>
      <c r="F1472" s="38"/>
      <c r="G1472" s="38"/>
      <c r="H1472" s="38"/>
      <c r="I1472" s="37"/>
      <c r="J1472" s="38"/>
      <c r="K1472" s="38"/>
      <c r="L1472" s="42"/>
      <c r="M1472" s="42"/>
      <c r="N1472" s="42"/>
      <c r="O1472" s="42"/>
      <c r="R1472" s="37"/>
      <c r="S1472" s="37"/>
      <c r="T1472" s="91"/>
      <c r="U1472" s="91"/>
      <c r="V1472" s="41"/>
      <c r="W1472" s="37"/>
      <c r="X1472" s="37"/>
      <c r="Y1472" s="43"/>
      <c r="Z1472" s="37"/>
      <c r="AA1472" s="37"/>
      <c r="AD1472" s="37"/>
      <c r="AE1472" s="37"/>
      <c r="AF1472" s="37"/>
    </row>
    <row r="1473" spans="1:32" x14ac:dyDescent="0.25">
      <c r="A1473" s="37"/>
      <c r="B1473" s="37"/>
      <c r="C1473" s="37"/>
      <c r="F1473" s="38"/>
      <c r="G1473" s="38"/>
      <c r="H1473" s="38"/>
      <c r="I1473" s="37"/>
      <c r="J1473" s="38"/>
      <c r="K1473" s="38"/>
      <c r="L1473" s="42"/>
      <c r="M1473" s="42"/>
      <c r="N1473" s="42"/>
      <c r="O1473" s="42"/>
      <c r="R1473" s="37"/>
      <c r="S1473" s="37"/>
      <c r="T1473" s="91"/>
      <c r="U1473" s="91"/>
      <c r="V1473" s="41"/>
      <c r="W1473" s="37"/>
      <c r="X1473" s="37"/>
      <c r="Y1473" s="43"/>
      <c r="Z1473" s="37"/>
      <c r="AA1473" s="37"/>
      <c r="AD1473" s="37"/>
      <c r="AE1473" s="37"/>
      <c r="AF1473" s="37"/>
    </row>
    <row r="1474" spans="1:32" x14ac:dyDescent="0.25">
      <c r="A1474" s="37"/>
      <c r="B1474" s="37"/>
      <c r="C1474" s="37"/>
      <c r="F1474" s="38"/>
      <c r="G1474" s="38"/>
      <c r="H1474" s="38"/>
      <c r="I1474" s="37"/>
      <c r="J1474" s="38"/>
      <c r="K1474" s="38"/>
      <c r="L1474" s="42"/>
      <c r="M1474" s="42"/>
      <c r="N1474" s="42"/>
      <c r="O1474" s="42"/>
      <c r="R1474" s="37"/>
      <c r="S1474" s="37"/>
      <c r="T1474" s="91"/>
      <c r="U1474" s="91"/>
      <c r="V1474" s="41"/>
      <c r="W1474" s="37"/>
      <c r="X1474" s="37"/>
      <c r="Y1474" s="43"/>
      <c r="Z1474" s="37"/>
      <c r="AA1474" s="37"/>
      <c r="AD1474" s="37"/>
      <c r="AE1474" s="37"/>
      <c r="AF1474" s="37"/>
    </row>
    <row r="1475" spans="1:32" x14ac:dyDescent="0.25">
      <c r="A1475" s="37"/>
      <c r="B1475" s="37"/>
      <c r="C1475" s="37"/>
      <c r="F1475" s="38"/>
      <c r="G1475" s="38"/>
      <c r="H1475" s="38"/>
      <c r="I1475" s="37"/>
      <c r="J1475" s="38"/>
      <c r="K1475" s="38"/>
      <c r="L1475" s="42"/>
      <c r="M1475" s="42"/>
      <c r="N1475" s="42"/>
      <c r="O1475" s="42"/>
      <c r="R1475" s="37"/>
      <c r="S1475" s="37"/>
      <c r="T1475" s="91"/>
      <c r="U1475" s="91"/>
      <c r="V1475" s="41"/>
      <c r="W1475" s="37"/>
      <c r="X1475" s="37"/>
      <c r="Y1475" s="43"/>
      <c r="Z1475" s="37"/>
      <c r="AA1475" s="37"/>
      <c r="AD1475" s="37"/>
      <c r="AE1475" s="37"/>
      <c r="AF1475" s="37"/>
    </row>
    <row r="1476" spans="1:32" x14ac:dyDescent="0.25">
      <c r="A1476" s="37"/>
      <c r="B1476" s="37"/>
      <c r="C1476" s="37"/>
      <c r="F1476" s="38"/>
      <c r="G1476" s="38"/>
      <c r="H1476" s="38"/>
      <c r="I1476" s="37"/>
      <c r="J1476" s="38"/>
      <c r="K1476" s="38"/>
      <c r="L1476" s="42"/>
      <c r="M1476" s="42"/>
      <c r="N1476" s="42"/>
      <c r="O1476" s="42"/>
      <c r="R1476" s="37"/>
      <c r="S1476" s="37"/>
      <c r="T1476" s="91"/>
      <c r="U1476" s="91"/>
      <c r="V1476" s="41"/>
      <c r="W1476" s="37"/>
      <c r="X1476" s="37"/>
      <c r="Y1476" s="43"/>
      <c r="Z1476" s="37"/>
      <c r="AA1476" s="37"/>
      <c r="AD1476" s="37"/>
      <c r="AE1476" s="37"/>
      <c r="AF1476" s="37"/>
    </row>
    <row r="1477" spans="1:32" x14ac:dyDescent="0.25">
      <c r="A1477" s="37"/>
      <c r="B1477" s="37"/>
      <c r="C1477" s="37"/>
      <c r="F1477" s="38"/>
      <c r="G1477" s="38"/>
      <c r="H1477" s="38"/>
      <c r="I1477" s="37"/>
      <c r="J1477" s="38"/>
      <c r="K1477" s="38"/>
      <c r="L1477" s="42"/>
      <c r="M1477" s="42"/>
      <c r="N1477" s="42"/>
      <c r="O1477" s="42"/>
      <c r="R1477" s="37"/>
      <c r="S1477" s="37"/>
      <c r="T1477" s="91"/>
      <c r="U1477" s="91"/>
      <c r="V1477" s="41"/>
      <c r="W1477" s="37"/>
      <c r="X1477" s="37"/>
      <c r="Y1477" s="43"/>
      <c r="Z1477" s="37"/>
      <c r="AA1477" s="37"/>
      <c r="AD1477" s="37"/>
      <c r="AE1477" s="37"/>
      <c r="AF1477" s="37"/>
    </row>
    <row r="1478" spans="1:32" x14ac:dyDescent="0.25">
      <c r="A1478" s="37"/>
      <c r="B1478" s="37"/>
      <c r="C1478" s="37"/>
      <c r="F1478" s="38"/>
      <c r="G1478" s="38"/>
      <c r="H1478" s="38"/>
      <c r="I1478" s="37"/>
      <c r="J1478" s="38"/>
      <c r="K1478" s="38"/>
      <c r="L1478" s="42"/>
      <c r="M1478" s="42"/>
      <c r="N1478" s="42"/>
      <c r="O1478" s="42"/>
      <c r="R1478" s="37"/>
      <c r="S1478" s="37"/>
      <c r="T1478" s="91"/>
      <c r="U1478" s="91"/>
      <c r="V1478" s="41"/>
      <c r="W1478" s="37"/>
      <c r="X1478" s="37"/>
      <c r="Y1478" s="43"/>
      <c r="Z1478" s="37"/>
      <c r="AA1478" s="37"/>
      <c r="AD1478" s="37"/>
      <c r="AE1478" s="37"/>
      <c r="AF1478" s="37"/>
    </row>
    <row r="1479" spans="1:32" x14ac:dyDescent="0.25">
      <c r="A1479" s="37"/>
      <c r="B1479" s="37"/>
      <c r="C1479" s="37"/>
      <c r="F1479" s="38"/>
      <c r="G1479" s="38"/>
      <c r="H1479" s="38"/>
      <c r="I1479" s="37"/>
      <c r="J1479" s="38"/>
      <c r="K1479" s="38"/>
      <c r="L1479" s="42"/>
      <c r="M1479" s="42"/>
      <c r="N1479" s="42"/>
      <c r="O1479" s="42"/>
      <c r="R1479" s="37"/>
      <c r="S1479" s="37"/>
      <c r="T1479" s="91"/>
      <c r="U1479" s="91"/>
      <c r="V1479" s="41"/>
      <c r="W1479" s="37"/>
      <c r="X1479" s="37"/>
      <c r="Y1479" s="43"/>
      <c r="Z1479" s="37"/>
      <c r="AA1479" s="37"/>
      <c r="AD1479" s="37"/>
      <c r="AE1479" s="37"/>
      <c r="AF1479" s="37"/>
    </row>
    <row r="1480" spans="1:32" x14ac:dyDescent="0.25">
      <c r="A1480" s="37"/>
      <c r="B1480" s="37"/>
      <c r="C1480" s="37"/>
      <c r="F1480" s="38"/>
      <c r="G1480" s="38"/>
      <c r="H1480" s="38"/>
      <c r="I1480" s="37"/>
      <c r="J1480" s="38"/>
      <c r="K1480" s="38"/>
      <c r="L1480" s="42"/>
      <c r="M1480" s="42"/>
      <c r="N1480" s="42"/>
      <c r="O1480" s="42"/>
      <c r="R1480" s="37"/>
      <c r="S1480" s="37"/>
      <c r="T1480" s="91"/>
      <c r="U1480" s="91"/>
      <c r="V1480" s="41"/>
      <c r="W1480" s="37"/>
      <c r="X1480" s="37"/>
      <c r="Y1480" s="43"/>
      <c r="Z1480" s="37"/>
      <c r="AA1480" s="37"/>
      <c r="AD1480" s="37"/>
      <c r="AE1480" s="37"/>
      <c r="AF1480" s="37"/>
    </row>
    <row r="1481" spans="1:32" x14ac:dyDescent="0.25">
      <c r="A1481" s="37"/>
      <c r="B1481" s="37"/>
      <c r="C1481" s="37"/>
      <c r="F1481" s="38"/>
      <c r="G1481" s="38"/>
      <c r="H1481" s="38"/>
      <c r="I1481" s="37"/>
      <c r="J1481" s="38"/>
      <c r="K1481" s="38"/>
      <c r="L1481" s="42"/>
      <c r="M1481" s="42"/>
      <c r="N1481" s="42"/>
      <c r="O1481" s="42"/>
      <c r="R1481" s="37"/>
      <c r="S1481" s="37"/>
      <c r="T1481" s="91"/>
      <c r="U1481" s="91"/>
      <c r="V1481" s="41"/>
      <c r="W1481" s="37"/>
      <c r="X1481" s="37"/>
      <c r="Y1481" s="43"/>
      <c r="Z1481" s="37"/>
      <c r="AA1481" s="37"/>
      <c r="AD1481" s="37"/>
      <c r="AE1481" s="37"/>
      <c r="AF1481" s="37"/>
    </row>
    <row r="1482" spans="1:32" x14ac:dyDescent="0.25">
      <c r="A1482" s="37"/>
      <c r="B1482" s="37"/>
      <c r="C1482" s="37"/>
      <c r="F1482" s="38"/>
      <c r="G1482" s="38"/>
      <c r="H1482" s="38"/>
      <c r="I1482" s="37"/>
      <c r="J1482" s="38"/>
      <c r="K1482" s="38"/>
      <c r="L1482" s="42"/>
      <c r="M1482" s="42"/>
      <c r="N1482" s="42"/>
      <c r="O1482" s="42"/>
      <c r="R1482" s="37"/>
      <c r="S1482" s="37"/>
      <c r="T1482" s="91"/>
      <c r="U1482" s="91"/>
      <c r="V1482" s="41"/>
      <c r="W1482" s="37"/>
      <c r="X1482" s="37"/>
      <c r="Y1482" s="43"/>
      <c r="Z1482" s="37"/>
      <c r="AA1482" s="37"/>
      <c r="AD1482" s="37"/>
      <c r="AE1482" s="37"/>
      <c r="AF1482" s="37"/>
    </row>
    <row r="1483" spans="1:32" x14ac:dyDescent="0.25">
      <c r="A1483" s="37"/>
      <c r="B1483" s="37"/>
      <c r="C1483" s="37"/>
      <c r="F1483" s="38"/>
      <c r="G1483" s="38"/>
      <c r="H1483" s="38"/>
      <c r="I1483" s="37"/>
      <c r="J1483" s="38"/>
      <c r="K1483" s="38"/>
      <c r="L1483" s="42"/>
      <c r="M1483" s="42"/>
      <c r="N1483" s="42"/>
      <c r="O1483" s="42"/>
      <c r="R1483" s="37"/>
      <c r="S1483" s="37"/>
      <c r="T1483" s="91"/>
      <c r="U1483" s="91"/>
      <c r="V1483" s="41"/>
      <c r="W1483" s="37"/>
      <c r="X1483" s="37"/>
      <c r="Y1483" s="43"/>
      <c r="Z1483" s="37"/>
      <c r="AA1483" s="37"/>
      <c r="AD1483" s="37"/>
      <c r="AE1483" s="37"/>
      <c r="AF1483" s="37"/>
    </row>
    <row r="1484" spans="1:32" x14ac:dyDescent="0.25">
      <c r="A1484" s="37"/>
      <c r="B1484" s="37"/>
      <c r="C1484" s="37"/>
      <c r="F1484" s="38"/>
      <c r="G1484" s="38"/>
      <c r="H1484" s="38"/>
      <c r="I1484" s="37"/>
      <c r="J1484" s="38"/>
      <c r="K1484" s="38"/>
      <c r="L1484" s="42"/>
      <c r="M1484" s="42"/>
      <c r="N1484" s="42"/>
      <c r="O1484" s="42"/>
      <c r="R1484" s="37"/>
      <c r="S1484" s="37"/>
      <c r="T1484" s="91"/>
      <c r="U1484" s="91"/>
      <c r="V1484" s="41"/>
      <c r="W1484" s="37"/>
      <c r="X1484" s="37"/>
      <c r="Y1484" s="43"/>
      <c r="Z1484" s="37"/>
      <c r="AA1484" s="37"/>
      <c r="AD1484" s="37"/>
      <c r="AE1484" s="37"/>
      <c r="AF1484" s="37"/>
    </row>
    <row r="1485" spans="1:32" x14ac:dyDescent="0.25">
      <c r="A1485" s="37"/>
      <c r="B1485" s="37"/>
      <c r="C1485" s="37"/>
      <c r="F1485" s="38"/>
      <c r="G1485" s="38"/>
      <c r="H1485" s="38"/>
      <c r="I1485" s="37"/>
      <c r="J1485" s="38"/>
      <c r="K1485" s="38"/>
      <c r="L1485" s="42"/>
      <c r="M1485" s="42"/>
      <c r="N1485" s="42"/>
      <c r="O1485" s="42"/>
      <c r="R1485" s="37"/>
      <c r="S1485" s="37"/>
      <c r="T1485" s="91"/>
      <c r="U1485" s="91"/>
      <c r="V1485" s="41"/>
      <c r="W1485" s="37"/>
      <c r="X1485" s="37"/>
      <c r="Y1485" s="43"/>
      <c r="Z1485" s="37"/>
      <c r="AA1485" s="37"/>
      <c r="AD1485" s="37"/>
      <c r="AE1485" s="37"/>
      <c r="AF1485" s="37"/>
    </row>
    <row r="1486" spans="1:32" x14ac:dyDescent="0.25">
      <c r="A1486" s="37"/>
      <c r="B1486" s="37"/>
      <c r="C1486" s="37"/>
      <c r="F1486" s="38"/>
      <c r="G1486" s="38"/>
      <c r="H1486" s="38"/>
      <c r="I1486" s="37"/>
      <c r="J1486" s="38"/>
      <c r="K1486" s="38"/>
      <c r="L1486" s="42"/>
      <c r="M1486" s="42"/>
      <c r="N1486" s="42"/>
      <c r="O1486" s="42"/>
      <c r="R1486" s="37"/>
      <c r="S1486" s="37"/>
      <c r="T1486" s="91"/>
      <c r="U1486" s="91"/>
      <c r="V1486" s="41"/>
      <c r="W1486" s="37"/>
      <c r="X1486" s="37"/>
      <c r="Y1486" s="43"/>
      <c r="Z1486" s="37"/>
      <c r="AA1486" s="37"/>
      <c r="AD1486" s="37"/>
      <c r="AE1486" s="37"/>
      <c r="AF1486" s="37"/>
    </row>
    <row r="1487" spans="1:32" x14ac:dyDescent="0.25">
      <c r="A1487" s="37"/>
      <c r="B1487" s="37"/>
      <c r="C1487" s="37"/>
      <c r="F1487" s="38"/>
      <c r="G1487" s="38"/>
      <c r="H1487" s="38"/>
      <c r="I1487" s="37"/>
      <c r="J1487" s="38"/>
      <c r="K1487" s="38"/>
      <c r="L1487" s="42"/>
      <c r="M1487" s="42"/>
      <c r="N1487" s="42"/>
      <c r="O1487" s="42"/>
      <c r="R1487" s="37"/>
      <c r="S1487" s="37"/>
      <c r="T1487" s="91"/>
      <c r="U1487" s="91"/>
      <c r="V1487" s="41"/>
      <c r="W1487" s="37"/>
      <c r="X1487" s="37"/>
      <c r="Y1487" s="43"/>
      <c r="Z1487" s="37"/>
      <c r="AA1487" s="37"/>
      <c r="AD1487" s="37"/>
      <c r="AE1487" s="37"/>
      <c r="AF1487" s="37"/>
    </row>
    <row r="1488" spans="1:32" x14ac:dyDescent="0.25">
      <c r="A1488" s="37"/>
      <c r="B1488" s="37"/>
      <c r="C1488" s="37"/>
      <c r="F1488" s="38"/>
      <c r="G1488" s="38"/>
      <c r="H1488" s="38"/>
      <c r="I1488" s="37"/>
      <c r="J1488" s="38"/>
      <c r="K1488" s="38"/>
      <c r="L1488" s="42"/>
      <c r="M1488" s="42"/>
      <c r="N1488" s="42"/>
      <c r="O1488" s="42"/>
      <c r="R1488" s="37"/>
      <c r="S1488" s="37"/>
      <c r="T1488" s="91"/>
      <c r="U1488" s="91"/>
      <c r="V1488" s="41"/>
      <c r="W1488" s="37"/>
      <c r="X1488" s="37"/>
      <c r="Y1488" s="43"/>
      <c r="Z1488" s="37"/>
      <c r="AA1488" s="37"/>
      <c r="AD1488" s="37"/>
      <c r="AE1488" s="37"/>
      <c r="AF1488" s="37"/>
    </row>
    <row r="1489" spans="1:32" x14ac:dyDescent="0.25">
      <c r="A1489" s="37"/>
      <c r="B1489" s="37"/>
      <c r="C1489" s="37"/>
      <c r="F1489" s="38"/>
      <c r="G1489" s="38"/>
      <c r="H1489" s="38"/>
      <c r="I1489" s="37"/>
      <c r="J1489" s="38"/>
      <c r="K1489" s="38"/>
      <c r="L1489" s="42"/>
      <c r="M1489" s="42"/>
      <c r="N1489" s="42"/>
      <c r="O1489" s="42"/>
      <c r="R1489" s="37"/>
      <c r="S1489" s="37"/>
      <c r="T1489" s="91"/>
      <c r="U1489" s="91"/>
      <c r="V1489" s="41"/>
      <c r="W1489" s="37"/>
      <c r="X1489" s="37"/>
      <c r="Y1489" s="43"/>
      <c r="Z1489" s="37"/>
      <c r="AA1489" s="37"/>
      <c r="AD1489" s="37"/>
      <c r="AE1489" s="37"/>
      <c r="AF1489" s="37"/>
    </row>
    <row r="1490" spans="1:32" x14ac:dyDescent="0.25">
      <c r="A1490" s="37"/>
      <c r="B1490" s="37"/>
      <c r="C1490" s="37"/>
      <c r="F1490" s="38"/>
      <c r="G1490" s="38"/>
      <c r="H1490" s="38"/>
      <c r="I1490" s="37"/>
      <c r="J1490" s="38"/>
      <c r="K1490" s="38"/>
      <c r="L1490" s="42"/>
      <c r="M1490" s="42"/>
      <c r="N1490" s="42"/>
      <c r="O1490" s="42"/>
      <c r="R1490" s="37"/>
      <c r="S1490" s="37"/>
      <c r="T1490" s="91"/>
      <c r="U1490" s="91"/>
      <c r="V1490" s="41"/>
      <c r="W1490" s="37"/>
      <c r="X1490" s="37"/>
      <c r="Y1490" s="43"/>
      <c r="Z1490" s="37"/>
      <c r="AA1490" s="37"/>
      <c r="AD1490" s="37"/>
      <c r="AE1490" s="37"/>
      <c r="AF1490" s="37"/>
    </row>
    <row r="1491" spans="1:32" x14ac:dyDescent="0.25">
      <c r="A1491" s="37"/>
      <c r="B1491" s="37"/>
      <c r="C1491" s="37"/>
      <c r="F1491" s="38"/>
      <c r="G1491" s="38"/>
      <c r="H1491" s="38"/>
      <c r="I1491" s="37"/>
      <c r="J1491" s="38"/>
      <c r="K1491" s="38"/>
      <c r="L1491" s="42"/>
      <c r="M1491" s="42"/>
      <c r="N1491" s="42"/>
      <c r="O1491" s="42"/>
      <c r="R1491" s="37"/>
      <c r="S1491" s="37"/>
      <c r="T1491" s="91"/>
      <c r="U1491" s="91"/>
      <c r="V1491" s="41"/>
      <c r="W1491" s="37"/>
      <c r="X1491" s="37"/>
      <c r="Y1491" s="43"/>
      <c r="Z1491" s="37"/>
      <c r="AA1491" s="37"/>
      <c r="AD1491" s="37"/>
      <c r="AE1491" s="37"/>
      <c r="AF1491" s="37"/>
    </row>
    <row r="1492" spans="1:32" x14ac:dyDescent="0.25">
      <c r="A1492" s="37"/>
      <c r="B1492" s="37"/>
      <c r="C1492" s="37"/>
      <c r="F1492" s="38"/>
      <c r="G1492" s="38"/>
      <c r="H1492" s="38"/>
      <c r="I1492" s="37"/>
      <c r="J1492" s="38"/>
      <c r="K1492" s="38"/>
      <c r="L1492" s="42"/>
      <c r="M1492" s="42"/>
      <c r="N1492" s="42"/>
      <c r="O1492" s="42"/>
      <c r="R1492" s="37"/>
      <c r="S1492" s="37"/>
      <c r="T1492" s="91"/>
      <c r="U1492" s="91"/>
      <c r="V1492" s="41"/>
      <c r="W1492" s="37"/>
      <c r="X1492" s="37"/>
      <c r="Y1492" s="43"/>
      <c r="Z1492" s="37"/>
      <c r="AA1492" s="37"/>
      <c r="AD1492" s="37"/>
      <c r="AE1492" s="37"/>
      <c r="AF1492" s="37"/>
    </row>
    <row r="1493" spans="1:32" x14ac:dyDescent="0.25">
      <c r="A1493" s="37"/>
      <c r="B1493" s="37"/>
      <c r="C1493" s="37"/>
      <c r="F1493" s="38"/>
      <c r="G1493" s="38"/>
      <c r="H1493" s="38"/>
      <c r="I1493" s="37"/>
      <c r="J1493" s="38"/>
      <c r="K1493" s="38"/>
      <c r="L1493" s="42"/>
      <c r="M1493" s="42"/>
      <c r="N1493" s="42"/>
      <c r="O1493" s="42"/>
      <c r="R1493" s="37"/>
      <c r="S1493" s="37"/>
      <c r="T1493" s="91"/>
      <c r="U1493" s="91"/>
      <c r="V1493" s="41"/>
      <c r="W1493" s="37"/>
      <c r="X1493" s="37"/>
      <c r="Y1493" s="43"/>
      <c r="Z1493" s="37"/>
      <c r="AA1493" s="37"/>
      <c r="AD1493" s="37"/>
      <c r="AE1493" s="37"/>
      <c r="AF1493" s="37"/>
    </row>
    <row r="1494" spans="1:32" x14ac:dyDescent="0.25">
      <c r="A1494" s="37"/>
      <c r="B1494" s="37"/>
      <c r="C1494" s="37"/>
      <c r="F1494" s="38"/>
      <c r="G1494" s="38"/>
      <c r="H1494" s="38"/>
      <c r="I1494" s="37"/>
      <c r="J1494" s="38"/>
      <c r="K1494" s="38"/>
      <c r="L1494" s="42"/>
      <c r="M1494" s="42"/>
      <c r="N1494" s="42"/>
      <c r="O1494" s="42"/>
      <c r="R1494" s="37"/>
      <c r="S1494" s="37"/>
      <c r="T1494" s="91"/>
      <c r="U1494" s="91"/>
      <c r="V1494" s="41"/>
      <c r="W1494" s="37"/>
      <c r="X1494" s="37"/>
      <c r="Y1494" s="43"/>
      <c r="Z1494" s="37"/>
      <c r="AA1494" s="37"/>
      <c r="AD1494" s="37"/>
      <c r="AE1494" s="37"/>
      <c r="AF1494" s="37"/>
    </row>
    <row r="1495" spans="1:32" x14ac:dyDescent="0.25">
      <c r="A1495" s="37"/>
      <c r="B1495" s="37"/>
      <c r="C1495" s="37"/>
      <c r="F1495" s="38"/>
      <c r="G1495" s="38"/>
      <c r="H1495" s="38"/>
      <c r="I1495" s="37"/>
      <c r="J1495" s="38"/>
      <c r="K1495" s="38"/>
      <c r="L1495" s="42"/>
      <c r="M1495" s="42"/>
      <c r="N1495" s="42"/>
      <c r="O1495" s="42"/>
      <c r="R1495" s="37"/>
      <c r="S1495" s="37"/>
      <c r="T1495" s="91"/>
      <c r="U1495" s="91"/>
      <c r="V1495" s="41"/>
      <c r="W1495" s="37"/>
      <c r="X1495" s="37"/>
      <c r="Y1495" s="43"/>
      <c r="Z1495" s="37"/>
      <c r="AA1495" s="37"/>
      <c r="AD1495" s="37"/>
      <c r="AE1495" s="37"/>
      <c r="AF1495" s="37"/>
    </row>
    <row r="1496" spans="1:32" x14ac:dyDescent="0.25">
      <c r="A1496" s="37"/>
      <c r="B1496" s="37"/>
      <c r="C1496" s="37"/>
      <c r="F1496" s="38"/>
      <c r="G1496" s="38"/>
      <c r="H1496" s="38"/>
      <c r="I1496" s="37"/>
      <c r="J1496" s="38"/>
      <c r="K1496" s="38"/>
      <c r="L1496" s="42"/>
      <c r="M1496" s="42"/>
      <c r="N1496" s="42"/>
      <c r="O1496" s="42"/>
      <c r="R1496" s="37"/>
      <c r="S1496" s="37"/>
      <c r="T1496" s="91"/>
      <c r="U1496" s="91"/>
      <c r="V1496" s="41"/>
      <c r="W1496" s="37"/>
      <c r="X1496" s="37"/>
      <c r="Y1496" s="43"/>
      <c r="Z1496" s="37"/>
      <c r="AA1496" s="37"/>
      <c r="AD1496" s="37"/>
      <c r="AE1496" s="37"/>
      <c r="AF1496" s="37"/>
    </row>
    <row r="1497" spans="1:32" x14ac:dyDescent="0.25">
      <c r="A1497" s="37"/>
      <c r="B1497" s="37"/>
      <c r="C1497" s="37"/>
      <c r="F1497" s="38"/>
      <c r="G1497" s="38"/>
      <c r="H1497" s="38"/>
      <c r="I1497" s="37"/>
      <c r="J1497" s="38"/>
      <c r="K1497" s="38"/>
      <c r="L1497" s="42"/>
      <c r="M1497" s="42"/>
      <c r="N1497" s="42"/>
      <c r="O1497" s="42"/>
      <c r="R1497" s="37"/>
      <c r="S1497" s="37"/>
      <c r="T1497" s="91"/>
      <c r="U1497" s="91"/>
      <c r="V1497" s="41"/>
      <c r="W1497" s="37"/>
      <c r="X1497" s="37"/>
      <c r="Y1497" s="43"/>
      <c r="Z1497" s="37"/>
      <c r="AA1497" s="37"/>
      <c r="AD1497" s="37"/>
      <c r="AE1497" s="37"/>
      <c r="AF1497" s="37"/>
    </row>
    <row r="1498" spans="1:32" x14ac:dyDescent="0.25">
      <c r="A1498" s="37"/>
      <c r="B1498" s="37"/>
      <c r="C1498" s="37"/>
      <c r="F1498" s="38"/>
      <c r="G1498" s="38"/>
      <c r="H1498" s="38"/>
      <c r="I1498" s="37"/>
      <c r="J1498" s="38"/>
      <c r="K1498" s="38"/>
      <c r="L1498" s="42"/>
      <c r="M1498" s="42"/>
      <c r="N1498" s="42"/>
      <c r="O1498" s="42"/>
      <c r="R1498" s="37"/>
      <c r="S1498" s="37"/>
      <c r="T1498" s="91"/>
      <c r="U1498" s="91"/>
      <c r="V1498" s="41"/>
      <c r="W1498" s="37"/>
      <c r="X1498" s="37"/>
      <c r="Y1498" s="43"/>
      <c r="Z1498" s="37"/>
      <c r="AA1498" s="37"/>
      <c r="AD1498" s="37"/>
      <c r="AE1498" s="37"/>
      <c r="AF1498" s="37"/>
    </row>
    <row r="1499" spans="1:32" x14ac:dyDescent="0.25">
      <c r="A1499" s="37"/>
      <c r="B1499" s="37"/>
      <c r="C1499" s="37"/>
      <c r="F1499" s="38"/>
      <c r="G1499" s="38"/>
      <c r="H1499" s="38"/>
      <c r="I1499" s="37"/>
      <c r="J1499" s="38"/>
      <c r="K1499" s="38"/>
      <c r="L1499" s="42"/>
      <c r="M1499" s="42"/>
      <c r="N1499" s="42"/>
      <c r="O1499" s="42"/>
      <c r="R1499" s="37"/>
      <c r="S1499" s="37"/>
      <c r="T1499" s="91"/>
      <c r="U1499" s="91"/>
      <c r="V1499" s="41"/>
      <c r="W1499" s="37"/>
      <c r="X1499" s="37"/>
      <c r="Y1499" s="43"/>
      <c r="Z1499" s="37"/>
      <c r="AA1499" s="37"/>
      <c r="AD1499" s="37"/>
      <c r="AE1499" s="37"/>
      <c r="AF1499" s="37"/>
    </row>
    <row r="1500" spans="1:32" x14ac:dyDescent="0.25">
      <c r="A1500" s="37"/>
      <c r="B1500" s="37"/>
      <c r="C1500" s="37"/>
      <c r="F1500" s="38"/>
      <c r="G1500" s="38"/>
      <c r="H1500" s="38"/>
      <c r="I1500" s="37"/>
      <c r="J1500" s="38"/>
      <c r="K1500" s="38"/>
      <c r="L1500" s="42"/>
      <c r="M1500" s="42"/>
      <c r="N1500" s="42"/>
      <c r="O1500" s="42"/>
      <c r="R1500" s="37"/>
      <c r="S1500" s="37"/>
      <c r="T1500" s="91"/>
      <c r="U1500" s="91"/>
      <c r="V1500" s="41"/>
      <c r="W1500" s="37"/>
      <c r="X1500" s="37"/>
      <c r="Y1500" s="43"/>
      <c r="Z1500" s="37"/>
      <c r="AA1500" s="37"/>
      <c r="AD1500" s="37"/>
      <c r="AE1500" s="37"/>
      <c r="AF1500" s="37"/>
    </row>
    <row r="1501" spans="1:32" x14ac:dyDescent="0.25">
      <c r="A1501" s="37"/>
      <c r="B1501" s="37"/>
      <c r="C1501" s="37"/>
      <c r="F1501" s="38"/>
      <c r="G1501" s="38"/>
      <c r="H1501" s="38"/>
      <c r="I1501" s="37"/>
      <c r="J1501" s="38"/>
      <c r="K1501" s="38"/>
      <c r="L1501" s="42"/>
      <c r="M1501" s="42"/>
      <c r="N1501" s="42"/>
      <c r="O1501" s="42"/>
      <c r="R1501" s="37"/>
      <c r="S1501" s="37"/>
      <c r="T1501" s="91"/>
      <c r="U1501" s="91"/>
      <c r="V1501" s="41"/>
      <c r="W1501" s="37"/>
      <c r="X1501" s="37"/>
      <c r="Y1501" s="43"/>
      <c r="Z1501" s="37"/>
      <c r="AA1501" s="37"/>
      <c r="AD1501" s="37"/>
      <c r="AE1501" s="37"/>
      <c r="AF1501" s="37"/>
    </row>
    <row r="1502" spans="1:32" x14ac:dyDescent="0.25">
      <c r="A1502" s="37"/>
      <c r="B1502" s="37"/>
      <c r="C1502" s="37"/>
      <c r="F1502" s="38"/>
      <c r="G1502" s="38"/>
      <c r="H1502" s="38"/>
      <c r="I1502" s="37"/>
      <c r="J1502" s="38"/>
      <c r="K1502" s="38"/>
      <c r="L1502" s="42"/>
      <c r="M1502" s="42"/>
      <c r="N1502" s="42"/>
      <c r="O1502" s="42"/>
      <c r="R1502" s="37"/>
      <c r="S1502" s="37"/>
      <c r="T1502" s="91"/>
      <c r="U1502" s="91"/>
      <c r="V1502" s="41"/>
      <c r="W1502" s="37"/>
      <c r="X1502" s="37"/>
      <c r="Y1502" s="43"/>
      <c r="Z1502" s="37"/>
      <c r="AA1502" s="37"/>
      <c r="AD1502" s="37"/>
      <c r="AE1502" s="37"/>
      <c r="AF1502" s="37"/>
    </row>
    <row r="1503" spans="1:32" x14ac:dyDescent="0.25">
      <c r="A1503" s="37"/>
      <c r="B1503" s="37"/>
      <c r="C1503" s="37"/>
      <c r="F1503" s="38"/>
      <c r="G1503" s="38"/>
      <c r="H1503" s="38"/>
      <c r="I1503" s="37"/>
      <c r="J1503" s="38"/>
      <c r="K1503" s="38"/>
      <c r="L1503" s="42"/>
      <c r="M1503" s="42"/>
      <c r="N1503" s="42"/>
      <c r="O1503" s="42"/>
      <c r="R1503" s="37"/>
      <c r="S1503" s="37"/>
      <c r="T1503" s="91"/>
      <c r="U1503" s="91"/>
      <c r="V1503" s="41"/>
      <c r="W1503" s="37"/>
      <c r="X1503" s="37"/>
      <c r="Y1503" s="43"/>
      <c r="Z1503" s="37"/>
      <c r="AA1503" s="37"/>
      <c r="AD1503" s="37"/>
      <c r="AE1503" s="37"/>
      <c r="AF1503" s="37"/>
    </row>
    <row r="1504" spans="1:32" x14ac:dyDescent="0.25">
      <c r="A1504" s="37"/>
      <c r="B1504" s="37"/>
      <c r="C1504" s="37"/>
      <c r="F1504" s="38"/>
      <c r="G1504" s="38"/>
      <c r="H1504" s="38"/>
      <c r="I1504" s="37"/>
      <c r="J1504" s="38"/>
      <c r="K1504" s="38"/>
      <c r="L1504" s="42"/>
      <c r="M1504" s="42"/>
      <c r="N1504" s="42"/>
      <c r="O1504" s="42"/>
      <c r="R1504" s="37"/>
      <c r="S1504" s="37"/>
      <c r="T1504" s="91"/>
      <c r="U1504" s="91"/>
      <c r="V1504" s="41"/>
      <c r="W1504" s="37"/>
      <c r="X1504" s="37"/>
      <c r="Y1504" s="43"/>
      <c r="Z1504" s="37"/>
      <c r="AA1504" s="37"/>
      <c r="AD1504" s="37"/>
      <c r="AE1504" s="37"/>
      <c r="AF1504" s="37"/>
    </row>
    <row r="1505" spans="1:32" x14ac:dyDescent="0.25">
      <c r="A1505" s="37"/>
      <c r="B1505" s="37"/>
      <c r="C1505" s="37"/>
      <c r="F1505" s="38"/>
      <c r="G1505" s="38"/>
      <c r="H1505" s="38"/>
      <c r="I1505" s="37"/>
      <c r="J1505" s="38"/>
      <c r="K1505" s="38"/>
      <c r="L1505" s="42"/>
      <c r="M1505" s="42"/>
      <c r="N1505" s="42"/>
      <c r="O1505" s="42"/>
      <c r="R1505" s="37"/>
      <c r="S1505" s="37"/>
      <c r="T1505" s="91"/>
      <c r="U1505" s="91"/>
      <c r="V1505" s="41"/>
      <c r="W1505" s="37"/>
      <c r="X1505" s="37"/>
      <c r="Y1505" s="43"/>
      <c r="Z1505" s="37"/>
      <c r="AA1505" s="37"/>
      <c r="AD1505" s="37"/>
      <c r="AE1505" s="37"/>
      <c r="AF1505" s="37"/>
    </row>
    <row r="1506" spans="1:32" x14ac:dyDescent="0.25">
      <c r="A1506" s="37"/>
      <c r="B1506" s="37"/>
      <c r="C1506" s="37"/>
      <c r="F1506" s="38"/>
      <c r="G1506" s="38"/>
      <c r="H1506" s="38"/>
      <c r="I1506" s="37"/>
      <c r="J1506" s="38"/>
      <c r="K1506" s="38"/>
      <c r="L1506" s="42"/>
      <c r="M1506" s="42"/>
      <c r="N1506" s="42"/>
      <c r="O1506" s="42"/>
      <c r="R1506" s="37"/>
      <c r="S1506" s="37"/>
      <c r="T1506" s="91"/>
      <c r="U1506" s="91"/>
      <c r="V1506" s="41"/>
      <c r="W1506" s="37"/>
      <c r="X1506" s="37"/>
      <c r="Y1506" s="43"/>
      <c r="Z1506" s="37"/>
      <c r="AA1506" s="37"/>
      <c r="AD1506" s="37"/>
      <c r="AE1506" s="37"/>
      <c r="AF1506" s="37"/>
    </row>
    <row r="1507" spans="1:32" x14ac:dyDescent="0.25">
      <c r="A1507" s="37"/>
      <c r="B1507" s="37"/>
      <c r="C1507" s="37"/>
      <c r="F1507" s="38"/>
      <c r="G1507" s="38"/>
      <c r="H1507" s="38"/>
      <c r="I1507" s="37"/>
      <c r="J1507" s="38"/>
      <c r="K1507" s="38"/>
      <c r="L1507" s="42"/>
      <c r="M1507" s="42"/>
      <c r="N1507" s="42"/>
      <c r="O1507" s="42"/>
      <c r="R1507" s="37"/>
      <c r="S1507" s="37"/>
      <c r="T1507" s="91"/>
      <c r="U1507" s="91"/>
      <c r="V1507" s="41"/>
      <c r="W1507" s="37"/>
      <c r="X1507" s="37"/>
      <c r="Y1507" s="43"/>
      <c r="Z1507" s="37"/>
      <c r="AA1507" s="37"/>
      <c r="AD1507" s="37"/>
      <c r="AE1507" s="37"/>
      <c r="AF1507" s="37"/>
    </row>
    <row r="1508" spans="1:32" x14ac:dyDescent="0.25">
      <c r="A1508" s="37"/>
      <c r="B1508" s="37"/>
      <c r="C1508" s="37"/>
      <c r="F1508" s="38"/>
      <c r="G1508" s="38"/>
      <c r="H1508" s="38"/>
      <c r="I1508" s="37"/>
      <c r="J1508" s="38"/>
      <c r="K1508" s="38"/>
      <c r="L1508" s="42"/>
      <c r="M1508" s="42"/>
      <c r="N1508" s="42"/>
      <c r="O1508" s="42"/>
      <c r="R1508" s="37"/>
      <c r="S1508" s="37"/>
      <c r="T1508" s="91"/>
      <c r="U1508" s="91"/>
      <c r="V1508" s="41"/>
      <c r="W1508" s="37"/>
      <c r="X1508" s="37"/>
      <c r="Y1508" s="43"/>
      <c r="Z1508" s="37"/>
      <c r="AA1508" s="37"/>
      <c r="AD1508" s="37"/>
      <c r="AE1508" s="37"/>
      <c r="AF1508" s="37"/>
    </row>
    <row r="1509" spans="1:32" x14ac:dyDescent="0.25">
      <c r="A1509" s="37"/>
      <c r="B1509" s="37"/>
      <c r="C1509" s="37"/>
      <c r="F1509" s="38"/>
      <c r="G1509" s="38"/>
      <c r="H1509" s="38"/>
      <c r="I1509" s="37"/>
      <c r="J1509" s="38"/>
      <c r="K1509" s="38"/>
      <c r="L1509" s="42"/>
      <c r="M1509" s="42"/>
      <c r="N1509" s="42"/>
      <c r="O1509" s="42"/>
      <c r="R1509" s="37"/>
      <c r="S1509" s="37"/>
      <c r="T1509" s="91"/>
      <c r="U1509" s="91"/>
      <c r="V1509" s="41"/>
      <c r="W1509" s="37"/>
      <c r="X1509" s="37"/>
      <c r="Y1509" s="43"/>
      <c r="Z1509" s="37"/>
      <c r="AA1509" s="37"/>
      <c r="AD1509" s="37"/>
      <c r="AE1509" s="37"/>
      <c r="AF1509" s="37"/>
    </row>
    <row r="1510" spans="1:32" x14ac:dyDescent="0.25">
      <c r="A1510" s="37"/>
      <c r="B1510" s="37"/>
      <c r="C1510" s="37"/>
      <c r="F1510" s="38"/>
      <c r="G1510" s="38"/>
      <c r="H1510" s="38"/>
      <c r="I1510" s="37"/>
      <c r="J1510" s="38"/>
      <c r="K1510" s="38"/>
      <c r="L1510" s="42"/>
      <c r="M1510" s="42"/>
      <c r="N1510" s="42"/>
      <c r="O1510" s="42"/>
      <c r="R1510" s="37"/>
      <c r="S1510" s="37"/>
      <c r="T1510" s="91"/>
      <c r="U1510" s="91"/>
      <c r="V1510" s="41"/>
      <c r="W1510" s="37"/>
      <c r="X1510" s="37"/>
      <c r="Y1510" s="43"/>
      <c r="Z1510" s="37"/>
      <c r="AA1510" s="37"/>
      <c r="AD1510" s="37"/>
      <c r="AE1510" s="37"/>
      <c r="AF1510" s="37"/>
    </row>
    <row r="1511" spans="1:32" x14ac:dyDescent="0.25">
      <c r="A1511" s="37"/>
      <c r="B1511" s="37"/>
      <c r="C1511" s="37"/>
      <c r="F1511" s="38"/>
      <c r="G1511" s="38"/>
      <c r="H1511" s="38"/>
      <c r="I1511" s="37"/>
      <c r="J1511" s="38"/>
      <c r="K1511" s="38"/>
      <c r="L1511" s="42"/>
      <c r="M1511" s="42"/>
      <c r="N1511" s="42"/>
      <c r="O1511" s="42"/>
      <c r="R1511" s="37"/>
      <c r="S1511" s="37"/>
      <c r="T1511" s="91"/>
      <c r="U1511" s="91"/>
      <c r="V1511" s="41"/>
      <c r="W1511" s="37"/>
      <c r="X1511" s="37"/>
      <c r="Y1511" s="43"/>
      <c r="Z1511" s="37"/>
      <c r="AA1511" s="37"/>
      <c r="AD1511" s="37"/>
      <c r="AE1511" s="37"/>
      <c r="AF1511" s="37"/>
    </row>
    <row r="1512" spans="1:32" x14ac:dyDescent="0.25">
      <c r="A1512" s="37"/>
      <c r="B1512" s="37"/>
      <c r="C1512" s="37"/>
      <c r="F1512" s="38"/>
      <c r="G1512" s="38"/>
      <c r="H1512" s="38"/>
      <c r="I1512" s="37"/>
      <c r="J1512" s="38"/>
      <c r="K1512" s="38"/>
      <c r="L1512" s="42"/>
      <c r="M1512" s="42"/>
      <c r="N1512" s="42"/>
      <c r="O1512" s="42"/>
      <c r="R1512" s="37"/>
      <c r="S1512" s="37"/>
      <c r="T1512" s="91"/>
      <c r="U1512" s="91"/>
      <c r="V1512" s="41"/>
      <c r="W1512" s="37"/>
      <c r="X1512" s="37"/>
      <c r="Y1512" s="43"/>
      <c r="Z1512" s="37"/>
      <c r="AA1512" s="37"/>
      <c r="AD1512" s="37"/>
      <c r="AE1512" s="37"/>
      <c r="AF1512" s="37"/>
    </row>
    <row r="1513" spans="1:32" x14ac:dyDescent="0.25">
      <c r="A1513" s="37"/>
      <c r="B1513" s="37"/>
      <c r="C1513" s="37"/>
      <c r="F1513" s="38"/>
      <c r="G1513" s="38"/>
      <c r="H1513" s="38"/>
      <c r="I1513" s="37"/>
      <c r="J1513" s="38"/>
      <c r="K1513" s="38"/>
      <c r="L1513" s="42"/>
      <c r="M1513" s="42"/>
      <c r="N1513" s="42"/>
      <c r="O1513" s="42"/>
      <c r="R1513" s="37"/>
      <c r="S1513" s="37"/>
      <c r="T1513" s="91"/>
      <c r="U1513" s="91"/>
      <c r="V1513" s="41"/>
      <c r="W1513" s="37"/>
      <c r="X1513" s="37"/>
      <c r="Y1513" s="43"/>
      <c r="Z1513" s="37"/>
      <c r="AA1513" s="37"/>
      <c r="AD1513" s="37"/>
      <c r="AE1513" s="37"/>
      <c r="AF1513" s="37"/>
    </row>
    <row r="1514" spans="1:32" x14ac:dyDescent="0.25">
      <c r="A1514" s="37"/>
      <c r="B1514" s="37"/>
      <c r="C1514" s="37"/>
      <c r="F1514" s="38"/>
      <c r="G1514" s="38"/>
      <c r="H1514" s="38"/>
      <c r="I1514" s="37"/>
      <c r="J1514" s="38"/>
      <c r="K1514" s="38"/>
      <c r="L1514" s="42"/>
      <c r="M1514" s="42"/>
      <c r="N1514" s="42"/>
      <c r="O1514" s="42"/>
      <c r="R1514" s="37"/>
      <c r="S1514" s="37"/>
      <c r="T1514" s="91"/>
      <c r="U1514" s="91"/>
      <c r="V1514" s="41"/>
      <c r="W1514" s="37"/>
      <c r="X1514" s="37"/>
      <c r="Y1514" s="43"/>
      <c r="Z1514" s="37"/>
      <c r="AA1514" s="37"/>
      <c r="AD1514" s="37"/>
      <c r="AE1514" s="37"/>
      <c r="AF1514" s="37"/>
    </row>
    <row r="1515" spans="1:32" x14ac:dyDescent="0.25">
      <c r="A1515" s="37"/>
      <c r="B1515" s="37"/>
      <c r="C1515" s="37"/>
      <c r="F1515" s="38"/>
      <c r="G1515" s="38"/>
      <c r="H1515" s="38"/>
      <c r="I1515" s="37"/>
      <c r="J1515" s="38"/>
      <c r="K1515" s="38"/>
      <c r="L1515" s="42"/>
      <c r="M1515" s="42"/>
      <c r="N1515" s="42"/>
      <c r="O1515" s="42"/>
      <c r="R1515" s="37"/>
      <c r="S1515" s="37"/>
      <c r="T1515" s="91"/>
      <c r="U1515" s="91"/>
      <c r="V1515" s="41"/>
      <c r="W1515" s="37"/>
      <c r="X1515" s="37"/>
      <c r="Y1515" s="43"/>
      <c r="Z1515" s="37"/>
      <c r="AA1515" s="37"/>
      <c r="AD1515" s="37"/>
      <c r="AE1515" s="37"/>
      <c r="AF1515" s="37"/>
    </row>
    <row r="1516" spans="1:32" x14ac:dyDescent="0.25">
      <c r="A1516" s="37"/>
      <c r="B1516" s="37"/>
      <c r="C1516" s="37"/>
      <c r="F1516" s="38"/>
      <c r="G1516" s="38"/>
      <c r="H1516" s="38"/>
      <c r="I1516" s="37"/>
      <c r="J1516" s="38"/>
      <c r="K1516" s="38"/>
      <c r="L1516" s="42"/>
      <c r="M1516" s="42"/>
      <c r="N1516" s="42"/>
      <c r="O1516" s="42"/>
      <c r="R1516" s="37"/>
      <c r="S1516" s="37"/>
      <c r="T1516" s="91"/>
      <c r="U1516" s="91"/>
      <c r="V1516" s="41"/>
      <c r="W1516" s="37"/>
      <c r="X1516" s="37"/>
      <c r="Y1516" s="43"/>
      <c r="Z1516" s="37"/>
      <c r="AA1516" s="37"/>
      <c r="AD1516" s="37"/>
      <c r="AE1516" s="37"/>
      <c r="AF1516" s="37"/>
    </row>
    <row r="1517" spans="1:32" x14ac:dyDescent="0.25">
      <c r="A1517" s="37"/>
      <c r="B1517" s="37"/>
      <c r="C1517" s="37"/>
      <c r="F1517" s="38"/>
      <c r="G1517" s="38"/>
      <c r="H1517" s="38"/>
      <c r="I1517" s="37"/>
      <c r="J1517" s="38"/>
      <c r="K1517" s="38"/>
      <c r="L1517" s="42"/>
      <c r="M1517" s="42"/>
      <c r="N1517" s="42"/>
      <c r="O1517" s="42"/>
      <c r="R1517" s="37"/>
      <c r="S1517" s="37"/>
      <c r="T1517" s="91"/>
      <c r="U1517" s="91"/>
      <c r="V1517" s="41"/>
      <c r="W1517" s="37"/>
      <c r="X1517" s="37"/>
      <c r="Y1517" s="43"/>
      <c r="Z1517" s="37"/>
      <c r="AA1517" s="37"/>
      <c r="AD1517" s="37"/>
      <c r="AE1517" s="37"/>
      <c r="AF1517" s="37"/>
    </row>
    <row r="1518" spans="1:32" x14ac:dyDescent="0.25">
      <c r="A1518" s="37"/>
      <c r="B1518" s="37"/>
      <c r="C1518" s="37"/>
      <c r="F1518" s="38"/>
      <c r="G1518" s="38"/>
      <c r="H1518" s="38"/>
      <c r="I1518" s="37"/>
      <c r="J1518" s="38"/>
      <c r="K1518" s="38"/>
      <c r="L1518" s="42"/>
      <c r="M1518" s="42"/>
      <c r="N1518" s="42"/>
      <c r="O1518" s="42"/>
      <c r="R1518" s="37"/>
      <c r="S1518" s="37"/>
      <c r="T1518" s="91"/>
      <c r="U1518" s="91"/>
      <c r="V1518" s="41"/>
      <c r="W1518" s="37"/>
      <c r="X1518" s="37"/>
      <c r="Y1518" s="43"/>
      <c r="Z1518" s="37"/>
      <c r="AA1518" s="37"/>
      <c r="AD1518" s="37"/>
      <c r="AE1518" s="37"/>
      <c r="AF1518" s="37"/>
    </row>
    <row r="1519" spans="1:32" x14ac:dyDescent="0.25">
      <c r="A1519" s="37"/>
      <c r="B1519" s="37"/>
      <c r="C1519" s="37"/>
      <c r="F1519" s="38"/>
      <c r="G1519" s="38"/>
      <c r="H1519" s="38"/>
      <c r="I1519" s="37"/>
      <c r="J1519" s="38"/>
      <c r="K1519" s="38"/>
      <c r="L1519" s="42"/>
      <c r="M1519" s="42"/>
      <c r="N1519" s="42"/>
      <c r="O1519" s="42"/>
      <c r="R1519" s="37"/>
      <c r="S1519" s="37"/>
      <c r="T1519" s="91"/>
      <c r="U1519" s="91"/>
      <c r="V1519" s="41"/>
      <c r="W1519" s="37"/>
      <c r="X1519" s="37"/>
      <c r="Y1519" s="43"/>
      <c r="Z1519" s="37"/>
      <c r="AA1519" s="37"/>
      <c r="AD1519" s="37"/>
      <c r="AE1519" s="37"/>
      <c r="AF1519" s="37"/>
    </row>
    <row r="1520" spans="1:32" x14ac:dyDescent="0.25">
      <c r="A1520" s="37"/>
      <c r="B1520" s="37"/>
      <c r="C1520" s="37"/>
      <c r="F1520" s="38"/>
      <c r="G1520" s="38"/>
      <c r="H1520" s="38"/>
      <c r="I1520" s="37"/>
      <c r="J1520" s="38"/>
      <c r="K1520" s="38"/>
      <c r="L1520" s="42"/>
      <c r="M1520" s="42"/>
      <c r="N1520" s="42"/>
      <c r="O1520" s="42"/>
      <c r="R1520" s="37"/>
      <c r="S1520" s="37"/>
      <c r="T1520" s="91"/>
      <c r="U1520" s="91"/>
      <c r="V1520" s="41"/>
      <c r="W1520" s="37"/>
      <c r="X1520" s="37"/>
      <c r="Y1520" s="43"/>
      <c r="Z1520" s="37"/>
      <c r="AA1520" s="37"/>
      <c r="AD1520" s="37"/>
      <c r="AE1520" s="37"/>
      <c r="AF1520" s="37"/>
    </row>
    <row r="1521" spans="1:32" x14ac:dyDescent="0.25">
      <c r="A1521" s="37"/>
      <c r="B1521" s="37"/>
      <c r="C1521" s="37"/>
      <c r="F1521" s="38"/>
      <c r="G1521" s="38"/>
      <c r="H1521" s="38"/>
      <c r="I1521" s="37"/>
      <c r="J1521" s="38"/>
      <c r="K1521" s="38"/>
      <c r="L1521" s="42"/>
      <c r="M1521" s="42"/>
      <c r="N1521" s="42"/>
      <c r="O1521" s="42"/>
      <c r="R1521" s="37"/>
      <c r="S1521" s="37"/>
      <c r="T1521" s="91"/>
      <c r="U1521" s="91"/>
      <c r="V1521" s="41"/>
      <c r="W1521" s="37"/>
      <c r="X1521" s="37"/>
      <c r="Y1521" s="43"/>
      <c r="Z1521" s="37"/>
      <c r="AA1521" s="37"/>
      <c r="AD1521" s="37"/>
      <c r="AE1521" s="37"/>
      <c r="AF1521" s="37"/>
    </row>
    <row r="1522" spans="1:32" x14ac:dyDescent="0.25">
      <c r="A1522" s="37"/>
      <c r="B1522" s="37"/>
      <c r="C1522" s="37"/>
      <c r="F1522" s="38"/>
      <c r="G1522" s="38"/>
      <c r="H1522" s="38"/>
      <c r="I1522" s="37"/>
      <c r="J1522" s="38"/>
      <c r="K1522" s="38"/>
      <c r="L1522" s="42"/>
      <c r="M1522" s="42"/>
      <c r="N1522" s="42"/>
      <c r="O1522" s="42"/>
      <c r="R1522" s="37"/>
      <c r="S1522" s="37"/>
      <c r="T1522" s="91"/>
      <c r="U1522" s="91"/>
      <c r="V1522" s="41"/>
      <c r="W1522" s="37"/>
      <c r="X1522" s="37"/>
      <c r="Y1522" s="43"/>
      <c r="Z1522" s="37"/>
      <c r="AA1522" s="37"/>
      <c r="AD1522" s="37"/>
      <c r="AE1522" s="37"/>
      <c r="AF1522" s="37"/>
    </row>
    <row r="1523" spans="1:32" x14ac:dyDescent="0.25">
      <c r="A1523" s="37"/>
      <c r="B1523" s="37"/>
      <c r="C1523" s="37"/>
      <c r="F1523" s="38"/>
      <c r="G1523" s="38"/>
      <c r="H1523" s="38"/>
      <c r="I1523" s="37"/>
      <c r="J1523" s="38"/>
      <c r="K1523" s="38"/>
      <c r="L1523" s="42"/>
      <c r="M1523" s="42"/>
      <c r="N1523" s="42"/>
      <c r="O1523" s="42"/>
      <c r="R1523" s="37"/>
      <c r="S1523" s="37"/>
      <c r="T1523" s="91"/>
      <c r="U1523" s="91"/>
      <c r="V1523" s="41"/>
      <c r="W1523" s="37"/>
      <c r="X1523" s="37"/>
      <c r="Y1523" s="43"/>
      <c r="Z1523" s="37"/>
      <c r="AA1523" s="37"/>
      <c r="AD1523" s="37"/>
      <c r="AE1523" s="37"/>
      <c r="AF1523" s="37"/>
    </row>
    <row r="1524" spans="1:32" x14ac:dyDescent="0.25">
      <c r="A1524" s="37"/>
      <c r="B1524" s="37"/>
      <c r="C1524" s="37"/>
      <c r="F1524" s="38"/>
      <c r="G1524" s="38"/>
      <c r="H1524" s="38"/>
      <c r="I1524" s="37"/>
      <c r="J1524" s="38"/>
      <c r="K1524" s="38"/>
      <c r="L1524" s="42"/>
      <c r="M1524" s="42"/>
      <c r="N1524" s="42"/>
      <c r="O1524" s="42"/>
      <c r="R1524" s="37"/>
      <c r="S1524" s="37"/>
      <c r="T1524" s="91"/>
      <c r="U1524" s="91"/>
      <c r="V1524" s="41"/>
      <c r="W1524" s="37"/>
      <c r="X1524" s="37"/>
      <c r="Y1524" s="43"/>
      <c r="Z1524" s="37"/>
      <c r="AA1524" s="37"/>
      <c r="AD1524" s="37"/>
      <c r="AE1524" s="37"/>
      <c r="AF1524" s="37"/>
    </row>
    <row r="1525" spans="1:32" x14ac:dyDescent="0.25">
      <c r="A1525" s="37"/>
      <c r="B1525" s="37"/>
      <c r="C1525" s="37"/>
      <c r="F1525" s="38"/>
      <c r="G1525" s="38"/>
      <c r="H1525" s="38"/>
      <c r="I1525" s="37"/>
      <c r="J1525" s="38"/>
      <c r="K1525" s="38"/>
      <c r="L1525" s="42"/>
      <c r="M1525" s="42"/>
      <c r="N1525" s="42"/>
      <c r="O1525" s="42"/>
      <c r="R1525" s="37"/>
      <c r="S1525" s="37"/>
      <c r="T1525" s="91"/>
      <c r="U1525" s="91"/>
      <c r="V1525" s="41"/>
      <c r="W1525" s="37"/>
      <c r="X1525" s="37"/>
      <c r="Y1525" s="43"/>
      <c r="Z1525" s="37"/>
      <c r="AA1525" s="37"/>
      <c r="AD1525" s="37"/>
      <c r="AE1525" s="37"/>
      <c r="AF1525" s="37"/>
    </row>
    <row r="1526" spans="1:32" x14ac:dyDescent="0.25">
      <c r="A1526" s="37"/>
      <c r="B1526" s="37"/>
      <c r="C1526" s="37"/>
      <c r="F1526" s="38"/>
      <c r="G1526" s="38"/>
      <c r="H1526" s="38"/>
      <c r="I1526" s="37"/>
      <c r="J1526" s="38"/>
      <c r="K1526" s="38"/>
      <c r="L1526" s="42"/>
      <c r="M1526" s="42"/>
      <c r="N1526" s="42"/>
      <c r="O1526" s="42"/>
      <c r="R1526" s="37"/>
      <c r="S1526" s="37"/>
      <c r="T1526" s="91"/>
      <c r="U1526" s="91"/>
      <c r="V1526" s="41"/>
      <c r="W1526" s="37"/>
      <c r="X1526" s="37"/>
      <c r="Y1526" s="43"/>
      <c r="Z1526" s="37"/>
      <c r="AA1526" s="37"/>
      <c r="AD1526" s="37"/>
      <c r="AE1526" s="37"/>
      <c r="AF1526" s="37"/>
    </row>
    <row r="1527" spans="1:32" x14ac:dyDescent="0.25">
      <c r="A1527" s="37"/>
      <c r="B1527" s="37"/>
      <c r="C1527" s="37"/>
      <c r="F1527" s="38"/>
      <c r="G1527" s="38"/>
      <c r="H1527" s="38"/>
      <c r="I1527" s="37"/>
      <c r="J1527" s="38"/>
      <c r="K1527" s="38"/>
      <c r="L1527" s="42"/>
      <c r="M1527" s="42"/>
      <c r="N1527" s="42"/>
      <c r="O1527" s="42"/>
      <c r="R1527" s="37"/>
      <c r="S1527" s="37"/>
      <c r="T1527" s="91"/>
      <c r="U1527" s="91"/>
      <c r="V1527" s="41"/>
      <c r="W1527" s="37"/>
      <c r="X1527" s="37"/>
      <c r="Y1527" s="43"/>
      <c r="Z1527" s="37"/>
      <c r="AA1527" s="37"/>
      <c r="AD1527" s="37"/>
      <c r="AE1527" s="37"/>
      <c r="AF1527" s="37"/>
    </row>
    <row r="1528" spans="1:32" x14ac:dyDescent="0.25">
      <c r="A1528" s="37"/>
      <c r="B1528" s="37"/>
      <c r="C1528" s="37"/>
      <c r="F1528" s="38"/>
      <c r="G1528" s="38"/>
      <c r="H1528" s="38"/>
      <c r="I1528" s="37"/>
      <c r="J1528" s="38"/>
      <c r="K1528" s="38"/>
      <c r="L1528" s="42"/>
      <c r="M1528" s="42"/>
      <c r="N1528" s="42"/>
      <c r="O1528" s="42"/>
      <c r="R1528" s="37"/>
      <c r="S1528" s="37"/>
      <c r="T1528" s="91"/>
      <c r="U1528" s="91"/>
      <c r="V1528" s="41"/>
      <c r="W1528" s="37"/>
      <c r="X1528" s="37"/>
      <c r="Y1528" s="43"/>
      <c r="Z1528" s="37"/>
      <c r="AA1528" s="37"/>
      <c r="AD1528" s="37"/>
      <c r="AE1528" s="37"/>
      <c r="AF1528" s="37"/>
    </row>
    <row r="1529" spans="1:32" x14ac:dyDescent="0.25">
      <c r="A1529" s="37"/>
      <c r="B1529" s="37"/>
      <c r="C1529" s="37"/>
      <c r="F1529" s="38"/>
      <c r="G1529" s="38"/>
      <c r="H1529" s="38"/>
      <c r="I1529" s="37"/>
      <c r="J1529" s="38"/>
      <c r="K1529" s="38"/>
      <c r="L1529" s="42"/>
      <c r="M1529" s="42"/>
      <c r="N1529" s="42"/>
      <c r="O1529" s="42"/>
      <c r="R1529" s="37"/>
      <c r="S1529" s="37"/>
      <c r="T1529" s="91"/>
      <c r="U1529" s="91"/>
      <c r="V1529" s="41"/>
      <c r="W1529" s="37"/>
      <c r="X1529" s="37"/>
      <c r="Y1529" s="43"/>
      <c r="Z1529" s="37"/>
      <c r="AA1529" s="37"/>
      <c r="AD1529" s="37"/>
      <c r="AE1529" s="37"/>
      <c r="AF1529" s="37"/>
    </row>
    <row r="1530" spans="1:32" x14ac:dyDescent="0.25">
      <c r="A1530" s="37"/>
      <c r="B1530" s="37"/>
      <c r="C1530" s="37"/>
      <c r="F1530" s="38"/>
      <c r="G1530" s="38"/>
      <c r="H1530" s="38"/>
      <c r="I1530" s="37"/>
      <c r="J1530" s="38"/>
      <c r="K1530" s="38"/>
      <c r="L1530" s="42"/>
      <c r="M1530" s="42"/>
      <c r="N1530" s="42"/>
      <c r="O1530" s="42"/>
      <c r="R1530" s="37"/>
      <c r="S1530" s="37"/>
      <c r="T1530" s="91"/>
      <c r="U1530" s="91"/>
      <c r="V1530" s="41"/>
      <c r="W1530" s="37"/>
      <c r="X1530" s="37"/>
      <c r="Y1530" s="43"/>
      <c r="Z1530" s="37"/>
      <c r="AA1530" s="37"/>
      <c r="AD1530" s="37"/>
      <c r="AE1530" s="37"/>
      <c r="AF1530" s="37"/>
    </row>
    <row r="1531" spans="1:32" x14ac:dyDescent="0.25">
      <c r="A1531" s="37"/>
      <c r="B1531" s="37"/>
      <c r="C1531" s="37"/>
      <c r="F1531" s="38"/>
      <c r="G1531" s="38"/>
      <c r="H1531" s="38"/>
      <c r="I1531" s="37"/>
      <c r="J1531" s="38"/>
      <c r="K1531" s="38"/>
      <c r="L1531" s="42"/>
      <c r="M1531" s="42"/>
      <c r="N1531" s="42"/>
      <c r="O1531" s="42"/>
      <c r="R1531" s="37"/>
      <c r="S1531" s="37"/>
      <c r="T1531" s="91"/>
      <c r="U1531" s="91"/>
      <c r="V1531" s="41"/>
      <c r="W1531" s="37"/>
      <c r="X1531" s="37"/>
      <c r="Y1531" s="43"/>
      <c r="Z1531" s="37"/>
      <c r="AA1531" s="37"/>
      <c r="AD1531" s="37"/>
      <c r="AE1531" s="37"/>
      <c r="AF1531" s="37"/>
    </row>
    <row r="1532" spans="1:32" x14ac:dyDescent="0.25">
      <c r="A1532" s="37"/>
      <c r="B1532" s="37"/>
      <c r="C1532" s="37"/>
      <c r="F1532" s="38"/>
      <c r="G1532" s="38"/>
      <c r="H1532" s="38"/>
      <c r="I1532" s="37"/>
      <c r="J1532" s="38"/>
      <c r="K1532" s="38"/>
      <c r="L1532" s="42"/>
      <c r="M1532" s="42"/>
      <c r="N1532" s="42"/>
      <c r="O1532" s="42"/>
      <c r="R1532" s="37"/>
      <c r="S1532" s="37"/>
      <c r="T1532" s="91"/>
      <c r="U1532" s="91"/>
      <c r="V1532" s="41"/>
      <c r="W1532" s="37"/>
      <c r="X1532" s="37"/>
      <c r="Y1532" s="43"/>
      <c r="Z1532" s="37"/>
      <c r="AA1532" s="37"/>
      <c r="AD1532" s="37"/>
      <c r="AE1532" s="37"/>
      <c r="AF1532" s="37"/>
    </row>
    <row r="1533" spans="1:32" x14ac:dyDescent="0.25">
      <c r="A1533" s="37"/>
      <c r="B1533" s="37"/>
      <c r="C1533" s="37"/>
      <c r="F1533" s="38"/>
      <c r="G1533" s="38"/>
      <c r="H1533" s="38"/>
      <c r="I1533" s="37"/>
      <c r="J1533" s="38"/>
      <c r="K1533" s="38"/>
      <c r="L1533" s="42"/>
      <c r="M1533" s="42"/>
      <c r="N1533" s="42"/>
      <c r="O1533" s="42"/>
      <c r="R1533" s="37"/>
      <c r="S1533" s="37"/>
      <c r="T1533" s="91"/>
      <c r="U1533" s="91"/>
      <c r="V1533" s="41"/>
      <c r="W1533" s="37"/>
      <c r="X1533" s="37"/>
      <c r="Y1533" s="43"/>
      <c r="Z1533" s="37"/>
      <c r="AA1533" s="37"/>
      <c r="AD1533" s="37"/>
      <c r="AE1533" s="37"/>
      <c r="AF1533" s="37"/>
    </row>
    <row r="1534" spans="1:32" x14ac:dyDescent="0.25">
      <c r="A1534" s="37"/>
      <c r="B1534" s="37"/>
      <c r="C1534" s="37"/>
      <c r="F1534" s="38"/>
      <c r="G1534" s="38"/>
      <c r="H1534" s="38"/>
      <c r="I1534" s="37"/>
      <c r="J1534" s="38"/>
      <c r="K1534" s="38"/>
      <c r="L1534" s="42"/>
      <c r="M1534" s="42"/>
      <c r="N1534" s="42"/>
      <c r="O1534" s="42"/>
      <c r="R1534" s="37"/>
      <c r="S1534" s="37"/>
      <c r="T1534" s="91"/>
      <c r="U1534" s="91"/>
      <c r="V1534" s="41"/>
      <c r="W1534" s="37"/>
      <c r="X1534" s="37"/>
      <c r="Y1534" s="43"/>
      <c r="Z1534" s="37"/>
      <c r="AA1534" s="37"/>
      <c r="AD1534" s="37"/>
      <c r="AE1534" s="37"/>
      <c r="AF1534" s="37"/>
    </row>
    <row r="1535" spans="1:32" x14ac:dyDescent="0.25">
      <c r="A1535" s="37"/>
      <c r="B1535" s="37"/>
      <c r="C1535" s="37"/>
      <c r="F1535" s="38"/>
      <c r="G1535" s="38"/>
      <c r="H1535" s="38"/>
      <c r="I1535" s="37"/>
      <c r="J1535" s="38"/>
      <c r="K1535" s="38"/>
      <c r="L1535" s="42"/>
      <c r="M1535" s="42"/>
      <c r="N1535" s="42"/>
      <c r="O1535" s="42"/>
      <c r="R1535" s="37"/>
      <c r="S1535" s="37"/>
      <c r="T1535" s="91"/>
      <c r="U1535" s="91"/>
      <c r="V1535" s="41"/>
      <c r="W1535" s="37"/>
      <c r="X1535" s="37"/>
      <c r="Y1535" s="43"/>
      <c r="Z1535" s="37"/>
      <c r="AA1535" s="37"/>
      <c r="AD1535" s="37"/>
      <c r="AE1535" s="37"/>
      <c r="AF1535" s="37"/>
    </row>
    <row r="1536" spans="1:32" x14ac:dyDescent="0.25">
      <c r="A1536" s="37"/>
      <c r="B1536" s="37"/>
      <c r="C1536" s="37"/>
      <c r="F1536" s="38"/>
      <c r="G1536" s="38"/>
      <c r="H1536" s="38"/>
      <c r="I1536" s="37"/>
      <c r="J1536" s="38"/>
      <c r="K1536" s="38"/>
      <c r="L1536" s="42"/>
      <c r="M1536" s="42"/>
      <c r="N1536" s="42"/>
      <c r="O1536" s="42"/>
      <c r="R1536" s="37"/>
      <c r="S1536" s="37"/>
      <c r="T1536" s="91"/>
      <c r="U1536" s="91"/>
      <c r="V1536" s="41"/>
      <c r="W1536" s="37"/>
      <c r="X1536" s="37"/>
      <c r="Y1536" s="43"/>
      <c r="Z1536" s="37"/>
      <c r="AA1536" s="37"/>
      <c r="AD1536" s="37"/>
      <c r="AE1536" s="37"/>
      <c r="AF1536" s="37"/>
    </row>
    <row r="1537" spans="1:32" x14ac:dyDescent="0.25">
      <c r="A1537" s="37"/>
      <c r="B1537" s="37"/>
      <c r="C1537" s="37"/>
      <c r="F1537" s="38"/>
      <c r="G1537" s="38"/>
      <c r="H1537" s="38"/>
      <c r="I1537" s="37"/>
      <c r="J1537" s="38"/>
      <c r="K1537" s="38"/>
      <c r="L1537" s="42"/>
      <c r="M1537" s="42"/>
      <c r="N1537" s="42"/>
      <c r="O1537" s="42"/>
      <c r="R1537" s="37"/>
      <c r="S1537" s="37"/>
      <c r="T1537" s="91"/>
      <c r="U1537" s="91"/>
      <c r="V1537" s="41"/>
      <c r="W1537" s="37"/>
      <c r="X1537" s="37"/>
      <c r="Y1537" s="43"/>
      <c r="Z1537" s="37"/>
      <c r="AA1537" s="37"/>
      <c r="AD1537" s="37"/>
      <c r="AE1537" s="37"/>
      <c r="AF1537" s="37"/>
    </row>
    <row r="1538" spans="1:32" x14ac:dyDescent="0.25">
      <c r="A1538" s="37"/>
      <c r="B1538" s="37"/>
      <c r="C1538" s="37"/>
      <c r="F1538" s="38"/>
      <c r="G1538" s="38"/>
      <c r="H1538" s="38"/>
      <c r="I1538" s="37"/>
      <c r="J1538" s="38"/>
      <c r="K1538" s="38"/>
      <c r="L1538" s="42"/>
      <c r="M1538" s="42"/>
      <c r="N1538" s="42"/>
      <c r="O1538" s="42"/>
      <c r="R1538" s="37"/>
      <c r="S1538" s="37"/>
      <c r="T1538" s="91"/>
      <c r="U1538" s="91"/>
      <c r="V1538" s="41"/>
      <c r="W1538" s="37"/>
      <c r="X1538" s="37"/>
      <c r="Y1538" s="43"/>
      <c r="Z1538" s="37"/>
      <c r="AA1538" s="37"/>
      <c r="AD1538" s="37"/>
      <c r="AE1538" s="37"/>
      <c r="AF1538" s="37"/>
    </row>
    <row r="1539" spans="1:32" x14ac:dyDescent="0.25">
      <c r="A1539" s="37"/>
      <c r="B1539" s="37"/>
      <c r="C1539" s="37"/>
      <c r="F1539" s="38"/>
      <c r="G1539" s="38"/>
      <c r="H1539" s="38"/>
      <c r="I1539" s="37"/>
      <c r="J1539" s="38"/>
      <c r="K1539" s="38"/>
      <c r="L1539" s="42"/>
      <c r="M1539" s="42"/>
      <c r="N1539" s="42"/>
      <c r="O1539" s="42"/>
      <c r="R1539" s="37"/>
      <c r="S1539" s="37"/>
      <c r="T1539" s="91"/>
      <c r="U1539" s="91"/>
      <c r="V1539" s="41"/>
      <c r="W1539" s="37"/>
      <c r="X1539" s="37"/>
      <c r="Y1539" s="43"/>
      <c r="Z1539" s="37"/>
      <c r="AA1539" s="37"/>
      <c r="AD1539" s="37"/>
      <c r="AE1539" s="37"/>
      <c r="AF1539" s="37"/>
    </row>
    <row r="1540" spans="1:32" x14ac:dyDescent="0.25">
      <c r="A1540" s="37"/>
      <c r="B1540" s="37"/>
      <c r="C1540" s="37"/>
      <c r="F1540" s="38"/>
      <c r="G1540" s="38"/>
      <c r="H1540" s="38"/>
      <c r="I1540" s="37"/>
      <c r="J1540" s="38"/>
      <c r="K1540" s="38"/>
      <c r="L1540" s="42"/>
      <c r="M1540" s="42"/>
      <c r="N1540" s="42"/>
      <c r="O1540" s="42"/>
      <c r="R1540" s="37"/>
      <c r="S1540" s="37"/>
      <c r="T1540" s="91"/>
      <c r="U1540" s="91"/>
      <c r="V1540" s="41"/>
      <c r="W1540" s="37"/>
      <c r="X1540" s="37"/>
      <c r="Y1540" s="43"/>
      <c r="Z1540" s="37"/>
      <c r="AA1540" s="37"/>
      <c r="AD1540" s="37"/>
      <c r="AE1540" s="37"/>
      <c r="AF1540" s="37"/>
    </row>
    <row r="1541" spans="1:32" x14ac:dyDescent="0.25">
      <c r="A1541" s="37"/>
      <c r="B1541" s="37"/>
      <c r="C1541" s="37"/>
      <c r="F1541" s="38"/>
      <c r="G1541" s="38"/>
      <c r="H1541" s="38"/>
      <c r="I1541" s="37"/>
      <c r="J1541" s="38"/>
      <c r="K1541" s="38"/>
      <c r="L1541" s="42"/>
      <c r="M1541" s="42"/>
      <c r="N1541" s="42"/>
      <c r="O1541" s="42"/>
      <c r="R1541" s="37"/>
      <c r="S1541" s="37"/>
      <c r="T1541" s="91"/>
      <c r="U1541" s="91"/>
      <c r="V1541" s="41"/>
      <c r="W1541" s="37"/>
      <c r="X1541" s="37"/>
      <c r="Y1541" s="43"/>
      <c r="Z1541" s="37"/>
      <c r="AA1541" s="37"/>
      <c r="AD1541" s="37"/>
      <c r="AE1541" s="37"/>
      <c r="AF1541" s="37"/>
    </row>
    <row r="1542" spans="1:32" x14ac:dyDescent="0.25">
      <c r="A1542" s="37"/>
      <c r="B1542" s="37"/>
      <c r="C1542" s="37"/>
      <c r="F1542" s="38"/>
      <c r="G1542" s="38"/>
      <c r="H1542" s="38"/>
      <c r="I1542" s="37"/>
      <c r="J1542" s="38"/>
      <c r="K1542" s="38"/>
      <c r="L1542" s="42"/>
      <c r="M1542" s="42"/>
      <c r="N1542" s="42"/>
      <c r="O1542" s="42"/>
      <c r="R1542" s="37"/>
      <c r="S1542" s="37"/>
      <c r="T1542" s="91"/>
      <c r="U1542" s="91"/>
      <c r="V1542" s="41"/>
      <c r="W1542" s="37"/>
      <c r="X1542" s="37"/>
      <c r="Y1542" s="43"/>
      <c r="Z1542" s="37"/>
      <c r="AA1542" s="37"/>
      <c r="AD1542" s="37"/>
      <c r="AE1542" s="37"/>
      <c r="AF1542" s="37"/>
    </row>
    <row r="1543" spans="1:32" x14ac:dyDescent="0.25">
      <c r="A1543" s="37"/>
      <c r="B1543" s="37"/>
      <c r="C1543" s="37"/>
      <c r="F1543" s="38"/>
      <c r="G1543" s="38"/>
      <c r="H1543" s="38"/>
      <c r="I1543" s="37"/>
      <c r="J1543" s="38"/>
      <c r="K1543" s="38"/>
      <c r="L1543" s="42"/>
      <c r="M1543" s="42"/>
      <c r="N1543" s="42"/>
      <c r="O1543" s="42"/>
      <c r="R1543" s="37"/>
      <c r="S1543" s="37"/>
      <c r="T1543" s="91"/>
      <c r="U1543" s="91"/>
      <c r="V1543" s="41"/>
      <c r="W1543" s="37"/>
      <c r="X1543" s="37"/>
      <c r="Y1543" s="43"/>
      <c r="Z1543" s="37"/>
      <c r="AA1543" s="37"/>
      <c r="AD1543" s="37"/>
      <c r="AE1543" s="37"/>
      <c r="AF1543" s="37"/>
    </row>
    <row r="1544" spans="1:32" x14ac:dyDescent="0.25">
      <c r="A1544" s="37"/>
      <c r="B1544" s="37"/>
      <c r="C1544" s="37"/>
      <c r="F1544" s="38"/>
      <c r="G1544" s="38"/>
      <c r="H1544" s="38"/>
      <c r="I1544" s="37"/>
      <c r="J1544" s="38"/>
      <c r="K1544" s="38"/>
      <c r="L1544" s="42"/>
      <c r="M1544" s="42"/>
      <c r="N1544" s="42"/>
      <c r="O1544" s="42"/>
      <c r="R1544" s="37"/>
      <c r="S1544" s="37"/>
      <c r="T1544" s="91"/>
      <c r="U1544" s="91"/>
      <c r="V1544" s="41"/>
      <c r="W1544" s="37"/>
      <c r="X1544" s="37"/>
      <c r="Y1544" s="43"/>
      <c r="Z1544" s="37"/>
      <c r="AA1544" s="37"/>
      <c r="AD1544" s="37"/>
      <c r="AE1544" s="37"/>
      <c r="AF1544" s="37"/>
    </row>
    <row r="1545" spans="1:32" x14ac:dyDescent="0.25">
      <c r="A1545" s="37"/>
      <c r="B1545" s="37"/>
      <c r="C1545" s="37"/>
      <c r="F1545" s="38"/>
      <c r="G1545" s="38"/>
      <c r="H1545" s="38"/>
      <c r="I1545" s="37"/>
      <c r="J1545" s="38"/>
      <c r="K1545" s="38"/>
      <c r="L1545" s="42"/>
      <c r="M1545" s="42"/>
      <c r="N1545" s="42"/>
      <c r="O1545" s="42"/>
      <c r="R1545" s="37"/>
      <c r="S1545" s="37"/>
      <c r="T1545" s="91"/>
      <c r="U1545" s="91"/>
      <c r="V1545" s="41"/>
      <c r="W1545" s="37"/>
      <c r="X1545" s="37"/>
      <c r="Y1545" s="43"/>
      <c r="Z1545" s="37"/>
      <c r="AA1545" s="37"/>
      <c r="AD1545" s="37"/>
      <c r="AE1545" s="37"/>
      <c r="AF1545" s="37"/>
    </row>
    <row r="1546" spans="1:32" x14ac:dyDescent="0.25">
      <c r="A1546" s="37"/>
      <c r="B1546" s="37"/>
      <c r="C1546" s="37"/>
      <c r="F1546" s="38"/>
      <c r="G1546" s="38"/>
      <c r="H1546" s="38"/>
      <c r="I1546" s="37"/>
      <c r="J1546" s="38"/>
      <c r="K1546" s="38"/>
      <c r="L1546" s="42"/>
      <c r="M1546" s="42"/>
      <c r="N1546" s="42"/>
      <c r="O1546" s="42"/>
      <c r="R1546" s="37"/>
      <c r="S1546" s="37"/>
      <c r="T1546" s="91"/>
      <c r="U1546" s="91"/>
      <c r="V1546" s="41"/>
      <c r="W1546" s="37"/>
      <c r="X1546" s="37"/>
      <c r="Y1546" s="43"/>
      <c r="Z1546" s="37"/>
      <c r="AA1546" s="37"/>
      <c r="AD1546" s="37"/>
      <c r="AE1546" s="37"/>
      <c r="AF1546" s="37"/>
    </row>
    <row r="1547" spans="1:32" x14ac:dyDescent="0.25">
      <c r="A1547" s="37"/>
      <c r="B1547" s="37"/>
      <c r="C1547" s="37"/>
      <c r="F1547" s="38"/>
      <c r="G1547" s="38"/>
      <c r="H1547" s="38"/>
      <c r="I1547" s="37"/>
      <c r="J1547" s="38"/>
      <c r="K1547" s="38"/>
      <c r="L1547" s="42"/>
      <c r="M1547" s="42"/>
      <c r="N1547" s="42"/>
      <c r="O1547" s="42"/>
      <c r="R1547" s="37"/>
      <c r="S1547" s="37"/>
      <c r="T1547" s="91"/>
      <c r="U1547" s="91"/>
      <c r="V1547" s="41"/>
      <c r="W1547" s="37"/>
      <c r="X1547" s="37"/>
      <c r="Y1547" s="43"/>
      <c r="Z1547" s="37"/>
      <c r="AA1547" s="37"/>
      <c r="AD1547" s="37"/>
      <c r="AE1547" s="37"/>
      <c r="AF1547" s="37"/>
    </row>
    <row r="1548" spans="1:32" x14ac:dyDescent="0.25">
      <c r="A1548" s="37"/>
      <c r="B1548" s="37"/>
      <c r="C1548" s="37"/>
      <c r="F1548" s="38"/>
      <c r="G1548" s="38"/>
      <c r="H1548" s="38"/>
      <c r="I1548" s="37"/>
      <c r="J1548" s="38"/>
      <c r="K1548" s="38"/>
      <c r="L1548" s="42"/>
      <c r="M1548" s="42"/>
      <c r="N1548" s="42"/>
      <c r="O1548" s="42"/>
      <c r="R1548" s="37"/>
      <c r="S1548" s="37"/>
      <c r="T1548" s="91"/>
      <c r="U1548" s="91"/>
      <c r="V1548" s="41"/>
      <c r="W1548" s="37"/>
      <c r="X1548" s="37"/>
      <c r="Y1548" s="43"/>
      <c r="Z1548" s="37"/>
      <c r="AA1548" s="37"/>
      <c r="AD1548" s="37"/>
      <c r="AE1548" s="37"/>
      <c r="AF1548" s="37"/>
    </row>
    <row r="1549" spans="1:32" x14ac:dyDescent="0.25">
      <c r="A1549" s="37"/>
      <c r="B1549" s="37"/>
      <c r="C1549" s="37"/>
      <c r="F1549" s="38"/>
      <c r="G1549" s="38"/>
      <c r="H1549" s="38"/>
      <c r="I1549" s="37"/>
      <c r="J1549" s="38"/>
      <c r="K1549" s="38"/>
      <c r="L1549" s="42"/>
      <c r="M1549" s="42"/>
      <c r="N1549" s="42"/>
      <c r="O1549" s="42"/>
      <c r="R1549" s="37"/>
      <c r="S1549" s="37"/>
      <c r="T1549" s="91"/>
      <c r="U1549" s="91"/>
      <c r="V1549" s="41"/>
      <c r="W1549" s="37"/>
      <c r="X1549" s="37"/>
      <c r="Y1549" s="43"/>
      <c r="Z1549" s="37"/>
      <c r="AA1549" s="37"/>
      <c r="AD1549" s="37"/>
      <c r="AE1549" s="37"/>
      <c r="AF1549" s="37"/>
    </row>
    <row r="1550" spans="1:32" x14ac:dyDescent="0.25">
      <c r="A1550" s="37"/>
      <c r="B1550" s="37"/>
      <c r="C1550" s="37"/>
      <c r="F1550" s="38"/>
      <c r="G1550" s="38"/>
      <c r="H1550" s="38"/>
      <c r="I1550" s="37"/>
      <c r="J1550" s="38"/>
      <c r="K1550" s="38"/>
      <c r="L1550" s="42"/>
      <c r="M1550" s="42"/>
      <c r="N1550" s="42"/>
      <c r="O1550" s="42"/>
      <c r="R1550" s="37"/>
      <c r="S1550" s="37"/>
      <c r="T1550" s="91"/>
      <c r="U1550" s="91"/>
      <c r="V1550" s="41"/>
      <c r="W1550" s="37"/>
      <c r="X1550" s="37"/>
      <c r="Y1550" s="43"/>
      <c r="Z1550" s="37"/>
      <c r="AA1550" s="37"/>
      <c r="AD1550" s="37"/>
      <c r="AE1550" s="37"/>
      <c r="AF1550" s="37"/>
    </row>
    <row r="1551" spans="1:32" x14ac:dyDescent="0.25">
      <c r="A1551" s="37"/>
      <c r="B1551" s="37"/>
      <c r="C1551" s="37"/>
      <c r="F1551" s="38"/>
      <c r="G1551" s="38"/>
      <c r="H1551" s="38"/>
      <c r="I1551" s="37"/>
      <c r="J1551" s="38"/>
      <c r="K1551" s="38"/>
      <c r="L1551" s="42"/>
      <c r="M1551" s="42"/>
      <c r="N1551" s="42"/>
      <c r="O1551" s="42"/>
      <c r="R1551" s="37"/>
      <c r="S1551" s="37"/>
      <c r="T1551" s="91"/>
      <c r="U1551" s="91"/>
      <c r="V1551" s="41"/>
      <c r="W1551" s="37"/>
      <c r="X1551" s="37"/>
      <c r="Y1551" s="43"/>
      <c r="Z1551" s="37"/>
      <c r="AA1551" s="37"/>
      <c r="AD1551" s="37"/>
      <c r="AE1551" s="37"/>
      <c r="AF1551" s="37"/>
    </row>
    <row r="1552" spans="1:32" x14ac:dyDescent="0.25">
      <c r="A1552" s="37"/>
      <c r="B1552" s="37"/>
      <c r="C1552" s="37"/>
      <c r="F1552" s="38"/>
      <c r="G1552" s="38"/>
      <c r="H1552" s="38"/>
      <c r="I1552" s="37"/>
      <c r="J1552" s="38"/>
      <c r="K1552" s="38"/>
      <c r="L1552" s="42"/>
      <c r="M1552" s="42"/>
      <c r="N1552" s="42"/>
      <c r="O1552" s="42"/>
      <c r="R1552" s="37"/>
      <c r="S1552" s="37"/>
      <c r="T1552" s="91"/>
      <c r="U1552" s="91"/>
      <c r="V1552" s="41"/>
      <c r="W1552" s="37"/>
      <c r="X1552" s="37"/>
      <c r="Y1552" s="43"/>
      <c r="Z1552" s="37"/>
      <c r="AA1552" s="37"/>
      <c r="AD1552" s="37"/>
      <c r="AE1552" s="37"/>
      <c r="AF1552" s="37"/>
    </row>
    <row r="1553" spans="1:32" x14ac:dyDescent="0.25">
      <c r="A1553" s="37"/>
      <c r="B1553" s="37"/>
      <c r="C1553" s="37"/>
      <c r="F1553" s="38"/>
      <c r="G1553" s="38"/>
      <c r="H1553" s="38"/>
      <c r="I1553" s="37"/>
      <c r="J1553" s="38"/>
      <c r="K1553" s="38"/>
      <c r="L1553" s="42"/>
      <c r="M1553" s="42"/>
      <c r="N1553" s="42"/>
      <c r="O1553" s="42"/>
      <c r="R1553" s="37"/>
      <c r="S1553" s="37"/>
      <c r="T1553" s="91"/>
      <c r="U1553" s="91"/>
      <c r="V1553" s="41"/>
      <c r="W1553" s="37"/>
      <c r="X1553" s="37"/>
      <c r="Y1553" s="43"/>
      <c r="Z1553" s="37"/>
      <c r="AA1553" s="37"/>
      <c r="AD1553" s="37"/>
      <c r="AE1553" s="37"/>
      <c r="AF1553" s="37"/>
    </row>
    <row r="1554" spans="1:32" x14ac:dyDescent="0.25">
      <c r="A1554" s="37"/>
      <c r="B1554" s="37"/>
      <c r="C1554" s="37"/>
      <c r="F1554" s="38"/>
      <c r="G1554" s="38"/>
      <c r="H1554" s="38"/>
      <c r="I1554" s="37"/>
      <c r="J1554" s="38"/>
      <c r="K1554" s="38"/>
      <c r="L1554" s="42"/>
      <c r="M1554" s="42"/>
      <c r="N1554" s="42"/>
      <c r="O1554" s="42"/>
      <c r="R1554" s="37"/>
      <c r="S1554" s="37"/>
      <c r="T1554" s="91"/>
      <c r="U1554" s="91"/>
      <c r="V1554" s="41"/>
      <c r="W1554" s="37"/>
      <c r="X1554" s="37"/>
      <c r="Y1554" s="43"/>
      <c r="Z1554" s="37"/>
      <c r="AA1554" s="37"/>
      <c r="AD1554" s="37"/>
      <c r="AE1554" s="37"/>
      <c r="AF1554" s="37"/>
    </row>
    <row r="1555" spans="1:32" x14ac:dyDescent="0.25">
      <c r="A1555" s="37"/>
      <c r="B1555" s="37"/>
      <c r="C1555" s="37"/>
      <c r="F1555" s="38"/>
      <c r="G1555" s="38"/>
      <c r="H1555" s="38"/>
      <c r="I1555" s="37"/>
      <c r="J1555" s="38"/>
      <c r="K1555" s="38"/>
      <c r="L1555" s="42"/>
      <c r="M1555" s="42"/>
      <c r="N1555" s="42"/>
      <c r="O1555" s="42"/>
      <c r="R1555" s="37"/>
      <c r="S1555" s="37"/>
      <c r="T1555" s="91"/>
      <c r="U1555" s="91"/>
      <c r="V1555" s="41"/>
      <c r="W1555" s="37"/>
      <c r="X1555" s="37"/>
      <c r="Y1555" s="43"/>
      <c r="Z1555" s="37"/>
      <c r="AA1555" s="37"/>
      <c r="AD1555" s="37"/>
      <c r="AE1555" s="37"/>
      <c r="AF1555" s="37"/>
    </row>
    <row r="1556" spans="1:32" x14ac:dyDescent="0.25">
      <c r="A1556" s="37"/>
      <c r="B1556" s="37"/>
      <c r="C1556" s="37"/>
      <c r="F1556" s="38"/>
      <c r="G1556" s="38"/>
      <c r="H1556" s="38"/>
      <c r="I1556" s="37"/>
      <c r="J1556" s="38"/>
      <c r="K1556" s="38"/>
      <c r="L1556" s="42"/>
      <c r="M1556" s="42"/>
      <c r="N1556" s="42"/>
      <c r="O1556" s="42"/>
      <c r="R1556" s="37"/>
      <c r="S1556" s="37"/>
      <c r="T1556" s="91"/>
      <c r="U1556" s="91"/>
      <c r="V1556" s="41"/>
      <c r="W1556" s="37"/>
      <c r="X1556" s="37"/>
      <c r="Y1556" s="43"/>
      <c r="Z1556" s="37"/>
      <c r="AA1556" s="37"/>
      <c r="AD1556" s="37"/>
      <c r="AE1556" s="37"/>
      <c r="AF1556" s="37"/>
    </row>
    <row r="1557" spans="1:32" x14ac:dyDescent="0.25">
      <c r="A1557" s="37"/>
      <c r="B1557" s="37"/>
      <c r="C1557" s="37"/>
      <c r="F1557" s="38"/>
      <c r="G1557" s="38"/>
      <c r="H1557" s="38"/>
      <c r="I1557" s="37"/>
      <c r="J1557" s="38"/>
      <c r="K1557" s="38"/>
      <c r="L1557" s="42"/>
      <c r="M1557" s="42"/>
      <c r="N1557" s="42"/>
      <c r="O1557" s="42"/>
      <c r="R1557" s="37"/>
      <c r="S1557" s="37"/>
      <c r="T1557" s="91"/>
      <c r="U1557" s="91"/>
      <c r="V1557" s="41"/>
      <c r="W1557" s="37"/>
      <c r="X1557" s="37"/>
      <c r="Y1557" s="43"/>
      <c r="Z1557" s="37"/>
      <c r="AA1557" s="37"/>
      <c r="AD1557" s="37"/>
      <c r="AE1557" s="37"/>
      <c r="AF1557" s="37"/>
    </row>
    <row r="1558" spans="1:32" x14ac:dyDescent="0.25">
      <c r="A1558" s="37"/>
      <c r="B1558" s="37"/>
      <c r="C1558" s="37"/>
      <c r="F1558" s="38"/>
      <c r="G1558" s="38"/>
      <c r="H1558" s="38"/>
      <c r="I1558" s="37"/>
      <c r="J1558" s="38"/>
      <c r="K1558" s="38"/>
      <c r="L1558" s="42"/>
      <c r="M1558" s="42"/>
      <c r="N1558" s="42"/>
      <c r="O1558" s="42"/>
      <c r="R1558" s="37"/>
      <c r="S1558" s="37"/>
      <c r="T1558" s="91"/>
      <c r="U1558" s="91"/>
      <c r="V1558" s="41"/>
      <c r="W1558" s="37"/>
      <c r="X1558" s="37"/>
      <c r="Y1558" s="43"/>
      <c r="Z1558" s="37"/>
      <c r="AA1558" s="37"/>
      <c r="AD1558" s="37"/>
      <c r="AE1558" s="37"/>
      <c r="AF1558" s="37"/>
    </row>
    <row r="1559" spans="1:32" x14ac:dyDescent="0.25">
      <c r="A1559" s="37"/>
      <c r="B1559" s="37"/>
      <c r="C1559" s="37"/>
      <c r="F1559" s="38"/>
      <c r="G1559" s="38"/>
      <c r="H1559" s="38"/>
      <c r="I1559" s="37"/>
      <c r="J1559" s="38"/>
      <c r="K1559" s="38"/>
      <c r="L1559" s="42"/>
      <c r="M1559" s="42"/>
      <c r="N1559" s="42"/>
      <c r="O1559" s="42"/>
      <c r="R1559" s="37"/>
      <c r="S1559" s="37"/>
      <c r="T1559" s="91"/>
      <c r="U1559" s="91"/>
      <c r="V1559" s="41"/>
      <c r="W1559" s="37"/>
      <c r="X1559" s="37"/>
      <c r="Y1559" s="43"/>
      <c r="Z1559" s="37"/>
      <c r="AA1559" s="37"/>
      <c r="AD1559" s="37"/>
      <c r="AE1559" s="37"/>
      <c r="AF1559" s="37"/>
    </row>
    <row r="1560" spans="1:32" x14ac:dyDescent="0.25">
      <c r="A1560" s="37"/>
      <c r="B1560" s="37"/>
      <c r="C1560" s="37"/>
      <c r="F1560" s="38"/>
      <c r="G1560" s="38"/>
      <c r="H1560" s="38"/>
      <c r="I1560" s="37"/>
      <c r="J1560" s="38"/>
      <c r="K1560" s="38"/>
      <c r="L1560" s="42"/>
      <c r="M1560" s="42"/>
      <c r="N1560" s="42"/>
      <c r="O1560" s="42"/>
      <c r="R1560" s="37"/>
      <c r="S1560" s="37"/>
      <c r="T1560" s="91"/>
      <c r="U1560" s="91"/>
      <c r="V1560" s="41"/>
      <c r="W1560" s="37"/>
      <c r="X1560" s="37"/>
      <c r="Y1560" s="43"/>
      <c r="Z1560" s="37"/>
      <c r="AA1560" s="37"/>
      <c r="AD1560" s="37"/>
      <c r="AE1560" s="37"/>
      <c r="AF1560" s="37"/>
    </row>
    <row r="1561" spans="1:32" x14ac:dyDescent="0.25">
      <c r="A1561" s="37"/>
      <c r="B1561" s="37"/>
      <c r="C1561" s="37"/>
      <c r="F1561" s="38"/>
      <c r="G1561" s="38"/>
      <c r="H1561" s="38"/>
      <c r="I1561" s="37"/>
      <c r="J1561" s="38"/>
      <c r="K1561" s="38"/>
      <c r="L1561" s="42"/>
      <c r="M1561" s="42"/>
      <c r="N1561" s="42"/>
      <c r="O1561" s="42"/>
      <c r="R1561" s="37"/>
      <c r="S1561" s="37"/>
      <c r="T1561" s="91"/>
      <c r="U1561" s="91"/>
      <c r="V1561" s="41"/>
      <c r="W1561" s="37"/>
      <c r="X1561" s="37"/>
      <c r="Y1561" s="43"/>
      <c r="Z1561" s="37"/>
      <c r="AA1561" s="37"/>
      <c r="AD1561" s="37"/>
      <c r="AE1561" s="37"/>
      <c r="AF1561" s="37"/>
    </row>
    <row r="1562" spans="1:32" x14ac:dyDescent="0.25">
      <c r="A1562" s="37"/>
      <c r="B1562" s="37"/>
      <c r="C1562" s="37"/>
      <c r="F1562" s="38"/>
      <c r="G1562" s="38"/>
      <c r="H1562" s="38"/>
      <c r="I1562" s="37"/>
      <c r="J1562" s="38"/>
      <c r="K1562" s="38"/>
      <c r="L1562" s="42"/>
      <c r="M1562" s="42"/>
      <c r="N1562" s="42"/>
      <c r="O1562" s="42"/>
      <c r="R1562" s="37"/>
      <c r="S1562" s="37"/>
      <c r="T1562" s="91"/>
      <c r="U1562" s="91"/>
      <c r="V1562" s="41"/>
      <c r="W1562" s="37"/>
      <c r="X1562" s="37"/>
      <c r="Y1562" s="43"/>
      <c r="Z1562" s="37"/>
      <c r="AA1562" s="37"/>
      <c r="AD1562" s="37"/>
      <c r="AE1562" s="37"/>
      <c r="AF1562" s="37"/>
    </row>
    <row r="1563" spans="1:32" x14ac:dyDescent="0.25">
      <c r="A1563" s="37"/>
      <c r="B1563" s="37"/>
      <c r="C1563" s="37"/>
      <c r="F1563" s="38"/>
      <c r="G1563" s="38"/>
      <c r="H1563" s="38"/>
      <c r="I1563" s="37"/>
      <c r="J1563" s="38"/>
      <c r="K1563" s="38"/>
      <c r="L1563" s="42"/>
      <c r="M1563" s="42"/>
      <c r="N1563" s="42"/>
      <c r="O1563" s="42"/>
      <c r="R1563" s="37"/>
      <c r="S1563" s="37"/>
      <c r="T1563" s="91"/>
      <c r="U1563" s="91"/>
      <c r="V1563" s="41"/>
      <c r="W1563" s="37"/>
      <c r="X1563" s="37"/>
      <c r="Y1563" s="43"/>
      <c r="Z1563" s="37"/>
      <c r="AA1563" s="37"/>
      <c r="AD1563" s="37"/>
      <c r="AE1563" s="37"/>
      <c r="AF1563" s="37"/>
    </row>
    <row r="1564" spans="1:32" x14ac:dyDescent="0.25">
      <c r="A1564" s="37"/>
      <c r="B1564" s="37"/>
      <c r="C1564" s="37"/>
      <c r="F1564" s="38"/>
      <c r="G1564" s="38"/>
      <c r="H1564" s="38"/>
      <c r="I1564" s="37"/>
      <c r="J1564" s="38"/>
      <c r="K1564" s="38"/>
      <c r="L1564" s="42"/>
      <c r="M1564" s="42"/>
      <c r="N1564" s="42"/>
      <c r="O1564" s="42"/>
      <c r="R1564" s="37"/>
      <c r="S1564" s="37"/>
      <c r="T1564" s="91"/>
      <c r="U1564" s="91"/>
      <c r="V1564" s="41"/>
      <c r="W1564" s="37"/>
      <c r="X1564" s="37"/>
      <c r="Y1564" s="43"/>
      <c r="Z1564" s="37"/>
      <c r="AA1564" s="37"/>
      <c r="AD1564" s="37"/>
      <c r="AE1564" s="37"/>
      <c r="AF1564" s="37"/>
    </row>
    <row r="1565" spans="1:32" x14ac:dyDescent="0.25">
      <c r="A1565" s="37"/>
      <c r="B1565" s="37"/>
      <c r="C1565" s="37"/>
      <c r="F1565" s="38"/>
      <c r="G1565" s="38"/>
      <c r="H1565" s="38"/>
      <c r="I1565" s="37"/>
      <c r="J1565" s="38"/>
      <c r="K1565" s="38"/>
      <c r="L1565" s="42"/>
      <c r="M1565" s="42"/>
      <c r="N1565" s="42"/>
      <c r="O1565" s="42"/>
      <c r="R1565" s="37"/>
      <c r="S1565" s="37"/>
      <c r="T1565" s="91"/>
      <c r="U1565" s="91"/>
      <c r="V1565" s="41"/>
      <c r="W1565" s="37"/>
      <c r="X1565" s="37"/>
      <c r="Y1565" s="43"/>
      <c r="Z1565" s="37"/>
      <c r="AA1565" s="37"/>
      <c r="AD1565" s="37"/>
      <c r="AE1565" s="37"/>
      <c r="AF1565" s="37"/>
    </row>
    <row r="1566" spans="1:32" x14ac:dyDescent="0.25">
      <c r="A1566" s="37"/>
      <c r="B1566" s="37"/>
      <c r="C1566" s="37"/>
      <c r="F1566" s="38"/>
      <c r="G1566" s="38"/>
      <c r="H1566" s="38"/>
      <c r="I1566" s="37"/>
      <c r="J1566" s="38"/>
      <c r="K1566" s="38"/>
      <c r="L1566" s="42"/>
      <c r="M1566" s="42"/>
      <c r="N1566" s="42"/>
      <c r="O1566" s="42"/>
      <c r="R1566" s="37"/>
      <c r="S1566" s="37"/>
      <c r="T1566" s="91"/>
      <c r="U1566" s="91"/>
      <c r="V1566" s="41"/>
      <c r="W1566" s="37"/>
      <c r="X1566" s="37"/>
      <c r="Y1566" s="43"/>
      <c r="Z1566" s="37"/>
      <c r="AA1566" s="37"/>
      <c r="AD1566" s="37"/>
      <c r="AE1566" s="37"/>
      <c r="AF1566" s="37"/>
    </row>
    <row r="1567" spans="1:32" x14ac:dyDescent="0.25">
      <c r="A1567" s="37"/>
      <c r="B1567" s="37"/>
      <c r="C1567" s="37"/>
      <c r="F1567" s="38"/>
      <c r="G1567" s="38"/>
      <c r="H1567" s="38"/>
      <c r="I1567" s="37"/>
      <c r="J1567" s="38"/>
      <c r="K1567" s="38"/>
      <c r="L1567" s="42"/>
      <c r="M1567" s="42"/>
      <c r="N1567" s="42"/>
      <c r="O1567" s="42"/>
      <c r="R1567" s="37"/>
      <c r="S1567" s="37"/>
      <c r="T1567" s="91"/>
      <c r="U1567" s="91"/>
      <c r="V1567" s="41"/>
      <c r="W1567" s="37"/>
      <c r="X1567" s="37"/>
      <c r="Y1567" s="43"/>
      <c r="Z1567" s="37"/>
      <c r="AA1567" s="37"/>
      <c r="AD1567" s="37"/>
      <c r="AE1567" s="37"/>
      <c r="AF1567" s="37"/>
    </row>
    <row r="1568" spans="1:32" x14ac:dyDescent="0.25">
      <c r="A1568" s="37"/>
      <c r="B1568" s="37"/>
      <c r="C1568" s="37"/>
      <c r="F1568" s="38"/>
      <c r="G1568" s="38"/>
      <c r="H1568" s="38"/>
      <c r="I1568" s="37"/>
      <c r="J1568" s="38"/>
      <c r="K1568" s="38"/>
      <c r="L1568" s="42"/>
      <c r="M1568" s="42"/>
      <c r="N1568" s="42"/>
      <c r="O1568" s="42"/>
      <c r="R1568" s="37"/>
      <c r="S1568" s="37"/>
      <c r="T1568" s="91"/>
      <c r="U1568" s="91"/>
      <c r="V1568" s="41"/>
      <c r="W1568" s="37"/>
      <c r="X1568" s="37"/>
      <c r="Y1568" s="43"/>
      <c r="Z1568" s="37"/>
      <c r="AA1568" s="37"/>
      <c r="AD1568" s="37"/>
      <c r="AE1568" s="37"/>
      <c r="AF1568" s="37"/>
    </row>
    <row r="1569" spans="1:32" x14ac:dyDescent="0.25">
      <c r="A1569" s="37"/>
      <c r="B1569" s="37"/>
      <c r="C1569" s="37"/>
      <c r="F1569" s="38"/>
      <c r="G1569" s="38"/>
      <c r="H1569" s="38"/>
      <c r="I1569" s="37"/>
      <c r="J1569" s="38"/>
      <c r="K1569" s="38"/>
      <c r="L1569" s="42"/>
      <c r="M1569" s="42"/>
      <c r="N1569" s="42"/>
      <c r="O1569" s="42"/>
      <c r="R1569" s="37"/>
      <c r="S1569" s="37"/>
      <c r="T1569" s="91"/>
      <c r="U1569" s="91"/>
      <c r="V1569" s="41"/>
      <c r="W1569" s="37"/>
      <c r="X1569" s="37"/>
      <c r="Y1569" s="43"/>
      <c r="Z1569" s="37"/>
      <c r="AA1569" s="37"/>
      <c r="AD1569" s="37"/>
      <c r="AE1569" s="37"/>
      <c r="AF1569" s="37"/>
    </row>
    <row r="1570" spans="1:32" x14ac:dyDescent="0.25">
      <c r="A1570" s="37"/>
      <c r="B1570" s="37"/>
      <c r="C1570" s="37"/>
      <c r="F1570" s="38"/>
      <c r="G1570" s="38"/>
      <c r="H1570" s="38"/>
      <c r="I1570" s="37"/>
      <c r="J1570" s="38"/>
      <c r="K1570" s="38"/>
      <c r="L1570" s="42"/>
      <c r="M1570" s="42"/>
      <c r="N1570" s="42"/>
      <c r="O1570" s="42"/>
      <c r="R1570" s="37"/>
      <c r="S1570" s="37"/>
      <c r="T1570" s="91"/>
      <c r="U1570" s="91"/>
      <c r="V1570" s="41"/>
      <c r="W1570" s="37"/>
      <c r="X1570" s="37"/>
      <c r="Y1570" s="43"/>
      <c r="Z1570" s="37"/>
      <c r="AA1570" s="37"/>
      <c r="AD1570" s="37"/>
      <c r="AE1570" s="37"/>
      <c r="AF1570" s="37"/>
    </row>
    <row r="1571" spans="1:32" x14ac:dyDescent="0.25">
      <c r="A1571" s="37"/>
      <c r="B1571" s="37"/>
      <c r="C1571" s="37"/>
      <c r="F1571" s="38"/>
      <c r="G1571" s="38"/>
      <c r="H1571" s="38"/>
      <c r="I1571" s="37"/>
      <c r="J1571" s="38"/>
      <c r="K1571" s="38"/>
      <c r="L1571" s="42"/>
      <c r="M1571" s="42"/>
      <c r="N1571" s="42"/>
      <c r="O1571" s="42"/>
      <c r="R1571" s="37"/>
      <c r="S1571" s="37"/>
      <c r="T1571" s="91"/>
      <c r="U1571" s="91"/>
      <c r="V1571" s="41"/>
      <c r="W1571" s="37"/>
      <c r="X1571" s="37"/>
      <c r="Y1571" s="43"/>
      <c r="Z1571" s="37"/>
      <c r="AA1571" s="37"/>
      <c r="AD1571" s="37"/>
      <c r="AE1571" s="37"/>
      <c r="AF1571" s="37"/>
    </row>
    <row r="1572" spans="1:32" x14ac:dyDescent="0.25">
      <c r="A1572" s="37"/>
      <c r="B1572" s="37"/>
      <c r="C1572" s="37"/>
      <c r="F1572" s="38"/>
      <c r="G1572" s="38"/>
      <c r="H1572" s="38"/>
      <c r="I1572" s="37"/>
      <c r="J1572" s="38"/>
      <c r="K1572" s="38"/>
      <c r="L1572" s="42"/>
      <c r="M1572" s="42"/>
      <c r="N1572" s="42"/>
      <c r="O1572" s="42"/>
      <c r="R1572" s="37"/>
      <c r="S1572" s="37"/>
      <c r="T1572" s="91"/>
      <c r="U1572" s="91"/>
      <c r="V1572" s="41"/>
      <c r="W1572" s="37"/>
      <c r="X1572" s="37"/>
      <c r="Y1572" s="43"/>
      <c r="Z1572" s="37"/>
      <c r="AA1572" s="37"/>
      <c r="AD1572" s="37"/>
      <c r="AE1572" s="37"/>
      <c r="AF1572" s="37"/>
    </row>
    <row r="1573" spans="1:32" x14ac:dyDescent="0.25">
      <c r="A1573" s="37"/>
      <c r="B1573" s="37"/>
      <c r="C1573" s="37"/>
      <c r="F1573" s="38"/>
      <c r="G1573" s="38"/>
      <c r="H1573" s="38"/>
      <c r="I1573" s="37"/>
      <c r="J1573" s="38"/>
      <c r="K1573" s="38"/>
      <c r="L1573" s="42"/>
      <c r="M1573" s="42"/>
      <c r="N1573" s="42"/>
      <c r="O1573" s="42"/>
      <c r="R1573" s="37"/>
      <c r="S1573" s="37"/>
      <c r="T1573" s="91"/>
      <c r="U1573" s="91"/>
      <c r="V1573" s="41"/>
      <c r="W1573" s="37"/>
      <c r="X1573" s="37"/>
      <c r="Y1573" s="43"/>
      <c r="Z1573" s="37"/>
      <c r="AA1573" s="37"/>
      <c r="AD1573" s="37"/>
      <c r="AE1573" s="37"/>
      <c r="AF1573" s="37"/>
    </row>
    <row r="1574" spans="1:32" x14ac:dyDescent="0.25">
      <c r="A1574" s="37"/>
      <c r="B1574" s="37"/>
      <c r="C1574" s="37"/>
      <c r="F1574" s="38"/>
      <c r="G1574" s="38"/>
      <c r="H1574" s="38"/>
      <c r="I1574" s="37"/>
      <c r="J1574" s="38"/>
      <c r="K1574" s="38"/>
      <c r="L1574" s="42"/>
      <c r="M1574" s="42"/>
      <c r="N1574" s="42"/>
      <c r="O1574" s="42"/>
      <c r="R1574" s="37"/>
      <c r="S1574" s="37"/>
      <c r="T1574" s="91"/>
      <c r="U1574" s="91"/>
      <c r="V1574" s="41"/>
      <c r="W1574" s="37"/>
      <c r="X1574" s="37"/>
      <c r="Y1574" s="43"/>
      <c r="Z1574" s="37"/>
      <c r="AA1574" s="37"/>
      <c r="AD1574" s="37"/>
      <c r="AE1574" s="37"/>
      <c r="AF1574" s="37"/>
    </row>
    <row r="1575" spans="1:32" x14ac:dyDescent="0.25">
      <c r="A1575" s="37"/>
      <c r="B1575" s="37"/>
      <c r="C1575" s="37"/>
      <c r="F1575" s="38"/>
      <c r="G1575" s="38"/>
      <c r="H1575" s="38"/>
      <c r="I1575" s="37"/>
      <c r="J1575" s="38"/>
      <c r="K1575" s="38"/>
      <c r="L1575" s="42"/>
      <c r="M1575" s="42"/>
      <c r="N1575" s="42"/>
      <c r="O1575" s="42"/>
      <c r="R1575" s="37"/>
      <c r="S1575" s="37"/>
      <c r="T1575" s="91"/>
      <c r="U1575" s="91"/>
      <c r="V1575" s="41"/>
      <c r="W1575" s="37"/>
      <c r="X1575" s="37"/>
      <c r="Y1575" s="43"/>
      <c r="Z1575" s="37"/>
      <c r="AA1575" s="37"/>
      <c r="AD1575" s="37"/>
      <c r="AE1575" s="37"/>
      <c r="AF1575" s="37"/>
    </row>
    <row r="1576" spans="1:32" x14ac:dyDescent="0.25">
      <c r="A1576" s="37"/>
      <c r="B1576" s="37"/>
      <c r="C1576" s="37"/>
      <c r="F1576" s="38"/>
      <c r="G1576" s="38"/>
      <c r="H1576" s="38"/>
      <c r="I1576" s="37"/>
      <c r="J1576" s="38"/>
      <c r="K1576" s="38"/>
      <c r="L1576" s="42"/>
      <c r="M1576" s="42"/>
      <c r="N1576" s="42"/>
      <c r="O1576" s="42"/>
      <c r="R1576" s="37"/>
      <c r="S1576" s="37"/>
      <c r="T1576" s="91"/>
      <c r="U1576" s="91"/>
      <c r="V1576" s="41"/>
      <c r="W1576" s="37"/>
      <c r="X1576" s="37"/>
      <c r="Y1576" s="43"/>
      <c r="Z1576" s="37"/>
      <c r="AA1576" s="37"/>
      <c r="AD1576" s="37"/>
      <c r="AE1576" s="37"/>
      <c r="AF1576" s="37"/>
    </row>
    <row r="1577" spans="1:32" x14ac:dyDescent="0.25">
      <c r="A1577" s="37"/>
      <c r="B1577" s="37"/>
      <c r="C1577" s="37"/>
      <c r="F1577" s="38"/>
      <c r="G1577" s="38"/>
      <c r="H1577" s="38"/>
      <c r="I1577" s="37"/>
      <c r="J1577" s="38"/>
      <c r="K1577" s="38"/>
      <c r="L1577" s="42"/>
      <c r="M1577" s="42"/>
      <c r="N1577" s="42"/>
      <c r="O1577" s="42"/>
      <c r="R1577" s="37"/>
      <c r="S1577" s="37"/>
      <c r="T1577" s="91"/>
      <c r="U1577" s="91"/>
      <c r="V1577" s="41"/>
      <c r="W1577" s="37"/>
      <c r="X1577" s="37"/>
      <c r="Y1577" s="43"/>
      <c r="Z1577" s="37"/>
      <c r="AA1577" s="37"/>
      <c r="AD1577" s="37"/>
      <c r="AE1577" s="37"/>
      <c r="AF1577" s="37"/>
    </row>
    <row r="1578" spans="1:32" x14ac:dyDescent="0.25">
      <c r="A1578" s="37"/>
      <c r="B1578" s="37"/>
      <c r="C1578" s="37"/>
      <c r="F1578" s="38"/>
      <c r="G1578" s="38"/>
      <c r="H1578" s="38"/>
      <c r="I1578" s="37"/>
      <c r="J1578" s="38"/>
      <c r="K1578" s="38"/>
      <c r="L1578" s="42"/>
      <c r="M1578" s="42"/>
      <c r="N1578" s="42"/>
      <c r="O1578" s="42"/>
      <c r="R1578" s="37"/>
      <c r="S1578" s="37"/>
      <c r="T1578" s="91"/>
      <c r="U1578" s="91"/>
      <c r="V1578" s="41"/>
      <c r="W1578" s="37"/>
      <c r="X1578" s="37"/>
      <c r="Y1578" s="43"/>
      <c r="Z1578" s="37"/>
      <c r="AA1578" s="37"/>
      <c r="AD1578" s="37"/>
      <c r="AE1578" s="37"/>
      <c r="AF1578" s="37"/>
    </row>
    <row r="1579" spans="1:32" x14ac:dyDescent="0.25">
      <c r="A1579" s="37"/>
      <c r="B1579" s="37"/>
      <c r="C1579" s="37"/>
      <c r="F1579" s="38"/>
      <c r="G1579" s="38"/>
      <c r="H1579" s="38"/>
      <c r="I1579" s="37"/>
      <c r="J1579" s="38"/>
      <c r="K1579" s="38"/>
      <c r="L1579" s="42"/>
      <c r="M1579" s="42"/>
      <c r="N1579" s="42"/>
      <c r="O1579" s="42"/>
      <c r="R1579" s="37"/>
      <c r="S1579" s="37"/>
      <c r="T1579" s="91"/>
      <c r="U1579" s="91"/>
      <c r="V1579" s="41"/>
      <c r="W1579" s="37"/>
      <c r="X1579" s="37"/>
      <c r="Y1579" s="43"/>
      <c r="Z1579" s="37"/>
      <c r="AA1579" s="37"/>
      <c r="AD1579" s="37"/>
      <c r="AE1579" s="37"/>
      <c r="AF1579" s="37"/>
    </row>
    <row r="1580" spans="1:32" x14ac:dyDescent="0.25">
      <c r="A1580" s="37"/>
      <c r="B1580" s="37"/>
      <c r="C1580" s="37"/>
      <c r="F1580" s="38"/>
      <c r="G1580" s="38"/>
      <c r="H1580" s="38"/>
      <c r="I1580" s="37"/>
      <c r="J1580" s="38"/>
      <c r="K1580" s="38"/>
      <c r="L1580" s="42"/>
      <c r="M1580" s="42"/>
      <c r="N1580" s="42"/>
      <c r="O1580" s="42"/>
      <c r="R1580" s="37"/>
      <c r="S1580" s="37"/>
      <c r="T1580" s="91"/>
      <c r="U1580" s="91"/>
      <c r="V1580" s="41"/>
      <c r="W1580" s="37"/>
      <c r="X1580" s="37"/>
      <c r="Y1580" s="43"/>
      <c r="Z1580" s="37"/>
      <c r="AA1580" s="37"/>
      <c r="AD1580" s="37"/>
      <c r="AE1580" s="37"/>
      <c r="AF1580" s="37"/>
    </row>
    <row r="1581" spans="1:32" x14ac:dyDescent="0.25">
      <c r="A1581" s="37"/>
      <c r="B1581" s="37"/>
      <c r="C1581" s="37"/>
      <c r="F1581" s="38"/>
      <c r="G1581" s="38"/>
      <c r="H1581" s="38"/>
      <c r="I1581" s="37"/>
      <c r="J1581" s="38"/>
      <c r="K1581" s="38"/>
      <c r="L1581" s="42"/>
      <c r="M1581" s="42"/>
      <c r="N1581" s="42"/>
      <c r="O1581" s="42"/>
      <c r="R1581" s="37"/>
      <c r="S1581" s="37"/>
      <c r="T1581" s="91"/>
      <c r="U1581" s="91"/>
      <c r="V1581" s="41"/>
      <c r="W1581" s="37"/>
      <c r="X1581" s="37"/>
      <c r="Y1581" s="43"/>
      <c r="Z1581" s="37"/>
      <c r="AA1581" s="37"/>
      <c r="AD1581" s="37"/>
      <c r="AE1581" s="37"/>
      <c r="AF1581" s="37"/>
    </row>
    <row r="1582" spans="1:32" x14ac:dyDescent="0.25">
      <c r="A1582" s="37"/>
      <c r="B1582" s="37"/>
      <c r="C1582" s="37"/>
      <c r="F1582" s="38"/>
      <c r="G1582" s="38"/>
      <c r="H1582" s="38"/>
      <c r="I1582" s="37"/>
      <c r="J1582" s="38"/>
      <c r="K1582" s="38"/>
      <c r="L1582" s="42"/>
      <c r="M1582" s="42"/>
      <c r="N1582" s="42"/>
      <c r="O1582" s="42"/>
      <c r="R1582" s="37"/>
      <c r="S1582" s="37"/>
      <c r="T1582" s="91"/>
      <c r="U1582" s="91"/>
      <c r="V1582" s="41"/>
      <c r="W1582" s="37"/>
      <c r="X1582" s="37"/>
      <c r="Y1582" s="43"/>
      <c r="Z1582" s="37"/>
      <c r="AA1582" s="37"/>
      <c r="AD1582" s="37"/>
      <c r="AE1582" s="37"/>
      <c r="AF1582" s="37"/>
    </row>
    <row r="1583" spans="1:32" x14ac:dyDescent="0.25">
      <c r="A1583" s="37"/>
      <c r="B1583" s="37"/>
      <c r="C1583" s="37"/>
      <c r="F1583" s="38"/>
      <c r="G1583" s="38"/>
      <c r="H1583" s="38"/>
      <c r="I1583" s="37"/>
      <c r="J1583" s="38"/>
      <c r="K1583" s="38"/>
      <c r="L1583" s="42"/>
      <c r="M1583" s="42"/>
      <c r="N1583" s="42"/>
      <c r="O1583" s="42"/>
      <c r="R1583" s="37"/>
      <c r="S1583" s="37"/>
      <c r="T1583" s="91"/>
      <c r="U1583" s="91"/>
      <c r="V1583" s="41"/>
      <c r="W1583" s="37"/>
      <c r="X1583" s="37"/>
      <c r="Y1583" s="43"/>
      <c r="Z1583" s="37"/>
      <c r="AA1583" s="37"/>
      <c r="AD1583" s="37"/>
      <c r="AE1583" s="37"/>
      <c r="AF1583" s="37"/>
    </row>
    <row r="1584" spans="1:32" x14ac:dyDescent="0.25">
      <c r="A1584" s="37"/>
      <c r="B1584" s="37"/>
      <c r="C1584" s="37"/>
      <c r="F1584" s="38"/>
      <c r="G1584" s="38"/>
      <c r="H1584" s="38"/>
      <c r="I1584" s="37"/>
      <c r="J1584" s="38"/>
      <c r="K1584" s="38"/>
      <c r="L1584" s="42"/>
      <c r="M1584" s="42"/>
      <c r="N1584" s="42"/>
      <c r="O1584" s="42"/>
      <c r="R1584" s="37"/>
      <c r="S1584" s="37"/>
      <c r="T1584" s="91"/>
      <c r="U1584" s="91"/>
      <c r="V1584" s="41"/>
      <c r="W1584" s="37"/>
      <c r="X1584" s="37"/>
      <c r="Y1584" s="43"/>
      <c r="Z1584" s="37"/>
      <c r="AA1584" s="37"/>
      <c r="AD1584" s="37"/>
      <c r="AE1584" s="37"/>
      <c r="AF1584" s="37"/>
    </row>
    <row r="1585" spans="1:32" x14ac:dyDescent="0.25">
      <c r="A1585" s="37"/>
      <c r="B1585" s="37"/>
      <c r="C1585" s="37"/>
      <c r="F1585" s="38"/>
      <c r="G1585" s="38"/>
      <c r="H1585" s="38"/>
      <c r="I1585" s="37"/>
      <c r="J1585" s="38"/>
      <c r="K1585" s="38"/>
      <c r="L1585" s="42"/>
      <c r="M1585" s="42"/>
      <c r="N1585" s="42"/>
      <c r="O1585" s="42"/>
      <c r="R1585" s="37"/>
      <c r="S1585" s="37"/>
      <c r="T1585" s="91"/>
      <c r="U1585" s="91"/>
      <c r="V1585" s="41"/>
      <c r="W1585" s="37"/>
      <c r="X1585" s="37"/>
      <c r="Y1585" s="43"/>
      <c r="Z1585" s="37"/>
      <c r="AA1585" s="37"/>
      <c r="AD1585" s="37"/>
      <c r="AE1585" s="37"/>
      <c r="AF1585" s="37"/>
    </row>
    <row r="1586" spans="1:32" x14ac:dyDescent="0.25">
      <c r="A1586" s="37"/>
      <c r="B1586" s="37"/>
      <c r="C1586" s="37"/>
      <c r="F1586" s="38"/>
      <c r="G1586" s="38"/>
      <c r="H1586" s="38"/>
      <c r="I1586" s="37"/>
      <c r="J1586" s="38"/>
      <c r="K1586" s="38"/>
      <c r="L1586" s="42"/>
      <c r="M1586" s="42"/>
      <c r="N1586" s="42"/>
      <c r="O1586" s="42"/>
      <c r="R1586" s="37"/>
      <c r="S1586" s="37"/>
      <c r="T1586" s="91"/>
      <c r="U1586" s="91"/>
      <c r="V1586" s="41"/>
      <c r="W1586" s="37"/>
      <c r="X1586" s="37"/>
      <c r="Y1586" s="43"/>
      <c r="Z1586" s="37"/>
      <c r="AA1586" s="37"/>
      <c r="AD1586" s="37"/>
      <c r="AE1586" s="37"/>
      <c r="AF1586" s="37"/>
    </row>
    <row r="1587" spans="1:32" x14ac:dyDescent="0.25">
      <c r="A1587" s="37"/>
      <c r="B1587" s="37"/>
      <c r="C1587" s="37"/>
      <c r="F1587" s="38"/>
      <c r="G1587" s="38"/>
      <c r="H1587" s="38"/>
      <c r="I1587" s="37"/>
      <c r="J1587" s="38"/>
      <c r="K1587" s="38"/>
      <c r="L1587" s="42"/>
      <c r="M1587" s="42"/>
      <c r="N1587" s="42"/>
      <c r="O1587" s="42"/>
      <c r="R1587" s="37"/>
      <c r="S1587" s="37"/>
      <c r="T1587" s="91"/>
      <c r="U1587" s="91"/>
      <c r="V1587" s="41"/>
      <c r="W1587" s="37"/>
      <c r="X1587" s="37"/>
      <c r="Y1587" s="43"/>
      <c r="Z1587" s="37"/>
      <c r="AA1587" s="37"/>
      <c r="AD1587" s="37"/>
      <c r="AE1587" s="37"/>
      <c r="AF1587" s="37"/>
    </row>
    <row r="1588" spans="1:32" x14ac:dyDescent="0.25">
      <c r="A1588" s="37"/>
      <c r="B1588" s="37"/>
      <c r="C1588" s="37"/>
      <c r="F1588" s="38"/>
      <c r="G1588" s="38"/>
      <c r="H1588" s="38"/>
      <c r="I1588" s="37"/>
      <c r="J1588" s="38"/>
      <c r="K1588" s="38"/>
      <c r="L1588" s="42"/>
      <c r="M1588" s="42"/>
      <c r="N1588" s="42"/>
      <c r="O1588" s="42"/>
      <c r="R1588" s="37"/>
      <c r="S1588" s="37"/>
      <c r="T1588" s="91"/>
      <c r="U1588" s="91"/>
      <c r="V1588" s="41"/>
      <c r="W1588" s="37"/>
      <c r="X1588" s="37"/>
      <c r="Y1588" s="43"/>
      <c r="Z1588" s="37"/>
      <c r="AA1588" s="37"/>
      <c r="AD1588" s="37"/>
      <c r="AE1588" s="37"/>
      <c r="AF1588" s="37"/>
    </row>
    <row r="1589" spans="1:32" x14ac:dyDescent="0.25">
      <c r="A1589" s="37"/>
      <c r="B1589" s="37"/>
      <c r="C1589" s="37"/>
      <c r="F1589" s="38"/>
      <c r="G1589" s="38"/>
      <c r="H1589" s="38"/>
      <c r="I1589" s="37"/>
      <c r="J1589" s="38"/>
      <c r="K1589" s="38"/>
      <c r="L1589" s="42"/>
      <c r="M1589" s="42"/>
      <c r="N1589" s="42"/>
      <c r="O1589" s="42"/>
      <c r="R1589" s="37"/>
      <c r="S1589" s="37"/>
      <c r="T1589" s="91"/>
      <c r="U1589" s="91"/>
      <c r="V1589" s="41"/>
      <c r="W1589" s="37"/>
      <c r="X1589" s="37"/>
      <c r="Y1589" s="43"/>
      <c r="Z1589" s="37"/>
      <c r="AA1589" s="37"/>
      <c r="AD1589" s="37"/>
      <c r="AE1589" s="37"/>
      <c r="AF1589" s="37"/>
    </row>
    <row r="1590" spans="1:32" x14ac:dyDescent="0.25">
      <c r="A1590" s="37"/>
      <c r="B1590" s="37"/>
      <c r="C1590" s="37"/>
      <c r="F1590" s="38"/>
      <c r="G1590" s="38"/>
      <c r="H1590" s="38"/>
      <c r="I1590" s="37"/>
      <c r="J1590" s="38"/>
      <c r="K1590" s="38"/>
      <c r="L1590" s="42"/>
      <c r="M1590" s="42"/>
      <c r="N1590" s="42"/>
      <c r="O1590" s="42"/>
      <c r="R1590" s="37"/>
      <c r="S1590" s="37"/>
      <c r="T1590" s="91"/>
      <c r="U1590" s="91"/>
      <c r="V1590" s="41"/>
      <c r="W1590" s="37"/>
      <c r="X1590" s="37"/>
      <c r="Y1590" s="43"/>
      <c r="Z1590" s="37"/>
      <c r="AA1590" s="37"/>
      <c r="AD1590" s="37"/>
      <c r="AE1590" s="37"/>
      <c r="AF1590" s="37"/>
    </row>
    <row r="1591" spans="1:32" x14ac:dyDescent="0.25">
      <c r="A1591" s="37"/>
      <c r="B1591" s="37"/>
      <c r="C1591" s="37"/>
      <c r="F1591" s="38"/>
      <c r="G1591" s="38"/>
      <c r="H1591" s="38"/>
      <c r="I1591" s="37"/>
      <c r="J1591" s="38"/>
      <c r="K1591" s="38"/>
      <c r="L1591" s="42"/>
      <c r="M1591" s="42"/>
      <c r="N1591" s="42"/>
      <c r="O1591" s="42"/>
      <c r="R1591" s="37"/>
      <c r="S1591" s="37"/>
      <c r="T1591" s="91"/>
      <c r="U1591" s="91"/>
      <c r="V1591" s="41"/>
      <c r="W1591" s="37"/>
      <c r="X1591" s="37"/>
      <c r="Y1591" s="43"/>
      <c r="Z1591" s="37"/>
      <c r="AA1591" s="37"/>
      <c r="AD1591" s="37"/>
      <c r="AE1591" s="37"/>
      <c r="AF1591" s="37"/>
    </row>
    <row r="1592" spans="1:32" x14ac:dyDescent="0.25">
      <c r="A1592" s="37"/>
      <c r="B1592" s="37"/>
      <c r="C1592" s="37"/>
      <c r="F1592" s="38"/>
      <c r="G1592" s="38"/>
      <c r="H1592" s="38"/>
      <c r="I1592" s="37"/>
      <c r="J1592" s="38"/>
      <c r="K1592" s="38"/>
      <c r="L1592" s="42"/>
      <c r="M1592" s="42"/>
      <c r="N1592" s="42"/>
      <c r="O1592" s="42"/>
      <c r="R1592" s="37"/>
      <c r="S1592" s="37"/>
      <c r="T1592" s="91"/>
      <c r="U1592" s="91"/>
      <c r="V1592" s="41"/>
      <c r="W1592" s="37"/>
      <c r="X1592" s="37"/>
      <c r="Y1592" s="43"/>
      <c r="Z1592" s="37"/>
      <c r="AA1592" s="37"/>
      <c r="AD1592" s="37"/>
      <c r="AE1592" s="37"/>
      <c r="AF1592" s="37"/>
    </row>
    <row r="1593" spans="1:32" x14ac:dyDescent="0.25">
      <c r="A1593" s="37"/>
      <c r="B1593" s="37"/>
      <c r="C1593" s="37"/>
      <c r="F1593" s="38"/>
      <c r="G1593" s="38"/>
      <c r="H1593" s="38"/>
      <c r="I1593" s="37"/>
      <c r="J1593" s="38"/>
      <c r="K1593" s="38"/>
      <c r="L1593" s="42"/>
      <c r="M1593" s="42"/>
      <c r="N1593" s="42"/>
      <c r="O1593" s="42"/>
      <c r="R1593" s="37"/>
      <c r="S1593" s="37"/>
      <c r="T1593" s="91"/>
      <c r="U1593" s="91"/>
      <c r="V1593" s="41"/>
      <c r="W1593" s="37"/>
      <c r="X1593" s="37"/>
      <c r="Y1593" s="43"/>
      <c r="Z1593" s="37"/>
      <c r="AA1593" s="37"/>
      <c r="AD1593" s="37"/>
      <c r="AE1593" s="37"/>
      <c r="AF1593" s="37"/>
    </row>
    <row r="1594" spans="1:32" x14ac:dyDescent="0.25">
      <c r="A1594" s="37"/>
      <c r="B1594" s="37"/>
      <c r="C1594" s="37"/>
      <c r="F1594" s="38"/>
      <c r="G1594" s="38"/>
      <c r="H1594" s="38"/>
      <c r="I1594" s="37"/>
      <c r="J1594" s="38"/>
      <c r="K1594" s="38"/>
      <c r="L1594" s="42"/>
      <c r="M1594" s="42"/>
      <c r="N1594" s="42"/>
      <c r="O1594" s="42"/>
      <c r="R1594" s="37"/>
      <c r="S1594" s="37"/>
      <c r="T1594" s="91"/>
      <c r="U1594" s="91"/>
      <c r="V1594" s="41"/>
      <c r="W1594" s="37"/>
      <c r="X1594" s="37"/>
      <c r="Y1594" s="43"/>
      <c r="Z1594" s="37"/>
      <c r="AA1594" s="37"/>
      <c r="AD1594" s="37"/>
      <c r="AE1594" s="37"/>
      <c r="AF1594" s="37"/>
    </row>
    <row r="1595" spans="1:32" x14ac:dyDescent="0.25">
      <c r="A1595" s="37"/>
      <c r="B1595" s="37"/>
      <c r="C1595" s="37"/>
      <c r="F1595" s="38"/>
      <c r="G1595" s="38"/>
      <c r="H1595" s="38"/>
      <c r="I1595" s="37"/>
      <c r="J1595" s="38"/>
      <c r="K1595" s="38"/>
      <c r="L1595" s="42"/>
      <c r="M1595" s="42"/>
      <c r="N1595" s="42"/>
      <c r="O1595" s="42"/>
      <c r="R1595" s="37"/>
      <c r="S1595" s="37"/>
      <c r="T1595" s="91"/>
      <c r="U1595" s="91"/>
      <c r="V1595" s="41"/>
      <c r="W1595" s="37"/>
      <c r="X1595" s="37"/>
      <c r="Y1595" s="43"/>
      <c r="Z1595" s="37"/>
      <c r="AA1595" s="37"/>
      <c r="AD1595" s="37"/>
      <c r="AE1595" s="37"/>
      <c r="AF1595" s="37"/>
    </row>
    <row r="1596" spans="1:32" x14ac:dyDescent="0.25">
      <c r="A1596" s="37"/>
      <c r="B1596" s="37"/>
      <c r="C1596" s="37"/>
      <c r="F1596" s="38"/>
      <c r="G1596" s="38"/>
      <c r="H1596" s="38"/>
      <c r="I1596" s="37"/>
      <c r="J1596" s="38"/>
      <c r="K1596" s="38"/>
      <c r="L1596" s="42"/>
      <c r="M1596" s="42"/>
      <c r="N1596" s="42"/>
      <c r="O1596" s="42"/>
      <c r="R1596" s="37"/>
      <c r="S1596" s="37"/>
      <c r="T1596" s="91"/>
      <c r="U1596" s="91"/>
      <c r="V1596" s="41"/>
      <c r="W1596" s="37"/>
      <c r="X1596" s="37"/>
      <c r="Y1596" s="43"/>
      <c r="Z1596" s="37"/>
      <c r="AA1596" s="37"/>
      <c r="AD1596" s="37"/>
      <c r="AE1596" s="37"/>
      <c r="AF1596" s="37"/>
    </row>
    <row r="1597" spans="1:32" x14ac:dyDescent="0.25">
      <c r="A1597" s="37"/>
      <c r="B1597" s="37"/>
      <c r="C1597" s="37"/>
      <c r="F1597" s="38"/>
      <c r="G1597" s="38"/>
      <c r="H1597" s="38"/>
      <c r="I1597" s="37"/>
      <c r="J1597" s="38"/>
      <c r="K1597" s="38"/>
      <c r="L1597" s="42"/>
      <c r="M1597" s="42"/>
      <c r="N1597" s="42"/>
      <c r="O1597" s="42"/>
      <c r="R1597" s="37"/>
      <c r="S1597" s="37"/>
      <c r="T1597" s="91"/>
      <c r="U1597" s="91"/>
      <c r="V1597" s="41"/>
      <c r="W1597" s="37"/>
      <c r="X1597" s="37"/>
      <c r="Y1597" s="43"/>
      <c r="Z1597" s="37"/>
      <c r="AA1597" s="37"/>
      <c r="AD1597" s="37"/>
      <c r="AE1597" s="37"/>
      <c r="AF1597" s="37"/>
    </row>
    <row r="1598" spans="1:32" x14ac:dyDescent="0.25">
      <c r="A1598" s="37"/>
      <c r="B1598" s="37"/>
      <c r="C1598" s="37"/>
      <c r="F1598" s="38"/>
      <c r="G1598" s="38"/>
      <c r="H1598" s="38"/>
      <c r="I1598" s="37"/>
      <c r="J1598" s="38"/>
      <c r="K1598" s="38"/>
      <c r="L1598" s="42"/>
      <c r="M1598" s="42"/>
      <c r="N1598" s="42"/>
      <c r="O1598" s="42"/>
      <c r="R1598" s="37"/>
      <c r="S1598" s="37"/>
      <c r="T1598" s="91"/>
      <c r="U1598" s="91"/>
      <c r="V1598" s="41"/>
      <c r="W1598" s="37"/>
      <c r="X1598" s="37"/>
      <c r="Y1598" s="43"/>
      <c r="Z1598" s="37"/>
      <c r="AA1598" s="37"/>
      <c r="AD1598" s="37"/>
      <c r="AE1598" s="37"/>
      <c r="AF1598" s="37"/>
    </row>
    <row r="1599" spans="1:32" x14ac:dyDescent="0.25">
      <c r="A1599" s="37"/>
      <c r="B1599" s="37"/>
      <c r="C1599" s="37"/>
      <c r="F1599" s="38"/>
      <c r="G1599" s="38"/>
      <c r="H1599" s="38"/>
      <c r="I1599" s="37"/>
      <c r="J1599" s="38"/>
      <c r="K1599" s="38"/>
      <c r="L1599" s="42"/>
      <c r="M1599" s="42"/>
      <c r="N1599" s="42"/>
      <c r="O1599" s="42"/>
      <c r="R1599" s="37"/>
      <c r="S1599" s="37"/>
      <c r="T1599" s="91"/>
      <c r="U1599" s="91"/>
      <c r="V1599" s="41"/>
      <c r="W1599" s="37"/>
      <c r="X1599" s="37"/>
      <c r="Y1599" s="43"/>
      <c r="Z1599" s="37"/>
      <c r="AA1599" s="37"/>
      <c r="AD1599" s="37"/>
      <c r="AE1599" s="37"/>
      <c r="AF1599" s="37"/>
    </row>
    <row r="1600" spans="1:32" x14ac:dyDescent="0.25">
      <c r="A1600" s="37"/>
      <c r="B1600" s="37"/>
      <c r="C1600" s="37"/>
      <c r="F1600" s="38"/>
      <c r="G1600" s="38"/>
      <c r="H1600" s="38"/>
      <c r="I1600" s="37"/>
      <c r="J1600" s="38"/>
      <c r="K1600" s="38"/>
      <c r="L1600" s="42"/>
      <c r="M1600" s="42"/>
      <c r="N1600" s="42"/>
      <c r="O1600" s="42"/>
      <c r="R1600" s="37"/>
      <c r="S1600" s="37"/>
      <c r="T1600" s="91"/>
      <c r="U1600" s="91"/>
      <c r="V1600" s="41"/>
      <c r="W1600" s="37"/>
      <c r="X1600" s="37"/>
      <c r="Y1600" s="43"/>
      <c r="Z1600" s="37"/>
      <c r="AA1600" s="37"/>
      <c r="AD1600" s="37"/>
      <c r="AE1600" s="37"/>
      <c r="AF1600" s="37"/>
    </row>
    <row r="1601" spans="1:32" x14ac:dyDescent="0.25">
      <c r="A1601" s="37"/>
      <c r="B1601" s="37"/>
      <c r="C1601" s="37"/>
      <c r="F1601" s="38"/>
      <c r="G1601" s="38"/>
      <c r="H1601" s="38"/>
      <c r="I1601" s="37"/>
      <c r="J1601" s="38"/>
      <c r="K1601" s="38"/>
      <c r="L1601" s="42"/>
      <c r="M1601" s="42"/>
      <c r="N1601" s="42"/>
      <c r="O1601" s="42"/>
      <c r="R1601" s="37"/>
      <c r="S1601" s="37"/>
      <c r="T1601" s="91"/>
      <c r="U1601" s="91"/>
      <c r="V1601" s="41"/>
      <c r="W1601" s="37"/>
      <c r="X1601" s="37"/>
      <c r="Y1601" s="43"/>
      <c r="Z1601" s="37"/>
      <c r="AA1601" s="37"/>
      <c r="AD1601" s="37"/>
      <c r="AE1601" s="37"/>
      <c r="AF1601" s="37"/>
    </row>
    <row r="1602" spans="1:32" x14ac:dyDescent="0.25">
      <c r="A1602" s="37"/>
      <c r="B1602" s="37"/>
      <c r="C1602" s="37"/>
      <c r="F1602" s="38"/>
      <c r="G1602" s="38"/>
      <c r="H1602" s="38"/>
      <c r="I1602" s="37"/>
      <c r="J1602" s="38"/>
      <c r="K1602" s="38"/>
      <c r="L1602" s="42"/>
      <c r="M1602" s="42"/>
      <c r="N1602" s="42"/>
      <c r="O1602" s="42"/>
      <c r="R1602" s="37"/>
      <c r="S1602" s="37"/>
      <c r="T1602" s="91"/>
      <c r="U1602" s="91"/>
      <c r="V1602" s="41"/>
      <c r="W1602" s="37"/>
      <c r="X1602" s="37"/>
      <c r="Y1602" s="43"/>
      <c r="Z1602" s="37"/>
      <c r="AA1602" s="37"/>
      <c r="AD1602" s="37"/>
      <c r="AE1602" s="37"/>
      <c r="AF1602" s="37"/>
    </row>
    <row r="1603" spans="1:32" x14ac:dyDescent="0.25">
      <c r="A1603" s="37"/>
      <c r="B1603" s="37"/>
      <c r="C1603" s="37"/>
      <c r="F1603" s="38"/>
      <c r="G1603" s="38"/>
      <c r="H1603" s="38"/>
      <c r="I1603" s="37"/>
      <c r="J1603" s="38"/>
      <c r="K1603" s="38"/>
      <c r="L1603" s="42"/>
      <c r="M1603" s="42"/>
      <c r="N1603" s="42"/>
      <c r="O1603" s="42"/>
      <c r="R1603" s="37"/>
      <c r="S1603" s="37"/>
      <c r="T1603" s="91"/>
      <c r="U1603" s="91"/>
      <c r="V1603" s="41"/>
      <c r="W1603" s="37"/>
      <c r="X1603" s="37"/>
      <c r="Y1603" s="43"/>
      <c r="Z1603" s="37"/>
      <c r="AA1603" s="37"/>
      <c r="AD1603" s="37"/>
      <c r="AE1603" s="37"/>
      <c r="AF1603" s="37"/>
    </row>
    <row r="1604" spans="1:32" x14ac:dyDescent="0.25">
      <c r="A1604" s="37"/>
      <c r="B1604" s="37"/>
      <c r="C1604" s="37"/>
      <c r="F1604" s="38"/>
      <c r="G1604" s="38"/>
      <c r="H1604" s="38"/>
      <c r="I1604" s="37"/>
      <c r="J1604" s="38"/>
      <c r="K1604" s="38"/>
      <c r="L1604" s="42"/>
      <c r="M1604" s="42"/>
      <c r="N1604" s="42"/>
      <c r="O1604" s="42"/>
      <c r="R1604" s="37"/>
      <c r="S1604" s="37"/>
      <c r="T1604" s="91"/>
      <c r="U1604" s="91"/>
      <c r="V1604" s="41"/>
      <c r="W1604" s="37"/>
      <c r="X1604" s="37"/>
      <c r="Y1604" s="43"/>
      <c r="Z1604" s="37"/>
      <c r="AA1604" s="37"/>
      <c r="AD1604" s="37"/>
      <c r="AE1604" s="37"/>
      <c r="AF1604" s="37"/>
    </row>
    <row r="1605" spans="1:32" x14ac:dyDescent="0.25">
      <c r="A1605" s="37"/>
      <c r="B1605" s="37"/>
      <c r="C1605" s="37"/>
      <c r="F1605" s="38"/>
      <c r="G1605" s="38"/>
      <c r="H1605" s="38"/>
      <c r="I1605" s="37"/>
      <c r="J1605" s="38"/>
      <c r="K1605" s="38"/>
      <c r="L1605" s="42"/>
      <c r="M1605" s="42"/>
      <c r="N1605" s="42"/>
      <c r="O1605" s="42"/>
      <c r="R1605" s="37"/>
      <c r="S1605" s="37"/>
      <c r="T1605" s="91"/>
      <c r="U1605" s="91"/>
      <c r="V1605" s="41"/>
      <c r="W1605" s="37"/>
      <c r="X1605" s="37"/>
      <c r="Y1605" s="43"/>
      <c r="Z1605" s="37"/>
      <c r="AA1605" s="37"/>
      <c r="AD1605" s="37"/>
      <c r="AE1605" s="37"/>
      <c r="AF1605" s="37"/>
    </row>
    <row r="1606" spans="1:32" x14ac:dyDescent="0.25">
      <c r="A1606" s="37"/>
      <c r="B1606" s="37"/>
      <c r="C1606" s="37"/>
      <c r="F1606" s="38"/>
      <c r="G1606" s="38"/>
      <c r="H1606" s="38"/>
      <c r="I1606" s="37"/>
      <c r="J1606" s="38"/>
      <c r="K1606" s="38"/>
      <c r="L1606" s="42"/>
      <c r="M1606" s="42"/>
      <c r="N1606" s="42"/>
      <c r="O1606" s="42"/>
      <c r="R1606" s="37"/>
      <c r="S1606" s="37"/>
      <c r="T1606" s="91"/>
      <c r="U1606" s="91"/>
      <c r="V1606" s="41"/>
      <c r="W1606" s="37"/>
      <c r="X1606" s="37"/>
      <c r="Y1606" s="43"/>
      <c r="Z1606" s="37"/>
      <c r="AA1606" s="37"/>
      <c r="AD1606" s="37"/>
      <c r="AE1606" s="37"/>
      <c r="AF1606" s="37"/>
    </row>
    <row r="1607" spans="1:32" x14ac:dyDescent="0.25">
      <c r="A1607" s="37"/>
      <c r="B1607" s="37"/>
      <c r="C1607" s="37"/>
      <c r="F1607" s="38"/>
      <c r="G1607" s="38"/>
      <c r="H1607" s="38"/>
      <c r="I1607" s="37"/>
      <c r="J1607" s="38"/>
      <c r="K1607" s="38"/>
      <c r="L1607" s="42"/>
      <c r="M1607" s="42"/>
      <c r="N1607" s="42"/>
      <c r="O1607" s="42"/>
      <c r="R1607" s="37"/>
      <c r="S1607" s="37"/>
      <c r="T1607" s="91"/>
      <c r="U1607" s="91"/>
      <c r="V1607" s="41"/>
      <c r="W1607" s="37"/>
      <c r="X1607" s="37"/>
      <c r="Y1607" s="43"/>
      <c r="Z1607" s="37"/>
      <c r="AA1607" s="37"/>
      <c r="AD1607" s="37"/>
      <c r="AE1607" s="37"/>
      <c r="AF1607" s="37"/>
    </row>
    <row r="1608" spans="1:32" x14ac:dyDescent="0.25">
      <c r="A1608" s="37"/>
      <c r="B1608" s="37"/>
      <c r="C1608" s="37"/>
      <c r="F1608" s="38"/>
      <c r="G1608" s="38"/>
      <c r="H1608" s="38"/>
      <c r="I1608" s="37"/>
      <c r="J1608" s="38"/>
      <c r="K1608" s="38"/>
      <c r="L1608" s="42"/>
      <c r="M1608" s="42"/>
      <c r="N1608" s="42"/>
      <c r="O1608" s="42"/>
      <c r="R1608" s="37"/>
      <c r="S1608" s="37"/>
      <c r="T1608" s="91"/>
      <c r="U1608" s="91"/>
      <c r="V1608" s="41"/>
      <c r="W1608" s="37"/>
      <c r="X1608" s="37"/>
      <c r="Y1608" s="43"/>
      <c r="Z1608" s="37"/>
      <c r="AA1608" s="37"/>
      <c r="AD1608" s="37"/>
      <c r="AE1608" s="37"/>
      <c r="AF1608" s="37"/>
    </row>
    <row r="1609" spans="1:32" x14ac:dyDescent="0.25">
      <c r="A1609" s="37"/>
      <c r="B1609" s="37"/>
      <c r="C1609" s="37"/>
      <c r="F1609" s="38"/>
      <c r="G1609" s="38"/>
      <c r="H1609" s="38"/>
      <c r="I1609" s="37"/>
      <c r="J1609" s="38"/>
      <c r="K1609" s="38"/>
      <c r="L1609" s="42"/>
      <c r="M1609" s="42"/>
      <c r="N1609" s="42"/>
      <c r="O1609" s="42"/>
      <c r="R1609" s="37"/>
      <c r="S1609" s="37"/>
      <c r="T1609" s="91"/>
      <c r="U1609" s="91"/>
      <c r="V1609" s="41"/>
      <c r="W1609" s="37"/>
      <c r="X1609" s="37"/>
      <c r="Y1609" s="43"/>
      <c r="Z1609" s="37"/>
      <c r="AA1609" s="37"/>
      <c r="AD1609" s="37"/>
      <c r="AE1609" s="37"/>
      <c r="AF1609" s="37"/>
    </row>
    <row r="1610" spans="1:32" x14ac:dyDescent="0.25">
      <c r="A1610" s="37"/>
      <c r="B1610" s="37"/>
      <c r="C1610" s="37"/>
      <c r="F1610" s="38"/>
      <c r="G1610" s="38"/>
      <c r="H1610" s="38"/>
      <c r="I1610" s="37"/>
      <c r="J1610" s="38"/>
      <c r="K1610" s="38"/>
      <c r="L1610" s="42"/>
      <c r="M1610" s="42"/>
      <c r="N1610" s="42"/>
      <c r="O1610" s="42"/>
      <c r="R1610" s="37"/>
      <c r="S1610" s="37"/>
      <c r="T1610" s="91"/>
      <c r="U1610" s="91"/>
      <c r="V1610" s="41"/>
      <c r="W1610" s="37"/>
      <c r="X1610" s="37"/>
      <c r="Y1610" s="43"/>
      <c r="Z1610" s="37"/>
      <c r="AA1610" s="37"/>
      <c r="AD1610" s="37"/>
      <c r="AE1610" s="37"/>
      <c r="AF1610" s="37"/>
    </row>
    <row r="1611" spans="1:32" x14ac:dyDescent="0.25">
      <c r="A1611" s="37"/>
      <c r="B1611" s="37"/>
      <c r="C1611" s="37"/>
      <c r="F1611" s="38"/>
      <c r="G1611" s="38"/>
      <c r="H1611" s="38"/>
      <c r="I1611" s="37"/>
      <c r="J1611" s="38"/>
      <c r="K1611" s="38"/>
      <c r="L1611" s="42"/>
      <c r="M1611" s="42"/>
      <c r="N1611" s="42"/>
      <c r="O1611" s="42"/>
      <c r="R1611" s="37"/>
      <c r="S1611" s="37"/>
      <c r="T1611" s="91"/>
      <c r="U1611" s="91"/>
      <c r="V1611" s="41"/>
      <c r="W1611" s="37"/>
      <c r="X1611" s="37"/>
      <c r="Y1611" s="43"/>
      <c r="Z1611" s="37"/>
      <c r="AA1611" s="37"/>
      <c r="AD1611" s="37"/>
      <c r="AE1611" s="37"/>
      <c r="AF1611" s="37"/>
    </row>
    <row r="1612" spans="1:32" x14ac:dyDescent="0.25">
      <c r="A1612" s="37"/>
      <c r="B1612" s="37"/>
      <c r="C1612" s="37"/>
      <c r="F1612" s="38"/>
      <c r="G1612" s="38"/>
      <c r="H1612" s="38"/>
      <c r="I1612" s="37"/>
      <c r="J1612" s="38"/>
      <c r="K1612" s="38"/>
      <c r="L1612" s="42"/>
      <c r="M1612" s="42"/>
      <c r="N1612" s="42"/>
      <c r="O1612" s="42"/>
      <c r="R1612" s="37"/>
      <c r="S1612" s="37"/>
      <c r="T1612" s="91"/>
      <c r="U1612" s="91"/>
      <c r="V1612" s="41"/>
      <c r="W1612" s="37"/>
      <c r="X1612" s="37"/>
      <c r="Y1612" s="43"/>
      <c r="Z1612" s="37"/>
      <c r="AA1612" s="37"/>
      <c r="AD1612" s="37"/>
      <c r="AE1612" s="37"/>
      <c r="AF1612" s="37"/>
    </row>
    <row r="1613" spans="1:32" x14ac:dyDescent="0.25">
      <c r="A1613" s="37"/>
      <c r="B1613" s="37"/>
      <c r="C1613" s="37"/>
      <c r="F1613" s="38"/>
      <c r="G1613" s="38"/>
      <c r="H1613" s="38"/>
      <c r="I1613" s="37"/>
      <c r="J1613" s="38"/>
      <c r="K1613" s="38"/>
      <c r="L1613" s="42"/>
      <c r="M1613" s="42"/>
      <c r="N1613" s="42"/>
      <c r="O1613" s="42"/>
      <c r="R1613" s="37"/>
      <c r="S1613" s="37"/>
      <c r="T1613" s="91"/>
      <c r="U1613" s="91"/>
      <c r="V1613" s="41"/>
      <c r="W1613" s="37"/>
      <c r="X1613" s="37"/>
      <c r="Y1613" s="43"/>
      <c r="Z1613" s="37"/>
      <c r="AA1613" s="37"/>
      <c r="AD1613" s="37"/>
      <c r="AE1613" s="37"/>
      <c r="AF1613" s="37"/>
    </row>
    <row r="1614" spans="1:32" x14ac:dyDescent="0.25">
      <c r="A1614" s="37"/>
      <c r="B1614" s="37"/>
      <c r="C1614" s="37"/>
      <c r="F1614" s="38"/>
      <c r="G1614" s="38"/>
      <c r="H1614" s="38"/>
      <c r="I1614" s="37"/>
      <c r="J1614" s="38"/>
      <c r="K1614" s="38"/>
      <c r="L1614" s="42"/>
      <c r="M1614" s="42"/>
      <c r="N1614" s="42"/>
      <c r="O1614" s="42"/>
      <c r="R1614" s="37"/>
      <c r="S1614" s="37"/>
      <c r="T1614" s="91"/>
      <c r="U1614" s="91"/>
      <c r="V1614" s="41"/>
      <c r="W1614" s="37"/>
      <c r="X1614" s="37"/>
      <c r="Y1614" s="43"/>
      <c r="Z1614" s="37"/>
      <c r="AA1614" s="37"/>
      <c r="AD1614" s="37"/>
      <c r="AE1614" s="37"/>
      <c r="AF1614" s="37"/>
    </row>
    <row r="1615" spans="1:32" x14ac:dyDescent="0.25">
      <c r="A1615" s="37"/>
      <c r="B1615" s="37"/>
      <c r="C1615" s="37"/>
      <c r="F1615" s="38"/>
      <c r="G1615" s="38"/>
      <c r="H1615" s="38"/>
      <c r="I1615" s="37"/>
      <c r="J1615" s="38"/>
      <c r="K1615" s="38"/>
      <c r="L1615" s="42"/>
      <c r="M1615" s="42"/>
      <c r="N1615" s="42"/>
      <c r="O1615" s="42"/>
      <c r="R1615" s="37"/>
      <c r="S1615" s="37"/>
      <c r="T1615" s="91"/>
      <c r="U1615" s="91"/>
      <c r="V1615" s="41"/>
      <c r="W1615" s="37"/>
      <c r="X1615" s="37"/>
      <c r="Y1615" s="43"/>
      <c r="Z1615" s="37"/>
      <c r="AA1615" s="37"/>
      <c r="AD1615" s="37"/>
      <c r="AE1615" s="37"/>
      <c r="AF1615" s="37"/>
    </row>
    <row r="1616" spans="1:32" x14ac:dyDescent="0.25">
      <c r="A1616" s="37"/>
      <c r="B1616" s="37"/>
      <c r="C1616" s="37"/>
      <c r="F1616" s="38"/>
      <c r="G1616" s="38"/>
      <c r="H1616" s="38"/>
      <c r="I1616" s="37"/>
      <c r="J1616" s="38"/>
      <c r="K1616" s="38"/>
      <c r="L1616" s="42"/>
      <c r="M1616" s="42"/>
      <c r="N1616" s="42"/>
      <c r="O1616" s="42"/>
      <c r="R1616" s="37"/>
      <c r="S1616" s="37"/>
      <c r="T1616" s="91"/>
      <c r="U1616" s="91"/>
      <c r="V1616" s="41"/>
      <c r="W1616" s="37"/>
      <c r="X1616" s="37"/>
      <c r="Y1616" s="43"/>
      <c r="Z1616" s="37"/>
      <c r="AA1616" s="37"/>
      <c r="AD1616" s="37"/>
      <c r="AE1616" s="37"/>
      <c r="AF1616" s="37"/>
    </row>
    <row r="1617" spans="1:32" x14ac:dyDescent="0.25">
      <c r="A1617" s="37"/>
      <c r="B1617" s="37"/>
      <c r="C1617" s="37"/>
      <c r="F1617" s="38"/>
      <c r="G1617" s="38"/>
      <c r="H1617" s="38"/>
      <c r="I1617" s="37"/>
      <c r="J1617" s="38"/>
      <c r="K1617" s="38"/>
      <c r="L1617" s="42"/>
      <c r="M1617" s="42"/>
      <c r="N1617" s="42"/>
      <c r="O1617" s="42"/>
      <c r="R1617" s="37"/>
      <c r="S1617" s="37"/>
      <c r="T1617" s="91"/>
      <c r="U1617" s="91"/>
      <c r="V1617" s="41"/>
      <c r="W1617" s="37"/>
      <c r="X1617" s="37"/>
      <c r="Y1617" s="43"/>
      <c r="Z1617" s="37"/>
      <c r="AA1617" s="37"/>
      <c r="AD1617" s="37"/>
      <c r="AE1617" s="37"/>
      <c r="AF1617" s="37"/>
    </row>
    <row r="1618" spans="1:32" x14ac:dyDescent="0.25">
      <c r="A1618" s="37"/>
      <c r="B1618" s="37"/>
      <c r="C1618" s="37"/>
      <c r="F1618" s="38"/>
      <c r="G1618" s="38"/>
      <c r="H1618" s="38"/>
      <c r="I1618" s="37"/>
      <c r="J1618" s="38"/>
      <c r="K1618" s="38"/>
      <c r="L1618" s="42"/>
      <c r="M1618" s="42"/>
      <c r="N1618" s="42"/>
      <c r="O1618" s="42"/>
      <c r="R1618" s="37"/>
      <c r="S1618" s="37"/>
      <c r="T1618" s="91"/>
      <c r="U1618" s="91"/>
      <c r="V1618" s="41"/>
      <c r="W1618" s="37"/>
      <c r="X1618" s="37"/>
      <c r="Y1618" s="43"/>
      <c r="Z1618" s="37"/>
      <c r="AA1618" s="37"/>
      <c r="AD1618" s="37"/>
      <c r="AE1618" s="37"/>
      <c r="AF1618" s="37"/>
    </row>
    <row r="1619" spans="1:32" x14ac:dyDescent="0.25">
      <c r="A1619" s="37"/>
      <c r="B1619" s="37"/>
      <c r="C1619" s="37"/>
      <c r="F1619" s="38"/>
      <c r="G1619" s="38"/>
      <c r="H1619" s="38"/>
      <c r="I1619" s="37"/>
      <c r="J1619" s="38"/>
      <c r="K1619" s="38"/>
      <c r="L1619" s="42"/>
      <c r="M1619" s="42"/>
      <c r="N1619" s="42"/>
      <c r="O1619" s="42"/>
      <c r="R1619" s="37"/>
      <c r="S1619" s="37"/>
      <c r="T1619" s="91"/>
      <c r="U1619" s="91"/>
      <c r="V1619" s="41"/>
      <c r="W1619" s="37"/>
      <c r="X1619" s="37"/>
      <c r="Y1619" s="43"/>
      <c r="Z1619" s="37"/>
      <c r="AA1619" s="37"/>
      <c r="AD1619" s="37"/>
      <c r="AE1619" s="37"/>
      <c r="AF1619" s="37"/>
    </row>
    <row r="1620" spans="1:32" x14ac:dyDescent="0.25">
      <c r="A1620" s="37"/>
      <c r="B1620" s="37"/>
      <c r="C1620" s="37"/>
      <c r="F1620" s="38"/>
      <c r="G1620" s="38"/>
      <c r="H1620" s="38"/>
      <c r="I1620" s="37"/>
      <c r="J1620" s="38"/>
      <c r="K1620" s="38"/>
      <c r="L1620" s="42"/>
      <c r="M1620" s="42"/>
      <c r="N1620" s="42"/>
      <c r="O1620" s="42"/>
      <c r="R1620" s="37"/>
      <c r="S1620" s="37"/>
      <c r="T1620" s="91"/>
      <c r="U1620" s="91"/>
      <c r="V1620" s="41"/>
      <c r="W1620" s="37"/>
      <c r="X1620" s="37"/>
      <c r="Y1620" s="43"/>
      <c r="Z1620" s="37"/>
      <c r="AA1620" s="37"/>
      <c r="AD1620" s="37"/>
      <c r="AE1620" s="37"/>
      <c r="AF1620" s="37"/>
    </row>
    <row r="1621" spans="1:32" x14ac:dyDescent="0.25">
      <c r="A1621" s="37"/>
      <c r="B1621" s="37"/>
      <c r="C1621" s="37"/>
      <c r="F1621" s="38"/>
      <c r="G1621" s="38"/>
      <c r="H1621" s="38"/>
      <c r="I1621" s="37"/>
      <c r="J1621" s="38"/>
      <c r="K1621" s="38"/>
      <c r="L1621" s="42"/>
      <c r="M1621" s="42"/>
      <c r="N1621" s="42"/>
      <c r="O1621" s="42"/>
      <c r="R1621" s="37"/>
      <c r="S1621" s="37"/>
      <c r="T1621" s="91"/>
      <c r="U1621" s="91"/>
      <c r="V1621" s="41"/>
      <c r="W1621" s="37"/>
      <c r="X1621" s="37"/>
      <c r="Y1621" s="43"/>
      <c r="Z1621" s="37"/>
      <c r="AA1621" s="37"/>
      <c r="AD1621" s="37"/>
      <c r="AE1621" s="37"/>
      <c r="AF1621" s="37"/>
    </row>
    <row r="1622" spans="1:32" x14ac:dyDescent="0.25">
      <c r="A1622" s="37"/>
      <c r="B1622" s="37"/>
      <c r="C1622" s="37"/>
      <c r="F1622" s="38"/>
      <c r="G1622" s="38"/>
      <c r="H1622" s="38"/>
      <c r="I1622" s="37"/>
      <c r="J1622" s="38"/>
      <c r="K1622" s="38"/>
      <c r="L1622" s="42"/>
      <c r="M1622" s="42"/>
      <c r="N1622" s="42"/>
      <c r="O1622" s="42"/>
      <c r="R1622" s="37"/>
      <c r="S1622" s="37"/>
      <c r="T1622" s="91"/>
      <c r="U1622" s="91"/>
      <c r="V1622" s="41"/>
      <c r="W1622" s="37"/>
      <c r="X1622" s="37"/>
      <c r="Y1622" s="43"/>
      <c r="Z1622" s="37"/>
      <c r="AA1622" s="37"/>
      <c r="AD1622" s="37"/>
      <c r="AE1622" s="37"/>
      <c r="AF1622" s="37"/>
    </row>
    <row r="1623" spans="1:32" x14ac:dyDescent="0.25">
      <c r="A1623" s="37"/>
      <c r="B1623" s="37"/>
      <c r="C1623" s="37"/>
      <c r="F1623" s="38"/>
      <c r="G1623" s="38"/>
      <c r="H1623" s="38"/>
      <c r="I1623" s="37"/>
      <c r="J1623" s="38"/>
      <c r="K1623" s="38"/>
      <c r="L1623" s="42"/>
      <c r="M1623" s="42"/>
      <c r="N1623" s="42"/>
      <c r="O1623" s="42"/>
      <c r="R1623" s="37"/>
      <c r="S1623" s="37"/>
      <c r="T1623" s="91"/>
      <c r="U1623" s="91"/>
      <c r="V1623" s="41"/>
      <c r="W1623" s="37"/>
      <c r="X1623" s="37"/>
      <c r="Y1623" s="43"/>
      <c r="Z1623" s="37"/>
      <c r="AA1623" s="37"/>
      <c r="AD1623" s="37"/>
      <c r="AE1623" s="37"/>
      <c r="AF1623" s="37"/>
    </row>
    <row r="1624" spans="1:32" x14ac:dyDescent="0.25">
      <c r="A1624" s="37"/>
      <c r="B1624" s="37"/>
      <c r="C1624" s="37"/>
      <c r="F1624" s="38"/>
      <c r="G1624" s="38"/>
      <c r="H1624" s="38"/>
      <c r="I1624" s="37"/>
      <c r="J1624" s="38"/>
      <c r="K1624" s="38"/>
      <c r="L1624" s="42"/>
      <c r="M1624" s="42"/>
      <c r="N1624" s="42"/>
      <c r="O1624" s="42"/>
      <c r="R1624" s="37"/>
      <c r="S1624" s="37"/>
      <c r="T1624" s="91"/>
      <c r="U1624" s="91"/>
      <c r="V1624" s="41"/>
      <c r="W1624" s="37"/>
      <c r="X1624" s="37"/>
      <c r="Y1624" s="43"/>
      <c r="Z1624" s="37"/>
      <c r="AA1624" s="37"/>
      <c r="AD1624" s="37"/>
      <c r="AE1624" s="37"/>
      <c r="AF1624" s="37"/>
    </row>
    <row r="1625" spans="1:32" x14ac:dyDescent="0.25">
      <c r="A1625" s="37"/>
      <c r="B1625" s="37"/>
      <c r="C1625" s="37"/>
      <c r="F1625" s="38"/>
      <c r="G1625" s="38"/>
      <c r="H1625" s="38"/>
      <c r="I1625" s="37"/>
      <c r="J1625" s="38"/>
      <c r="K1625" s="38"/>
      <c r="L1625" s="42"/>
      <c r="M1625" s="42"/>
      <c r="N1625" s="42"/>
      <c r="O1625" s="42"/>
      <c r="R1625" s="37"/>
      <c r="S1625" s="37"/>
      <c r="T1625" s="91"/>
      <c r="U1625" s="91"/>
      <c r="V1625" s="41"/>
      <c r="W1625" s="37"/>
      <c r="X1625" s="37"/>
      <c r="Y1625" s="43"/>
      <c r="Z1625" s="37"/>
      <c r="AA1625" s="37"/>
      <c r="AD1625" s="37"/>
      <c r="AE1625" s="37"/>
      <c r="AF1625" s="37"/>
    </row>
    <row r="1626" spans="1:32" x14ac:dyDescent="0.25">
      <c r="A1626" s="37"/>
      <c r="B1626" s="37"/>
      <c r="C1626" s="37"/>
      <c r="F1626" s="38"/>
      <c r="G1626" s="38"/>
      <c r="H1626" s="38"/>
      <c r="I1626" s="37"/>
      <c r="J1626" s="38"/>
      <c r="K1626" s="38"/>
      <c r="L1626" s="42"/>
      <c r="M1626" s="42"/>
      <c r="N1626" s="42"/>
      <c r="O1626" s="42"/>
      <c r="R1626" s="37"/>
      <c r="S1626" s="37"/>
      <c r="T1626" s="91"/>
      <c r="U1626" s="91"/>
      <c r="V1626" s="41"/>
      <c r="W1626" s="37"/>
      <c r="X1626" s="37"/>
      <c r="Y1626" s="43"/>
      <c r="Z1626" s="37"/>
      <c r="AA1626" s="37"/>
      <c r="AD1626" s="37"/>
      <c r="AE1626" s="37"/>
      <c r="AF1626" s="37"/>
    </row>
    <row r="1627" spans="1:32" x14ac:dyDescent="0.25">
      <c r="A1627" s="37"/>
      <c r="B1627" s="37"/>
      <c r="C1627" s="37"/>
      <c r="F1627" s="38"/>
      <c r="G1627" s="38"/>
      <c r="H1627" s="38"/>
      <c r="I1627" s="37"/>
      <c r="J1627" s="38"/>
      <c r="K1627" s="38"/>
      <c r="L1627" s="42"/>
      <c r="M1627" s="42"/>
      <c r="N1627" s="42"/>
      <c r="O1627" s="42"/>
      <c r="R1627" s="37"/>
      <c r="S1627" s="37"/>
      <c r="T1627" s="91"/>
      <c r="U1627" s="91"/>
      <c r="V1627" s="41"/>
      <c r="W1627" s="37"/>
      <c r="X1627" s="37"/>
      <c r="Y1627" s="43"/>
      <c r="Z1627" s="37"/>
      <c r="AA1627" s="37"/>
      <c r="AD1627" s="37"/>
      <c r="AE1627" s="37"/>
      <c r="AF1627" s="37"/>
    </row>
    <row r="1628" spans="1:32" x14ac:dyDescent="0.25">
      <c r="A1628" s="37"/>
      <c r="B1628" s="37"/>
      <c r="C1628" s="37"/>
      <c r="F1628" s="38"/>
      <c r="G1628" s="38"/>
      <c r="H1628" s="38"/>
      <c r="I1628" s="37"/>
      <c r="J1628" s="38"/>
      <c r="K1628" s="38"/>
      <c r="L1628" s="42"/>
      <c r="M1628" s="42"/>
      <c r="N1628" s="42"/>
      <c r="O1628" s="42"/>
      <c r="R1628" s="37"/>
      <c r="S1628" s="37"/>
      <c r="T1628" s="91"/>
      <c r="U1628" s="91"/>
      <c r="V1628" s="41"/>
      <c r="W1628" s="37"/>
      <c r="X1628" s="37"/>
      <c r="Y1628" s="43"/>
      <c r="Z1628" s="37"/>
      <c r="AA1628" s="37"/>
      <c r="AD1628" s="37"/>
      <c r="AE1628" s="37"/>
      <c r="AF1628" s="37"/>
    </row>
    <row r="1629" spans="1:32" x14ac:dyDescent="0.25">
      <c r="A1629" s="37"/>
      <c r="B1629" s="37"/>
      <c r="C1629" s="37"/>
      <c r="F1629" s="38"/>
      <c r="G1629" s="38"/>
      <c r="H1629" s="38"/>
      <c r="I1629" s="37"/>
      <c r="J1629" s="38"/>
      <c r="K1629" s="38"/>
      <c r="L1629" s="42"/>
      <c r="M1629" s="42"/>
      <c r="N1629" s="42"/>
      <c r="O1629" s="42"/>
      <c r="R1629" s="37"/>
      <c r="S1629" s="37"/>
      <c r="T1629" s="91"/>
      <c r="U1629" s="91"/>
      <c r="V1629" s="41"/>
      <c r="W1629" s="37"/>
      <c r="X1629" s="37"/>
      <c r="Y1629" s="43"/>
      <c r="Z1629" s="37"/>
      <c r="AA1629" s="37"/>
      <c r="AD1629" s="37"/>
      <c r="AE1629" s="37"/>
      <c r="AF1629" s="37"/>
    </row>
    <row r="1630" spans="1:32" x14ac:dyDescent="0.25">
      <c r="A1630" s="37"/>
      <c r="B1630" s="37"/>
      <c r="C1630" s="37"/>
      <c r="F1630" s="38"/>
      <c r="G1630" s="38"/>
      <c r="H1630" s="38"/>
      <c r="I1630" s="37"/>
      <c r="J1630" s="38"/>
      <c r="K1630" s="38"/>
      <c r="L1630" s="42"/>
      <c r="M1630" s="42"/>
      <c r="N1630" s="42"/>
      <c r="O1630" s="42"/>
      <c r="R1630" s="37"/>
      <c r="S1630" s="37"/>
      <c r="T1630" s="91"/>
      <c r="U1630" s="91"/>
      <c r="V1630" s="41"/>
      <c r="W1630" s="37"/>
      <c r="X1630" s="37"/>
      <c r="Y1630" s="43"/>
      <c r="Z1630" s="37"/>
      <c r="AA1630" s="37"/>
      <c r="AD1630" s="37"/>
      <c r="AE1630" s="37"/>
      <c r="AF1630" s="37"/>
    </row>
    <row r="1631" spans="1:32" x14ac:dyDescent="0.25">
      <c r="A1631" s="37"/>
      <c r="B1631" s="37"/>
      <c r="C1631" s="37"/>
      <c r="F1631" s="38"/>
      <c r="G1631" s="38"/>
      <c r="H1631" s="38"/>
      <c r="I1631" s="37"/>
      <c r="J1631" s="38"/>
      <c r="K1631" s="38"/>
      <c r="L1631" s="42"/>
      <c r="M1631" s="42"/>
      <c r="N1631" s="42"/>
      <c r="O1631" s="42"/>
      <c r="R1631" s="37"/>
      <c r="S1631" s="37"/>
      <c r="T1631" s="91"/>
      <c r="U1631" s="91"/>
      <c r="V1631" s="41"/>
      <c r="W1631" s="37"/>
      <c r="X1631" s="37"/>
      <c r="Y1631" s="43"/>
      <c r="Z1631" s="37"/>
      <c r="AA1631" s="37"/>
      <c r="AD1631" s="37"/>
      <c r="AE1631" s="37"/>
      <c r="AF1631" s="37"/>
    </row>
    <row r="1632" spans="1:32" x14ac:dyDescent="0.25">
      <c r="A1632" s="37"/>
      <c r="B1632" s="37"/>
      <c r="C1632" s="37"/>
      <c r="F1632" s="38"/>
      <c r="G1632" s="38"/>
      <c r="H1632" s="38"/>
      <c r="I1632" s="37"/>
      <c r="J1632" s="38"/>
      <c r="K1632" s="38"/>
      <c r="L1632" s="42"/>
      <c r="M1632" s="42"/>
      <c r="N1632" s="42"/>
      <c r="O1632" s="42"/>
      <c r="R1632" s="37"/>
      <c r="S1632" s="37"/>
      <c r="T1632" s="91"/>
      <c r="U1632" s="91"/>
      <c r="V1632" s="41"/>
      <c r="W1632" s="37"/>
      <c r="X1632" s="37"/>
      <c r="Y1632" s="43"/>
      <c r="Z1632" s="37"/>
      <c r="AA1632" s="37"/>
      <c r="AD1632" s="37"/>
      <c r="AE1632" s="37"/>
      <c r="AF1632" s="37"/>
    </row>
    <row r="1633" spans="1:32" x14ac:dyDescent="0.25">
      <c r="A1633" s="37"/>
      <c r="B1633" s="37"/>
      <c r="C1633" s="37"/>
      <c r="F1633" s="38"/>
      <c r="G1633" s="38"/>
      <c r="H1633" s="38"/>
      <c r="I1633" s="37"/>
      <c r="J1633" s="38"/>
      <c r="K1633" s="38"/>
      <c r="L1633" s="42"/>
      <c r="M1633" s="42"/>
      <c r="N1633" s="42"/>
      <c r="O1633" s="42"/>
      <c r="R1633" s="37"/>
      <c r="S1633" s="37"/>
      <c r="T1633" s="91"/>
      <c r="U1633" s="91"/>
      <c r="V1633" s="41"/>
      <c r="W1633" s="37"/>
      <c r="X1633" s="37"/>
      <c r="Y1633" s="43"/>
      <c r="Z1633" s="37"/>
      <c r="AA1633" s="37"/>
      <c r="AD1633" s="37"/>
      <c r="AE1633" s="37"/>
      <c r="AF1633" s="37"/>
    </row>
    <row r="1634" spans="1:32" x14ac:dyDescent="0.25">
      <c r="A1634" s="37"/>
      <c r="B1634" s="37"/>
      <c r="C1634" s="37"/>
      <c r="F1634" s="38"/>
      <c r="G1634" s="38"/>
      <c r="H1634" s="38"/>
      <c r="I1634" s="37"/>
      <c r="J1634" s="38"/>
      <c r="K1634" s="38"/>
      <c r="L1634" s="42"/>
      <c r="M1634" s="42"/>
      <c r="N1634" s="42"/>
      <c r="O1634" s="42"/>
      <c r="R1634" s="37"/>
      <c r="S1634" s="37"/>
      <c r="T1634" s="91"/>
      <c r="U1634" s="91"/>
      <c r="V1634" s="41"/>
      <c r="W1634" s="37"/>
      <c r="X1634" s="37"/>
      <c r="Y1634" s="43"/>
      <c r="Z1634" s="37"/>
      <c r="AA1634" s="37"/>
      <c r="AD1634" s="37"/>
      <c r="AE1634" s="37"/>
      <c r="AF1634" s="37"/>
    </row>
    <row r="1635" spans="1:32" x14ac:dyDescent="0.25">
      <c r="A1635" s="37"/>
      <c r="B1635" s="37"/>
      <c r="C1635" s="37"/>
      <c r="F1635" s="38"/>
      <c r="G1635" s="38"/>
      <c r="H1635" s="38"/>
      <c r="I1635" s="37"/>
      <c r="J1635" s="38"/>
      <c r="K1635" s="38"/>
      <c r="L1635" s="42"/>
      <c r="M1635" s="42"/>
      <c r="N1635" s="42"/>
      <c r="O1635" s="42"/>
      <c r="R1635" s="37"/>
      <c r="S1635" s="37"/>
      <c r="T1635" s="91"/>
      <c r="U1635" s="91"/>
      <c r="V1635" s="41"/>
      <c r="W1635" s="37"/>
      <c r="X1635" s="37"/>
      <c r="Y1635" s="43"/>
      <c r="Z1635" s="37"/>
      <c r="AA1635" s="37"/>
      <c r="AD1635" s="37"/>
      <c r="AE1635" s="37"/>
      <c r="AF1635" s="37"/>
    </row>
    <row r="1636" spans="1:32" x14ac:dyDescent="0.25">
      <c r="A1636" s="37"/>
      <c r="B1636" s="37"/>
      <c r="C1636" s="37"/>
      <c r="F1636" s="38"/>
      <c r="G1636" s="38"/>
      <c r="H1636" s="38"/>
      <c r="I1636" s="37"/>
      <c r="J1636" s="38"/>
      <c r="K1636" s="38"/>
      <c r="L1636" s="42"/>
      <c r="M1636" s="42"/>
      <c r="N1636" s="42"/>
      <c r="O1636" s="42"/>
      <c r="R1636" s="37"/>
      <c r="S1636" s="37"/>
      <c r="T1636" s="91"/>
      <c r="U1636" s="91"/>
      <c r="V1636" s="41"/>
      <c r="W1636" s="37"/>
      <c r="X1636" s="37"/>
      <c r="Y1636" s="43"/>
      <c r="Z1636" s="37"/>
      <c r="AA1636" s="37"/>
      <c r="AD1636" s="37"/>
      <c r="AE1636" s="37"/>
      <c r="AF1636" s="37"/>
    </row>
    <row r="1637" spans="1:32" x14ac:dyDescent="0.25">
      <c r="A1637" s="37"/>
      <c r="B1637" s="37"/>
      <c r="C1637" s="37"/>
      <c r="F1637" s="38"/>
      <c r="G1637" s="38"/>
      <c r="H1637" s="38"/>
      <c r="I1637" s="37"/>
      <c r="J1637" s="38"/>
      <c r="K1637" s="38"/>
      <c r="L1637" s="42"/>
      <c r="M1637" s="42"/>
      <c r="N1637" s="42"/>
      <c r="O1637" s="42"/>
      <c r="R1637" s="37"/>
      <c r="S1637" s="37"/>
      <c r="T1637" s="91"/>
      <c r="U1637" s="91"/>
      <c r="V1637" s="41"/>
      <c r="W1637" s="37"/>
      <c r="X1637" s="37"/>
      <c r="Y1637" s="43"/>
      <c r="Z1637" s="37"/>
      <c r="AA1637" s="37"/>
      <c r="AD1637" s="37"/>
      <c r="AE1637" s="37"/>
      <c r="AF1637" s="37"/>
    </row>
    <row r="1638" spans="1:32" x14ac:dyDescent="0.25">
      <c r="A1638" s="37"/>
      <c r="B1638" s="37"/>
      <c r="C1638" s="37"/>
      <c r="F1638" s="38"/>
      <c r="G1638" s="38"/>
      <c r="H1638" s="38"/>
      <c r="I1638" s="37"/>
      <c r="J1638" s="38"/>
      <c r="K1638" s="38"/>
      <c r="L1638" s="42"/>
      <c r="M1638" s="42"/>
      <c r="N1638" s="42"/>
      <c r="O1638" s="42"/>
      <c r="R1638" s="37"/>
      <c r="S1638" s="37"/>
      <c r="T1638" s="91"/>
      <c r="U1638" s="91"/>
      <c r="V1638" s="41"/>
      <c r="W1638" s="37"/>
      <c r="X1638" s="37"/>
      <c r="Y1638" s="43"/>
      <c r="Z1638" s="37"/>
      <c r="AA1638" s="37"/>
      <c r="AD1638" s="37"/>
      <c r="AE1638" s="37"/>
      <c r="AF1638" s="37"/>
    </row>
    <row r="1639" spans="1:32" x14ac:dyDescent="0.25">
      <c r="A1639" s="37"/>
      <c r="B1639" s="37"/>
      <c r="C1639" s="37"/>
      <c r="F1639" s="38"/>
      <c r="G1639" s="38"/>
      <c r="H1639" s="38"/>
      <c r="I1639" s="37"/>
      <c r="J1639" s="38"/>
      <c r="K1639" s="38"/>
      <c r="L1639" s="42"/>
      <c r="M1639" s="42"/>
      <c r="N1639" s="42"/>
      <c r="O1639" s="42"/>
      <c r="R1639" s="37"/>
      <c r="S1639" s="37"/>
      <c r="T1639" s="91"/>
      <c r="U1639" s="91"/>
      <c r="V1639" s="41"/>
      <c r="W1639" s="37"/>
      <c r="X1639" s="37"/>
      <c r="Y1639" s="43"/>
      <c r="Z1639" s="37"/>
      <c r="AA1639" s="37"/>
      <c r="AD1639" s="37"/>
      <c r="AE1639" s="37"/>
      <c r="AF1639" s="37"/>
    </row>
    <row r="1640" spans="1:32" x14ac:dyDescent="0.25">
      <c r="A1640" s="37"/>
      <c r="B1640" s="37"/>
      <c r="C1640" s="37"/>
      <c r="F1640" s="38"/>
      <c r="G1640" s="38"/>
      <c r="H1640" s="38"/>
      <c r="I1640" s="37"/>
      <c r="J1640" s="38"/>
      <c r="K1640" s="38"/>
      <c r="L1640" s="42"/>
      <c r="M1640" s="42"/>
      <c r="N1640" s="42"/>
      <c r="O1640" s="42"/>
      <c r="R1640" s="37"/>
      <c r="S1640" s="37"/>
      <c r="T1640" s="91"/>
      <c r="U1640" s="91"/>
      <c r="V1640" s="41"/>
      <c r="W1640" s="37"/>
      <c r="X1640" s="37"/>
      <c r="Y1640" s="43"/>
      <c r="Z1640" s="37"/>
      <c r="AA1640" s="37"/>
      <c r="AD1640" s="37"/>
      <c r="AE1640" s="37"/>
      <c r="AF1640" s="37"/>
    </row>
    <row r="1641" spans="1:32" x14ac:dyDescent="0.25">
      <c r="A1641" s="37"/>
      <c r="B1641" s="37"/>
      <c r="C1641" s="37"/>
      <c r="F1641" s="38"/>
      <c r="G1641" s="38"/>
      <c r="H1641" s="38"/>
      <c r="I1641" s="37"/>
      <c r="J1641" s="38"/>
      <c r="K1641" s="38"/>
      <c r="L1641" s="42"/>
      <c r="M1641" s="42"/>
      <c r="N1641" s="42"/>
      <c r="O1641" s="42"/>
      <c r="R1641" s="37"/>
      <c r="S1641" s="37"/>
      <c r="T1641" s="91"/>
      <c r="U1641" s="91"/>
      <c r="V1641" s="41"/>
      <c r="W1641" s="37"/>
      <c r="X1641" s="37"/>
      <c r="Y1641" s="43"/>
      <c r="Z1641" s="37"/>
      <c r="AA1641" s="37"/>
      <c r="AD1641" s="37"/>
      <c r="AE1641" s="37"/>
      <c r="AF1641" s="37"/>
    </row>
    <row r="1642" spans="1:32" x14ac:dyDescent="0.25">
      <c r="A1642" s="37"/>
      <c r="B1642" s="37"/>
      <c r="C1642" s="37"/>
      <c r="F1642" s="38"/>
      <c r="G1642" s="38"/>
      <c r="H1642" s="38"/>
      <c r="I1642" s="37"/>
      <c r="J1642" s="38"/>
      <c r="K1642" s="38"/>
      <c r="L1642" s="42"/>
      <c r="M1642" s="42"/>
      <c r="N1642" s="42"/>
      <c r="O1642" s="42"/>
      <c r="R1642" s="37"/>
      <c r="S1642" s="37"/>
      <c r="T1642" s="91"/>
      <c r="U1642" s="91"/>
      <c r="V1642" s="41"/>
      <c r="W1642" s="37"/>
      <c r="X1642" s="37"/>
      <c r="Y1642" s="43"/>
      <c r="Z1642" s="37"/>
      <c r="AA1642" s="37"/>
      <c r="AD1642" s="37"/>
      <c r="AE1642" s="37"/>
      <c r="AF1642" s="37"/>
    </row>
    <row r="1643" spans="1:32" x14ac:dyDescent="0.25">
      <c r="A1643" s="37"/>
      <c r="B1643" s="37"/>
      <c r="C1643" s="37"/>
      <c r="F1643" s="38"/>
      <c r="G1643" s="38"/>
      <c r="H1643" s="38"/>
      <c r="I1643" s="37"/>
      <c r="J1643" s="38"/>
      <c r="K1643" s="38"/>
      <c r="L1643" s="42"/>
      <c r="M1643" s="42"/>
      <c r="N1643" s="42"/>
      <c r="O1643" s="42"/>
      <c r="R1643" s="37"/>
      <c r="S1643" s="37"/>
      <c r="T1643" s="91"/>
      <c r="U1643" s="91"/>
      <c r="V1643" s="41"/>
      <c r="W1643" s="37"/>
      <c r="X1643" s="37"/>
      <c r="Y1643" s="43"/>
      <c r="Z1643" s="37"/>
      <c r="AA1643" s="37"/>
      <c r="AD1643" s="37"/>
      <c r="AE1643" s="37"/>
      <c r="AF1643" s="37"/>
    </row>
    <row r="1644" spans="1:32" x14ac:dyDescent="0.25">
      <c r="A1644" s="37"/>
      <c r="B1644" s="37"/>
      <c r="C1644" s="37"/>
      <c r="F1644" s="38"/>
      <c r="G1644" s="38"/>
      <c r="H1644" s="38"/>
      <c r="I1644" s="37"/>
      <c r="J1644" s="38"/>
      <c r="K1644" s="38"/>
      <c r="L1644" s="42"/>
      <c r="M1644" s="42"/>
      <c r="N1644" s="42"/>
      <c r="O1644" s="42"/>
      <c r="R1644" s="37"/>
      <c r="S1644" s="37"/>
      <c r="T1644" s="91"/>
      <c r="U1644" s="91"/>
      <c r="V1644" s="41"/>
      <c r="W1644" s="37"/>
      <c r="X1644" s="37"/>
      <c r="Y1644" s="43"/>
      <c r="Z1644" s="37"/>
      <c r="AA1644" s="37"/>
      <c r="AD1644" s="37"/>
      <c r="AE1644" s="37"/>
      <c r="AF1644" s="37"/>
    </row>
    <row r="1645" spans="1:32" x14ac:dyDescent="0.25">
      <c r="A1645" s="37"/>
      <c r="B1645" s="37"/>
      <c r="C1645" s="37"/>
      <c r="F1645" s="38"/>
      <c r="G1645" s="38"/>
      <c r="H1645" s="38"/>
      <c r="I1645" s="37"/>
      <c r="J1645" s="38"/>
      <c r="K1645" s="38"/>
      <c r="L1645" s="42"/>
      <c r="M1645" s="42"/>
      <c r="N1645" s="42"/>
      <c r="O1645" s="42"/>
      <c r="R1645" s="37"/>
      <c r="S1645" s="37"/>
      <c r="T1645" s="91"/>
      <c r="U1645" s="91"/>
      <c r="V1645" s="41"/>
      <c r="W1645" s="37"/>
      <c r="X1645" s="37"/>
      <c r="Y1645" s="43"/>
      <c r="Z1645" s="37"/>
      <c r="AA1645" s="37"/>
      <c r="AD1645" s="37"/>
      <c r="AE1645" s="37"/>
      <c r="AF1645" s="37"/>
    </row>
    <row r="1646" spans="1:32" x14ac:dyDescent="0.25">
      <c r="A1646" s="37"/>
      <c r="B1646" s="37"/>
      <c r="C1646" s="37"/>
      <c r="F1646" s="38"/>
      <c r="G1646" s="38"/>
      <c r="H1646" s="38"/>
      <c r="I1646" s="37"/>
      <c r="J1646" s="38"/>
      <c r="K1646" s="38"/>
      <c r="L1646" s="42"/>
      <c r="M1646" s="42"/>
      <c r="N1646" s="42"/>
      <c r="O1646" s="42"/>
      <c r="R1646" s="37"/>
      <c r="S1646" s="37"/>
      <c r="T1646" s="91"/>
      <c r="U1646" s="91"/>
      <c r="V1646" s="41"/>
      <c r="W1646" s="37"/>
      <c r="X1646" s="37"/>
      <c r="Y1646" s="43"/>
      <c r="Z1646" s="37"/>
      <c r="AA1646" s="37"/>
      <c r="AD1646" s="37"/>
      <c r="AE1646" s="37"/>
      <c r="AF1646" s="37"/>
    </row>
    <row r="1647" spans="1:32" x14ac:dyDescent="0.25">
      <c r="A1647" s="37"/>
      <c r="B1647" s="37"/>
      <c r="C1647" s="37"/>
      <c r="F1647" s="38"/>
      <c r="G1647" s="38"/>
      <c r="H1647" s="38"/>
      <c r="I1647" s="37"/>
      <c r="J1647" s="38"/>
      <c r="K1647" s="38"/>
      <c r="L1647" s="42"/>
      <c r="M1647" s="42"/>
      <c r="N1647" s="42"/>
      <c r="O1647" s="42"/>
      <c r="R1647" s="37"/>
      <c r="S1647" s="37"/>
      <c r="T1647" s="91"/>
      <c r="U1647" s="91"/>
      <c r="V1647" s="41"/>
      <c r="W1647" s="37"/>
      <c r="X1647" s="37"/>
      <c r="Y1647" s="43"/>
      <c r="Z1647" s="37"/>
      <c r="AA1647" s="37"/>
      <c r="AD1647" s="37"/>
      <c r="AE1647" s="37"/>
      <c r="AF1647" s="37"/>
    </row>
    <row r="1648" spans="1:32" x14ac:dyDescent="0.25">
      <c r="A1648" s="37"/>
      <c r="B1648" s="37"/>
      <c r="C1648" s="37"/>
      <c r="F1648" s="38"/>
      <c r="G1648" s="38"/>
      <c r="H1648" s="38"/>
      <c r="I1648" s="37"/>
      <c r="J1648" s="38"/>
      <c r="K1648" s="38"/>
      <c r="L1648" s="42"/>
      <c r="M1648" s="42"/>
      <c r="N1648" s="42"/>
      <c r="O1648" s="42"/>
      <c r="R1648" s="37"/>
      <c r="S1648" s="37"/>
      <c r="T1648" s="91"/>
      <c r="U1648" s="91"/>
      <c r="V1648" s="41"/>
      <c r="W1648" s="37"/>
      <c r="X1648" s="37"/>
      <c r="Y1648" s="43"/>
      <c r="Z1648" s="37"/>
      <c r="AA1648" s="37"/>
      <c r="AD1648" s="37"/>
      <c r="AE1648" s="37"/>
      <c r="AF1648" s="37"/>
    </row>
    <row r="1649" spans="1:32" x14ac:dyDescent="0.25">
      <c r="A1649" s="37"/>
      <c r="B1649" s="37"/>
      <c r="C1649" s="37"/>
      <c r="F1649" s="38"/>
      <c r="G1649" s="38"/>
      <c r="H1649" s="38"/>
      <c r="I1649" s="37"/>
      <c r="J1649" s="38"/>
      <c r="K1649" s="38"/>
      <c r="L1649" s="42"/>
      <c r="M1649" s="42"/>
      <c r="N1649" s="42"/>
      <c r="O1649" s="42"/>
      <c r="R1649" s="37"/>
      <c r="S1649" s="37"/>
      <c r="T1649" s="91"/>
      <c r="U1649" s="91"/>
      <c r="V1649" s="41"/>
      <c r="W1649" s="37"/>
      <c r="X1649" s="37"/>
      <c r="Y1649" s="43"/>
      <c r="Z1649" s="37"/>
      <c r="AA1649" s="37"/>
      <c r="AD1649" s="37"/>
      <c r="AE1649" s="37"/>
      <c r="AF1649" s="37"/>
    </row>
    <row r="1650" spans="1:32" x14ac:dyDescent="0.25">
      <c r="A1650" s="37"/>
      <c r="B1650" s="37"/>
      <c r="C1650" s="37"/>
      <c r="F1650" s="38"/>
      <c r="G1650" s="38"/>
      <c r="H1650" s="38"/>
      <c r="I1650" s="37"/>
      <c r="J1650" s="38"/>
      <c r="K1650" s="38"/>
      <c r="L1650" s="42"/>
      <c r="M1650" s="42"/>
      <c r="N1650" s="42"/>
      <c r="O1650" s="42"/>
      <c r="R1650" s="37"/>
      <c r="S1650" s="37"/>
      <c r="T1650" s="91"/>
      <c r="U1650" s="91"/>
      <c r="V1650" s="41"/>
      <c r="W1650" s="37"/>
      <c r="X1650" s="37"/>
      <c r="Y1650" s="43"/>
      <c r="Z1650" s="37"/>
      <c r="AA1650" s="37"/>
      <c r="AD1650" s="37"/>
      <c r="AE1650" s="37"/>
      <c r="AF1650" s="37"/>
    </row>
    <row r="1651" spans="1:32" x14ac:dyDescent="0.25">
      <c r="A1651" s="37"/>
      <c r="B1651" s="37"/>
      <c r="C1651" s="37"/>
      <c r="F1651" s="38"/>
      <c r="G1651" s="38"/>
      <c r="H1651" s="38"/>
      <c r="I1651" s="37"/>
      <c r="J1651" s="38"/>
      <c r="K1651" s="38"/>
      <c r="L1651" s="42"/>
      <c r="M1651" s="42"/>
      <c r="N1651" s="42"/>
      <c r="O1651" s="42"/>
      <c r="R1651" s="37"/>
      <c r="S1651" s="37"/>
      <c r="T1651" s="91"/>
      <c r="U1651" s="91"/>
      <c r="V1651" s="41"/>
      <c r="W1651" s="37"/>
      <c r="X1651" s="37"/>
      <c r="Y1651" s="43"/>
      <c r="Z1651" s="37"/>
      <c r="AA1651" s="37"/>
      <c r="AD1651" s="37"/>
      <c r="AE1651" s="37"/>
      <c r="AF1651" s="37"/>
    </row>
    <row r="1652" spans="1:32" x14ac:dyDescent="0.25">
      <c r="A1652" s="37"/>
      <c r="B1652" s="37"/>
      <c r="C1652" s="37"/>
      <c r="F1652" s="38"/>
      <c r="G1652" s="38"/>
      <c r="H1652" s="38"/>
      <c r="I1652" s="37"/>
      <c r="J1652" s="38"/>
      <c r="K1652" s="38"/>
      <c r="L1652" s="42"/>
      <c r="M1652" s="42"/>
      <c r="N1652" s="42"/>
      <c r="O1652" s="42"/>
      <c r="R1652" s="37"/>
      <c r="S1652" s="37"/>
      <c r="T1652" s="91"/>
      <c r="U1652" s="91"/>
      <c r="V1652" s="41"/>
      <c r="W1652" s="37"/>
      <c r="X1652" s="37"/>
      <c r="Y1652" s="43"/>
      <c r="Z1652" s="37"/>
      <c r="AA1652" s="37"/>
      <c r="AD1652" s="37"/>
      <c r="AE1652" s="37"/>
      <c r="AF1652" s="37"/>
    </row>
    <row r="1653" spans="1:32" x14ac:dyDescent="0.25">
      <c r="A1653" s="37"/>
      <c r="B1653" s="37"/>
      <c r="C1653" s="37"/>
      <c r="F1653" s="38"/>
      <c r="G1653" s="38"/>
      <c r="H1653" s="38"/>
      <c r="I1653" s="37"/>
      <c r="J1653" s="38"/>
      <c r="K1653" s="38"/>
      <c r="L1653" s="42"/>
      <c r="M1653" s="42"/>
      <c r="N1653" s="42"/>
      <c r="O1653" s="42"/>
      <c r="R1653" s="37"/>
      <c r="S1653" s="37"/>
      <c r="T1653" s="91"/>
      <c r="U1653" s="91"/>
      <c r="V1653" s="41"/>
      <c r="W1653" s="37"/>
      <c r="X1653" s="37"/>
      <c r="Y1653" s="43"/>
      <c r="Z1653" s="37"/>
      <c r="AA1653" s="37"/>
      <c r="AD1653" s="37"/>
      <c r="AE1653" s="37"/>
      <c r="AF1653" s="37"/>
    </row>
    <row r="1654" spans="1:32" x14ac:dyDescent="0.25">
      <c r="A1654" s="37"/>
      <c r="B1654" s="37"/>
      <c r="C1654" s="37"/>
      <c r="F1654" s="38"/>
      <c r="G1654" s="38"/>
      <c r="H1654" s="38"/>
      <c r="I1654" s="37"/>
      <c r="J1654" s="38"/>
      <c r="K1654" s="38"/>
      <c r="L1654" s="42"/>
      <c r="M1654" s="42"/>
      <c r="N1654" s="42"/>
      <c r="O1654" s="42"/>
      <c r="R1654" s="37"/>
      <c r="S1654" s="37"/>
      <c r="T1654" s="91"/>
      <c r="U1654" s="91"/>
      <c r="V1654" s="41"/>
      <c r="W1654" s="37"/>
      <c r="X1654" s="37"/>
      <c r="Y1654" s="43"/>
      <c r="Z1654" s="37"/>
      <c r="AA1654" s="37"/>
      <c r="AD1654" s="37"/>
      <c r="AE1654" s="37"/>
      <c r="AF1654" s="37"/>
    </row>
    <row r="1655" spans="1:32" x14ac:dyDescent="0.25">
      <c r="A1655" s="37"/>
      <c r="B1655" s="37"/>
      <c r="C1655" s="37"/>
      <c r="F1655" s="38"/>
      <c r="G1655" s="38"/>
      <c r="H1655" s="38"/>
      <c r="I1655" s="37"/>
      <c r="J1655" s="38"/>
      <c r="K1655" s="38"/>
      <c r="L1655" s="42"/>
      <c r="M1655" s="42"/>
      <c r="N1655" s="42"/>
      <c r="O1655" s="42"/>
      <c r="R1655" s="37"/>
      <c r="S1655" s="37"/>
      <c r="T1655" s="91"/>
      <c r="U1655" s="91"/>
      <c r="V1655" s="41"/>
      <c r="W1655" s="37"/>
      <c r="X1655" s="37"/>
      <c r="Y1655" s="43"/>
      <c r="Z1655" s="37"/>
      <c r="AA1655" s="37"/>
      <c r="AD1655" s="37"/>
      <c r="AE1655" s="37"/>
      <c r="AF1655" s="37"/>
    </row>
    <row r="1656" spans="1:32" x14ac:dyDescent="0.25">
      <c r="A1656" s="37"/>
      <c r="B1656" s="37"/>
      <c r="C1656" s="37"/>
      <c r="F1656" s="38"/>
      <c r="G1656" s="38"/>
      <c r="H1656" s="38"/>
      <c r="I1656" s="37"/>
      <c r="J1656" s="38"/>
      <c r="K1656" s="38"/>
      <c r="L1656" s="42"/>
      <c r="M1656" s="42"/>
      <c r="N1656" s="42"/>
      <c r="O1656" s="42"/>
      <c r="R1656" s="37"/>
      <c r="S1656" s="37"/>
      <c r="T1656" s="91"/>
      <c r="U1656" s="91"/>
      <c r="V1656" s="41"/>
      <c r="W1656" s="37"/>
      <c r="X1656" s="37"/>
      <c r="Y1656" s="43"/>
      <c r="Z1656" s="37"/>
      <c r="AA1656" s="37"/>
      <c r="AD1656" s="37"/>
      <c r="AE1656" s="37"/>
      <c r="AF1656" s="37"/>
    </row>
    <row r="1657" spans="1:32" x14ac:dyDescent="0.25">
      <c r="A1657" s="37"/>
      <c r="B1657" s="37"/>
      <c r="C1657" s="37"/>
      <c r="F1657" s="38"/>
      <c r="G1657" s="38"/>
      <c r="H1657" s="38"/>
      <c r="I1657" s="37"/>
      <c r="J1657" s="38"/>
      <c r="K1657" s="38"/>
      <c r="L1657" s="42"/>
      <c r="M1657" s="42"/>
      <c r="N1657" s="42"/>
      <c r="O1657" s="42"/>
      <c r="R1657" s="37"/>
      <c r="S1657" s="37"/>
      <c r="T1657" s="91"/>
      <c r="U1657" s="91"/>
      <c r="V1657" s="41"/>
      <c r="W1657" s="37"/>
      <c r="X1657" s="37"/>
      <c r="Y1657" s="43"/>
      <c r="Z1657" s="37"/>
      <c r="AA1657" s="37"/>
      <c r="AD1657" s="37"/>
      <c r="AE1657" s="37"/>
      <c r="AF1657" s="37"/>
    </row>
    <row r="1658" spans="1:32" x14ac:dyDescent="0.25">
      <c r="A1658" s="37"/>
      <c r="B1658" s="37"/>
      <c r="C1658" s="37"/>
      <c r="F1658" s="38"/>
      <c r="G1658" s="38"/>
      <c r="H1658" s="38"/>
      <c r="I1658" s="37"/>
      <c r="J1658" s="38"/>
      <c r="K1658" s="38"/>
      <c r="L1658" s="42"/>
      <c r="M1658" s="42"/>
      <c r="N1658" s="42"/>
      <c r="O1658" s="42"/>
      <c r="R1658" s="37"/>
      <c r="S1658" s="37"/>
      <c r="T1658" s="91"/>
      <c r="U1658" s="91"/>
      <c r="V1658" s="41"/>
      <c r="W1658" s="37"/>
      <c r="X1658" s="37"/>
      <c r="Y1658" s="43"/>
      <c r="Z1658" s="37"/>
      <c r="AA1658" s="37"/>
      <c r="AD1658" s="37"/>
      <c r="AE1658" s="37"/>
      <c r="AF1658" s="37"/>
    </row>
    <row r="1659" spans="1:32" x14ac:dyDescent="0.25">
      <c r="A1659" s="37"/>
      <c r="B1659" s="37"/>
      <c r="C1659" s="37"/>
      <c r="F1659" s="38"/>
      <c r="G1659" s="38"/>
      <c r="H1659" s="38"/>
      <c r="I1659" s="37"/>
      <c r="J1659" s="38"/>
      <c r="K1659" s="38"/>
      <c r="L1659" s="42"/>
      <c r="M1659" s="42"/>
      <c r="N1659" s="42"/>
      <c r="O1659" s="42"/>
      <c r="R1659" s="37"/>
      <c r="S1659" s="37"/>
      <c r="T1659" s="91"/>
      <c r="U1659" s="91"/>
      <c r="V1659" s="41"/>
      <c r="W1659" s="37"/>
      <c r="X1659" s="37"/>
      <c r="Y1659" s="43"/>
      <c r="Z1659" s="37"/>
      <c r="AA1659" s="37"/>
      <c r="AD1659" s="37"/>
      <c r="AE1659" s="37"/>
      <c r="AF1659" s="37"/>
    </row>
    <row r="1660" spans="1:32" x14ac:dyDescent="0.25">
      <c r="A1660" s="37"/>
      <c r="B1660" s="37"/>
      <c r="C1660" s="37"/>
      <c r="F1660" s="38"/>
      <c r="G1660" s="38"/>
      <c r="H1660" s="38"/>
      <c r="I1660" s="37"/>
      <c r="J1660" s="38"/>
      <c r="K1660" s="38"/>
      <c r="L1660" s="42"/>
      <c r="M1660" s="42"/>
      <c r="N1660" s="42"/>
      <c r="O1660" s="42"/>
      <c r="R1660" s="37"/>
      <c r="S1660" s="37"/>
      <c r="T1660" s="91"/>
      <c r="U1660" s="91"/>
      <c r="V1660" s="41"/>
      <c r="W1660" s="37"/>
      <c r="X1660" s="37"/>
      <c r="Y1660" s="43"/>
      <c r="Z1660" s="37"/>
      <c r="AA1660" s="37"/>
      <c r="AD1660" s="37"/>
      <c r="AE1660" s="37"/>
      <c r="AF1660" s="37"/>
    </row>
    <row r="1661" spans="1:32" x14ac:dyDescent="0.25">
      <c r="A1661" s="37"/>
      <c r="B1661" s="37"/>
      <c r="C1661" s="37"/>
      <c r="F1661" s="38"/>
      <c r="G1661" s="38"/>
      <c r="H1661" s="38"/>
      <c r="I1661" s="37"/>
      <c r="J1661" s="38"/>
      <c r="K1661" s="38"/>
      <c r="L1661" s="42"/>
      <c r="M1661" s="42"/>
      <c r="N1661" s="42"/>
      <c r="O1661" s="42"/>
      <c r="R1661" s="37"/>
      <c r="S1661" s="37"/>
      <c r="T1661" s="91"/>
      <c r="U1661" s="91"/>
      <c r="V1661" s="41"/>
      <c r="W1661" s="37"/>
      <c r="X1661" s="37"/>
      <c r="Y1661" s="43"/>
      <c r="Z1661" s="37"/>
      <c r="AA1661" s="37"/>
      <c r="AD1661" s="37"/>
      <c r="AE1661" s="37"/>
      <c r="AF1661" s="37"/>
    </row>
    <row r="1662" spans="1:32" x14ac:dyDescent="0.25">
      <c r="A1662" s="37"/>
      <c r="B1662" s="37"/>
      <c r="C1662" s="37"/>
      <c r="F1662" s="38"/>
      <c r="G1662" s="38"/>
      <c r="H1662" s="38"/>
      <c r="I1662" s="37"/>
      <c r="J1662" s="38"/>
      <c r="K1662" s="38"/>
      <c r="L1662" s="42"/>
      <c r="M1662" s="42"/>
      <c r="N1662" s="42"/>
      <c r="O1662" s="42"/>
      <c r="R1662" s="37"/>
      <c r="S1662" s="37"/>
      <c r="T1662" s="91"/>
      <c r="U1662" s="91"/>
      <c r="V1662" s="41"/>
      <c r="W1662" s="37"/>
      <c r="X1662" s="37"/>
      <c r="Y1662" s="43"/>
      <c r="Z1662" s="37"/>
      <c r="AA1662" s="37"/>
      <c r="AD1662" s="37"/>
      <c r="AE1662" s="37"/>
      <c r="AF1662" s="37"/>
    </row>
    <row r="1663" spans="1:32" x14ac:dyDescent="0.25">
      <c r="A1663" s="37"/>
      <c r="B1663" s="37"/>
      <c r="C1663" s="37"/>
      <c r="F1663" s="38"/>
      <c r="G1663" s="38"/>
      <c r="H1663" s="38"/>
      <c r="I1663" s="37"/>
      <c r="J1663" s="38"/>
      <c r="K1663" s="38"/>
      <c r="L1663" s="42"/>
      <c r="M1663" s="42"/>
      <c r="N1663" s="42"/>
      <c r="O1663" s="42"/>
      <c r="R1663" s="37"/>
      <c r="S1663" s="37"/>
      <c r="T1663" s="91"/>
      <c r="U1663" s="91"/>
      <c r="V1663" s="41"/>
      <c r="W1663" s="37"/>
      <c r="X1663" s="37"/>
      <c r="Y1663" s="43"/>
      <c r="Z1663" s="37"/>
      <c r="AA1663" s="37"/>
      <c r="AD1663" s="37"/>
      <c r="AE1663" s="37"/>
      <c r="AF1663" s="37"/>
    </row>
    <row r="1664" spans="1:32" x14ac:dyDescent="0.25">
      <c r="A1664" s="37"/>
      <c r="B1664" s="37"/>
      <c r="C1664" s="37"/>
      <c r="F1664" s="38"/>
      <c r="G1664" s="38"/>
      <c r="H1664" s="38"/>
      <c r="I1664" s="37"/>
      <c r="J1664" s="38"/>
      <c r="K1664" s="38"/>
      <c r="L1664" s="42"/>
      <c r="M1664" s="42"/>
      <c r="N1664" s="42"/>
      <c r="O1664" s="42"/>
      <c r="R1664" s="37"/>
      <c r="S1664" s="37"/>
      <c r="T1664" s="91"/>
      <c r="U1664" s="91"/>
      <c r="V1664" s="41"/>
      <c r="W1664" s="37"/>
      <c r="X1664" s="37"/>
      <c r="Y1664" s="43"/>
      <c r="Z1664" s="37"/>
      <c r="AA1664" s="37"/>
      <c r="AD1664" s="37"/>
      <c r="AE1664" s="37"/>
      <c r="AF1664" s="37"/>
    </row>
    <row r="1665" spans="1:32" x14ac:dyDescent="0.25">
      <c r="A1665" s="37"/>
      <c r="B1665" s="37"/>
      <c r="C1665" s="37"/>
      <c r="F1665" s="38"/>
      <c r="G1665" s="38"/>
      <c r="H1665" s="38"/>
      <c r="I1665" s="37"/>
      <c r="J1665" s="38"/>
      <c r="K1665" s="38"/>
      <c r="L1665" s="42"/>
      <c r="M1665" s="42"/>
      <c r="N1665" s="42"/>
      <c r="O1665" s="42"/>
      <c r="R1665" s="37"/>
      <c r="S1665" s="37"/>
      <c r="T1665" s="91"/>
      <c r="U1665" s="91"/>
      <c r="V1665" s="41"/>
      <c r="W1665" s="37"/>
      <c r="X1665" s="37"/>
      <c r="Y1665" s="43"/>
      <c r="Z1665" s="37"/>
      <c r="AA1665" s="37"/>
      <c r="AD1665" s="37"/>
      <c r="AE1665" s="37"/>
      <c r="AF1665" s="37"/>
    </row>
    <row r="1666" spans="1:32" x14ac:dyDescent="0.25">
      <c r="A1666" s="37"/>
      <c r="B1666" s="37"/>
      <c r="C1666" s="37"/>
      <c r="F1666" s="38"/>
      <c r="G1666" s="38"/>
      <c r="H1666" s="38"/>
      <c r="I1666" s="37"/>
      <c r="J1666" s="38"/>
      <c r="K1666" s="38"/>
      <c r="L1666" s="42"/>
      <c r="M1666" s="42"/>
      <c r="N1666" s="42"/>
      <c r="O1666" s="42"/>
      <c r="R1666" s="37"/>
      <c r="S1666" s="37"/>
      <c r="T1666" s="91"/>
      <c r="U1666" s="91"/>
      <c r="V1666" s="41"/>
      <c r="W1666" s="37"/>
      <c r="X1666" s="37"/>
      <c r="Y1666" s="43"/>
      <c r="Z1666" s="37"/>
      <c r="AA1666" s="37"/>
      <c r="AD1666" s="37"/>
      <c r="AE1666" s="37"/>
      <c r="AF1666" s="37"/>
    </row>
    <row r="1667" spans="1:32" x14ac:dyDescent="0.25">
      <c r="A1667" s="37"/>
      <c r="B1667" s="37"/>
      <c r="C1667" s="37"/>
      <c r="F1667" s="38"/>
      <c r="G1667" s="38"/>
      <c r="H1667" s="38"/>
      <c r="I1667" s="37"/>
      <c r="J1667" s="38"/>
      <c r="K1667" s="38"/>
      <c r="L1667" s="42"/>
      <c r="M1667" s="42"/>
      <c r="N1667" s="42"/>
      <c r="O1667" s="42"/>
      <c r="R1667" s="37"/>
      <c r="S1667" s="37"/>
      <c r="T1667" s="91"/>
      <c r="U1667" s="91"/>
      <c r="V1667" s="41"/>
      <c r="W1667" s="37"/>
      <c r="X1667" s="37"/>
      <c r="Y1667" s="43"/>
      <c r="Z1667" s="37"/>
      <c r="AA1667" s="37"/>
      <c r="AD1667" s="37"/>
      <c r="AE1667" s="37"/>
      <c r="AF1667" s="37"/>
    </row>
    <row r="1668" spans="1:32" x14ac:dyDescent="0.25">
      <c r="A1668" s="37"/>
      <c r="B1668" s="37"/>
      <c r="C1668" s="37"/>
      <c r="F1668" s="38"/>
      <c r="G1668" s="38"/>
      <c r="H1668" s="38"/>
      <c r="I1668" s="37"/>
      <c r="J1668" s="38"/>
      <c r="K1668" s="38"/>
      <c r="L1668" s="42"/>
      <c r="M1668" s="42"/>
      <c r="N1668" s="42"/>
      <c r="O1668" s="42"/>
      <c r="R1668" s="37"/>
      <c r="S1668" s="37"/>
      <c r="T1668" s="91"/>
      <c r="U1668" s="91"/>
      <c r="V1668" s="41"/>
      <c r="W1668" s="37"/>
      <c r="X1668" s="37"/>
      <c r="Y1668" s="43"/>
      <c r="Z1668" s="37"/>
      <c r="AA1668" s="37"/>
      <c r="AD1668" s="37"/>
      <c r="AE1668" s="37"/>
      <c r="AF1668" s="37"/>
    </row>
    <row r="1669" spans="1:32" x14ac:dyDescent="0.25">
      <c r="A1669" s="37"/>
      <c r="B1669" s="37"/>
      <c r="C1669" s="37"/>
      <c r="F1669" s="38"/>
      <c r="G1669" s="38"/>
      <c r="H1669" s="38"/>
      <c r="I1669" s="37"/>
      <c r="J1669" s="38"/>
      <c r="K1669" s="38"/>
      <c r="L1669" s="42"/>
      <c r="M1669" s="42"/>
      <c r="N1669" s="42"/>
      <c r="O1669" s="42"/>
      <c r="R1669" s="37"/>
      <c r="S1669" s="37"/>
      <c r="T1669" s="91"/>
      <c r="U1669" s="91"/>
      <c r="V1669" s="41"/>
      <c r="W1669" s="37"/>
      <c r="X1669" s="37"/>
      <c r="Y1669" s="43"/>
      <c r="Z1669" s="37"/>
      <c r="AA1669" s="37"/>
      <c r="AD1669" s="37"/>
      <c r="AE1669" s="37"/>
      <c r="AF1669" s="37"/>
    </row>
    <row r="1670" spans="1:32" x14ac:dyDescent="0.25">
      <c r="A1670" s="37"/>
      <c r="B1670" s="37"/>
      <c r="C1670" s="37"/>
      <c r="F1670" s="38"/>
      <c r="G1670" s="38"/>
      <c r="H1670" s="38"/>
      <c r="I1670" s="37"/>
      <c r="J1670" s="38"/>
      <c r="K1670" s="38"/>
      <c r="L1670" s="42"/>
      <c r="M1670" s="42"/>
      <c r="N1670" s="42"/>
      <c r="O1670" s="42"/>
      <c r="R1670" s="37"/>
      <c r="S1670" s="37"/>
      <c r="T1670" s="91"/>
      <c r="U1670" s="91"/>
      <c r="V1670" s="41"/>
      <c r="W1670" s="37"/>
      <c r="X1670" s="37"/>
      <c r="Y1670" s="43"/>
      <c r="Z1670" s="37"/>
      <c r="AA1670" s="37"/>
      <c r="AD1670" s="37"/>
      <c r="AE1670" s="37"/>
      <c r="AF1670" s="37"/>
    </row>
    <row r="1671" spans="1:32" x14ac:dyDescent="0.25">
      <c r="A1671" s="37"/>
      <c r="B1671" s="37"/>
      <c r="C1671" s="37"/>
      <c r="F1671" s="38"/>
      <c r="G1671" s="38"/>
      <c r="H1671" s="38"/>
      <c r="I1671" s="37"/>
      <c r="J1671" s="38"/>
      <c r="K1671" s="38"/>
      <c r="L1671" s="42"/>
      <c r="M1671" s="42"/>
      <c r="N1671" s="42"/>
      <c r="O1671" s="42"/>
      <c r="R1671" s="37"/>
      <c r="S1671" s="37"/>
      <c r="T1671" s="91"/>
      <c r="U1671" s="91"/>
      <c r="V1671" s="41"/>
      <c r="W1671" s="37"/>
      <c r="X1671" s="37"/>
      <c r="Y1671" s="43"/>
      <c r="Z1671" s="37"/>
      <c r="AA1671" s="37"/>
      <c r="AD1671" s="37"/>
      <c r="AE1671" s="37"/>
      <c r="AF1671" s="37"/>
    </row>
    <row r="1672" spans="1:32" x14ac:dyDescent="0.25">
      <c r="A1672" s="37"/>
      <c r="B1672" s="37"/>
      <c r="C1672" s="37"/>
      <c r="F1672" s="38"/>
      <c r="G1672" s="38"/>
      <c r="H1672" s="38"/>
      <c r="I1672" s="37"/>
      <c r="J1672" s="38"/>
      <c r="K1672" s="38"/>
      <c r="L1672" s="42"/>
      <c r="M1672" s="42"/>
      <c r="N1672" s="42"/>
      <c r="O1672" s="42"/>
      <c r="R1672" s="37"/>
      <c r="S1672" s="37"/>
      <c r="T1672" s="91"/>
      <c r="U1672" s="91"/>
      <c r="V1672" s="41"/>
      <c r="W1672" s="37"/>
      <c r="X1672" s="37"/>
      <c r="Y1672" s="43"/>
      <c r="Z1672" s="37"/>
      <c r="AA1672" s="37"/>
      <c r="AD1672" s="37"/>
      <c r="AE1672" s="37"/>
      <c r="AF1672" s="37"/>
    </row>
    <row r="1673" spans="1:32" x14ac:dyDescent="0.25">
      <c r="A1673" s="37"/>
      <c r="B1673" s="37"/>
      <c r="C1673" s="37"/>
      <c r="F1673" s="38"/>
      <c r="G1673" s="38"/>
      <c r="H1673" s="38"/>
      <c r="I1673" s="37"/>
      <c r="J1673" s="38"/>
      <c r="K1673" s="38"/>
      <c r="L1673" s="42"/>
      <c r="M1673" s="42"/>
      <c r="N1673" s="42"/>
      <c r="O1673" s="42"/>
      <c r="R1673" s="37"/>
      <c r="S1673" s="37"/>
      <c r="T1673" s="91"/>
      <c r="U1673" s="91"/>
      <c r="V1673" s="41"/>
      <c r="W1673" s="37"/>
      <c r="X1673" s="37"/>
      <c r="Y1673" s="43"/>
      <c r="Z1673" s="37"/>
      <c r="AA1673" s="37"/>
      <c r="AD1673" s="37"/>
      <c r="AE1673" s="37"/>
      <c r="AF1673" s="37"/>
    </row>
    <row r="1674" spans="1:32" x14ac:dyDescent="0.25">
      <c r="A1674" s="37"/>
      <c r="B1674" s="37"/>
      <c r="C1674" s="37"/>
      <c r="F1674" s="38"/>
      <c r="G1674" s="38"/>
      <c r="H1674" s="38"/>
      <c r="I1674" s="37"/>
      <c r="J1674" s="38"/>
      <c r="K1674" s="38"/>
      <c r="L1674" s="42"/>
      <c r="M1674" s="42"/>
      <c r="N1674" s="42"/>
      <c r="O1674" s="42"/>
      <c r="R1674" s="37"/>
      <c r="S1674" s="37"/>
      <c r="T1674" s="91"/>
      <c r="U1674" s="91"/>
      <c r="V1674" s="41"/>
      <c r="W1674" s="37"/>
      <c r="X1674" s="37"/>
      <c r="Y1674" s="43"/>
      <c r="Z1674" s="37"/>
      <c r="AA1674" s="37"/>
      <c r="AD1674" s="37"/>
      <c r="AE1674" s="37"/>
      <c r="AF1674" s="37"/>
    </row>
    <row r="1675" spans="1:32" x14ac:dyDescent="0.25">
      <c r="A1675" s="37"/>
      <c r="B1675" s="37"/>
      <c r="C1675" s="37"/>
      <c r="F1675" s="38"/>
      <c r="G1675" s="38"/>
      <c r="H1675" s="38"/>
      <c r="I1675" s="37"/>
      <c r="J1675" s="38"/>
      <c r="K1675" s="38"/>
      <c r="L1675" s="42"/>
      <c r="M1675" s="42"/>
      <c r="N1675" s="42"/>
      <c r="O1675" s="42"/>
      <c r="R1675" s="37"/>
      <c r="S1675" s="37"/>
      <c r="T1675" s="91"/>
      <c r="U1675" s="91"/>
      <c r="V1675" s="41"/>
      <c r="W1675" s="37"/>
      <c r="X1675" s="37"/>
      <c r="Y1675" s="43"/>
      <c r="Z1675" s="37"/>
      <c r="AA1675" s="37"/>
      <c r="AD1675" s="37"/>
      <c r="AE1675" s="37"/>
      <c r="AF1675" s="37"/>
    </row>
    <row r="1676" spans="1:32" x14ac:dyDescent="0.25">
      <c r="A1676" s="37"/>
      <c r="B1676" s="37"/>
      <c r="C1676" s="37"/>
      <c r="F1676" s="38"/>
      <c r="G1676" s="38"/>
      <c r="H1676" s="38"/>
      <c r="I1676" s="37"/>
      <c r="J1676" s="38"/>
      <c r="K1676" s="38"/>
      <c r="L1676" s="42"/>
      <c r="M1676" s="42"/>
      <c r="N1676" s="42"/>
      <c r="O1676" s="42"/>
      <c r="R1676" s="37"/>
      <c r="S1676" s="37"/>
      <c r="T1676" s="91"/>
      <c r="U1676" s="91"/>
      <c r="V1676" s="41"/>
      <c r="W1676" s="37"/>
      <c r="X1676" s="37"/>
      <c r="Y1676" s="43"/>
      <c r="Z1676" s="37"/>
      <c r="AA1676" s="37"/>
      <c r="AD1676" s="37"/>
      <c r="AE1676" s="37"/>
      <c r="AF1676" s="37"/>
    </row>
    <row r="1677" spans="1:32" x14ac:dyDescent="0.25">
      <c r="A1677" s="37"/>
      <c r="B1677" s="37"/>
      <c r="C1677" s="37"/>
      <c r="F1677" s="38"/>
      <c r="G1677" s="38"/>
      <c r="H1677" s="38"/>
      <c r="I1677" s="37"/>
      <c r="J1677" s="38"/>
      <c r="K1677" s="38"/>
      <c r="L1677" s="42"/>
      <c r="M1677" s="42"/>
      <c r="N1677" s="42"/>
      <c r="O1677" s="42"/>
      <c r="R1677" s="37"/>
      <c r="S1677" s="37"/>
      <c r="T1677" s="91"/>
      <c r="U1677" s="91"/>
      <c r="V1677" s="41"/>
      <c r="W1677" s="37"/>
      <c r="X1677" s="37"/>
      <c r="Y1677" s="43"/>
      <c r="Z1677" s="37"/>
      <c r="AA1677" s="37"/>
      <c r="AD1677" s="37"/>
      <c r="AE1677" s="37"/>
      <c r="AF1677" s="37"/>
    </row>
    <row r="1678" spans="1:32" x14ac:dyDescent="0.25">
      <c r="A1678" s="37"/>
      <c r="B1678" s="37"/>
      <c r="C1678" s="37"/>
      <c r="F1678" s="38"/>
      <c r="G1678" s="38"/>
      <c r="H1678" s="38"/>
      <c r="I1678" s="37"/>
      <c r="J1678" s="38"/>
      <c r="K1678" s="38"/>
      <c r="L1678" s="42"/>
      <c r="M1678" s="42"/>
      <c r="N1678" s="42"/>
      <c r="O1678" s="42"/>
      <c r="R1678" s="37"/>
      <c r="S1678" s="37"/>
      <c r="T1678" s="91"/>
      <c r="U1678" s="91"/>
      <c r="V1678" s="41"/>
      <c r="W1678" s="37"/>
      <c r="X1678" s="37"/>
      <c r="Y1678" s="43"/>
      <c r="Z1678" s="37"/>
      <c r="AA1678" s="37"/>
      <c r="AD1678" s="37"/>
      <c r="AE1678" s="37"/>
      <c r="AF1678" s="37"/>
    </row>
    <row r="1679" spans="1:32" x14ac:dyDescent="0.25">
      <c r="A1679" s="37"/>
      <c r="B1679" s="37"/>
      <c r="C1679" s="37"/>
      <c r="F1679" s="38"/>
      <c r="G1679" s="38"/>
      <c r="H1679" s="38"/>
      <c r="I1679" s="37"/>
      <c r="J1679" s="38"/>
      <c r="K1679" s="38"/>
      <c r="L1679" s="42"/>
      <c r="M1679" s="42"/>
      <c r="N1679" s="42"/>
      <c r="O1679" s="42"/>
      <c r="R1679" s="37"/>
      <c r="S1679" s="37"/>
      <c r="T1679" s="91"/>
      <c r="U1679" s="91"/>
      <c r="V1679" s="41"/>
      <c r="W1679" s="37"/>
      <c r="X1679" s="37"/>
      <c r="Y1679" s="43"/>
      <c r="Z1679" s="37"/>
      <c r="AA1679" s="37"/>
      <c r="AD1679" s="37"/>
      <c r="AE1679" s="37"/>
      <c r="AF1679" s="37"/>
    </row>
    <row r="1680" spans="1:32" x14ac:dyDescent="0.25">
      <c r="A1680" s="37"/>
      <c r="B1680" s="37"/>
      <c r="C1680" s="37"/>
      <c r="F1680" s="38"/>
      <c r="G1680" s="38"/>
      <c r="H1680" s="38"/>
      <c r="I1680" s="37"/>
      <c r="J1680" s="38"/>
      <c r="K1680" s="38"/>
      <c r="L1680" s="42"/>
      <c r="M1680" s="42"/>
      <c r="N1680" s="42"/>
      <c r="O1680" s="42"/>
      <c r="R1680" s="37"/>
      <c r="S1680" s="37"/>
      <c r="T1680" s="91"/>
      <c r="U1680" s="91"/>
      <c r="V1680" s="41"/>
      <c r="W1680" s="37"/>
      <c r="X1680" s="37"/>
      <c r="Y1680" s="43"/>
      <c r="Z1680" s="37"/>
      <c r="AA1680" s="37"/>
      <c r="AD1680" s="37"/>
      <c r="AE1680" s="37"/>
      <c r="AF1680" s="37"/>
    </row>
    <row r="1681" spans="1:32" x14ac:dyDescent="0.25">
      <c r="A1681" s="37"/>
      <c r="B1681" s="37"/>
      <c r="C1681" s="37"/>
      <c r="F1681" s="38"/>
      <c r="G1681" s="38"/>
      <c r="H1681" s="38"/>
      <c r="I1681" s="37"/>
      <c r="J1681" s="38"/>
      <c r="K1681" s="38"/>
      <c r="L1681" s="42"/>
      <c r="M1681" s="42"/>
      <c r="N1681" s="42"/>
      <c r="O1681" s="42"/>
      <c r="R1681" s="37"/>
      <c r="S1681" s="37"/>
      <c r="T1681" s="91"/>
      <c r="U1681" s="91"/>
      <c r="V1681" s="41"/>
      <c r="W1681" s="37"/>
      <c r="X1681" s="37"/>
      <c r="Y1681" s="43"/>
      <c r="Z1681" s="37"/>
      <c r="AA1681" s="37"/>
      <c r="AD1681" s="37"/>
      <c r="AE1681" s="37"/>
      <c r="AF1681" s="37"/>
    </row>
    <row r="1682" spans="1:32" x14ac:dyDescent="0.25">
      <c r="A1682" s="37"/>
      <c r="B1682" s="37"/>
      <c r="C1682" s="37"/>
      <c r="F1682" s="38"/>
      <c r="G1682" s="38"/>
      <c r="H1682" s="38"/>
      <c r="I1682" s="37"/>
      <c r="J1682" s="38"/>
      <c r="K1682" s="38"/>
      <c r="L1682" s="42"/>
      <c r="M1682" s="42"/>
      <c r="N1682" s="42"/>
      <c r="O1682" s="42"/>
      <c r="R1682" s="37"/>
      <c r="S1682" s="37"/>
      <c r="T1682" s="91"/>
      <c r="U1682" s="91"/>
      <c r="V1682" s="41"/>
      <c r="W1682" s="37"/>
      <c r="X1682" s="37"/>
      <c r="Y1682" s="43"/>
      <c r="Z1682" s="37"/>
      <c r="AA1682" s="37"/>
      <c r="AD1682" s="37"/>
      <c r="AE1682" s="37"/>
      <c r="AF1682" s="37"/>
    </row>
    <row r="1683" spans="1:32" x14ac:dyDescent="0.25">
      <c r="A1683" s="37"/>
      <c r="B1683" s="37"/>
      <c r="C1683" s="37"/>
      <c r="F1683" s="38"/>
      <c r="G1683" s="38"/>
      <c r="H1683" s="38"/>
      <c r="I1683" s="37"/>
      <c r="J1683" s="38"/>
      <c r="K1683" s="38"/>
      <c r="L1683" s="42"/>
      <c r="M1683" s="42"/>
      <c r="N1683" s="42"/>
      <c r="O1683" s="42"/>
      <c r="R1683" s="37"/>
      <c r="S1683" s="37"/>
      <c r="T1683" s="91"/>
      <c r="U1683" s="91"/>
      <c r="V1683" s="41"/>
      <c r="W1683" s="37"/>
      <c r="X1683" s="37"/>
      <c r="Y1683" s="43"/>
      <c r="Z1683" s="37"/>
      <c r="AA1683" s="37"/>
      <c r="AD1683" s="37"/>
      <c r="AE1683" s="37"/>
      <c r="AF1683" s="37"/>
    </row>
    <row r="1684" spans="1:32" x14ac:dyDescent="0.25">
      <c r="A1684" s="37"/>
      <c r="B1684" s="37"/>
      <c r="C1684" s="37"/>
      <c r="F1684" s="38"/>
      <c r="G1684" s="38"/>
      <c r="H1684" s="38"/>
      <c r="I1684" s="37"/>
      <c r="J1684" s="38"/>
      <c r="K1684" s="38"/>
      <c r="L1684" s="42"/>
      <c r="M1684" s="42"/>
      <c r="N1684" s="42"/>
      <c r="O1684" s="42"/>
      <c r="R1684" s="37"/>
      <c r="S1684" s="37"/>
      <c r="T1684" s="91"/>
      <c r="U1684" s="91"/>
      <c r="V1684" s="41"/>
      <c r="W1684" s="37"/>
      <c r="X1684" s="37"/>
      <c r="Y1684" s="43"/>
      <c r="Z1684" s="37"/>
      <c r="AA1684" s="37"/>
      <c r="AD1684" s="37"/>
      <c r="AE1684" s="37"/>
      <c r="AF1684" s="37"/>
    </row>
    <row r="1685" spans="1:32" x14ac:dyDescent="0.25">
      <c r="A1685" s="37"/>
      <c r="B1685" s="37"/>
      <c r="C1685" s="37"/>
      <c r="F1685" s="38"/>
      <c r="G1685" s="38"/>
      <c r="H1685" s="38"/>
      <c r="I1685" s="37"/>
      <c r="J1685" s="38"/>
      <c r="K1685" s="38"/>
      <c r="L1685" s="42"/>
      <c r="M1685" s="42"/>
      <c r="N1685" s="42"/>
      <c r="O1685" s="42"/>
      <c r="R1685" s="37"/>
      <c r="S1685" s="37"/>
      <c r="T1685" s="91"/>
      <c r="U1685" s="91"/>
      <c r="V1685" s="41"/>
      <c r="W1685" s="37"/>
      <c r="X1685" s="37"/>
      <c r="Y1685" s="43"/>
      <c r="Z1685" s="37"/>
      <c r="AA1685" s="37"/>
      <c r="AD1685" s="37"/>
      <c r="AE1685" s="37"/>
      <c r="AF1685" s="37"/>
    </row>
    <row r="1686" spans="1:32" x14ac:dyDescent="0.25">
      <c r="A1686" s="37"/>
      <c r="B1686" s="37"/>
      <c r="C1686" s="37"/>
      <c r="F1686" s="38"/>
      <c r="G1686" s="38"/>
      <c r="H1686" s="38"/>
      <c r="I1686" s="37"/>
      <c r="J1686" s="38"/>
      <c r="K1686" s="38"/>
      <c r="L1686" s="42"/>
      <c r="M1686" s="42"/>
      <c r="N1686" s="42"/>
      <c r="O1686" s="42"/>
      <c r="R1686" s="37"/>
      <c r="S1686" s="37"/>
      <c r="T1686" s="91"/>
      <c r="U1686" s="91"/>
      <c r="V1686" s="41"/>
      <c r="W1686" s="37"/>
      <c r="X1686" s="37"/>
      <c r="Y1686" s="43"/>
      <c r="Z1686" s="37"/>
      <c r="AA1686" s="37"/>
      <c r="AD1686" s="37"/>
      <c r="AE1686" s="37"/>
      <c r="AF1686" s="37"/>
    </row>
    <row r="1687" spans="1:32" x14ac:dyDescent="0.25">
      <c r="A1687" s="37"/>
      <c r="B1687" s="37"/>
      <c r="C1687" s="37"/>
      <c r="F1687" s="38"/>
      <c r="G1687" s="38"/>
      <c r="H1687" s="38"/>
      <c r="I1687" s="37"/>
      <c r="J1687" s="38"/>
      <c r="K1687" s="38"/>
      <c r="L1687" s="42"/>
      <c r="M1687" s="42"/>
      <c r="N1687" s="42"/>
      <c r="O1687" s="42"/>
      <c r="R1687" s="37"/>
      <c r="S1687" s="37"/>
      <c r="T1687" s="91"/>
      <c r="U1687" s="91"/>
      <c r="V1687" s="41"/>
      <c r="W1687" s="37"/>
      <c r="X1687" s="37"/>
      <c r="Y1687" s="43"/>
      <c r="Z1687" s="37"/>
      <c r="AA1687" s="37"/>
      <c r="AD1687" s="37"/>
      <c r="AE1687" s="37"/>
      <c r="AF1687" s="37"/>
    </row>
    <row r="1688" spans="1:32" x14ac:dyDescent="0.25">
      <c r="A1688" s="37"/>
      <c r="B1688" s="37"/>
      <c r="C1688" s="37"/>
      <c r="F1688" s="38"/>
      <c r="G1688" s="38"/>
      <c r="H1688" s="38"/>
      <c r="I1688" s="37"/>
      <c r="J1688" s="38"/>
      <c r="K1688" s="38"/>
      <c r="L1688" s="42"/>
      <c r="M1688" s="42"/>
      <c r="N1688" s="42"/>
      <c r="O1688" s="42"/>
      <c r="R1688" s="37"/>
      <c r="S1688" s="37"/>
      <c r="T1688" s="91"/>
      <c r="U1688" s="91"/>
      <c r="V1688" s="41"/>
      <c r="W1688" s="37"/>
      <c r="X1688" s="37"/>
      <c r="Y1688" s="43"/>
      <c r="Z1688" s="37"/>
      <c r="AA1688" s="37"/>
      <c r="AD1688" s="37"/>
      <c r="AE1688" s="37"/>
      <c r="AF1688" s="37"/>
    </row>
    <row r="1689" spans="1:32" x14ac:dyDescent="0.25">
      <c r="A1689" s="37"/>
      <c r="B1689" s="37"/>
      <c r="C1689" s="37"/>
      <c r="F1689" s="38"/>
      <c r="G1689" s="38"/>
      <c r="H1689" s="38"/>
      <c r="I1689" s="37"/>
      <c r="J1689" s="38"/>
      <c r="K1689" s="38"/>
      <c r="L1689" s="42"/>
      <c r="M1689" s="42"/>
      <c r="N1689" s="42"/>
      <c r="O1689" s="42"/>
      <c r="R1689" s="37"/>
      <c r="S1689" s="37"/>
      <c r="T1689" s="91"/>
      <c r="U1689" s="91"/>
      <c r="V1689" s="41"/>
      <c r="W1689" s="37"/>
      <c r="X1689" s="37"/>
      <c r="Y1689" s="43"/>
      <c r="Z1689" s="37"/>
      <c r="AA1689" s="37"/>
      <c r="AD1689" s="37"/>
      <c r="AE1689" s="37"/>
      <c r="AF1689" s="37"/>
    </row>
    <row r="1690" spans="1:32" x14ac:dyDescent="0.25">
      <c r="A1690" s="37"/>
      <c r="B1690" s="37"/>
      <c r="C1690" s="37"/>
      <c r="F1690" s="38"/>
      <c r="G1690" s="38"/>
      <c r="H1690" s="38"/>
      <c r="I1690" s="37"/>
      <c r="J1690" s="38"/>
      <c r="K1690" s="38"/>
      <c r="L1690" s="42"/>
      <c r="M1690" s="42"/>
      <c r="N1690" s="42"/>
      <c r="O1690" s="42"/>
      <c r="R1690" s="37"/>
      <c r="S1690" s="37"/>
      <c r="T1690" s="91"/>
      <c r="U1690" s="91"/>
      <c r="V1690" s="41"/>
      <c r="W1690" s="37"/>
      <c r="X1690" s="37"/>
      <c r="Y1690" s="43"/>
      <c r="Z1690" s="37"/>
      <c r="AA1690" s="37"/>
      <c r="AD1690" s="37"/>
      <c r="AE1690" s="37"/>
      <c r="AF1690" s="37"/>
    </row>
    <row r="1691" spans="1:32" x14ac:dyDescent="0.25">
      <c r="A1691" s="37"/>
      <c r="B1691" s="37"/>
      <c r="C1691" s="37"/>
      <c r="F1691" s="38"/>
      <c r="G1691" s="38"/>
      <c r="H1691" s="38"/>
      <c r="I1691" s="37"/>
      <c r="J1691" s="38"/>
      <c r="K1691" s="38"/>
      <c r="L1691" s="42"/>
      <c r="M1691" s="42"/>
      <c r="N1691" s="42"/>
      <c r="O1691" s="42"/>
      <c r="R1691" s="37"/>
      <c r="S1691" s="37"/>
      <c r="T1691" s="91"/>
      <c r="U1691" s="91"/>
      <c r="V1691" s="41"/>
      <c r="W1691" s="37"/>
      <c r="X1691" s="37"/>
      <c r="Y1691" s="43"/>
      <c r="Z1691" s="37"/>
      <c r="AA1691" s="37"/>
      <c r="AD1691" s="37"/>
      <c r="AE1691" s="37"/>
      <c r="AF1691" s="37"/>
    </row>
    <row r="1692" spans="1:32" x14ac:dyDescent="0.25">
      <c r="A1692" s="37"/>
      <c r="B1692" s="37"/>
      <c r="C1692" s="37"/>
      <c r="F1692" s="38"/>
      <c r="G1692" s="38"/>
      <c r="H1692" s="38"/>
      <c r="I1692" s="37"/>
      <c r="J1692" s="38"/>
      <c r="K1692" s="38"/>
      <c r="L1692" s="42"/>
      <c r="M1692" s="42"/>
      <c r="N1692" s="42"/>
      <c r="O1692" s="42"/>
      <c r="R1692" s="37"/>
      <c r="S1692" s="37"/>
      <c r="T1692" s="91"/>
      <c r="U1692" s="91"/>
      <c r="V1692" s="41"/>
      <c r="W1692" s="37"/>
      <c r="X1692" s="37"/>
      <c r="Y1692" s="43"/>
      <c r="Z1692" s="37"/>
      <c r="AA1692" s="37"/>
      <c r="AD1692" s="37"/>
      <c r="AE1692" s="37"/>
      <c r="AF1692" s="37"/>
    </row>
    <row r="1693" spans="1:32" x14ac:dyDescent="0.25">
      <c r="A1693" s="37"/>
      <c r="B1693" s="37"/>
      <c r="C1693" s="37"/>
      <c r="F1693" s="38"/>
      <c r="G1693" s="38"/>
      <c r="H1693" s="38"/>
      <c r="I1693" s="37"/>
      <c r="J1693" s="38"/>
      <c r="K1693" s="38"/>
      <c r="L1693" s="42"/>
      <c r="M1693" s="42"/>
      <c r="N1693" s="42"/>
      <c r="O1693" s="42"/>
      <c r="R1693" s="37"/>
      <c r="S1693" s="37"/>
      <c r="T1693" s="91"/>
      <c r="U1693" s="91"/>
      <c r="V1693" s="41"/>
      <c r="W1693" s="37"/>
      <c r="X1693" s="37"/>
      <c r="Y1693" s="43"/>
      <c r="Z1693" s="37"/>
      <c r="AA1693" s="37"/>
      <c r="AD1693" s="37"/>
      <c r="AE1693" s="37"/>
      <c r="AF1693" s="37"/>
    </row>
    <row r="1694" spans="1:32" x14ac:dyDescent="0.25">
      <c r="A1694" s="37"/>
      <c r="B1694" s="37"/>
      <c r="C1694" s="37"/>
      <c r="F1694" s="38"/>
      <c r="G1694" s="38"/>
      <c r="H1694" s="38"/>
      <c r="I1694" s="37"/>
      <c r="J1694" s="38"/>
      <c r="K1694" s="38"/>
      <c r="L1694" s="42"/>
      <c r="M1694" s="42"/>
      <c r="N1694" s="42"/>
      <c r="O1694" s="42"/>
      <c r="R1694" s="37"/>
      <c r="S1694" s="37"/>
      <c r="T1694" s="91"/>
      <c r="U1694" s="91"/>
      <c r="V1694" s="41"/>
      <c r="W1694" s="37"/>
      <c r="X1694" s="37"/>
      <c r="Y1694" s="43"/>
      <c r="Z1694" s="37"/>
      <c r="AA1694" s="37"/>
      <c r="AD1694" s="37"/>
      <c r="AE1694" s="37"/>
      <c r="AF1694" s="37"/>
    </row>
    <row r="1695" spans="1:32" x14ac:dyDescent="0.25">
      <c r="A1695" s="37"/>
      <c r="B1695" s="37"/>
      <c r="C1695" s="37"/>
      <c r="F1695" s="38"/>
      <c r="G1695" s="38"/>
      <c r="H1695" s="38"/>
      <c r="I1695" s="37"/>
      <c r="J1695" s="38"/>
      <c r="K1695" s="38"/>
      <c r="L1695" s="42"/>
      <c r="M1695" s="42"/>
      <c r="N1695" s="42"/>
      <c r="O1695" s="42"/>
      <c r="R1695" s="37"/>
      <c r="S1695" s="37"/>
      <c r="T1695" s="91"/>
      <c r="U1695" s="91"/>
      <c r="V1695" s="41"/>
      <c r="W1695" s="37"/>
      <c r="X1695" s="37"/>
      <c r="Y1695" s="43"/>
      <c r="Z1695" s="37"/>
      <c r="AA1695" s="37"/>
      <c r="AD1695" s="37"/>
      <c r="AE1695" s="37"/>
      <c r="AF1695" s="37"/>
    </row>
    <row r="1696" spans="1:32" x14ac:dyDescent="0.25">
      <c r="A1696" s="37"/>
      <c r="B1696" s="37"/>
      <c r="C1696" s="37"/>
      <c r="F1696" s="38"/>
      <c r="G1696" s="38"/>
      <c r="H1696" s="38"/>
      <c r="I1696" s="37"/>
      <c r="J1696" s="38"/>
      <c r="K1696" s="38"/>
      <c r="L1696" s="42"/>
      <c r="M1696" s="42"/>
      <c r="N1696" s="42"/>
      <c r="O1696" s="42"/>
      <c r="R1696" s="37"/>
      <c r="S1696" s="37"/>
      <c r="T1696" s="91"/>
      <c r="U1696" s="91"/>
      <c r="V1696" s="41"/>
      <c r="W1696" s="37"/>
      <c r="X1696" s="37"/>
      <c r="Y1696" s="43"/>
      <c r="Z1696" s="37"/>
      <c r="AA1696" s="37"/>
      <c r="AD1696" s="37"/>
      <c r="AE1696" s="37"/>
      <c r="AF1696" s="37"/>
    </row>
    <row r="1697" spans="1:32" x14ac:dyDescent="0.25">
      <c r="A1697" s="37"/>
      <c r="B1697" s="37"/>
      <c r="C1697" s="37"/>
      <c r="F1697" s="38"/>
      <c r="G1697" s="38"/>
      <c r="H1697" s="38"/>
      <c r="I1697" s="37"/>
      <c r="J1697" s="38"/>
      <c r="K1697" s="38"/>
      <c r="L1697" s="42"/>
      <c r="M1697" s="42"/>
      <c r="N1697" s="42"/>
      <c r="O1697" s="42"/>
      <c r="R1697" s="37"/>
      <c r="S1697" s="37"/>
      <c r="T1697" s="91"/>
      <c r="U1697" s="91"/>
      <c r="V1697" s="41"/>
      <c r="W1697" s="37"/>
      <c r="X1697" s="37"/>
      <c r="Y1697" s="43"/>
      <c r="Z1697" s="37"/>
      <c r="AA1697" s="37"/>
      <c r="AD1697" s="37"/>
      <c r="AE1697" s="37"/>
      <c r="AF1697" s="37"/>
    </row>
    <row r="1698" spans="1:32" x14ac:dyDescent="0.25">
      <c r="A1698" s="37"/>
      <c r="B1698" s="37"/>
      <c r="C1698" s="37"/>
      <c r="F1698" s="38"/>
      <c r="G1698" s="38"/>
      <c r="H1698" s="38"/>
      <c r="I1698" s="37"/>
      <c r="J1698" s="38"/>
      <c r="K1698" s="38"/>
      <c r="L1698" s="42"/>
      <c r="M1698" s="42"/>
      <c r="N1698" s="42"/>
      <c r="O1698" s="42"/>
      <c r="R1698" s="37"/>
      <c r="S1698" s="37"/>
      <c r="T1698" s="91"/>
      <c r="U1698" s="91"/>
      <c r="V1698" s="41"/>
      <c r="W1698" s="37"/>
      <c r="X1698" s="37"/>
      <c r="Y1698" s="43"/>
      <c r="Z1698" s="37"/>
      <c r="AA1698" s="37"/>
      <c r="AD1698" s="37"/>
      <c r="AE1698" s="37"/>
      <c r="AF1698" s="37"/>
    </row>
    <row r="1699" spans="1:32" x14ac:dyDescent="0.25">
      <c r="A1699" s="37"/>
      <c r="B1699" s="37"/>
      <c r="C1699" s="37"/>
      <c r="F1699" s="38"/>
      <c r="G1699" s="38"/>
      <c r="H1699" s="38"/>
      <c r="I1699" s="37"/>
      <c r="J1699" s="38"/>
      <c r="K1699" s="38"/>
      <c r="L1699" s="42"/>
      <c r="M1699" s="42"/>
      <c r="N1699" s="42"/>
      <c r="O1699" s="42"/>
      <c r="R1699" s="37"/>
      <c r="S1699" s="37"/>
      <c r="T1699" s="91"/>
      <c r="U1699" s="91"/>
      <c r="V1699" s="41"/>
      <c r="W1699" s="37"/>
      <c r="X1699" s="37"/>
      <c r="Y1699" s="43"/>
      <c r="Z1699" s="37"/>
      <c r="AA1699" s="37"/>
      <c r="AD1699" s="37"/>
      <c r="AE1699" s="37"/>
      <c r="AF1699" s="37"/>
    </row>
    <row r="1700" spans="1:32" x14ac:dyDescent="0.25">
      <c r="A1700" s="37"/>
      <c r="B1700" s="37"/>
      <c r="C1700" s="37"/>
      <c r="F1700" s="38"/>
      <c r="G1700" s="38"/>
      <c r="H1700" s="38"/>
      <c r="I1700" s="37"/>
      <c r="J1700" s="38"/>
      <c r="K1700" s="38"/>
      <c r="L1700" s="42"/>
      <c r="M1700" s="42"/>
      <c r="N1700" s="42"/>
      <c r="O1700" s="42"/>
      <c r="R1700" s="37"/>
      <c r="S1700" s="37"/>
      <c r="T1700" s="91"/>
      <c r="U1700" s="91"/>
      <c r="V1700" s="41"/>
      <c r="W1700" s="37"/>
      <c r="X1700" s="37"/>
      <c r="Y1700" s="43"/>
      <c r="Z1700" s="37"/>
      <c r="AA1700" s="37"/>
      <c r="AD1700" s="37"/>
      <c r="AE1700" s="37"/>
      <c r="AF1700" s="37"/>
    </row>
    <row r="1701" spans="1:32" x14ac:dyDescent="0.25">
      <c r="A1701" s="37"/>
      <c r="B1701" s="37"/>
      <c r="C1701" s="37"/>
      <c r="F1701" s="38"/>
      <c r="G1701" s="38"/>
      <c r="H1701" s="38"/>
      <c r="I1701" s="37"/>
      <c r="J1701" s="38"/>
      <c r="K1701" s="38"/>
      <c r="L1701" s="42"/>
      <c r="M1701" s="42"/>
      <c r="N1701" s="42"/>
      <c r="O1701" s="42"/>
      <c r="R1701" s="37"/>
      <c r="S1701" s="37"/>
      <c r="T1701" s="91"/>
      <c r="U1701" s="91"/>
      <c r="V1701" s="41"/>
      <c r="W1701" s="37"/>
      <c r="X1701" s="37"/>
      <c r="Y1701" s="43"/>
      <c r="Z1701" s="37"/>
      <c r="AA1701" s="37"/>
      <c r="AD1701" s="37"/>
      <c r="AE1701" s="37"/>
      <c r="AF1701" s="37"/>
    </row>
    <row r="1702" spans="1:32" x14ac:dyDescent="0.25">
      <c r="A1702" s="37"/>
      <c r="B1702" s="37"/>
      <c r="C1702" s="37"/>
      <c r="F1702" s="38"/>
      <c r="G1702" s="38"/>
      <c r="H1702" s="38"/>
      <c r="I1702" s="37"/>
      <c r="J1702" s="38"/>
      <c r="K1702" s="38"/>
      <c r="L1702" s="42"/>
      <c r="M1702" s="42"/>
      <c r="N1702" s="42"/>
      <c r="O1702" s="42"/>
      <c r="R1702" s="37"/>
      <c r="S1702" s="37"/>
      <c r="T1702" s="91"/>
      <c r="U1702" s="91"/>
      <c r="V1702" s="41"/>
      <c r="W1702" s="37"/>
      <c r="X1702" s="37"/>
      <c r="Y1702" s="43"/>
      <c r="Z1702" s="37"/>
      <c r="AA1702" s="37"/>
      <c r="AD1702" s="37"/>
      <c r="AE1702" s="37"/>
      <c r="AF1702" s="37"/>
    </row>
    <row r="1703" spans="1:32" x14ac:dyDescent="0.25">
      <c r="A1703" s="37"/>
      <c r="B1703" s="37"/>
      <c r="C1703" s="37"/>
      <c r="F1703" s="38"/>
      <c r="G1703" s="38"/>
      <c r="H1703" s="38"/>
      <c r="I1703" s="37"/>
      <c r="J1703" s="38"/>
      <c r="K1703" s="38"/>
      <c r="L1703" s="42"/>
      <c r="M1703" s="42"/>
      <c r="N1703" s="42"/>
      <c r="O1703" s="42"/>
      <c r="R1703" s="37"/>
      <c r="S1703" s="37"/>
      <c r="T1703" s="91"/>
      <c r="U1703" s="91"/>
      <c r="V1703" s="41"/>
      <c r="W1703" s="37"/>
      <c r="X1703" s="37"/>
      <c r="Y1703" s="43"/>
      <c r="Z1703" s="37"/>
      <c r="AA1703" s="37"/>
      <c r="AD1703" s="37"/>
      <c r="AE1703" s="37"/>
      <c r="AF1703" s="37"/>
    </row>
    <row r="1704" spans="1:32" x14ac:dyDescent="0.25">
      <c r="A1704" s="37"/>
      <c r="B1704" s="37"/>
      <c r="C1704" s="37"/>
      <c r="F1704" s="38"/>
      <c r="G1704" s="38"/>
      <c r="H1704" s="38"/>
      <c r="I1704" s="37"/>
      <c r="J1704" s="38"/>
      <c r="K1704" s="38"/>
      <c r="L1704" s="42"/>
      <c r="M1704" s="42"/>
      <c r="N1704" s="42"/>
      <c r="O1704" s="42"/>
      <c r="R1704" s="37"/>
      <c r="S1704" s="37"/>
      <c r="T1704" s="91"/>
      <c r="U1704" s="91"/>
      <c r="V1704" s="41"/>
      <c r="W1704" s="37"/>
      <c r="X1704" s="37"/>
      <c r="Y1704" s="43"/>
      <c r="Z1704" s="37"/>
      <c r="AA1704" s="37"/>
      <c r="AD1704" s="37"/>
      <c r="AE1704" s="37"/>
      <c r="AF1704" s="37"/>
    </row>
    <row r="1705" spans="1:32" x14ac:dyDescent="0.25">
      <c r="A1705" s="37"/>
      <c r="B1705" s="37"/>
      <c r="C1705" s="37"/>
      <c r="F1705" s="38"/>
      <c r="G1705" s="38"/>
      <c r="H1705" s="38"/>
      <c r="I1705" s="37"/>
      <c r="J1705" s="38"/>
      <c r="K1705" s="38"/>
      <c r="L1705" s="42"/>
      <c r="M1705" s="42"/>
      <c r="N1705" s="42"/>
      <c r="O1705" s="42"/>
      <c r="R1705" s="37"/>
      <c r="S1705" s="37"/>
      <c r="T1705" s="91"/>
      <c r="U1705" s="91"/>
      <c r="V1705" s="41"/>
      <c r="W1705" s="37"/>
      <c r="X1705" s="37"/>
      <c r="Y1705" s="43"/>
      <c r="Z1705" s="37"/>
      <c r="AA1705" s="37"/>
      <c r="AD1705" s="37"/>
      <c r="AE1705" s="37"/>
      <c r="AF1705" s="37"/>
    </row>
    <row r="1706" spans="1:32" x14ac:dyDescent="0.25">
      <c r="A1706" s="37"/>
      <c r="B1706" s="37"/>
      <c r="C1706" s="37"/>
      <c r="F1706" s="38"/>
      <c r="G1706" s="38"/>
      <c r="H1706" s="38"/>
      <c r="I1706" s="37"/>
      <c r="J1706" s="38"/>
      <c r="K1706" s="38"/>
      <c r="L1706" s="42"/>
      <c r="M1706" s="42"/>
      <c r="N1706" s="42"/>
      <c r="O1706" s="42"/>
      <c r="R1706" s="37"/>
      <c r="S1706" s="37"/>
      <c r="T1706" s="91"/>
      <c r="U1706" s="91"/>
      <c r="V1706" s="41"/>
      <c r="W1706" s="37"/>
      <c r="X1706" s="37"/>
      <c r="Y1706" s="43"/>
      <c r="Z1706" s="37"/>
      <c r="AA1706" s="37"/>
      <c r="AD1706" s="37"/>
      <c r="AE1706" s="37"/>
      <c r="AF1706" s="37"/>
    </row>
    <row r="1707" spans="1:32" x14ac:dyDescent="0.25">
      <c r="A1707" s="37"/>
      <c r="B1707" s="37"/>
      <c r="C1707" s="37"/>
      <c r="F1707" s="38"/>
      <c r="G1707" s="38"/>
      <c r="H1707" s="38"/>
      <c r="I1707" s="37"/>
      <c r="J1707" s="38"/>
      <c r="K1707" s="38"/>
      <c r="L1707" s="42"/>
      <c r="M1707" s="42"/>
      <c r="N1707" s="42"/>
      <c r="O1707" s="42"/>
      <c r="R1707" s="37"/>
      <c r="S1707" s="37"/>
      <c r="T1707" s="91"/>
      <c r="U1707" s="91"/>
      <c r="V1707" s="41"/>
      <c r="W1707" s="37"/>
      <c r="X1707" s="37"/>
      <c r="Y1707" s="43"/>
      <c r="Z1707" s="37"/>
      <c r="AA1707" s="37"/>
      <c r="AD1707" s="37"/>
      <c r="AE1707" s="37"/>
      <c r="AF1707" s="37"/>
    </row>
    <row r="1708" spans="1:32" x14ac:dyDescent="0.25">
      <c r="A1708" s="37"/>
      <c r="B1708" s="37"/>
      <c r="C1708" s="37"/>
      <c r="F1708" s="38"/>
      <c r="G1708" s="38"/>
      <c r="H1708" s="38"/>
      <c r="I1708" s="37"/>
      <c r="J1708" s="38"/>
      <c r="K1708" s="38"/>
      <c r="L1708" s="42"/>
      <c r="M1708" s="42"/>
      <c r="N1708" s="42"/>
      <c r="O1708" s="42"/>
      <c r="R1708" s="37"/>
      <c r="S1708" s="37"/>
      <c r="T1708" s="91"/>
      <c r="U1708" s="91"/>
      <c r="V1708" s="41"/>
      <c r="W1708" s="37"/>
      <c r="X1708" s="37"/>
      <c r="Y1708" s="43"/>
      <c r="Z1708" s="37"/>
      <c r="AA1708" s="37"/>
      <c r="AD1708" s="37"/>
      <c r="AE1708" s="37"/>
      <c r="AF1708" s="37"/>
    </row>
    <row r="1709" spans="1:32" x14ac:dyDescent="0.25">
      <c r="A1709" s="37"/>
      <c r="B1709" s="37"/>
      <c r="C1709" s="37"/>
      <c r="F1709" s="38"/>
      <c r="G1709" s="38"/>
      <c r="H1709" s="38"/>
      <c r="I1709" s="37"/>
      <c r="J1709" s="38"/>
      <c r="K1709" s="38"/>
      <c r="L1709" s="42"/>
      <c r="M1709" s="42"/>
      <c r="N1709" s="42"/>
      <c r="O1709" s="42"/>
      <c r="R1709" s="37"/>
      <c r="S1709" s="37"/>
      <c r="T1709" s="91"/>
      <c r="U1709" s="91"/>
      <c r="V1709" s="41"/>
      <c r="W1709" s="37"/>
      <c r="X1709" s="37"/>
      <c r="Y1709" s="43"/>
      <c r="Z1709" s="37"/>
      <c r="AA1709" s="37"/>
      <c r="AD1709" s="37"/>
      <c r="AE1709" s="37"/>
      <c r="AF1709" s="37"/>
    </row>
    <row r="1710" spans="1:32" x14ac:dyDescent="0.25">
      <c r="A1710" s="37"/>
      <c r="B1710" s="37"/>
      <c r="C1710" s="37"/>
      <c r="F1710" s="38"/>
      <c r="G1710" s="38"/>
      <c r="H1710" s="38"/>
      <c r="I1710" s="37"/>
      <c r="J1710" s="38"/>
      <c r="K1710" s="38"/>
      <c r="L1710" s="42"/>
      <c r="M1710" s="42"/>
      <c r="N1710" s="42"/>
      <c r="O1710" s="42"/>
      <c r="R1710" s="37"/>
      <c r="S1710" s="37"/>
      <c r="T1710" s="91"/>
      <c r="U1710" s="91"/>
      <c r="V1710" s="41"/>
      <c r="W1710" s="37"/>
      <c r="X1710" s="37"/>
      <c r="Y1710" s="43"/>
      <c r="Z1710" s="37"/>
      <c r="AA1710" s="37"/>
      <c r="AD1710" s="37"/>
      <c r="AE1710" s="37"/>
      <c r="AF1710" s="37"/>
    </row>
    <row r="1711" spans="1:32" x14ac:dyDescent="0.25">
      <c r="A1711" s="37"/>
      <c r="B1711" s="37"/>
      <c r="C1711" s="37"/>
      <c r="F1711" s="38"/>
      <c r="G1711" s="38"/>
      <c r="H1711" s="38"/>
      <c r="I1711" s="37"/>
      <c r="J1711" s="38"/>
      <c r="K1711" s="38"/>
      <c r="L1711" s="42"/>
      <c r="M1711" s="42"/>
      <c r="N1711" s="42"/>
      <c r="O1711" s="42"/>
      <c r="R1711" s="37"/>
      <c r="S1711" s="37"/>
      <c r="T1711" s="91"/>
      <c r="U1711" s="91"/>
      <c r="V1711" s="41"/>
      <c r="W1711" s="37"/>
      <c r="X1711" s="37"/>
      <c r="Y1711" s="43"/>
      <c r="Z1711" s="37"/>
      <c r="AA1711" s="37"/>
      <c r="AD1711" s="37"/>
      <c r="AE1711" s="37"/>
      <c r="AF1711" s="37"/>
    </row>
    <row r="1712" spans="1:32" x14ac:dyDescent="0.25">
      <c r="A1712" s="37"/>
      <c r="B1712" s="37"/>
      <c r="C1712" s="37"/>
      <c r="F1712" s="38"/>
      <c r="G1712" s="38"/>
      <c r="H1712" s="38"/>
      <c r="I1712" s="37"/>
      <c r="J1712" s="38"/>
      <c r="K1712" s="38"/>
      <c r="L1712" s="42"/>
      <c r="M1712" s="42"/>
      <c r="N1712" s="42"/>
      <c r="O1712" s="42"/>
      <c r="R1712" s="37"/>
      <c r="S1712" s="37"/>
      <c r="T1712" s="91"/>
      <c r="U1712" s="91"/>
      <c r="V1712" s="41"/>
      <c r="W1712" s="37"/>
      <c r="X1712" s="37"/>
      <c r="Y1712" s="43"/>
      <c r="Z1712" s="37"/>
      <c r="AA1712" s="37"/>
      <c r="AD1712" s="37"/>
      <c r="AE1712" s="37"/>
      <c r="AF1712" s="37"/>
    </row>
    <row r="1713" spans="1:32" x14ac:dyDescent="0.25">
      <c r="A1713" s="37"/>
      <c r="B1713" s="37"/>
      <c r="C1713" s="37"/>
      <c r="F1713" s="38"/>
      <c r="G1713" s="38"/>
      <c r="H1713" s="38"/>
      <c r="I1713" s="37"/>
      <c r="J1713" s="38"/>
      <c r="K1713" s="38"/>
      <c r="L1713" s="42"/>
      <c r="M1713" s="42"/>
      <c r="N1713" s="42"/>
      <c r="O1713" s="42"/>
      <c r="R1713" s="37"/>
      <c r="S1713" s="37"/>
      <c r="T1713" s="91"/>
      <c r="U1713" s="91"/>
      <c r="V1713" s="41"/>
      <c r="W1713" s="37"/>
      <c r="X1713" s="37"/>
      <c r="Y1713" s="43"/>
      <c r="Z1713" s="37"/>
      <c r="AA1713" s="37"/>
      <c r="AD1713" s="37"/>
      <c r="AE1713" s="37"/>
      <c r="AF1713" s="37"/>
    </row>
    <row r="1714" spans="1:32" x14ac:dyDescent="0.25">
      <c r="A1714" s="37"/>
      <c r="B1714" s="37"/>
      <c r="C1714" s="37"/>
      <c r="F1714" s="38"/>
      <c r="G1714" s="38"/>
      <c r="H1714" s="38"/>
      <c r="I1714" s="37"/>
      <c r="J1714" s="38"/>
      <c r="K1714" s="38"/>
      <c r="L1714" s="42"/>
      <c r="M1714" s="42"/>
      <c r="N1714" s="42"/>
      <c r="O1714" s="42"/>
      <c r="R1714" s="37"/>
      <c r="S1714" s="37"/>
      <c r="T1714" s="91"/>
      <c r="U1714" s="91"/>
      <c r="V1714" s="41"/>
      <c r="W1714" s="37"/>
      <c r="X1714" s="37"/>
      <c r="Y1714" s="43"/>
      <c r="Z1714" s="37"/>
      <c r="AA1714" s="37"/>
      <c r="AD1714" s="37"/>
      <c r="AE1714" s="37"/>
      <c r="AF1714" s="37"/>
    </row>
    <row r="1715" spans="1:32" x14ac:dyDescent="0.25">
      <c r="A1715" s="37"/>
      <c r="B1715" s="37"/>
      <c r="C1715" s="37"/>
      <c r="F1715" s="38"/>
      <c r="G1715" s="38"/>
      <c r="H1715" s="38"/>
      <c r="I1715" s="37"/>
      <c r="J1715" s="38"/>
      <c r="K1715" s="38"/>
      <c r="L1715" s="42"/>
      <c r="M1715" s="42"/>
      <c r="N1715" s="42"/>
      <c r="O1715" s="42"/>
      <c r="R1715" s="37"/>
      <c r="S1715" s="37"/>
      <c r="T1715" s="91"/>
      <c r="U1715" s="91"/>
      <c r="V1715" s="41"/>
      <c r="W1715" s="37"/>
      <c r="X1715" s="37"/>
      <c r="Y1715" s="43"/>
      <c r="Z1715" s="37"/>
      <c r="AA1715" s="37"/>
      <c r="AD1715" s="37"/>
      <c r="AE1715" s="37"/>
      <c r="AF1715" s="37"/>
    </row>
    <row r="1716" spans="1:32" x14ac:dyDescent="0.25">
      <c r="A1716" s="37"/>
      <c r="B1716" s="37"/>
      <c r="C1716" s="37"/>
      <c r="F1716" s="38"/>
      <c r="G1716" s="38"/>
      <c r="H1716" s="38"/>
      <c r="I1716" s="37"/>
      <c r="J1716" s="38"/>
      <c r="K1716" s="38"/>
      <c r="L1716" s="42"/>
      <c r="M1716" s="42"/>
      <c r="N1716" s="42"/>
      <c r="O1716" s="42"/>
      <c r="R1716" s="37"/>
      <c r="S1716" s="37"/>
      <c r="T1716" s="91"/>
      <c r="U1716" s="91"/>
      <c r="V1716" s="41"/>
      <c r="W1716" s="37"/>
      <c r="X1716" s="37"/>
      <c r="Y1716" s="43"/>
      <c r="Z1716" s="37"/>
      <c r="AA1716" s="37"/>
      <c r="AD1716" s="37"/>
      <c r="AE1716" s="37"/>
      <c r="AF1716" s="37"/>
    </row>
    <row r="1717" spans="1:32" x14ac:dyDescent="0.25">
      <c r="A1717" s="37"/>
      <c r="B1717" s="37"/>
      <c r="C1717" s="37"/>
      <c r="F1717" s="38"/>
      <c r="G1717" s="38"/>
      <c r="H1717" s="38"/>
      <c r="I1717" s="37"/>
      <c r="J1717" s="38"/>
      <c r="K1717" s="38"/>
      <c r="L1717" s="42"/>
      <c r="M1717" s="42"/>
      <c r="N1717" s="42"/>
      <c r="O1717" s="42"/>
      <c r="R1717" s="37"/>
      <c r="S1717" s="37"/>
      <c r="T1717" s="91"/>
      <c r="U1717" s="91"/>
      <c r="V1717" s="41"/>
      <c r="W1717" s="37"/>
      <c r="X1717" s="37"/>
      <c r="Y1717" s="43"/>
      <c r="Z1717" s="37"/>
      <c r="AA1717" s="37"/>
      <c r="AD1717" s="37"/>
      <c r="AE1717" s="37"/>
      <c r="AF1717" s="37"/>
    </row>
    <row r="1718" spans="1:32" x14ac:dyDescent="0.25">
      <c r="A1718" s="37"/>
      <c r="B1718" s="37"/>
      <c r="C1718" s="37"/>
      <c r="F1718" s="38"/>
      <c r="G1718" s="38"/>
      <c r="H1718" s="38"/>
      <c r="I1718" s="37"/>
      <c r="J1718" s="38"/>
      <c r="K1718" s="38"/>
      <c r="L1718" s="42"/>
      <c r="M1718" s="42"/>
      <c r="N1718" s="42"/>
      <c r="O1718" s="42"/>
      <c r="R1718" s="37"/>
      <c r="S1718" s="37"/>
      <c r="T1718" s="91"/>
      <c r="U1718" s="91"/>
      <c r="V1718" s="41"/>
      <c r="W1718" s="37"/>
      <c r="X1718" s="37"/>
      <c r="Y1718" s="43"/>
      <c r="Z1718" s="37"/>
      <c r="AA1718" s="37"/>
      <c r="AD1718" s="37"/>
      <c r="AE1718" s="37"/>
      <c r="AF1718" s="37"/>
    </row>
    <row r="1719" spans="1:32" x14ac:dyDescent="0.25">
      <c r="A1719" s="37"/>
      <c r="B1719" s="37"/>
      <c r="C1719" s="37"/>
      <c r="F1719" s="38"/>
      <c r="G1719" s="38"/>
      <c r="H1719" s="38"/>
      <c r="I1719" s="37"/>
      <c r="J1719" s="38"/>
      <c r="K1719" s="38"/>
      <c r="L1719" s="42"/>
      <c r="M1719" s="42"/>
      <c r="N1719" s="42"/>
      <c r="O1719" s="42"/>
      <c r="R1719" s="37"/>
      <c r="S1719" s="37"/>
      <c r="T1719" s="91"/>
      <c r="U1719" s="91"/>
      <c r="V1719" s="41"/>
      <c r="W1719" s="37"/>
      <c r="X1719" s="37"/>
      <c r="Y1719" s="43"/>
      <c r="Z1719" s="37"/>
      <c r="AA1719" s="37"/>
      <c r="AD1719" s="37"/>
      <c r="AE1719" s="37"/>
      <c r="AF1719" s="37"/>
    </row>
    <row r="1720" spans="1:32" x14ac:dyDescent="0.25">
      <c r="A1720" s="37"/>
      <c r="B1720" s="37"/>
      <c r="C1720" s="37"/>
      <c r="F1720" s="38"/>
      <c r="G1720" s="38"/>
      <c r="H1720" s="38"/>
      <c r="I1720" s="37"/>
      <c r="J1720" s="38"/>
      <c r="K1720" s="38"/>
      <c r="L1720" s="42"/>
      <c r="M1720" s="42"/>
      <c r="N1720" s="42"/>
      <c r="O1720" s="42"/>
      <c r="R1720" s="37"/>
      <c r="S1720" s="37"/>
      <c r="T1720" s="91"/>
      <c r="U1720" s="91"/>
      <c r="V1720" s="41"/>
      <c r="W1720" s="37"/>
      <c r="X1720" s="37"/>
      <c r="Y1720" s="43"/>
      <c r="Z1720" s="37"/>
      <c r="AA1720" s="37"/>
      <c r="AD1720" s="37"/>
      <c r="AE1720" s="37"/>
      <c r="AF1720" s="37"/>
    </row>
    <row r="1721" spans="1:32" x14ac:dyDescent="0.25">
      <c r="A1721" s="37"/>
      <c r="B1721" s="37"/>
      <c r="C1721" s="37"/>
      <c r="F1721" s="38"/>
      <c r="G1721" s="38"/>
      <c r="H1721" s="38"/>
      <c r="I1721" s="37"/>
      <c r="J1721" s="38"/>
      <c r="K1721" s="38"/>
      <c r="L1721" s="42"/>
      <c r="M1721" s="42"/>
      <c r="N1721" s="42"/>
      <c r="O1721" s="42"/>
      <c r="R1721" s="37"/>
      <c r="S1721" s="37"/>
      <c r="T1721" s="91"/>
      <c r="U1721" s="91"/>
      <c r="V1721" s="41"/>
      <c r="W1721" s="37"/>
      <c r="X1721" s="37"/>
      <c r="Y1721" s="43"/>
      <c r="Z1721" s="37"/>
      <c r="AA1721" s="37"/>
      <c r="AD1721" s="37"/>
      <c r="AE1721" s="37"/>
      <c r="AF1721" s="37"/>
    </row>
    <row r="1722" spans="1:32" x14ac:dyDescent="0.25">
      <c r="A1722" s="37"/>
      <c r="B1722" s="37"/>
      <c r="C1722" s="37"/>
      <c r="F1722" s="38"/>
      <c r="G1722" s="38"/>
      <c r="H1722" s="38"/>
      <c r="I1722" s="37"/>
      <c r="J1722" s="38"/>
      <c r="K1722" s="38"/>
      <c r="L1722" s="42"/>
      <c r="M1722" s="42"/>
      <c r="N1722" s="42"/>
      <c r="O1722" s="42"/>
      <c r="R1722" s="37"/>
      <c r="S1722" s="37"/>
      <c r="T1722" s="91"/>
      <c r="U1722" s="91"/>
      <c r="V1722" s="41"/>
      <c r="W1722" s="37"/>
      <c r="X1722" s="37"/>
      <c r="Y1722" s="43"/>
      <c r="Z1722" s="37"/>
      <c r="AA1722" s="37"/>
      <c r="AD1722" s="37"/>
      <c r="AE1722" s="37"/>
      <c r="AF1722" s="37"/>
    </row>
    <row r="1723" spans="1:32" x14ac:dyDescent="0.25">
      <c r="A1723" s="37"/>
      <c r="B1723" s="37"/>
      <c r="C1723" s="37"/>
      <c r="F1723" s="38"/>
      <c r="G1723" s="38"/>
      <c r="H1723" s="38"/>
      <c r="I1723" s="37"/>
      <c r="J1723" s="38"/>
      <c r="K1723" s="38"/>
      <c r="L1723" s="42"/>
      <c r="M1723" s="42"/>
      <c r="N1723" s="42"/>
      <c r="O1723" s="42"/>
      <c r="R1723" s="37"/>
      <c r="S1723" s="37"/>
      <c r="T1723" s="91"/>
      <c r="U1723" s="91"/>
      <c r="V1723" s="41"/>
      <c r="W1723" s="37"/>
      <c r="X1723" s="37"/>
      <c r="Y1723" s="43"/>
      <c r="Z1723" s="37"/>
      <c r="AA1723" s="37"/>
      <c r="AD1723" s="37"/>
      <c r="AE1723" s="37"/>
      <c r="AF1723" s="37"/>
    </row>
    <row r="1724" spans="1:32" x14ac:dyDescent="0.25">
      <c r="A1724" s="37"/>
      <c r="B1724" s="37"/>
      <c r="C1724" s="37"/>
      <c r="F1724" s="38"/>
      <c r="G1724" s="38"/>
      <c r="H1724" s="38"/>
      <c r="I1724" s="37"/>
      <c r="J1724" s="38"/>
      <c r="K1724" s="38"/>
      <c r="L1724" s="42"/>
      <c r="M1724" s="42"/>
      <c r="N1724" s="42"/>
      <c r="O1724" s="42"/>
      <c r="R1724" s="37"/>
      <c r="S1724" s="37"/>
      <c r="T1724" s="91"/>
      <c r="U1724" s="91"/>
      <c r="V1724" s="41"/>
      <c r="W1724" s="37"/>
      <c r="X1724" s="37"/>
      <c r="Y1724" s="43"/>
      <c r="Z1724" s="37"/>
      <c r="AA1724" s="37"/>
      <c r="AD1724" s="37"/>
      <c r="AE1724" s="37"/>
      <c r="AF1724" s="37"/>
    </row>
    <row r="1725" spans="1:32" x14ac:dyDescent="0.25">
      <c r="A1725" s="37"/>
      <c r="B1725" s="37"/>
      <c r="C1725" s="37"/>
      <c r="F1725" s="38"/>
      <c r="G1725" s="38"/>
      <c r="H1725" s="38"/>
      <c r="I1725" s="37"/>
      <c r="J1725" s="38"/>
      <c r="K1725" s="38"/>
      <c r="L1725" s="42"/>
      <c r="M1725" s="42"/>
      <c r="N1725" s="42"/>
      <c r="O1725" s="42"/>
      <c r="R1725" s="37"/>
      <c r="S1725" s="37"/>
      <c r="T1725" s="91"/>
      <c r="U1725" s="91"/>
      <c r="V1725" s="41"/>
      <c r="W1725" s="37"/>
      <c r="X1725" s="37"/>
      <c r="Y1725" s="43"/>
      <c r="Z1725" s="37"/>
      <c r="AA1725" s="37"/>
      <c r="AD1725" s="37"/>
      <c r="AE1725" s="37"/>
      <c r="AF1725" s="37"/>
    </row>
    <row r="1726" spans="1:32" x14ac:dyDescent="0.25">
      <c r="A1726" s="37"/>
      <c r="B1726" s="37"/>
      <c r="C1726" s="37"/>
      <c r="F1726" s="38"/>
      <c r="G1726" s="38"/>
      <c r="H1726" s="38"/>
      <c r="I1726" s="37"/>
      <c r="J1726" s="38"/>
      <c r="K1726" s="38"/>
      <c r="L1726" s="42"/>
      <c r="M1726" s="42"/>
      <c r="N1726" s="42"/>
      <c r="O1726" s="42"/>
      <c r="R1726" s="37"/>
      <c r="S1726" s="37"/>
      <c r="T1726" s="91"/>
      <c r="U1726" s="91"/>
      <c r="V1726" s="41"/>
      <c r="W1726" s="37"/>
      <c r="X1726" s="37"/>
      <c r="Y1726" s="43"/>
      <c r="Z1726" s="37"/>
      <c r="AA1726" s="37"/>
      <c r="AD1726" s="37"/>
      <c r="AE1726" s="37"/>
      <c r="AF1726" s="37"/>
    </row>
    <row r="1727" spans="1:32" x14ac:dyDescent="0.25">
      <c r="A1727" s="37"/>
      <c r="B1727" s="37"/>
      <c r="C1727" s="37"/>
      <c r="F1727" s="38"/>
      <c r="G1727" s="38"/>
      <c r="H1727" s="38"/>
      <c r="I1727" s="37"/>
      <c r="J1727" s="38"/>
      <c r="K1727" s="38"/>
      <c r="L1727" s="42"/>
      <c r="M1727" s="42"/>
      <c r="N1727" s="42"/>
      <c r="O1727" s="42"/>
      <c r="R1727" s="37"/>
      <c r="S1727" s="37"/>
      <c r="T1727" s="91"/>
      <c r="U1727" s="91"/>
      <c r="V1727" s="41"/>
      <c r="W1727" s="37"/>
      <c r="X1727" s="37"/>
      <c r="Y1727" s="43"/>
      <c r="Z1727" s="37"/>
      <c r="AA1727" s="37"/>
      <c r="AD1727" s="37"/>
      <c r="AE1727" s="37"/>
      <c r="AF1727" s="37"/>
    </row>
    <row r="1728" spans="1:32" x14ac:dyDescent="0.25">
      <c r="A1728" s="37"/>
      <c r="B1728" s="37"/>
      <c r="C1728" s="37"/>
      <c r="F1728" s="38"/>
      <c r="G1728" s="38"/>
      <c r="H1728" s="38"/>
      <c r="I1728" s="37"/>
      <c r="J1728" s="38"/>
      <c r="K1728" s="38"/>
      <c r="L1728" s="42"/>
      <c r="M1728" s="42"/>
      <c r="N1728" s="42"/>
      <c r="O1728" s="42"/>
      <c r="R1728" s="37"/>
      <c r="S1728" s="37"/>
      <c r="T1728" s="91"/>
      <c r="U1728" s="91"/>
      <c r="V1728" s="41"/>
      <c r="W1728" s="37"/>
      <c r="X1728" s="37"/>
      <c r="Y1728" s="43"/>
      <c r="Z1728" s="37"/>
      <c r="AA1728" s="37"/>
      <c r="AD1728" s="37"/>
      <c r="AE1728" s="37"/>
      <c r="AF1728" s="37"/>
    </row>
    <row r="1729" spans="1:32" x14ac:dyDescent="0.25">
      <c r="A1729" s="37"/>
      <c r="B1729" s="37"/>
      <c r="C1729" s="37"/>
      <c r="F1729" s="38"/>
      <c r="G1729" s="38"/>
      <c r="H1729" s="38"/>
      <c r="I1729" s="37"/>
      <c r="J1729" s="38"/>
      <c r="K1729" s="38"/>
      <c r="L1729" s="42"/>
      <c r="M1729" s="42"/>
      <c r="N1729" s="42"/>
      <c r="O1729" s="42"/>
      <c r="R1729" s="37"/>
      <c r="S1729" s="37"/>
      <c r="T1729" s="91"/>
      <c r="U1729" s="91"/>
      <c r="V1729" s="41"/>
      <c r="W1729" s="37"/>
      <c r="X1729" s="37"/>
      <c r="Y1729" s="43"/>
      <c r="Z1729" s="37"/>
      <c r="AA1729" s="37"/>
      <c r="AD1729" s="37"/>
      <c r="AE1729" s="37"/>
      <c r="AF1729" s="37"/>
    </row>
    <row r="1730" spans="1:32" x14ac:dyDescent="0.25">
      <c r="A1730" s="37"/>
      <c r="B1730" s="37"/>
      <c r="C1730" s="37"/>
      <c r="F1730" s="38"/>
      <c r="G1730" s="38"/>
      <c r="H1730" s="38"/>
      <c r="I1730" s="37"/>
      <c r="J1730" s="38"/>
      <c r="K1730" s="38"/>
      <c r="L1730" s="42"/>
      <c r="M1730" s="42"/>
      <c r="N1730" s="42"/>
      <c r="O1730" s="42"/>
      <c r="R1730" s="37"/>
      <c r="S1730" s="37"/>
      <c r="T1730" s="91"/>
      <c r="U1730" s="91"/>
      <c r="V1730" s="41"/>
      <c r="W1730" s="37"/>
      <c r="X1730" s="37"/>
      <c r="Y1730" s="43"/>
      <c r="Z1730" s="37"/>
      <c r="AA1730" s="37"/>
      <c r="AD1730" s="37"/>
      <c r="AE1730" s="37"/>
      <c r="AF1730" s="37"/>
    </row>
    <row r="1731" spans="1:32" x14ac:dyDescent="0.25">
      <c r="A1731" s="37"/>
      <c r="B1731" s="37"/>
      <c r="C1731" s="37"/>
      <c r="F1731" s="38"/>
      <c r="G1731" s="38"/>
      <c r="H1731" s="38"/>
      <c r="I1731" s="37"/>
      <c r="J1731" s="38"/>
      <c r="K1731" s="38"/>
      <c r="L1731" s="42"/>
      <c r="M1731" s="42"/>
      <c r="N1731" s="42"/>
      <c r="O1731" s="42"/>
      <c r="R1731" s="37"/>
      <c r="S1731" s="37"/>
      <c r="T1731" s="91"/>
      <c r="U1731" s="91"/>
      <c r="V1731" s="41"/>
      <c r="W1731" s="37"/>
      <c r="X1731" s="37"/>
      <c r="Y1731" s="43"/>
      <c r="Z1731" s="37"/>
      <c r="AA1731" s="37"/>
      <c r="AD1731" s="37"/>
      <c r="AE1731" s="37"/>
      <c r="AF1731" s="37"/>
    </row>
    <row r="1732" spans="1:32" x14ac:dyDescent="0.25">
      <c r="A1732" s="37"/>
      <c r="B1732" s="37"/>
      <c r="C1732" s="37"/>
      <c r="F1732" s="38"/>
      <c r="G1732" s="38"/>
      <c r="H1732" s="38"/>
      <c r="I1732" s="37"/>
      <c r="J1732" s="38"/>
      <c r="K1732" s="38"/>
      <c r="L1732" s="42"/>
      <c r="M1732" s="42"/>
      <c r="N1732" s="42"/>
      <c r="O1732" s="42"/>
      <c r="R1732" s="37"/>
      <c r="S1732" s="37"/>
      <c r="T1732" s="91"/>
      <c r="U1732" s="91"/>
      <c r="V1732" s="41"/>
      <c r="W1732" s="37"/>
      <c r="X1732" s="37"/>
      <c r="Y1732" s="43"/>
      <c r="Z1732" s="37"/>
      <c r="AA1732" s="37"/>
      <c r="AD1732" s="37"/>
      <c r="AE1732" s="37"/>
      <c r="AF1732" s="37"/>
    </row>
    <row r="1733" spans="1:32" x14ac:dyDescent="0.25">
      <c r="A1733" s="37"/>
      <c r="B1733" s="37"/>
      <c r="C1733" s="37"/>
      <c r="F1733" s="38"/>
      <c r="G1733" s="38"/>
      <c r="H1733" s="38"/>
      <c r="I1733" s="37"/>
      <c r="J1733" s="38"/>
      <c r="K1733" s="38"/>
      <c r="L1733" s="42"/>
      <c r="M1733" s="42"/>
      <c r="N1733" s="42"/>
      <c r="O1733" s="42"/>
      <c r="R1733" s="37"/>
      <c r="S1733" s="37"/>
      <c r="T1733" s="91"/>
      <c r="U1733" s="91"/>
      <c r="V1733" s="41"/>
      <c r="W1733" s="37"/>
      <c r="X1733" s="37"/>
      <c r="Y1733" s="43"/>
      <c r="Z1733" s="37"/>
      <c r="AA1733" s="37"/>
      <c r="AD1733" s="37"/>
      <c r="AE1733" s="37"/>
      <c r="AF1733" s="37"/>
    </row>
    <row r="1734" spans="1:32" x14ac:dyDescent="0.25">
      <c r="A1734" s="37"/>
      <c r="B1734" s="37"/>
      <c r="C1734" s="37"/>
      <c r="F1734" s="38"/>
      <c r="G1734" s="38"/>
      <c r="H1734" s="38"/>
      <c r="I1734" s="37"/>
      <c r="J1734" s="38"/>
      <c r="K1734" s="38"/>
      <c r="L1734" s="42"/>
      <c r="M1734" s="42"/>
      <c r="N1734" s="42"/>
      <c r="O1734" s="42"/>
      <c r="R1734" s="37"/>
      <c r="S1734" s="37"/>
      <c r="T1734" s="91"/>
      <c r="U1734" s="91"/>
      <c r="V1734" s="41"/>
      <c r="W1734" s="37"/>
      <c r="X1734" s="37"/>
      <c r="Y1734" s="43"/>
      <c r="Z1734" s="37"/>
      <c r="AA1734" s="37"/>
      <c r="AD1734" s="37"/>
      <c r="AE1734" s="37"/>
      <c r="AF1734" s="37"/>
    </row>
    <row r="1735" spans="1:32" x14ac:dyDescent="0.25">
      <c r="A1735" s="37"/>
      <c r="B1735" s="37"/>
      <c r="C1735" s="37"/>
      <c r="F1735" s="38"/>
      <c r="G1735" s="38"/>
      <c r="H1735" s="38"/>
      <c r="I1735" s="37"/>
      <c r="J1735" s="38"/>
      <c r="K1735" s="38"/>
      <c r="L1735" s="42"/>
      <c r="M1735" s="42"/>
      <c r="N1735" s="42"/>
      <c r="O1735" s="42"/>
      <c r="R1735" s="37"/>
      <c r="S1735" s="37"/>
      <c r="T1735" s="91"/>
      <c r="U1735" s="91"/>
      <c r="V1735" s="41"/>
      <c r="W1735" s="37"/>
      <c r="X1735" s="37"/>
      <c r="Y1735" s="43"/>
      <c r="Z1735" s="37"/>
      <c r="AA1735" s="37"/>
      <c r="AD1735" s="37"/>
      <c r="AE1735" s="37"/>
      <c r="AF1735" s="37"/>
    </row>
    <row r="1736" spans="1:32" x14ac:dyDescent="0.25">
      <c r="A1736" s="37"/>
      <c r="B1736" s="37"/>
      <c r="C1736" s="37"/>
      <c r="F1736" s="38"/>
      <c r="G1736" s="38"/>
      <c r="H1736" s="38"/>
      <c r="I1736" s="37"/>
      <c r="J1736" s="38"/>
      <c r="K1736" s="38"/>
      <c r="L1736" s="42"/>
      <c r="M1736" s="42"/>
      <c r="N1736" s="42"/>
      <c r="O1736" s="42"/>
      <c r="R1736" s="37"/>
      <c r="S1736" s="37"/>
      <c r="T1736" s="91"/>
      <c r="U1736" s="91"/>
      <c r="V1736" s="41"/>
      <c r="W1736" s="37"/>
      <c r="X1736" s="37"/>
      <c r="Y1736" s="43"/>
      <c r="Z1736" s="37"/>
      <c r="AA1736" s="37"/>
      <c r="AD1736" s="37"/>
      <c r="AE1736" s="37"/>
      <c r="AF1736" s="37"/>
    </row>
    <row r="1737" spans="1:32" x14ac:dyDescent="0.25">
      <c r="A1737" s="37"/>
      <c r="B1737" s="37"/>
      <c r="C1737" s="37"/>
      <c r="F1737" s="38"/>
      <c r="G1737" s="38"/>
      <c r="H1737" s="38"/>
      <c r="I1737" s="37"/>
      <c r="J1737" s="38"/>
      <c r="K1737" s="38"/>
      <c r="L1737" s="42"/>
      <c r="M1737" s="42"/>
      <c r="N1737" s="42"/>
      <c r="O1737" s="42"/>
      <c r="R1737" s="37"/>
      <c r="S1737" s="37"/>
      <c r="T1737" s="91"/>
      <c r="U1737" s="91"/>
      <c r="V1737" s="41"/>
      <c r="W1737" s="37"/>
      <c r="X1737" s="37"/>
      <c r="Y1737" s="43"/>
      <c r="Z1737" s="37"/>
      <c r="AA1737" s="37"/>
      <c r="AD1737" s="37"/>
      <c r="AE1737" s="37"/>
      <c r="AF1737" s="37"/>
    </row>
    <row r="1738" spans="1:32" x14ac:dyDescent="0.25">
      <c r="A1738" s="37"/>
      <c r="B1738" s="37"/>
      <c r="C1738" s="37"/>
      <c r="F1738" s="38"/>
      <c r="G1738" s="38"/>
      <c r="H1738" s="38"/>
      <c r="I1738" s="37"/>
      <c r="J1738" s="38"/>
      <c r="K1738" s="38"/>
      <c r="L1738" s="42"/>
      <c r="M1738" s="42"/>
      <c r="N1738" s="42"/>
      <c r="O1738" s="42"/>
      <c r="R1738" s="37"/>
      <c r="S1738" s="37"/>
      <c r="T1738" s="91"/>
      <c r="U1738" s="91"/>
      <c r="V1738" s="41"/>
      <c r="W1738" s="37"/>
      <c r="X1738" s="37"/>
      <c r="Y1738" s="43"/>
      <c r="Z1738" s="37"/>
      <c r="AA1738" s="37"/>
      <c r="AD1738" s="37"/>
      <c r="AE1738" s="37"/>
      <c r="AF1738" s="37"/>
    </row>
    <row r="1739" spans="1:32" x14ac:dyDescent="0.25">
      <c r="A1739" s="37"/>
      <c r="B1739" s="37"/>
      <c r="C1739" s="37"/>
      <c r="F1739" s="38"/>
      <c r="G1739" s="38"/>
      <c r="H1739" s="38"/>
      <c r="I1739" s="37"/>
      <c r="J1739" s="38"/>
      <c r="K1739" s="38"/>
      <c r="L1739" s="42"/>
      <c r="M1739" s="42"/>
      <c r="N1739" s="42"/>
      <c r="O1739" s="42"/>
      <c r="R1739" s="37"/>
      <c r="S1739" s="37"/>
      <c r="T1739" s="91"/>
      <c r="U1739" s="91"/>
      <c r="V1739" s="41"/>
      <c r="W1739" s="37"/>
      <c r="X1739" s="37"/>
      <c r="Y1739" s="43"/>
      <c r="Z1739" s="37"/>
      <c r="AA1739" s="37"/>
      <c r="AD1739" s="37"/>
      <c r="AE1739" s="37"/>
      <c r="AF1739" s="37"/>
    </row>
    <row r="1740" spans="1:32" x14ac:dyDescent="0.25">
      <c r="A1740" s="37"/>
      <c r="B1740" s="37"/>
      <c r="C1740" s="37"/>
      <c r="F1740" s="38"/>
      <c r="G1740" s="38"/>
      <c r="H1740" s="38"/>
      <c r="I1740" s="37"/>
      <c r="J1740" s="38"/>
      <c r="K1740" s="38"/>
      <c r="L1740" s="42"/>
      <c r="M1740" s="42"/>
      <c r="N1740" s="42"/>
      <c r="O1740" s="42"/>
      <c r="R1740" s="37"/>
      <c r="S1740" s="37"/>
      <c r="T1740" s="91"/>
      <c r="U1740" s="91"/>
      <c r="V1740" s="41"/>
      <c r="W1740" s="37"/>
      <c r="X1740" s="37"/>
      <c r="Y1740" s="43"/>
      <c r="Z1740" s="37"/>
      <c r="AA1740" s="37"/>
      <c r="AD1740" s="37"/>
      <c r="AE1740" s="37"/>
      <c r="AF1740" s="37"/>
    </row>
    <row r="1741" spans="1:32" x14ac:dyDescent="0.25">
      <c r="A1741" s="37"/>
      <c r="B1741" s="37"/>
      <c r="C1741" s="37"/>
      <c r="F1741" s="38"/>
      <c r="G1741" s="38"/>
      <c r="H1741" s="38"/>
      <c r="I1741" s="37"/>
      <c r="J1741" s="38"/>
      <c r="K1741" s="38"/>
      <c r="L1741" s="42"/>
      <c r="M1741" s="42"/>
      <c r="N1741" s="42"/>
      <c r="O1741" s="42"/>
      <c r="R1741" s="37"/>
      <c r="S1741" s="37"/>
      <c r="T1741" s="91"/>
      <c r="U1741" s="91"/>
      <c r="V1741" s="41"/>
      <c r="W1741" s="37"/>
      <c r="X1741" s="37"/>
      <c r="Y1741" s="43"/>
      <c r="Z1741" s="37"/>
      <c r="AA1741" s="37"/>
      <c r="AD1741" s="37"/>
      <c r="AE1741" s="37"/>
      <c r="AF1741" s="37"/>
    </row>
    <row r="1742" spans="1:32" x14ac:dyDescent="0.25">
      <c r="A1742" s="37"/>
      <c r="B1742" s="37"/>
      <c r="C1742" s="37"/>
      <c r="F1742" s="38"/>
      <c r="G1742" s="38"/>
      <c r="H1742" s="38"/>
      <c r="I1742" s="37"/>
      <c r="J1742" s="38"/>
      <c r="K1742" s="38"/>
      <c r="L1742" s="42"/>
      <c r="M1742" s="42"/>
      <c r="N1742" s="42"/>
      <c r="O1742" s="42"/>
      <c r="R1742" s="37"/>
      <c r="S1742" s="37"/>
      <c r="T1742" s="91"/>
      <c r="U1742" s="91"/>
      <c r="V1742" s="41"/>
      <c r="W1742" s="37"/>
      <c r="X1742" s="37"/>
      <c r="Y1742" s="43"/>
      <c r="Z1742" s="37"/>
      <c r="AA1742" s="37"/>
      <c r="AD1742" s="37"/>
      <c r="AE1742" s="37"/>
      <c r="AF1742" s="37"/>
    </row>
    <row r="1743" spans="1:32" x14ac:dyDescent="0.25">
      <c r="A1743" s="37"/>
      <c r="B1743" s="37"/>
      <c r="C1743" s="37"/>
      <c r="F1743" s="38"/>
      <c r="G1743" s="38"/>
      <c r="H1743" s="38"/>
      <c r="I1743" s="37"/>
      <c r="J1743" s="38"/>
      <c r="K1743" s="38"/>
      <c r="L1743" s="42"/>
      <c r="M1743" s="42"/>
      <c r="N1743" s="42"/>
      <c r="O1743" s="42"/>
      <c r="R1743" s="37"/>
      <c r="S1743" s="37"/>
      <c r="T1743" s="91"/>
      <c r="U1743" s="91"/>
      <c r="V1743" s="41"/>
      <c r="W1743" s="37"/>
      <c r="X1743" s="37"/>
      <c r="Y1743" s="43"/>
      <c r="Z1743" s="37"/>
      <c r="AA1743" s="37"/>
      <c r="AD1743" s="37"/>
      <c r="AE1743" s="37"/>
      <c r="AF1743" s="37"/>
    </row>
    <row r="1744" spans="1:32" x14ac:dyDescent="0.25">
      <c r="A1744" s="37"/>
      <c r="B1744" s="37"/>
      <c r="C1744" s="37"/>
      <c r="F1744" s="38"/>
      <c r="G1744" s="38"/>
      <c r="H1744" s="38"/>
      <c r="I1744" s="37"/>
      <c r="J1744" s="38"/>
      <c r="K1744" s="38"/>
      <c r="L1744" s="42"/>
      <c r="M1744" s="42"/>
      <c r="N1744" s="42"/>
      <c r="O1744" s="42"/>
      <c r="R1744" s="37"/>
      <c r="S1744" s="37"/>
      <c r="T1744" s="91"/>
      <c r="U1744" s="91"/>
      <c r="V1744" s="41"/>
      <c r="W1744" s="37"/>
      <c r="X1744" s="37"/>
      <c r="Y1744" s="43"/>
      <c r="Z1744" s="37"/>
      <c r="AA1744" s="37"/>
      <c r="AD1744" s="37"/>
      <c r="AE1744" s="37"/>
      <c r="AF1744" s="37"/>
    </row>
    <row r="1745" spans="1:32" x14ac:dyDescent="0.25">
      <c r="A1745" s="37"/>
      <c r="B1745" s="37"/>
      <c r="C1745" s="37"/>
      <c r="F1745" s="38"/>
      <c r="G1745" s="38"/>
      <c r="H1745" s="38"/>
      <c r="I1745" s="37"/>
      <c r="J1745" s="38"/>
      <c r="K1745" s="38"/>
      <c r="L1745" s="42"/>
      <c r="M1745" s="42"/>
      <c r="N1745" s="42"/>
      <c r="O1745" s="42"/>
      <c r="R1745" s="37"/>
      <c r="S1745" s="37"/>
      <c r="T1745" s="91"/>
      <c r="U1745" s="91"/>
      <c r="V1745" s="41"/>
      <c r="W1745" s="37"/>
      <c r="X1745" s="37"/>
      <c r="Y1745" s="43"/>
      <c r="Z1745" s="37"/>
      <c r="AA1745" s="37"/>
      <c r="AD1745" s="37"/>
      <c r="AE1745" s="37"/>
      <c r="AF1745" s="37"/>
    </row>
    <row r="1746" spans="1:32" x14ac:dyDescent="0.25">
      <c r="A1746" s="37"/>
      <c r="B1746" s="37"/>
      <c r="C1746" s="37"/>
      <c r="F1746" s="38"/>
      <c r="G1746" s="38"/>
      <c r="H1746" s="38"/>
      <c r="I1746" s="37"/>
      <c r="J1746" s="38"/>
      <c r="K1746" s="38"/>
      <c r="L1746" s="42"/>
      <c r="M1746" s="42"/>
      <c r="N1746" s="42"/>
      <c r="O1746" s="42"/>
      <c r="R1746" s="37"/>
      <c r="S1746" s="37"/>
      <c r="T1746" s="91"/>
      <c r="U1746" s="91"/>
      <c r="V1746" s="41"/>
      <c r="W1746" s="37"/>
      <c r="X1746" s="37"/>
      <c r="Y1746" s="43"/>
      <c r="Z1746" s="37"/>
      <c r="AA1746" s="37"/>
      <c r="AD1746" s="37"/>
      <c r="AE1746" s="37"/>
      <c r="AF1746" s="37"/>
    </row>
    <row r="1747" spans="1:32" x14ac:dyDescent="0.25">
      <c r="A1747" s="37"/>
      <c r="B1747" s="37"/>
      <c r="C1747" s="37"/>
      <c r="F1747" s="38"/>
      <c r="G1747" s="38"/>
      <c r="H1747" s="38"/>
      <c r="I1747" s="37"/>
      <c r="J1747" s="38"/>
      <c r="K1747" s="38"/>
      <c r="L1747" s="42"/>
      <c r="M1747" s="42"/>
      <c r="N1747" s="42"/>
      <c r="O1747" s="42"/>
      <c r="R1747" s="37"/>
      <c r="S1747" s="37"/>
      <c r="T1747" s="91"/>
      <c r="U1747" s="91"/>
      <c r="V1747" s="41"/>
      <c r="W1747" s="37"/>
      <c r="X1747" s="37"/>
      <c r="Y1747" s="43"/>
      <c r="Z1747" s="37"/>
      <c r="AA1747" s="37"/>
      <c r="AD1747" s="37"/>
      <c r="AE1747" s="37"/>
      <c r="AF1747" s="37"/>
    </row>
    <row r="1748" spans="1:32" x14ac:dyDescent="0.25">
      <c r="A1748" s="37"/>
      <c r="B1748" s="37"/>
      <c r="C1748" s="37"/>
      <c r="F1748" s="38"/>
      <c r="G1748" s="38"/>
      <c r="H1748" s="38"/>
      <c r="I1748" s="37"/>
      <c r="J1748" s="38"/>
      <c r="K1748" s="38"/>
      <c r="L1748" s="42"/>
      <c r="M1748" s="42"/>
      <c r="N1748" s="42"/>
      <c r="O1748" s="42"/>
      <c r="R1748" s="37"/>
      <c r="S1748" s="37"/>
      <c r="T1748" s="91"/>
      <c r="U1748" s="91"/>
      <c r="V1748" s="41"/>
      <c r="W1748" s="37"/>
      <c r="X1748" s="37"/>
      <c r="Y1748" s="43"/>
      <c r="Z1748" s="37"/>
      <c r="AA1748" s="37"/>
      <c r="AD1748" s="37"/>
      <c r="AE1748" s="37"/>
      <c r="AF1748" s="37"/>
    </row>
    <row r="1749" spans="1:32" x14ac:dyDescent="0.25">
      <c r="A1749" s="37"/>
      <c r="B1749" s="37"/>
      <c r="C1749" s="37"/>
      <c r="F1749" s="38"/>
      <c r="G1749" s="38"/>
      <c r="H1749" s="38"/>
      <c r="I1749" s="37"/>
      <c r="J1749" s="38"/>
      <c r="K1749" s="38"/>
      <c r="L1749" s="42"/>
      <c r="M1749" s="42"/>
      <c r="N1749" s="42"/>
      <c r="O1749" s="42"/>
      <c r="R1749" s="37"/>
      <c r="S1749" s="37"/>
      <c r="T1749" s="91"/>
      <c r="U1749" s="91"/>
      <c r="V1749" s="41"/>
      <c r="W1749" s="37"/>
      <c r="X1749" s="37"/>
      <c r="Y1749" s="43"/>
      <c r="Z1749" s="37"/>
      <c r="AA1749" s="37"/>
      <c r="AD1749" s="37"/>
      <c r="AE1749" s="37"/>
      <c r="AF1749" s="37"/>
    </row>
    <row r="1750" spans="1:32" x14ac:dyDescent="0.25">
      <c r="A1750" s="37"/>
      <c r="B1750" s="37"/>
      <c r="C1750" s="37"/>
      <c r="F1750" s="38"/>
      <c r="G1750" s="38"/>
      <c r="H1750" s="38"/>
      <c r="I1750" s="37"/>
      <c r="J1750" s="38"/>
      <c r="K1750" s="38"/>
      <c r="L1750" s="42"/>
      <c r="M1750" s="42"/>
      <c r="N1750" s="42"/>
      <c r="O1750" s="42"/>
      <c r="R1750" s="37"/>
      <c r="S1750" s="37"/>
      <c r="T1750" s="91"/>
      <c r="U1750" s="91"/>
      <c r="V1750" s="41"/>
      <c r="W1750" s="37"/>
      <c r="X1750" s="37"/>
      <c r="Y1750" s="43"/>
      <c r="Z1750" s="37"/>
      <c r="AA1750" s="37"/>
      <c r="AD1750" s="37"/>
      <c r="AE1750" s="37"/>
      <c r="AF1750" s="37"/>
    </row>
    <row r="1751" spans="1:32" x14ac:dyDescent="0.25">
      <c r="A1751" s="37"/>
      <c r="B1751" s="37"/>
      <c r="C1751" s="37"/>
      <c r="F1751" s="38"/>
      <c r="G1751" s="38"/>
      <c r="H1751" s="38"/>
      <c r="I1751" s="37"/>
      <c r="J1751" s="38"/>
      <c r="K1751" s="38"/>
      <c r="L1751" s="42"/>
      <c r="M1751" s="42"/>
      <c r="N1751" s="42"/>
      <c r="O1751" s="42"/>
      <c r="R1751" s="37"/>
      <c r="S1751" s="37"/>
      <c r="T1751" s="91"/>
      <c r="U1751" s="91"/>
      <c r="V1751" s="41"/>
      <c r="W1751" s="37"/>
      <c r="X1751" s="37"/>
      <c r="Y1751" s="43"/>
      <c r="Z1751" s="37"/>
      <c r="AA1751" s="37"/>
      <c r="AD1751" s="37"/>
      <c r="AE1751" s="37"/>
      <c r="AF1751" s="37"/>
    </row>
    <row r="1752" spans="1:32" x14ac:dyDescent="0.25">
      <c r="A1752" s="37"/>
      <c r="B1752" s="37"/>
      <c r="C1752" s="37"/>
      <c r="F1752" s="38"/>
      <c r="G1752" s="38"/>
      <c r="H1752" s="38"/>
      <c r="I1752" s="37"/>
      <c r="J1752" s="38"/>
      <c r="K1752" s="38"/>
      <c r="L1752" s="42"/>
      <c r="M1752" s="42"/>
      <c r="N1752" s="42"/>
      <c r="O1752" s="42"/>
      <c r="R1752" s="37"/>
      <c r="S1752" s="37"/>
      <c r="T1752" s="91"/>
      <c r="U1752" s="91"/>
      <c r="V1752" s="41"/>
      <c r="W1752" s="37"/>
      <c r="X1752" s="37"/>
      <c r="Y1752" s="43"/>
      <c r="Z1752" s="37"/>
      <c r="AA1752" s="37"/>
      <c r="AD1752" s="37"/>
      <c r="AE1752" s="37"/>
      <c r="AF1752" s="37"/>
    </row>
    <row r="1753" spans="1:32" x14ac:dyDescent="0.25">
      <c r="A1753" s="37"/>
      <c r="B1753" s="37"/>
      <c r="C1753" s="37"/>
      <c r="F1753" s="38"/>
      <c r="G1753" s="38"/>
      <c r="H1753" s="38"/>
      <c r="I1753" s="37"/>
      <c r="J1753" s="38"/>
      <c r="K1753" s="38"/>
      <c r="L1753" s="42"/>
      <c r="M1753" s="42"/>
      <c r="N1753" s="42"/>
      <c r="O1753" s="42"/>
      <c r="R1753" s="37"/>
      <c r="S1753" s="37"/>
      <c r="T1753" s="91"/>
      <c r="U1753" s="91"/>
      <c r="V1753" s="41"/>
      <c r="W1753" s="37"/>
      <c r="X1753" s="37"/>
      <c r="Y1753" s="43"/>
      <c r="Z1753" s="37"/>
      <c r="AA1753" s="37"/>
      <c r="AD1753" s="37"/>
      <c r="AE1753" s="37"/>
      <c r="AF1753" s="37"/>
    </row>
    <row r="1754" spans="1:32" x14ac:dyDescent="0.25">
      <c r="A1754" s="37"/>
      <c r="B1754" s="37"/>
      <c r="C1754" s="37"/>
      <c r="F1754" s="38"/>
      <c r="G1754" s="38"/>
      <c r="H1754" s="38"/>
      <c r="I1754" s="37"/>
      <c r="J1754" s="38"/>
      <c r="K1754" s="38"/>
      <c r="L1754" s="42"/>
      <c r="M1754" s="42"/>
      <c r="N1754" s="42"/>
      <c r="O1754" s="42"/>
      <c r="R1754" s="37"/>
      <c r="S1754" s="37"/>
      <c r="T1754" s="91"/>
      <c r="U1754" s="91"/>
      <c r="V1754" s="41"/>
      <c r="W1754" s="37"/>
      <c r="X1754" s="37"/>
      <c r="Y1754" s="43"/>
      <c r="Z1754" s="37"/>
      <c r="AA1754" s="37"/>
      <c r="AD1754" s="37"/>
      <c r="AE1754" s="37"/>
      <c r="AF1754" s="37"/>
    </row>
    <row r="1755" spans="1:32" x14ac:dyDescent="0.25">
      <c r="A1755" s="37"/>
      <c r="B1755" s="37"/>
      <c r="C1755" s="37"/>
      <c r="F1755" s="38"/>
      <c r="G1755" s="38"/>
      <c r="H1755" s="38"/>
      <c r="I1755" s="37"/>
      <c r="J1755" s="38"/>
      <c r="K1755" s="38"/>
      <c r="L1755" s="42"/>
      <c r="M1755" s="42"/>
      <c r="N1755" s="42"/>
      <c r="O1755" s="42"/>
      <c r="R1755" s="37"/>
      <c r="S1755" s="37"/>
      <c r="T1755" s="91"/>
      <c r="U1755" s="91"/>
      <c r="V1755" s="41"/>
      <c r="W1755" s="37"/>
      <c r="X1755" s="37"/>
      <c r="Y1755" s="43"/>
      <c r="Z1755" s="37"/>
      <c r="AA1755" s="37"/>
      <c r="AD1755" s="37"/>
      <c r="AE1755" s="37"/>
      <c r="AF1755" s="37"/>
    </row>
    <row r="1756" spans="1:32" x14ac:dyDescent="0.25">
      <c r="A1756" s="37"/>
      <c r="B1756" s="37"/>
      <c r="C1756" s="37"/>
      <c r="F1756" s="38"/>
      <c r="G1756" s="38"/>
      <c r="H1756" s="38"/>
      <c r="I1756" s="37"/>
      <c r="J1756" s="38"/>
      <c r="K1756" s="38"/>
      <c r="L1756" s="42"/>
      <c r="M1756" s="42"/>
      <c r="N1756" s="42"/>
      <c r="O1756" s="42"/>
      <c r="R1756" s="37"/>
      <c r="S1756" s="37"/>
      <c r="T1756" s="91"/>
      <c r="U1756" s="91"/>
      <c r="V1756" s="41"/>
      <c r="W1756" s="37"/>
      <c r="X1756" s="37"/>
      <c r="Y1756" s="43"/>
      <c r="Z1756" s="37"/>
      <c r="AA1756" s="37"/>
      <c r="AD1756" s="37"/>
      <c r="AE1756" s="37"/>
      <c r="AF1756" s="37"/>
    </row>
    <row r="1757" spans="1:32" x14ac:dyDescent="0.25">
      <c r="A1757" s="37"/>
      <c r="B1757" s="37"/>
      <c r="C1757" s="37"/>
      <c r="F1757" s="38"/>
      <c r="G1757" s="38"/>
      <c r="H1757" s="38"/>
      <c r="I1757" s="37"/>
      <c r="J1757" s="38"/>
      <c r="K1757" s="38"/>
      <c r="L1757" s="42"/>
      <c r="M1757" s="42"/>
      <c r="N1757" s="42"/>
      <c r="O1757" s="42"/>
      <c r="R1757" s="37"/>
      <c r="S1757" s="37"/>
      <c r="T1757" s="91"/>
      <c r="U1757" s="91"/>
      <c r="V1757" s="41"/>
      <c r="W1757" s="37"/>
      <c r="X1757" s="37"/>
      <c r="Y1757" s="43"/>
      <c r="Z1757" s="37"/>
      <c r="AA1757" s="37"/>
      <c r="AD1757" s="37"/>
      <c r="AE1757" s="37"/>
      <c r="AF1757" s="37"/>
    </row>
    <row r="1758" spans="1:32" x14ac:dyDescent="0.25">
      <c r="A1758" s="37"/>
      <c r="B1758" s="37"/>
      <c r="C1758" s="37"/>
      <c r="F1758" s="38"/>
      <c r="G1758" s="38"/>
      <c r="H1758" s="38"/>
      <c r="I1758" s="37"/>
      <c r="J1758" s="38"/>
      <c r="K1758" s="38"/>
      <c r="L1758" s="42"/>
      <c r="M1758" s="42"/>
      <c r="N1758" s="42"/>
      <c r="O1758" s="42"/>
      <c r="R1758" s="37"/>
      <c r="S1758" s="37"/>
      <c r="T1758" s="91"/>
      <c r="U1758" s="91"/>
      <c r="V1758" s="41"/>
      <c r="W1758" s="37"/>
      <c r="X1758" s="37"/>
      <c r="Y1758" s="43"/>
      <c r="Z1758" s="37"/>
      <c r="AA1758" s="37"/>
      <c r="AD1758" s="37"/>
      <c r="AE1758" s="37"/>
      <c r="AF1758" s="37"/>
    </row>
    <row r="1759" spans="1:32" x14ac:dyDescent="0.25">
      <c r="A1759" s="37"/>
      <c r="B1759" s="37"/>
      <c r="C1759" s="37"/>
      <c r="F1759" s="38"/>
      <c r="G1759" s="38"/>
      <c r="H1759" s="38"/>
      <c r="I1759" s="37"/>
      <c r="J1759" s="38"/>
      <c r="K1759" s="38"/>
      <c r="L1759" s="42"/>
      <c r="M1759" s="42"/>
      <c r="N1759" s="42"/>
      <c r="O1759" s="42"/>
      <c r="R1759" s="37"/>
      <c r="S1759" s="37"/>
      <c r="T1759" s="91"/>
      <c r="U1759" s="91"/>
      <c r="V1759" s="41"/>
      <c r="W1759" s="37"/>
      <c r="X1759" s="37"/>
      <c r="Y1759" s="43"/>
      <c r="Z1759" s="37"/>
      <c r="AA1759" s="37"/>
      <c r="AD1759" s="37"/>
      <c r="AE1759" s="37"/>
      <c r="AF1759" s="37"/>
    </row>
    <row r="1760" spans="1:32" x14ac:dyDescent="0.25">
      <c r="A1760" s="37"/>
      <c r="B1760" s="37"/>
      <c r="C1760" s="37"/>
      <c r="F1760" s="38"/>
      <c r="G1760" s="38"/>
      <c r="H1760" s="38"/>
      <c r="I1760" s="37"/>
      <c r="J1760" s="38"/>
      <c r="K1760" s="38"/>
      <c r="L1760" s="42"/>
      <c r="M1760" s="42"/>
      <c r="N1760" s="42"/>
      <c r="O1760" s="42"/>
      <c r="R1760" s="37"/>
      <c r="S1760" s="37"/>
      <c r="T1760" s="91"/>
      <c r="U1760" s="91"/>
      <c r="V1760" s="41"/>
      <c r="W1760" s="37"/>
      <c r="X1760" s="37"/>
      <c r="Y1760" s="43"/>
      <c r="Z1760" s="37"/>
      <c r="AA1760" s="37"/>
      <c r="AD1760" s="37"/>
      <c r="AE1760" s="37"/>
      <c r="AF1760" s="37"/>
    </row>
    <row r="1761" spans="1:32" x14ac:dyDescent="0.25">
      <c r="A1761" s="37"/>
      <c r="B1761" s="37"/>
      <c r="C1761" s="37"/>
      <c r="F1761" s="38"/>
      <c r="G1761" s="38"/>
      <c r="H1761" s="38"/>
      <c r="I1761" s="37"/>
      <c r="J1761" s="38"/>
      <c r="K1761" s="38"/>
      <c r="L1761" s="42"/>
      <c r="M1761" s="42"/>
      <c r="N1761" s="42"/>
      <c r="O1761" s="42"/>
      <c r="R1761" s="37"/>
      <c r="S1761" s="37"/>
      <c r="T1761" s="91"/>
      <c r="U1761" s="91"/>
      <c r="V1761" s="41"/>
      <c r="W1761" s="37"/>
      <c r="X1761" s="37"/>
      <c r="Y1761" s="43"/>
      <c r="Z1761" s="37"/>
      <c r="AA1761" s="37"/>
      <c r="AD1761" s="37"/>
      <c r="AE1761" s="37"/>
      <c r="AF1761" s="37"/>
    </row>
    <row r="1762" spans="1:32" x14ac:dyDescent="0.25">
      <c r="A1762" s="37"/>
      <c r="B1762" s="37"/>
      <c r="C1762" s="37"/>
      <c r="F1762" s="38"/>
      <c r="G1762" s="38"/>
      <c r="H1762" s="38"/>
      <c r="I1762" s="37"/>
      <c r="J1762" s="38"/>
      <c r="K1762" s="38"/>
      <c r="L1762" s="42"/>
      <c r="M1762" s="42"/>
      <c r="N1762" s="42"/>
      <c r="O1762" s="42"/>
      <c r="R1762" s="37"/>
      <c r="S1762" s="37"/>
      <c r="T1762" s="91"/>
      <c r="U1762" s="91"/>
      <c r="V1762" s="41"/>
      <c r="W1762" s="37"/>
      <c r="X1762" s="37"/>
      <c r="Y1762" s="43"/>
      <c r="Z1762" s="37"/>
      <c r="AA1762" s="37"/>
      <c r="AD1762" s="37"/>
      <c r="AE1762" s="37"/>
      <c r="AF1762" s="37"/>
    </row>
    <row r="1763" spans="1:32" x14ac:dyDescent="0.25">
      <c r="A1763" s="37"/>
      <c r="B1763" s="37"/>
      <c r="C1763" s="37"/>
      <c r="F1763" s="38"/>
      <c r="G1763" s="38"/>
      <c r="H1763" s="38"/>
      <c r="I1763" s="37"/>
      <c r="J1763" s="38"/>
      <c r="K1763" s="38"/>
      <c r="L1763" s="42"/>
      <c r="M1763" s="42"/>
      <c r="N1763" s="42"/>
      <c r="O1763" s="42"/>
      <c r="R1763" s="37"/>
      <c r="S1763" s="37"/>
      <c r="T1763" s="91"/>
      <c r="U1763" s="91"/>
      <c r="V1763" s="41"/>
      <c r="W1763" s="37"/>
      <c r="X1763" s="37"/>
      <c r="Y1763" s="43"/>
      <c r="Z1763" s="37"/>
      <c r="AA1763" s="37"/>
      <c r="AD1763" s="37"/>
      <c r="AE1763" s="37"/>
      <c r="AF1763" s="37"/>
    </row>
    <row r="1764" spans="1:32" x14ac:dyDescent="0.25">
      <c r="A1764" s="37"/>
      <c r="B1764" s="37"/>
      <c r="C1764" s="37"/>
      <c r="F1764" s="38"/>
      <c r="G1764" s="38"/>
      <c r="H1764" s="38"/>
      <c r="I1764" s="37"/>
      <c r="J1764" s="38"/>
      <c r="K1764" s="38"/>
      <c r="L1764" s="42"/>
      <c r="M1764" s="42"/>
      <c r="N1764" s="42"/>
      <c r="O1764" s="42"/>
      <c r="R1764" s="37"/>
      <c r="S1764" s="37"/>
      <c r="T1764" s="91"/>
      <c r="U1764" s="91"/>
      <c r="V1764" s="41"/>
      <c r="W1764" s="37"/>
      <c r="X1764" s="37"/>
      <c r="Y1764" s="43"/>
      <c r="Z1764" s="37"/>
      <c r="AA1764" s="37"/>
      <c r="AD1764" s="37"/>
      <c r="AE1764" s="37"/>
      <c r="AF1764" s="37"/>
    </row>
    <row r="1765" spans="1:32" x14ac:dyDescent="0.25">
      <c r="A1765" s="37"/>
      <c r="B1765" s="37"/>
      <c r="C1765" s="37"/>
      <c r="F1765" s="38"/>
      <c r="G1765" s="38"/>
      <c r="H1765" s="38"/>
      <c r="I1765" s="37"/>
      <c r="J1765" s="38"/>
      <c r="K1765" s="38"/>
      <c r="L1765" s="42"/>
      <c r="M1765" s="42"/>
      <c r="N1765" s="42"/>
      <c r="O1765" s="42"/>
      <c r="R1765" s="37"/>
      <c r="S1765" s="37"/>
      <c r="T1765" s="91"/>
      <c r="U1765" s="91"/>
      <c r="V1765" s="41"/>
      <c r="W1765" s="37"/>
      <c r="X1765" s="37"/>
      <c r="Y1765" s="43"/>
      <c r="Z1765" s="37"/>
      <c r="AA1765" s="37"/>
      <c r="AD1765" s="37"/>
      <c r="AE1765" s="37"/>
      <c r="AF1765" s="37"/>
    </row>
    <row r="1766" spans="1:32" x14ac:dyDescent="0.25">
      <c r="A1766" s="37"/>
      <c r="B1766" s="37"/>
      <c r="C1766" s="37"/>
      <c r="F1766" s="38"/>
      <c r="G1766" s="38"/>
      <c r="H1766" s="38"/>
      <c r="I1766" s="37"/>
      <c r="J1766" s="38"/>
      <c r="K1766" s="38"/>
      <c r="L1766" s="42"/>
      <c r="M1766" s="42"/>
      <c r="N1766" s="42"/>
      <c r="O1766" s="42"/>
      <c r="R1766" s="37"/>
      <c r="S1766" s="37"/>
      <c r="T1766" s="91"/>
      <c r="U1766" s="91"/>
      <c r="V1766" s="41"/>
      <c r="W1766" s="37"/>
      <c r="X1766" s="37"/>
      <c r="Y1766" s="43"/>
      <c r="Z1766" s="37"/>
      <c r="AA1766" s="37"/>
      <c r="AD1766" s="37"/>
      <c r="AE1766" s="37"/>
      <c r="AF1766" s="37"/>
    </row>
    <row r="1767" spans="1:32" x14ac:dyDescent="0.25">
      <c r="A1767" s="37"/>
      <c r="B1767" s="37"/>
      <c r="C1767" s="37"/>
      <c r="F1767" s="38"/>
      <c r="G1767" s="38"/>
      <c r="H1767" s="38"/>
      <c r="I1767" s="37"/>
      <c r="J1767" s="38"/>
      <c r="K1767" s="38"/>
      <c r="L1767" s="42"/>
      <c r="M1767" s="42"/>
      <c r="N1767" s="42"/>
      <c r="O1767" s="42"/>
      <c r="R1767" s="37"/>
      <c r="S1767" s="37"/>
      <c r="T1767" s="91"/>
      <c r="U1767" s="91"/>
      <c r="V1767" s="41"/>
      <c r="W1767" s="37"/>
      <c r="X1767" s="37"/>
      <c r="Y1767" s="43"/>
      <c r="Z1767" s="37"/>
      <c r="AA1767" s="37"/>
      <c r="AD1767" s="37"/>
      <c r="AE1767" s="37"/>
      <c r="AF1767" s="37"/>
    </row>
    <row r="1768" spans="1:32" x14ac:dyDescent="0.25">
      <c r="A1768" s="37"/>
      <c r="B1768" s="37"/>
      <c r="C1768" s="37"/>
      <c r="F1768" s="38"/>
      <c r="G1768" s="38"/>
      <c r="H1768" s="38"/>
      <c r="I1768" s="37"/>
      <c r="J1768" s="38"/>
      <c r="K1768" s="38"/>
      <c r="L1768" s="42"/>
      <c r="M1768" s="42"/>
      <c r="N1768" s="42"/>
      <c r="O1768" s="42"/>
      <c r="R1768" s="37"/>
      <c r="S1768" s="37"/>
      <c r="T1768" s="91"/>
      <c r="U1768" s="91"/>
      <c r="V1768" s="41"/>
      <c r="W1768" s="37"/>
      <c r="X1768" s="37"/>
      <c r="Y1768" s="43"/>
      <c r="Z1768" s="37"/>
      <c r="AA1768" s="37"/>
      <c r="AD1768" s="37"/>
      <c r="AE1768" s="37"/>
      <c r="AF1768" s="37"/>
    </row>
    <row r="1769" spans="1:32" x14ac:dyDescent="0.25">
      <c r="A1769" s="37"/>
      <c r="B1769" s="37"/>
      <c r="C1769" s="37"/>
      <c r="F1769" s="38"/>
      <c r="G1769" s="38"/>
      <c r="H1769" s="38"/>
      <c r="I1769" s="37"/>
      <c r="J1769" s="38"/>
      <c r="K1769" s="38"/>
      <c r="L1769" s="42"/>
      <c r="M1769" s="42"/>
      <c r="N1769" s="42"/>
      <c r="O1769" s="42"/>
      <c r="R1769" s="37"/>
      <c r="S1769" s="37"/>
      <c r="T1769" s="91"/>
      <c r="U1769" s="91"/>
      <c r="V1769" s="41"/>
      <c r="W1769" s="37"/>
      <c r="X1769" s="37"/>
      <c r="Y1769" s="43"/>
      <c r="Z1769" s="37"/>
      <c r="AA1769" s="37"/>
      <c r="AD1769" s="37"/>
      <c r="AE1769" s="37"/>
      <c r="AF1769" s="37"/>
    </row>
    <row r="1770" spans="1:32" x14ac:dyDescent="0.25">
      <c r="A1770" s="37"/>
      <c r="B1770" s="37"/>
      <c r="C1770" s="37"/>
      <c r="F1770" s="38"/>
      <c r="G1770" s="38"/>
      <c r="H1770" s="38"/>
      <c r="I1770" s="37"/>
      <c r="J1770" s="38"/>
      <c r="K1770" s="38"/>
      <c r="L1770" s="42"/>
      <c r="M1770" s="42"/>
      <c r="N1770" s="42"/>
      <c r="O1770" s="42"/>
      <c r="R1770" s="37"/>
      <c r="S1770" s="37"/>
      <c r="T1770" s="91"/>
      <c r="U1770" s="91"/>
      <c r="V1770" s="41"/>
      <c r="W1770" s="37"/>
      <c r="X1770" s="37"/>
      <c r="Y1770" s="43"/>
      <c r="Z1770" s="37"/>
      <c r="AA1770" s="37"/>
      <c r="AD1770" s="37"/>
      <c r="AE1770" s="37"/>
      <c r="AF1770" s="37"/>
    </row>
    <row r="1771" spans="1:32" x14ac:dyDescent="0.25">
      <c r="A1771" s="37"/>
      <c r="B1771" s="37"/>
      <c r="C1771" s="37"/>
      <c r="F1771" s="38"/>
      <c r="G1771" s="38"/>
      <c r="H1771" s="38"/>
      <c r="I1771" s="37"/>
      <c r="J1771" s="38"/>
      <c r="K1771" s="38"/>
      <c r="L1771" s="42"/>
      <c r="M1771" s="42"/>
      <c r="N1771" s="42"/>
      <c r="O1771" s="42"/>
      <c r="R1771" s="37"/>
      <c r="S1771" s="37"/>
      <c r="T1771" s="91"/>
      <c r="U1771" s="91"/>
      <c r="V1771" s="41"/>
      <c r="W1771" s="37"/>
      <c r="X1771" s="37"/>
      <c r="Y1771" s="43"/>
      <c r="Z1771" s="37"/>
      <c r="AA1771" s="37"/>
      <c r="AD1771" s="37"/>
      <c r="AE1771" s="37"/>
      <c r="AF1771" s="37"/>
    </row>
    <row r="1772" spans="1:32" x14ac:dyDescent="0.25">
      <c r="A1772" s="37"/>
      <c r="B1772" s="37"/>
      <c r="C1772" s="37"/>
      <c r="F1772" s="38"/>
      <c r="G1772" s="38"/>
      <c r="H1772" s="38"/>
      <c r="I1772" s="37"/>
      <c r="J1772" s="38"/>
      <c r="K1772" s="38"/>
      <c r="L1772" s="42"/>
      <c r="M1772" s="42"/>
      <c r="N1772" s="42"/>
      <c r="O1772" s="42"/>
      <c r="R1772" s="37"/>
      <c r="S1772" s="37"/>
      <c r="T1772" s="91"/>
      <c r="U1772" s="91"/>
      <c r="V1772" s="41"/>
      <c r="W1772" s="37"/>
      <c r="X1772" s="37"/>
      <c r="Y1772" s="43"/>
      <c r="Z1772" s="37"/>
      <c r="AA1772" s="37"/>
      <c r="AD1772" s="37"/>
      <c r="AE1772" s="37"/>
      <c r="AF1772" s="37"/>
    </row>
    <row r="1773" spans="1:32" x14ac:dyDescent="0.25">
      <c r="A1773" s="37"/>
      <c r="B1773" s="37"/>
      <c r="C1773" s="37"/>
      <c r="F1773" s="38"/>
      <c r="G1773" s="38"/>
      <c r="H1773" s="38"/>
      <c r="I1773" s="37"/>
      <c r="J1773" s="38"/>
      <c r="K1773" s="38"/>
      <c r="L1773" s="42"/>
      <c r="M1773" s="42"/>
      <c r="N1773" s="42"/>
      <c r="O1773" s="42"/>
      <c r="R1773" s="37"/>
      <c r="S1773" s="37"/>
      <c r="T1773" s="91"/>
      <c r="U1773" s="91"/>
      <c r="V1773" s="41"/>
      <c r="W1773" s="37"/>
      <c r="X1773" s="37"/>
      <c r="Y1773" s="43"/>
      <c r="Z1773" s="37"/>
      <c r="AA1773" s="37"/>
      <c r="AD1773" s="37"/>
      <c r="AE1773" s="37"/>
      <c r="AF1773" s="37"/>
    </row>
    <row r="1774" spans="1:32" x14ac:dyDescent="0.25">
      <c r="A1774" s="37"/>
      <c r="B1774" s="37"/>
      <c r="C1774" s="37"/>
      <c r="F1774" s="38"/>
      <c r="G1774" s="38"/>
      <c r="H1774" s="38"/>
      <c r="I1774" s="37"/>
      <c r="J1774" s="38"/>
      <c r="K1774" s="38"/>
      <c r="L1774" s="42"/>
      <c r="M1774" s="42"/>
      <c r="N1774" s="42"/>
      <c r="O1774" s="42"/>
      <c r="R1774" s="37"/>
      <c r="S1774" s="37"/>
      <c r="T1774" s="91"/>
      <c r="U1774" s="91"/>
      <c r="V1774" s="41"/>
      <c r="W1774" s="37"/>
      <c r="X1774" s="37"/>
      <c r="Y1774" s="43"/>
      <c r="Z1774" s="37"/>
      <c r="AA1774" s="37"/>
      <c r="AD1774" s="37"/>
      <c r="AE1774" s="37"/>
      <c r="AF1774" s="37"/>
    </row>
    <row r="1775" spans="1:32" x14ac:dyDescent="0.25">
      <c r="A1775" s="37"/>
      <c r="B1775" s="37"/>
      <c r="C1775" s="37"/>
      <c r="F1775" s="38"/>
      <c r="G1775" s="38"/>
      <c r="H1775" s="38"/>
      <c r="I1775" s="37"/>
      <c r="J1775" s="38"/>
      <c r="K1775" s="38"/>
      <c r="L1775" s="42"/>
      <c r="M1775" s="42"/>
      <c r="N1775" s="42"/>
      <c r="O1775" s="42"/>
      <c r="R1775" s="37"/>
      <c r="S1775" s="37"/>
      <c r="T1775" s="91"/>
      <c r="U1775" s="91"/>
      <c r="V1775" s="41"/>
      <c r="W1775" s="37"/>
      <c r="X1775" s="37"/>
      <c r="Y1775" s="43"/>
      <c r="Z1775" s="37"/>
      <c r="AA1775" s="37"/>
      <c r="AD1775" s="37"/>
      <c r="AE1775" s="37"/>
      <c r="AF1775" s="37"/>
    </row>
    <row r="1776" spans="1:32" x14ac:dyDescent="0.25">
      <c r="A1776" s="37"/>
      <c r="B1776" s="37"/>
      <c r="C1776" s="37"/>
      <c r="F1776" s="38"/>
      <c r="G1776" s="38"/>
      <c r="H1776" s="38"/>
      <c r="I1776" s="37"/>
      <c r="J1776" s="38"/>
      <c r="K1776" s="38"/>
      <c r="L1776" s="42"/>
      <c r="M1776" s="42"/>
      <c r="N1776" s="42"/>
      <c r="O1776" s="42"/>
      <c r="R1776" s="37"/>
      <c r="S1776" s="37"/>
      <c r="T1776" s="91"/>
      <c r="U1776" s="91"/>
      <c r="V1776" s="41"/>
      <c r="W1776" s="37"/>
      <c r="X1776" s="37"/>
      <c r="Y1776" s="43"/>
      <c r="Z1776" s="37"/>
      <c r="AA1776" s="37"/>
      <c r="AD1776" s="37"/>
      <c r="AE1776" s="37"/>
      <c r="AF1776" s="37"/>
    </row>
    <row r="1777" spans="1:32" x14ac:dyDescent="0.25">
      <c r="A1777" s="37"/>
      <c r="B1777" s="37"/>
      <c r="C1777" s="37"/>
      <c r="F1777" s="38"/>
      <c r="G1777" s="38"/>
      <c r="H1777" s="38"/>
      <c r="I1777" s="37"/>
      <c r="J1777" s="38"/>
      <c r="K1777" s="38"/>
      <c r="L1777" s="42"/>
      <c r="M1777" s="42"/>
      <c r="N1777" s="42"/>
      <c r="O1777" s="42"/>
      <c r="R1777" s="37"/>
      <c r="S1777" s="37"/>
      <c r="T1777" s="91"/>
      <c r="U1777" s="91"/>
      <c r="V1777" s="41"/>
      <c r="W1777" s="37"/>
      <c r="X1777" s="37"/>
      <c r="Y1777" s="43"/>
      <c r="Z1777" s="37"/>
      <c r="AA1777" s="37"/>
      <c r="AD1777" s="37"/>
      <c r="AE1777" s="37"/>
      <c r="AF1777" s="37"/>
    </row>
    <row r="1778" spans="1:32" x14ac:dyDescent="0.25">
      <c r="A1778" s="37"/>
      <c r="B1778" s="37"/>
      <c r="C1778" s="37"/>
      <c r="F1778" s="38"/>
      <c r="G1778" s="38"/>
      <c r="H1778" s="38"/>
      <c r="I1778" s="37"/>
      <c r="J1778" s="38"/>
      <c r="K1778" s="38"/>
      <c r="L1778" s="42"/>
      <c r="M1778" s="42"/>
      <c r="N1778" s="42"/>
      <c r="O1778" s="42"/>
      <c r="R1778" s="37"/>
      <c r="S1778" s="37"/>
      <c r="T1778" s="91"/>
      <c r="U1778" s="91"/>
      <c r="V1778" s="41"/>
      <c r="W1778" s="37"/>
      <c r="X1778" s="37"/>
      <c r="Y1778" s="43"/>
      <c r="Z1778" s="37"/>
      <c r="AA1778" s="37"/>
      <c r="AD1778" s="37"/>
      <c r="AE1778" s="37"/>
      <c r="AF1778" s="37"/>
    </row>
    <row r="1779" spans="1:32" x14ac:dyDescent="0.25">
      <c r="A1779" s="37"/>
      <c r="B1779" s="37"/>
      <c r="C1779" s="37"/>
      <c r="F1779" s="38"/>
      <c r="G1779" s="38"/>
      <c r="H1779" s="38"/>
      <c r="I1779" s="37"/>
      <c r="J1779" s="38"/>
      <c r="K1779" s="38"/>
      <c r="L1779" s="42"/>
      <c r="M1779" s="42"/>
      <c r="N1779" s="42"/>
      <c r="O1779" s="42"/>
      <c r="R1779" s="37"/>
      <c r="S1779" s="37"/>
      <c r="T1779" s="91"/>
      <c r="U1779" s="91"/>
      <c r="V1779" s="41"/>
      <c r="W1779" s="37"/>
      <c r="X1779" s="37"/>
      <c r="Y1779" s="43"/>
      <c r="Z1779" s="37"/>
      <c r="AA1779" s="37"/>
      <c r="AD1779" s="37"/>
      <c r="AE1779" s="37"/>
      <c r="AF1779" s="37"/>
    </row>
    <row r="1780" spans="1:32" x14ac:dyDescent="0.25">
      <c r="A1780" s="37"/>
      <c r="B1780" s="37"/>
      <c r="C1780" s="37"/>
      <c r="F1780" s="38"/>
      <c r="G1780" s="38"/>
      <c r="H1780" s="38"/>
      <c r="I1780" s="37"/>
      <c r="J1780" s="38"/>
      <c r="K1780" s="38"/>
      <c r="L1780" s="42"/>
      <c r="M1780" s="42"/>
      <c r="N1780" s="42"/>
      <c r="O1780" s="42"/>
      <c r="R1780" s="37"/>
      <c r="S1780" s="37"/>
      <c r="T1780" s="91"/>
      <c r="U1780" s="91"/>
      <c r="V1780" s="41"/>
      <c r="W1780" s="37"/>
      <c r="X1780" s="37"/>
      <c r="Y1780" s="43"/>
      <c r="Z1780" s="37"/>
      <c r="AA1780" s="37"/>
      <c r="AD1780" s="37"/>
      <c r="AE1780" s="37"/>
      <c r="AF1780" s="37"/>
    </row>
    <row r="1781" spans="1:32" x14ac:dyDescent="0.25">
      <c r="A1781" s="37"/>
      <c r="B1781" s="37"/>
      <c r="C1781" s="37"/>
      <c r="F1781" s="38"/>
      <c r="G1781" s="38"/>
      <c r="H1781" s="38"/>
      <c r="I1781" s="37"/>
      <c r="J1781" s="38"/>
      <c r="K1781" s="38"/>
      <c r="L1781" s="42"/>
      <c r="M1781" s="42"/>
      <c r="N1781" s="42"/>
      <c r="O1781" s="42"/>
      <c r="R1781" s="37"/>
      <c r="S1781" s="37"/>
      <c r="T1781" s="91"/>
      <c r="U1781" s="91"/>
      <c r="V1781" s="41"/>
      <c r="W1781" s="37"/>
      <c r="X1781" s="37"/>
      <c r="Y1781" s="43"/>
      <c r="Z1781" s="37"/>
      <c r="AA1781" s="37"/>
      <c r="AD1781" s="37"/>
      <c r="AE1781" s="37"/>
      <c r="AF1781" s="37"/>
    </row>
    <row r="1782" spans="1:32" x14ac:dyDescent="0.25">
      <c r="A1782" s="37"/>
      <c r="B1782" s="37"/>
      <c r="C1782" s="37"/>
      <c r="F1782" s="38"/>
      <c r="G1782" s="38"/>
      <c r="H1782" s="38"/>
      <c r="I1782" s="37"/>
      <c r="J1782" s="38"/>
      <c r="K1782" s="38"/>
      <c r="L1782" s="42"/>
      <c r="M1782" s="42"/>
      <c r="N1782" s="42"/>
      <c r="O1782" s="42"/>
      <c r="R1782" s="37"/>
      <c r="S1782" s="37"/>
      <c r="T1782" s="91"/>
      <c r="U1782" s="91"/>
      <c r="V1782" s="41"/>
      <c r="W1782" s="37"/>
      <c r="X1782" s="37"/>
      <c r="Y1782" s="43"/>
      <c r="Z1782" s="37"/>
      <c r="AA1782" s="37"/>
      <c r="AD1782" s="37"/>
      <c r="AE1782" s="37"/>
      <c r="AF1782" s="37"/>
    </row>
    <row r="1783" spans="1:32" x14ac:dyDescent="0.25">
      <c r="A1783" s="37"/>
      <c r="B1783" s="37"/>
      <c r="C1783" s="37"/>
      <c r="F1783" s="38"/>
      <c r="G1783" s="38"/>
      <c r="H1783" s="38"/>
      <c r="I1783" s="37"/>
      <c r="J1783" s="38"/>
      <c r="K1783" s="38"/>
      <c r="L1783" s="42"/>
      <c r="M1783" s="42"/>
      <c r="N1783" s="42"/>
      <c r="O1783" s="42"/>
      <c r="R1783" s="37"/>
      <c r="S1783" s="37"/>
      <c r="T1783" s="91"/>
      <c r="U1783" s="91"/>
      <c r="V1783" s="41"/>
      <c r="W1783" s="37"/>
      <c r="X1783" s="37"/>
      <c r="Y1783" s="43"/>
      <c r="Z1783" s="37"/>
      <c r="AA1783" s="37"/>
      <c r="AD1783" s="37"/>
      <c r="AE1783" s="37"/>
      <c r="AF1783" s="37"/>
    </row>
    <row r="1784" spans="1:32" x14ac:dyDescent="0.25">
      <c r="A1784" s="37"/>
      <c r="B1784" s="37"/>
      <c r="C1784" s="37"/>
      <c r="F1784" s="38"/>
      <c r="G1784" s="38"/>
      <c r="H1784" s="38"/>
      <c r="I1784" s="37"/>
      <c r="J1784" s="38"/>
      <c r="K1784" s="38"/>
      <c r="L1784" s="42"/>
      <c r="M1784" s="42"/>
      <c r="N1784" s="42"/>
      <c r="O1784" s="42"/>
      <c r="R1784" s="37"/>
      <c r="S1784" s="37"/>
      <c r="T1784" s="91"/>
      <c r="U1784" s="91"/>
      <c r="V1784" s="41"/>
      <c r="W1784" s="37"/>
      <c r="X1784" s="37"/>
      <c r="Y1784" s="43"/>
      <c r="Z1784" s="37"/>
      <c r="AA1784" s="37"/>
      <c r="AD1784" s="37"/>
      <c r="AE1784" s="37"/>
      <c r="AF1784" s="37"/>
    </row>
    <row r="1785" spans="1:32" x14ac:dyDescent="0.25">
      <c r="A1785" s="37"/>
      <c r="B1785" s="37"/>
      <c r="C1785" s="37"/>
      <c r="F1785" s="38"/>
      <c r="G1785" s="38"/>
      <c r="H1785" s="38"/>
      <c r="I1785" s="37"/>
      <c r="J1785" s="38"/>
      <c r="K1785" s="38"/>
      <c r="L1785" s="42"/>
      <c r="M1785" s="42"/>
      <c r="N1785" s="42"/>
      <c r="O1785" s="42"/>
      <c r="R1785" s="37"/>
      <c r="S1785" s="37"/>
      <c r="T1785" s="91"/>
      <c r="U1785" s="91"/>
      <c r="V1785" s="41"/>
      <c r="W1785" s="37"/>
      <c r="X1785" s="37"/>
      <c r="Y1785" s="43"/>
      <c r="Z1785" s="37"/>
      <c r="AA1785" s="37"/>
      <c r="AD1785" s="37"/>
      <c r="AE1785" s="37"/>
      <c r="AF1785" s="37"/>
    </row>
    <row r="1786" spans="1:32" x14ac:dyDescent="0.25">
      <c r="A1786" s="37"/>
      <c r="B1786" s="37"/>
      <c r="C1786" s="37"/>
      <c r="F1786" s="38"/>
      <c r="G1786" s="38"/>
      <c r="H1786" s="38"/>
      <c r="I1786" s="37"/>
      <c r="J1786" s="38"/>
      <c r="K1786" s="38"/>
      <c r="L1786" s="42"/>
      <c r="M1786" s="42"/>
      <c r="N1786" s="42"/>
      <c r="O1786" s="42"/>
      <c r="R1786" s="37"/>
      <c r="S1786" s="37"/>
      <c r="T1786" s="91"/>
      <c r="U1786" s="91"/>
      <c r="V1786" s="41"/>
      <c r="W1786" s="37"/>
      <c r="X1786" s="37"/>
      <c r="Y1786" s="43"/>
      <c r="Z1786" s="37"/>
      <c r="AA1786" s="37"/>
      <c r="AD1786" s="37"/>
      <c r="AE1786" s="37"/>
      <c r="AF1786" s="37"/>
    </row>
    <row r="1787" spans="1:32" x14ac:dyDescent="0.25">
      <c r="A1787" s="37"/>
      <c r="B1787" s="37"/>
      <c r="C1787" s="37"/>
      <c r="F1787" s="38"/>
      <c r="G1787" s="38"/>
      <c r="H1787" s="38"/>
      <c r="I1787" s="37"/>
      <c r="J1787" s="38"/>
      <c r="K1787" s="38"/>
      <c r="L1787" s="42"/>
      <c r="M1787" s="42"/>
      <c r="N1787" s="42"/>
      <c r="O1787" s="42"/>
      <c r="R1787" s="37"/>
      <c r="S1787" s="37"/>
      <c r="T1787" s="91"/>
      <c r="U1787" s="91"/>
      <c r="V1787" s="41"/>
      <c r="W1787" s="37"/>
      <c r="X1787" s="37"/>
      <c r="Y1787" s="43"/>
      <c r="Z1787" s="37"/>
      <c r="AA1787" s="37"/>
      <c r="AD1787" s="37"/>
      <c r="AE1787" s="37"/>
      <c r="AF1787" s="37"/>
    </row>
    <row r="1788" spans="1:32" x14ac:dyDescent="0.25">
      <c r="A1788" s="37"/>
      <c r="B1788" s="37"/>
      <c r="C1788" s="37"/>
      <c r="F1788" s="38"/>
      <c r="G1788" s="38"/>
      <c r="H1788" s="38"/>
      <c r="I1788" s="37"/>
      <c r="J1788" s="38"/>
      <c r="K1788" s="38"/>
      <c r="L1788" s="42"/>
      <c r="M1788" s="42"/>
      <c r="N1788" s="42"/>
      <c r="O1788" s="42"/>
      <c r="R1788" s="37"/>
      <c r="S1788" s="37"/>
      <c r="T1788" s="91"/>
      <c r="U1788" s="91"/>
      <c r="V1788" s="41"/>
      <c r="W1788" s="37"/>
      <c r="X1788" s="37"/>
      <c r="Y1788" s="43"/>
      <c r="Z1788" s="37"/>
      <c r="AA1788" s="37"/>
      <c r="AD1788" s="37"/>
      <c r="AE1788" s="37"/>
      <c r="AF1788" s="37"/>
    </row>
    <row r="1789" spans="1:32" x14ac:dyDescent="0.25">
      <c r="A1789" s="37"/>
      <c r="B1789" s="37"/>
      <c r="C1789" s="37"/>
      <c r="F1789" s="38"/>
      <c r="G1789" s="38"/>
      <c r="H1789" s="38"/>
      <c r="I1789" s="37"/>
      <c r="J1789" s="38"/>
      <c r="K1789" s="38"/>
      <c r="L1789" s="42"/>
      <c r="M1789" s="42"/>
      <c r="N1789" s="42"/>
      <c r="O1789" s="42"/>
      <c r="R1789" s="37"/>
      <c r="S1789" s="37"/>
      <c r="T1789" s="91"/>
      <c r="U1789" s="91"/>
      <c r="V1789" s="41"/>
      <c r="W1789" s="37"/>
      <c r="X1789" s="37"/>
      <c r="Y1789" s="43"/>
      <c r="Z1789" s="37"/>
      <c r="AA1789" s="37"/>
      <c r="AD1789" s="37"/>
      <c r="AE1789" s="37"/>
      <c r="AF1789" s="37"/>
    </row>
    <row r="1790" spans="1:32" x14ac:dyDescent="0.25">
      <c r="A1790" s="37"/>
      <c r="B1790" s="37"/>
      <c r="C1790" s="37"/>
      <c r="F1790" s="38"/>
      <c r="G1790" s="38"/>
      <c r="H1790" s="38"/>
      <c r="I1790" s="37"/>
      <c r="J1790" s="38"/>
      <c r="K1790" s="38"/>
      <c r="L1790" s="42"/>
      <c r="M1790" s="42"/>
      <c r="N1790" s="42"/>
      <c r="O1790" s="42"/>
      <c r="R1790" s="37"/>
      <c r="S1790" s="37"/>
      <c r="T1790" s="91"/>
      <c r="U1790" s="91"/>
      <c r="V1790" s="41"/>
      <c r="W1790" s="37"/>
      <c r="X1790" s="37"/>
      <c r="Y1790" s="43"/>
      <c r="Z1790" s="37"/>
      <c r="AA1790" s="37"/>
      <c r="AD1790" s="37"/>
      <c r="AE1790" s="37"/>
      <c r="AF1790" s="37"/>
    </row>
    <row r="1791" spans="1:32" x14ac:dyDescent="0.25">
      <c r="A1791" s="37"/>
      <c r="B1791" s="37"/>
      <c r="C1791" s="37"/>
      <c r="F1791" s="38"/>
      <c r="G1791" s="38"/>
      <c r="H1791" s="38"/>
      <c r="I1791" s="37"/>
      <c r="J1791" s="38"/>
      <c r="K1791" s="38"/>
      <c r="L1791" s="42"/>
      <c r="M1791" s="42"/>
      <c r="N1791" s="42"/>
      <c r="O1791" s="42"/>
      <c r="R1791" s="37"/>
      <c r="S1791" s="37"/>
      <c r="T1791" s="91"/>
      <c r="U1791" s="91"/>
      <c r="V1791" s="41"/>
      <c r="W1791" s="37"/>
      <c r="X1791" s="37"/>
      <c r="Y1791" s="43"/>
      <c r="Z1791" s="37"/>
      <c r="AA1791" s="37"/>
      <c r="AD1791" s="37"/>
      <c r="AE1791" s="37"/>
      <c r="AF1791" s="37"/>
    </row>
    <row r="1792" spans="1:32" x14ac:dyDescent="0.25">
      <c r="A1792" s="37"/>
      <c r="B1792" s="37"/>
      <c r="C1792" s="37"/>
      <c r="F1792" s="38"/>
      <c r="G1792" s="38"/>
      <c r="H1792" s="38"/>
      <c r="I1792" s="37"/>
      <c r="J1792" s="38"/>
      <c r="K1792" s="38"/>
      <c r="L1792" s="42"/>
      <c r="M1792" s="42"/>
      <c r="N1792" s="42"/>
      <c r="O1792" s="42"/>
      <c r="R1792" s="37"/>
      <c r="S1792" s="37"/>
      <c r="T1792" s="91"/>
      <c r="U1792" s="91"/>
      <c r="V1792" s="41"/>
      <c r="W1792" s="37"/>
      <c r="X1792" s="37"/>
      <c r="Y1792" s="43"/>
      <c r="Z1792" s="37"/>
      <c r="AA1792" s="37"/>
      <c r="AD1792" s="37"/>
      <c r="AE1792" s="37"/>
      <c r="AF1792" s="37"/>
    </row>
    <row r="1793" spans="1:32" x14ac:dyDescent="0.25">
      <c r="A1793" s="37"/>
      <c r="B1793" s="37"/>
      <c r="C1793" s="37"/>
      <c r="F1793" s="38"/>
      <c r="G1793" s="38"/>
      <c r="H1793" s="38"/>
      <c r="I1793" s="37"/>
      <c r="J1793" s="38"/>
      <c r="K1793" s="38"/>
      <c r="L1793" s="42"/>
      <c r="M1793" s="42"/>
      <c r="N1793" s="42"/>
      <c r="O1793" s="42"/>
      <c r="R1793" s="37"/>
      <c r="S1793" s="37"/>
      <c r="T1793" s="91"/>
      <c r="U1793" s="91"/>
      <c r="V1793" s="41"/>
      <c r="W1793" s="37"/>
      <c r="X1793" s="37"/>
      <c r="Y1793" s="43"/>
      <c r="Z1793" s="37"/>
      <c r="AA1793" s="37"/>
      <c r="AD1793" s="37"/>
      <c r="AE1793" s="37"/>
      <c r="AF1793" s="37"/>
    </row>
    <row r="1794" spans="1:32" x14ac:dyDescent="0.25">
      <c r="A1794" s="37"/>
      <c r="B1794" s="37"/>
      <c r="C1794" s="37"/>
      <c r="F1794" s="38"/>
      <c r="G1794" s="38"/>
      <c r="H1794" s="38"/>
      <c r="I1794" s="37"/>
      <c r="J1794" s="38"/>
      <c r="K1794" s="38"/>
      <c r="L1794" s="42"/>
      <c r="M1794" s="42"/>
      <c r="N1794" s="42"/>
      <c r="O1794" s="42"/>
      <c r="R1794" s="37"/>
      <c r="S1794" s="37"/>
      <c r="T1794" s="91"/>
      <c r="U1794" s="91"/>
      <c r="V1794" s="41"/>
      <c r="W1794" s="37"/>
      <c r="X1794" s="37"/>
      <c r="Y1794" s="43"/>
      <c r="Z1794" s="37"/>
      <c r="AA1794" s="37"/>
      <c r="AD1794" s="37"/>
      <c r="AE1794" s="37"/>
      <c r="AF1794" s="37"/>
    </row>
    <row r="1795" spans="1:32" x14ac:dyDescent="0.25">
      <c r="A1795" s="37"/>
      <c r="B1795" s="37"/>
      <c r="C1795" s="37"/>
      <c r="F1795" s="38"/>
      <c r="G1795" s="38"/>
      <c r="H1795" s="38"/>
      <c r="I1795" s="37"/>
      <c r="J1795" s="38"/>
      <c r="K1795" s="38"/>
      <c r="L1795" s="42"/>
      <c r="M1795" s="42"/>
      <c r="N1795" s="42"/>
      <c r="O1795" s="42"/>
      <c r="R1795" s="37"/>
      <c r="S1795" s="37"/>
      <c r="T1795" s="91"/>
      <c r="U1795" s="91"/>
      <c r="V1795" s="41"/>
      <c r="W1795" s="37"/>
      <c r="X1795" s="37"/>
      <c r="Y1795" s="43"/>
      <c r="Z1795" s="37"/>
      <c r="AA1795" s="37"/>
      <c r="AD1795" s="37"/>
      <c r="AE1795" s="37"/>
      <c r="AF1795" s="37"/>
    </row>
    <row r="1796" spans="1:32" x14ac:dyDescent="0.25">
      <c r="A1796" s="37"/>
      <c r="B1796" s="37"/>
      <c r="C1796" s="37"/>
      <c r="F1796" s="38"/>
      <c r="G1796" s="38"/>
      <c r="H1796" s="38"/>
      <c r="I1796" s="37"/>
      <c r="J1796" s="38"/>
      <c r="K1796" s="38"/>
      <c r="L1796" s="42"/>
      <c r="M1796" s="42"/>
      <c r="N1796" s="42"/>
      <c r="O1796" s="42"/>
      <c r="R1796" s="37"/>
      <c r="S1796" s="37"/>
      <c r="T1796" s="91"/>
      <c r="U1796" s="91"/>
      <c r="V1796" s="41"/>
      <c r="W1796" s="37"/>
      <c r="X1796" s="37"/>
      <c r="Y1796" s="43"/>
      <c r="Z1796" s="37"/>
      <c r="AA1796" s="37"/>
      <c r="AD1796" s="37"/>
      <c r="AE1796" s="37"/>
      <c r="AF1796" s="37"/>
    </row>
    <row r="1797" spans="1:32" x14ac:dyDescent="0.25">
      <c r="A1797" s="37"/>
      <c r="B1797" s="37"/>
      <c r="C1797" s="37"/>
      <c r="F1797" s="38"/>
      <c r="G1797" s="38"/>
      <c r="H1797" s="38"/>
      <c r="I1797" s="37"/>
      <c r="J1797" s="38"/>
      <c r="K1797" s="38"/>
      <c r="L1797" s="42"/>
      <c r="M1797" s="42"/>
      <c r="N1797" s="42"/>
      <c r="O1797" s="42"/>
      <c r="R1797" s="37"/>
      <c r="S1797" s="37"/>
      <c r="T1797" s="91"/>
      <c r="U1797" s="91"/>
      <c r="V1797" s="41"/>
      <c r="W1797" s="37"/>
      <c r="X1797" s="37"/>
      <c r="Y1797" s="43"/>
      <c r="Z1797" s="37"/>
      <c r="AA1797" s="37"/>
      <c r="AD1797" s="37"/>
      <c r="AE1797" s="37"/>
      <c r="AF1797" s="37"/>
    </row>
    <row r="1798" spans="1:32" x14ac:dyDescent="0.25">
      <c r="A1798" s="37"/>
      <c r="B1798" s="37"/>
      <c r="C1798" s="37"/>
      <c r="F1798" s="38"/>
      <c r="G1798" s="38"/>
      <c r="H1798" s="38"/>
      <c r="I1798" s="37"/>
      <c r="J1798" s="38"/>
      <c r="K1798" s="38"/>
      <c r="L1798" s="42"/>
      <c r="M1798" s="42"/>
      <c r="N1798" s="42"/>
      <c r="O1798" s="42"/>
      <c r="R1798" s="37"/>
      <c r="S1798" s="37"/>
      <c r="T1798" s="91"/>
      <c r="U1798" s="91"/>
      <c r="V1798" s="41"/>
      <c r="W1798" s="37"/>
      <c r="X1798" s="37"/>
      <c r="Y1798" s="43"/>
      <c r="Z1798" s="37"/>
      <c r="AA1798" s="37"/>
      <c r="AD1798" s="37"/>
      <c r="AE1798" s="37"/>
      <c r="AF1798" s="37"/>
    </row>
    <row r="1799" spans="1:32" x14ac:dyDescent="0.25">
      <c r="A1799" s="37"/>
      <c r="B1799" s="37"/>
      <c r="C1799" s="37"/>
      <c r="F1799" s="38"/>
      <c r="G1799" s="38"/>
      <c r="H1799" s="38"/>
      <c r="I1799" s="37"/>
      <c r="J1799" s="38"/>
      <c r="K1799" s="38"/>
      <c r="L1799" s="42"/>
      <c r="M1799" s="42"/>
      <c r="N1799" s="42"/>
      <c r="O1799" s="42"/>
      <c r="R1799" s="37"/>
      <c r="S1799" s="37"/>
      <c r="T1799" s="91"/>
      <c r="U1799" s="91"/>
      <c r="V1799" s="41"/>
      <c r="W1799" s="37"/>
      <c r="X1799" s="37"/>
      <c r="Y1799" s="43"/>
      <c r="Z1799" s="37"/>
      <c r="AA1799" s="37"/>
      <c r="AD1799" s="37"/>
      <c r="AE1799" s="37"/>
      <c r="AF1799" s="37"/>
    </row>
    <row r="1800" spans="1:32" x14ac:dyDescent="0.25">
      <c r="A1800" s="37"/>
      <c r="B1800" s="37"/>
      <c r="C1800" s="37"/>
      <c r="F1800" s="38"/>
      <c r="G1800" s="38"/>
      <c r="H1800" s="38"/>
      <c r="I1800" s="37"/>
      <c r="J1800" s="38"/>
      <c r="K1800" s="38"/>
      <c r="L1800" s="42"/>
      <c r="M1800" s="42"/>
      <c r="N1800" s="42"/>
      <c r="O1800" s="42"/>
      <c r="R1800" s="37"/>
      <c r="S1800" s="37"/>
      <c r="T1800" s="91"/>
      <c r="U1800" s="91"/>
      <c r="V1800" s="41"/>
      <c r="W1800" s="37"/>
      <c r="X1800" s="37"/>
      <c r="Y1800" s="43"/>
      <c r="Z1800" s="37"/>
      <c r="AA1800" s="37"/>
      <c r="AD1800" s="37"/>
      <c r="AE1800" s="37"/>
      <c r="AF1800" s="37"/>
    </row>
    <row r="1801" spans="1:32" x14ac:dyDescent="0.25">
      <c r="A1801" s="37"/>
      <c r="B1801" s="37"/>
      <c r="C1801" s="37"/>
      <c r="F1801" s="38"/>
      <c r="G1801" s="38"/>
      <c r="H1801" s="38"/>
      <c r="I1801" s="37"/>
      <c r="J1801" s="38"/>
      <c r="K1801" s="38"/>
      <c r="L1801" s="42"/>
      <c r="M1801" s="42"/>
      <c r="N1801" s="42"/>
      <c r="O1801" s="42"/>
      <c r="R1801" s="37"/>
      <c r="S1801" s="37"/>
      <c r="T1801" s="91"/>
      <c r="U1801" s="91"/>
      <c r="V1801" s="41"/>
      <c r="W1801" s="37"/>
      <c r="X1801" s="37"/>
      <c r="Y1801" s="43"/>
      <c r="Z1801" s="37"/>
      <c r="AA1801" s="37"/>
      <c r="AD1801" s="37"/>
      <c r="AE1801" s="37"/>
      <c r="AF1801" s="37"/>
    </row>
    <row r="1802" spans="1:32" x14ac:dyDescent="0.25">
      <c r="A1802" s="37"/>
      <c r="B1802" s="37"/>
      <c r="C1802" s="37"/>
      <c r="F1802" s="38"/>
      <c r="G1802" s="38"/>
      <c r="H1802" s="38"/>
      <c r="I1802" s="37"/>
      <c r="J1802" s="38"/>
      <c r="K1802" s="38"/>
      <c r="L1802" s="42"/>
      <c r="M1802" s="42"/>
      <c r="N1802" s="42"/>
      <c r="O1802" s="42"/>
      <c r="R1802" s="37"/>
      <c r="S1802" s="37"/>
      <c r="T1802" s="91"/>
      <c r="U1802" s="91"/>
      <c r="V1802" s="41"/>
      <c r="W1802" s="37"/>
      <c r="X1802" s="37"/>
      <c r="Y1802" s="43"/>
      <c r="Z1802" s="37"/>
      <c r="AA1802" s="37"/>
      <c r="AD1802" s="37"/>
      <c r="AE1802" s="37"/>
      <c r="AF1802" s="37"/>
    </row>
    <row r="1803" spans="1:32" x14ac:dyDescent="0.25">
      <c r="A1803" s="37"/>
      <c r="B1803" s="37"/>
      <c r="C1803" s="37"/>
      <c r="F1803" s="38"/>
      <c r="G1803" s="38"/>
      <c r="H1803" s="38"/>
      <c r="I1803" s="37"/>
      <c r="J1803" s="38"/>
      <c r="K1803" s="38"/>
      <c r="L1803" s="42"/>
      <c r="M1803" s="42"/>
      <c r="N1803" s="42"/>
      <c r="O1803" s="42"/>
      <c r="R1803" s="37"/>
      <c r="S1803" s="37"/>
      <c r="T1803" s="91"/>
      <c r="U1803" s="91"/>
      <c r="V1803" s="41"/>
      <c r="W1803" s="37"/>
      <c r="X1803" s="37"/>
      <c r="Y1803" s="43"/>
      <c r="Z1803" s="37"/>
      <c r="AA1803" s="37"/>
      <c r="AD1803" s="37"/>
      <c r="AE1803" s="37"/>
      <c r="AF1803" s="37"/>
    </row>
    <row r="1804" spans="1:32" x14ac:dyDescent="0.25">
      <c r="A1804" s="37"/>
      <c r="B1804" s="37"/>
      <c r="C1804" s="37"/>
      <c r="F1804" s="38"/>
      <c r="G1804" s="38"/>
      <c r="H1804" s="38"/>
      <c r="I1804" s="37"/>
      <c r="J1804" s="38"/>
      <c r="K1804" s="38"/>
      <c r="L1804" s="42"/>
      <c r="M1804" s="42"/>
      <c r="N1804" s="42"/>
      <c r="O1804" s="42"/>
      <c r="R1804" s="37"/>
      <c r="S1804" s="37"/>
      <c r="T1804" s="91"/>
      <c r="U1804" s="91"/>
      <c r="V1804" s="41"/>
      <c r="W1804" s="37"/>
      <c r="X1804" s="37"/>
      <c r="Y1804" s="43"/>
      <c r="Z1804" s="37"/>
      <c r="AA1804" s="37"/>
      <c r="AD1804" s="37"/>
      <c r="AE1804" s="37"/>
      <c r="AF1804" s="37"/>
    </row>
    <row r="1805" spans="1:32" x14ac:dyDescent="0.25">
      <c r="A1805" s="37"/>
      <c r="B1805" s="37"/>
      <c r="C1805" s="37"/>
      <c r="F1805" s="38"/>
      <c r="G1805" s="38"/>
      <c r="H1805" s="38"/>
      <c r="I1805" s="37"/>
      <c r="J1805" s="38"/>
      <c r="K1805" s="38"/>
      <c r="L1805" s="42"/>
      <c r="M1805" s="42"/>
      <c r="N1805" s="42"/>
      <c r="O1805" s="42"/>
      <c r="R1805" s="37"/>
      <c r="S1805" s="37"/>
      <c r="T1805" s="91"/>
      <c r="U1805" s="91"/>
      <c r="V1805" s="41"/>
      <c r="W1805" s="37"/>
      <c r="X1805" s="37"/>
      <c r="Y1805" s="43"/>
      <c r="Z1805" s="37"/>
      <c r="AA1805" s="37"/>
      <c r="AD1805" s="37"/>
      <c r="AE1805" s="37"/>
      <c r="AF1805" s="37"/>
    </row>
    <row r="1806" spans="1:32" x14ac:dyDescent="0.25">
      <c r="A1806" s="37"/>
      <c r="B1806" s="37"/>
      <c r="C1806" s="37"/>
      <c r="F1806" s="38"/>
      <c r="G1806" s="38"/>
      <c r="H1806" s="38"/>
      <c r="I1806" s="37"/>
      <c r="J1806" s="38"/>
      <c r="K1806" s="38"/>
      <c r="L1806" s="42"/>
      <c r="M1806" s="42"/>
      <c r="N1806" s="42"/>
      <c r="O1806" s="42"/>
      <c r="R1806" s="37"/>
      <c r="S1806" s="37"/>
      <c r="T1806" s="91"/>
      <c r="U1806" s="91"/>
      <c r="V1806" s="41"/>
      <c r="W1806" s="37"/>
      <c r="X1806" s="37"/>
      <c r="Y1806" s="43"/>
      <c r="Z1806" s="37"/>
      <c r="AA1806" s="37"/>
      <c r="AD1806" s="37"/>
      <c r="AE1806" s="37"/>
      <c r="AF1806" s="37"/>
    </row>
    <row r="1807" spans="1:32" x14ac:dyDescent="0.25">
      <c r="A1807" s="37"/>
      <c r="B1807" s="37"/>
      <c r="C1807" s="37"/>
      <c r="F1807" s="38"/>
      <c r="G1807" s="38"/>
      <c r="H1807" s="38"/>
      <c r="I1807" s="37"/>
      <c r="J1807" s="38"/>
      <c r="K1807" s="38"/>
      <c r="L1807" s="42"/>
      <c r="M1807" s="42"/>
      <c r="N1807" s="42"/>
      <c r="O1807" s="42"/>
      <c r="R1807" s="37"/>
      <c r="S1807" s="37"/>
      <c r="T1807" s="91"/>
      <c r="U1807" s="91"/>
      <c r="V1807" s="41"/>
      <c r="W1807" s="37"/>
      <c r="X1807" s="37"/>
      <c r="Y1807" s="43"/>
      <c r="Z1807" s="37"/>
      <c r="AA1807" s="37"/>
      <c r="AD1807" s="37"/>
      <c r="AE1807" s="37"/>
      <c r="AF1807" s="37"/>
    </row>
    <row r="1808" spans="1:32" x14ac:dyDescent="0.25">
      <c r="A1808" s="37"/>
      <c r="B1808" s="37"/>
      <c r="C1808" s="37"/>
      <c r="F1808" s="38"/>
      <c r="G1808" s="38"/>
      <c r="H1808" s="38"/>
      <c r="I1808" s="37"/>
      <c r="J1808" s="38"/>
      <c r="K1808" s="38"/>
      <c r="L1808" s="42"/>
      <c r="M1808" s="42"/>
      <c r="N1808" s="42"/>
      <c r="O1808" s="42"/>
      <c r="R1808" s="37"/>
      <c r="S1808" s="37"/>
      <c r="T1808" s="91"/>
      <c r="U1808" s="91"/>
      <c r="V1808" s="41"/>
      <c r="W1808" s="37"/>
      <c r="X1808" s="37"/>
      <c r="Y1808" s="43"/>
      <c r="Z1808" s="37"/>
      <c r="AA1808" s="37"/>
      <c r="AD1808" s="37"/>
      <c r="AE1808" s="37"/>
      <c r="AF1808" s="37"/>
    </row>
    <row r="1809" spans="1:32" x14ac:dyDescent="0.25">
      <c r="A1809" s="37"/>
      <c r="B1809" s="37"/>
      <c r="C1809" s="37"/>
      <c r="F1809" s="38"/>
      <c r="G1809" s="38"/>
      <c r="H1809" s="38"/>
      <c r="I1809" s="37"/>
      <c r="J1809" s="38"/>
      <c r="K1809" s="38"/>
      <c r="L1809" s="42"/>
      <c r="M1809" s="42"/>
      <c r="N1809" s="42"/>
      <c r="O1809" s="42"/>
      <c r="R1809" s="37"/>
      <c r="S1809" s="37"/>
      <c r="T1809" s="91"/>
      <c r="U1809" s="91"/>
      <c r="V1809" s="41"/>
      <c r="W1809" s="37"/>
      <c r="X1809" s="37"/>
      <c r="Y1809" s="43"/>
      <c r="Z1809" s="37"/>
      <c r="AA1809" s="37"/>
      <c r="AD1809" s="37"/>
      <c r="AE1809" s="37"/>
      <c r="AF1809" s="37"/>
    </row>
    <row r="1810" spans="1:32" x14ac:dyDescent="0.25">
      <c r="A1810" s="37"/>
      <c r="B1810" s="37"/>
      <c r="C1810" s="37"/>
      <c r="F1810" s="38"/>
      <c r="G1810" s="38"/>
      <c r="H1810" s="38"/>
      <c r="I1810" s="37"/>
      <c r="J1810" s="38"/>
      <c r="K1810" s="38"/>
      <c r="L1810" s="42"/>
      <c r="M1810" s="42"/>
      <c r="N1810" s="42"/>
      <c r="O1810" s="42"/>
      <c r="R1810" s="37"/>
      <c r="S1810" s="37"/>
      <c r="T1810" s="91"/>
      <c r="U1810" s="91"/>
      <c r="V1810" s="41"/>
      <c r="W1810" s="37"/>
      <c r="X1810" s="37"/>
      <c r="Y1810" s="43"/>
      <c r="Z1810" s="37"/>
      <c r="AA1810" s="37"/>
      <c r="AD1810" s="37"/>
      <c r="AE1810" s="37"/>
      <c r="AF1810" s="37"/>
    </row>
    <row r="1811" spans="1:32" x14ac:dyDescent="0.25">
      <c r="A1811" s="37"/>
      <c r="B1811" s="37"/>
      <c r="C1811" s="37"/>
      <c r="F1811" s="38"/>
      <c r="G1811" s="38"/>
      <c r="H1811" s="38"/>
      <c r="I1811" s="37"/>
      <c r="J1811" s="38"/>
      <c r="K1811" s="38"/>
      <c r="L1811" s="42"/>
      <c r="M1811" s="42"/>
      <c r="N1811" s="42"/>
      <c r="O1811" s="42"/>
      <c r="R1811" s="37"/>
      <c r="S1811" s="37"/>
      <c r="T1811" s="91"/>
      <c r="U1811" s="91"/>
      <c r="V1811" s="41"/>
      <c r="W1811" s="37"/>
      <c r="X1811" s="37"/>
      <c r="Y1811" s="43"/>
      <c r="Z1811" s="37"/>
      <c r="AA1811" s="37"/>
      <c r="AD1811" s="37"/>
      <c r="AE1811" s="37"/>
      <c r="AF1811" s="37"/>
    </row>
    <row r="1812" spans="1:32" x14ac:dyDescent="0.25">
      <c r="A1812" s="37"/>
      <c r="B1812" s="37"/>
      <c r="C1812" s="37"/>
      <c r="F1812" s="38"/>
      <c r="G1812" s="38"/>
      <c r="H1812" s="38"/>
      <c r="I1812" s="37"/>
      <c r="J1812" s="38"/>
      <c r="K1812" s="38"/>
      <c r="L1812" s="42"/>
      <c r="M1812" s="42"/>
      <c r="N1812" s="42"/>
      <c r="O1812" s="42"/>
      <c r="R1812" s="37"/>
      <c r="S1812" s="37"/>
      <c r="T1812" s="91"/>
      <c r="U1812" s="91"/>
      <c r="V1812" s="41"/>
      <c r="W1812" s="37"/>
      <c r="X1812" s="37"/>
      <c r="Y1812" s="43"/>
      <c r="Z1812" s="37"/>
      <c r="AA1812" s="37"/>
      <c r="AD1812" s="37"/>
      <c r="AE1812" s="37"/>
      <c r="AF1812" s="37"/>
    </row>
    <row r="1813" spans="1:32" x14ac:dyDescent="0.25">
      <c r="A1813" s="37"/>
      <c r="B1813" s="37"/>
      <c r="C1813" s="37"/>
      <c r="F1813" s="38"/>
      <c r="G1813" s="38"/>
      <c r="H1813" s="38"/>
      <c r="I1813" s="37"/>
      <c r="J1813" s="38"/>
      <c r="K1813" s="38"/>
      <c r="L1813" s="42"/>
      <c r="M1813" s="42"/>
      <c r="N1813" s="42"/>
      <c r="O1813" s="42"/>
      <c r="R1813" s="37"/>
      <c r="S1813" s="37"/>
      <c r="T1813" s="91"/>
      <c r="U1813" s="91"/>
      <c r="V1813" s="41"/>
      <c r="W1813" s="37"/>
      <c r="X1813" s="37"/>
      <c r="Y1813" s="43"/>
      <c r="Z1813" s="37"/>
      <c r="AA1813" s="37"/>
      <c r="AD1813" s="37"/>
      <c r="AE1813" s="37"/>
      <c r="AF1813" s="37"/>
    </row>
    <row r="1814" spans="1:32" x14ac:dyDescent="0.25">
      <c r="A1814" s="37"/>
      <c r="B1814" s="37"/>
      <c r="C1814" s="37"/>
      <c r="F1814" s="38"/>
      <c r="G1814" s="38"/>
      <c r="H1814" s="38"/>
      <c r="I1814" s="37"/>
      <c r="J1814" s="38"/>
      <c r="K1814" s="38"/>
      <c r="L1814" s="42"/>
      <c r="M1814" s="42"/>
      <c r="N1814" s="42"/>
      <c r="O1814" s="42"/>
      <c r="R1814" s="37"/>
      <c r="S1814" s="37"/>
      <c r="T1814" s="91"/>
      <c r="U1814" s="91"/>
      <c r="V1814" s="41"/>
      <c r="W1814" s="37"/>
      <c r="X1814" s="37"/>
      <c r="Y1814" s="43"/>
      <c r="Z1814" s="37"/>
      <c r="AA1814" s="37"/>
      <c r="AD1814" s="37"/>
      <c r="AE1814" s="37"/>
      <c r="AF1814" s="37"/>
    </row>
    <row r="1815" spans="1:32" x14ac:dyDescent="0.25">
      <c r="A1815" s="37"/>
      <c r="B1815" s="37"/>
      <c r="C1815" s="37"/>
      <c r="F1815" s="38"/>
      <c r="G1815" s="38"/>
      <c r="H1815" s="38"/>
      <c r="I1815" s="37"/>
      <c r="J1815" s="38"/>
      <c r="K1815" s="38"/>
      <c r="L1815" s="42"/>
      <c r="M1815" s="42"/>
      <c r="N1815" s="42"/>
      <c r="O1815" s="42"/>
      <c r="R1815" s="37"/>
      <c r="S1815" s="37"/>
      <c r="T1815" s="91"/>
      <c r="U1815" s="91"/>
      <c r="V1815" s="41"/>
      <c r="W1815" s="37"/>
      <c r="X1815" s="37"/>
      <c r="Y1815" s="43"/>
      <c r="Z1815" s="37"/>
      <c r="AA1815" s="37"/>
      <c r="AD1815" s="37"/>
      <c r="AE1815" s="37"/>
      <c r="AF1815" s="37"/>
    </row>
    <row r="1816" spans="1:32" x14ac:dyDescent="0.25">
      <c r="A1816" s="37"/>
      <c r="B1816" s="37"/>
      <c r="C1816" s="37"/>
      <c r="F1816" s="38"/>
      <c r="G1816" s="38"/>
      <c r="H1816" s="38"/>
      <c r="I1816" s="37"/>
      <c r="J1816" s="38"/>
      <c r="K1816" s="38"/>
      <c r="L1816" s="42"/>
      <c r="M1816" s="42"/>
      <c r="N1816" s="42"/>
      <c r="O1816" s="42"/>
      <c r="R1816" s="37"/>
      <c r="S1816" s="37"/>
      <c r="T1816" s="91"/>
      <c r="U1816" s="91"/>
      <c r="V1816" s="41"/>
      <c r="W1816" s="37"/>
      <c r="X1816" s="37"/>
      <c r="Y1816" s="43"/>
      <c r="Z1816" s="37"/>
      <c r="AA1816" s="37"/>
      <c r="AD1816" s="37"/>
      <c r="AE1816" s="37"/>
      <c r="AF1816" s="37"/>
    </row>
    <row r="1817" spans="1:32" x14ac:dyDescent="0.25">
      <c r="A1817" s="37"/>
      <c r="B1817" s="37"/>
      <c r="C1817" s="37"/>
      <c r="F1817" s="38"/>
      <c r="G1817" s="38"/>
      <c r="H1817" s="38"/>
      <c r="I1817" s="37"/>
      <c r="J1817" s="38"/>
      <c r="K1817" s="38"/>
      <c r="L1817" s="42"/>
      <c r="M1817" s="42"/>
      <c r="N1817" s="42"/>
      <c r="O1817" s="42"/>
      <c r="R1817" s="37"/>
      <c r="S1817" s="37"/>
      <c r="T1817" s="91"/>
      <c r="U1817" s="91"/>
      <c r="V1817" s="41"/>
      <c r="W1817" s="37"/>
      <c r="X1817" s="37"/>
      <c r="Y1817" s="43"/>
      <c r="Z1817" s="37"/>
      <c r="AA1817" s="37"/>
      <c r="AD1817" s="37"/>
      <c r="AE1817" s="37"/>
      <c r="AF1817" s="37"/>
    </row>
    <row r="1818" spans="1:32" x14ac:dyDescent="0.25">
      <c r="A1818" s="37"/>
      <c r="B1818" s="37"/>
      <c r="C1818" s="37"/>
      <c r="F1818" s="38"/>
      <c r="G1818" s="38"/>
      <c r="H1818" s="38"/>
      <c r="I1818" s="37"/>
      <c r="J1818" s="38"/>
      <c r="K1818" s="38"/>
      <c r="L1818" s="42"/>
      <c r="M1818" s="42"/>
      <c r="N1818" s="42"/>
      <c r="O1818" s="42"/>
      <c r="R1818" s="37"/>
      <c r="S1818" s="37"/>
      <c r="T1818" s="91"/>
      <c r="U1818" s="91"/>
      <c r="V1818" s="41"/>
      <c r="W1818" s="37"/>
      <c r="X1818" s="37"/>
      <c r="Y1818" s="43"/>
      <c r="Z1818" s="37"/>
      <c r="AA1818" s="37"/>
      <c r="AD1818" s="37"/>
      <c r="AE1818" s="37"/>
      <c r="AF1818" s="37"/>
    </row>
    <row r="1819" spans="1:32" x14ac:dyDescent="0.25">
      <c r="A1819" s="37"/>
      <c r="B1819" s="37"/>
      <c r="C1819" s="37"/>
      <c r="F1819" s="38"/>
      <c r="G1819" s="38"/>
      <c r="H1819" s="38"/>
      <c r="I1819" s="37"/>
      <c r="J1819" s="38"/>
      <c r="K1819" s="38"/>
      <c r="L1819" s="42"/>
      <c r="M1819" s="42"/>
      <c r="N1819" s="42"/>
      <c r="O1819" s="42"/>
      <c r="R1819" s="37"/>
      <c r="S1819" s="37"/>
      <c r="T1819" s="91"/>
      <c r="U1819" s="91"/>
      <c r="V1819" s="41"/>
      <c r="W1819" s="37"/>
      <c r="X1819" s="37"/>
      <c r="Y1819" s="43"/>
      <c r="Z1819" s="37"/>
      <c r="AA1819" s="37"/>
      <c r="AD1819" s="37"/>
      <c r="AE1819" s="37"/>
      <c r="AF1819" s="37"/>
    </row>
    <row r="1820" spans="1:32" x14ac:dyDescent="0.25">
      <c r="A1820" s="37"/>
      <c r="B1820" s="37"/>
      <c r="C1820" s="37"/>
      <c r="F1820" s="38"/>
      <c r="G1820" s="38"/>
      <c r="H1820" s="38"/>
      <c r="I1820" s="37"/>
      <c r="J1820" s="38"/>
      <c r="K1820" s="38"/>
      <c r="L1820" s="42"/>
      <c r="M1820" s="42"/>
      <c r="N1820" s="42"/>
      <c r="O1820" s="42"/>
      <c r="R1820" s="37"/>
      <c r="S1820" s="37"/>
      <c r="T1820" s="91"/>
      <c r="U1820" s="91"/>
      <c r="V1820" s="41"/>
      <c r="W1820" s="37"/>
      <c r="X1820" s="37"/>
      <c r="Y1820" s="43"/>
      <c r="Z1820" s="37"/>
      <c r="AA1820" s="37"/>
      <c r="AD1820" s="37"/>
      <c r="AE1820" s="37"/>
      <c r="AF1820" s="37"/>
    </row>
    <row r="1821" spans="1:32" x14ac:dyDescent="0.25">
      <c r="A1821" s="37"/>
      <c r="B1821" s="37"/>
      <c r="C1821" s="37"/>
      <c r="F1821" s="38"/>
      <c r="G1821" s="38"/>
      <c r="H1821" s="38"/>
      <c r="I1821" s="37"/>
      <c r="J1821" s="38"/>
      <c r="K1821" s="38"/>
      <c r="L1821" s="42"/>
      <c r="M1821" s="42"/>
      <c r="N1821" s="42"/>
      <c r="O1821" s="42"/>
      <c r="R1821" s="37"/>
      <c r="S1821" s="37"/>
      <c r="T1821" s="91"/>
      <c r="U1821" s="91"/>
      <c r="V1821" s="41"/>
      <c r="W1821" s="37"/>
      <c r="X1821" s="37"/>
      <c r="Y1821" s="43"/>
      <c r="Z1821" s="37"/>
      <c r="AA1821" s="37"/>
      <c r="AD1821" s="37"/>
      <c r="AE1821" s="37"/>
      <c r="AF1821" s="37"/>
    </row>
    <row r="1822" spans="1:32" x14ac:dyDescent="0.25">
      <c r="A1822" s="37"/>
      <c r="B1822" s="37"/>
      <c r="C1822" s="37"/>
      <c r="F1822" s="38"/>
      <c r="G1822" s="38"/>
      <c r="H1822" s="38"/>
      <c r="I1822" s="37"/>
      <c r="J1822" s="38"/>
      <c r="K1822" s="38"/>
      <c r="L1822" s="42"/>
      <c r="M1822" s="42"/>
      <c r="N1822" s="42"/>
      <c r="O1822" s="42"/>
      <c r="R1822" s="37"/>
      <c r="S1822" s="37"/>
      <c r="T1822" s="91"/>
      <c r="U1822" s="91"/>
      <c r="V1822" s="41"/>
      <c r="W1822" s="37"/>
      <c r="X1822" s="37"/>
      <c r="Y1822" s="43"/>
      <c r="Z1822" s="37"/>
      <c r="AA1822" s="37"/>
      <c r="AD1822" s="37"/>
      <c r="AE1822" s="37"/>
      <c r="AF1822" s="37"/>
    </row>
    <row r="1823" spans="1:32" x14ac:dyDescent="0.25">
      <c r="A1823" s="37"/>
      <c r="B1823" s="37"/>
      <c r="C1823" s="37"/>
      <c r="F1823" s="38"/>
      <c r="G1823" s="38"/>
      <c r="H1823" s="38"/>
      <c r="I1823" s="37"/>
      <c r="J1823" s="38"/>
      <c r="K1823" s="38"/>
      <c r="L1823" s="42"/>
      <c r="M1823" s="42"/>
      <c r="N1823" s="42"/>
      <c r="O1823" s="42"/>
      <c r="R1823" s="37"/>
      <c r="S1823" s="37"/>
      <c r="T1823" s="91"/>
      <c r="U1823" s="91"/>
      <c r="V1823" s="41"/>
      <c r="W1823" s="37"/>
      <c r="X1823" s="37"/>
      <c r="Y1823" s="43"/>
      <c r="Z1823" s="37"/>
      <c r="AA1823" s="37"/>
      <c r="AD1823" s="37"/>
      <c r="AE1823" s="37"/>
      <c r="AF1823" s="37"/>
    </row>
    <row r="1824" spans="1:32" x14ac:dyDescent="0.25">
      <c r="A1824" s="37"/>
      <c r="B1824" s="37"/>
      <c r="C1824" s="37"/>
      <c r="F1824" s="38"/>
      <c r="G1824" s="38"/>
      <c r="H1824" s="38"/>
      <c r="I1824" s="37"/>
      <c r="J1824" s="38"/>
      <c r="K1824" s="38"/>
      <c r="L1824" s="42"/>
      <c r="M1824" s="42"/>
      <c r="N1824" s="42"/>
      <c r="O1824" s="42"/>
      <c r="R1824" s="37"/>
      <c r="S1824" s="37"/>
      <c r="T1824" s="91"/>
      <c r="U1824" s="91"/>
      <c r="V1824" s="41"/>
      <c r="W1824" s="37"/>
      <c r="X1824" s="37"/>
      <c r="Y1824" s="43"/>
      <c r="Z1824" s="37"/>
      <c r="AA1824" s="37"/>
      <c r="AD1824" s="37"/>
      <c r="AE1824" s="37"/>
      <c r="AF1824" s="37"/>
    </row>
    <row r="1825" spans="1:32" x14ac:dyDescent="0.25">
      <c r="A1825" s="37"/>
      <c r="B1825" s="37"/>
      <c r="C1825" s="37"/>
      <c r="F1825" s="38"/>
      <c r="G1825" s="38"/>
      <c r="H1825" s="38"/>
      <c r="I1825" s="37"/>
      <c r="J1825" s="38"/>
      <c r="K1825" s="38"/>
      <c r="L1825" s="42"/>
      <c r="M1825" s="42"/>
      <c r="N1825" s="42"/>
      <c r="O1825" s="42"/>
      <c r="R1825" s="37"/>
      <c r="S1825" s="37"/>
      <c r="T1825" s="91"/>
      <c r="U1825" s="91"/>
      <c r="V1825" s="41"/>
      <c r="W1825" s="37"/>
      <c r="X1825" s="37"/>
      <c r="Y1825" s="43"/>
      <c r="Z1825" s="37"/>
      <c r="AA1825" s="37"/>
      <c r="AD1825" s="37"/>
      <c r="AE1825" s="37"/>
      <c r="AF1825" s="37"/>
    </row>
    <row r="1826" spans="1:32" x14ac:dyDescent="0.25">
      <c r="A1826" s="37"/>
      <c r="B1826" s="37"/>
      <c r="C1826" s="37"/>
      <c r="F1826" s="38"/>
      <c r="G1826" s="38"/>
      <c r="H1826" s="38"/>
      <c r="I1826" s="37"/>
      <c r="J1826" s="38"/>
      <c r="K1826" s="38"/>
      <c r="L1826" s="42"/>
      <c r="M1826" s="42"/>
      <c r="N1826" s="42"/>
      <c r="O1826" s="42"/>
      <c r="R1826" s="37"/>
      <c r="S1826" s="37"/>
      <c r="T1826" s="91"/>
      <c r="U1826" s="91"/>
      <c r="V1826" s="41"/>
      <c r="W1826" s="37"/>
      <c r="X1826" s="37"/>
      <c r="Y1826" s="43"/>
      <c r="Z1826" s="37"/>
      <c r="AA1826" s="37"/>
      <c r="AD1826" s="37"/>
      <c r="AE1826" s="37"/>
      <c r="AF1826" s="37"/>
    </row>
    <row r="1827" spans="1:32" x14ac:dyDescent="0.25">
      <c r="A1827" s="37"/>
      <c r="B1827" s="37"/>
      <c r="C1827" s="37"/>
      <c r="F1827" s="38"/>
      <c r="G1827" s="38"/>
      <c r="H1827" s="38"/>
      <c r="I1827" s="37"/>
      <c r="J1827" s="38"/>
      <c r="K1827" s="38"/>
      <c r="L1827" s="42"/>
      <c r="M1827" s="42"/>
      <c r="N1827" s="42"/>
      <c r="O1827" s="42"/>
      <c r="R1827" s="37"/>
      <c r="S1827" s="37"/>
      <c r="T1827" s="91"/>
      <c r="U1827" s="91"/>
      <c r="V1827" s="41"/>
      <c r="W1827" s="37"/>
      <c r="X1827" s="37"/>
      <c r="Y1827" s="43"/>
      <c r="Z1827" s="37"/>
      <c r="AA1827" s="37"/>
      <c r="AD1827" s="37"/>
      <c r="AE1827" s="37"/>
      <c r="AF1827" s="37"/>
    </row>
    <row r="1828" spans="1:32" x14ac:dyDescent="0.25">
      <c r="A1828" s="37"/>
      <c r="B1828" s="37"/>
      <c r="C1828" s="37"/>
      <c r="F1828" s="38"/>
      <c r="G1828" s="38"/>
      <c r="H1828" s="38"/>
      <c r="I1828" s="37"/>
      <c r="J1828" s="38"/>
      <c r="K1828" s="38"/>
      <c r="L1828" s="42"/>
      <c r="M1828" s="42"/>
      <c r="N1828" s="42"/>
      <c r="O1828" s="42"/>
      <c r="R1828" s="37"/>
      <c r="S1828" s="37"/>
      <c r="T1828" s="91"/>
      <c r="U1828" s="91"/>
      <c r="V1828" s="41"/>
      <c r="W1828" s="37"/>
      <c r="X1828" s="37"/>
      <c r="Y1828" s="43"/>
      <c r="Z1828" s="37"/>
      <c r="AA1828" s="37"/>
      <c r="AD1828" s="37"/>
      <c r="AE1828" s="37"/>
      <c r="AF1828" s="37"/>
    </row>
    <row r="1829" spans="1:32" x14ac:dyDescent="0.25">
      <c r="A1829" s="37"/>
      <c r="B1829" s="37"/>
      <c r="C1829" s="37"/>
      <c r="F1829" s="38"/>
      <c r="G1829" s="38"/>
      <c r="H1829" s="38"/>
      <c r="I1829" s="37"/>
      <c r="J1829" s="38"/>
      <c r="K1829" s="38"/>
      <c r="L1829" s="42"/>
      <c r="M1829" s="42"/>
      <c r="N1829" s="42"/>
      <c r="O1829" s="42"/>
      <c r="R1829" s="37"/>
      <c r="S1829" s="37"/>
      <c r="T1829" s="91"/>
      <c r="U1829" s="91"/>
      <c r="V1829" s="41"/>
      <c r="W1829" s="37"/>
      <c r="X1829" s="37"/>
      <c r="Y1829" s="43"/>
      <c r="Z1829" s="37"/>
      <c r="AA1829" s="37"/>
      <c r="AD1829" s="37"/>
      <c r="AE1829" s="37"/>
      <c r="AF1829" s="37"/>
    </row>
    <row r="1830" spans="1:32" x14ac:dyDescent="0.25">
      <c r="A1830" s="37"/>
      <c r="B1830" s="37"/>
      <c r="C1830" s="37"/>
      <c r="F1830" s="38"/>
      <c r="G1830" s="38"/>
      <c r="H1830" s="38"/>
      <c r="I1830" s="37"/>
      <c r="J1830" s="38"/>
      <c r="K1830" s="38"/>
      <c r="L1830" s="42"/>
      <c r="M1830" s="42"/>
      <c r="N1830" s="42"/>
      <c r="O1830" s="42"/>
      <c r="R1830" s="37"/>
      <c r="S1830" s="37"/>
      <c r="T1830" s="91"/>
      <c r="U1830" s="91"/>
      <c r="V1830" s="41"/>
      <c r="W1830" s="37"/>
      <c r="X1830" s="37"/>
      <c r="Y1830" s="43"/>
      <c r="Z1830" s="37"/>
      <c r="AA1830" s="37"/>
      <c r="AD1830" s="37"/>
      <c r="AE1830" s="37"/>
      <c r="AF1830" s="37"/>
    </row>
    <row r="1831" spans="1:32" x14ac:dyDescent="0.25">
      <c r="A1831" s="37"/>
      <c r="B1831" s="37"/>
      <c r="C1831" s="37"/>
      <c r="F1831" s="38"/>
      <c r="G1831" s="38"/>
      <c r="H1831" s="38"/>
      <c r="I1831" s="37"/>
      <c r="J1831" s="38"/>
      <c r="K1831" s="38"/>
      <c r="L1831" s="42"/>
      <c r="M1831" s="42"/>
      <c r="N1831" s="42"/>
      <c r="O1831" s="42"/>
      <c r="R1831" s="37"/>
      <c r="S1831" s="37"/>
      <c r="T1831" s="91"/>
      <c r="U1831" s="91"/>
      <c r="V1831" s="41"/>
      <c r="W1831" s="37"/>
      <c r="X1831" s="37"/>
      <c r="Y1831" s="43"/>
      <c r="Z1831" s="37"/>
      <c r="AA1831" s="37"/>
      <c r="AD1831" s="37"/>
      <c r="AE1831" s="37"/>
      <c r="AF1831" s="37"/>
    </row>
    <row r="1832" spans="1:32" x14ac:dyDescent="0.25">
      <c r="A1832" s="37"/>
      <c r="B1832" s="37"/>
      <c r="C1832" s="37"/>
      <c r="F1832" s="38"/>
      <c r="G1832" s="38"/>
      <c r="H1832" s="38"/>
      <c r="I1832" s="37"/>
      <c r="J1832" s="38"/>
      <c r="K1832" s="38"/>
      <c r="L1832" s="42"/>
      <c r="M1832" s="42"/>
      <c r="N1832" s="42"/>
      <c r="O1832" s="42"/>
      <c r="R1832" s="37"/>
      <c r="S1832" s="37"/>
      <c r="T1832" s="91"/>
      <c r="U1832" s="91"/>
      <c r="V1832" s="41"/>
      <c r="W1832" s="37"/>
      <c r="X1832" s="37"/>
      <c r="Y1832" s="43"/>
      <c r="Z1832" s="37"/>
      <c r="AA1832" s="37"/>
      <c r="AD1832" s="37"/>
      <c r="AE1832" s="37"/>
      <c r="AF1832" s="37"/>
    </row>
    <row r="1833" spans="1:32" x14ac:dyDescent="0.25">
      <c r="A1833" s="37"/>
      <c r="B1833" s="37"/>
      <c r="C1833" s="37"/>
      <c r="F1833" s="38"/>
      <c r="G1833" s="38"/>
      <c r="H1833" s="38"/>
      <c r="I1833" s="37"/>
      <c r="J1833" s="38"/>
      <c r="K1833" s="38"/>
      <c r="L1833" s="42"/>
      <c r="M1833" s="42"/>
      <c r="N1833" s="42"/>
      <c r="O1833" s="42"/>
      <c r="R1833" s="37"/>
      <c r="S1833" s="37"/>
      <c r="T1833" s="91"/>
      <c r="U1833" s="91"/>
      <c r="V1833" s="41"/>
      <c r="W1833" s="37"/>
      <c r="X1833" s="37"/>
      <c r="Y1833" s="43"/>
      <c r="Z1833" s="37"/>
      <c r="AA1833" s="37"/>
      <c r="AD1833" s="37"/>
      <c r="AE1833" s="37"/>
      <c r="AF1833" s="37"/>
    </row>
    <row r="1834" spans="1:32" x14ac:dyDescent="0.25">
      <c r="A1834" s="37"/>
      <c r="B1834" s="37"/>
      <c r="C1834" s="37"/>
      <c r="F1834" s="38"/>
      <c r="G1834" s="38"/>
      <c r="H1834" s="38"/>
      <c r="I1834" s="37"/>
      <c r="J1834" s="38"/>
      <c r="K1834" s="38"/>
      <c r="L1834" s="42"/>
      <c r="M1834" s="42"/>
      <c r="N1834" s="42"/>
      <c r="O1834" s="42"/>
      <c r="R1834" s="37"/>
      <c r="S1834" s="37"/>
      <c r="T1834" s="91"/>
      <c r="U1834" s="91"/>
      <c r="V1834" s="41"/>
      <c r="W1834" s="37"/>
      <c r="X1834" s="37"/>
      <c r="Y1834" s="43"/>
      <c r="Z1834" s="37"/>
      <c r="AA1834" s="37"/>
      <c r="AD1834" s="37"/>
      <c r="AE1834" s="37"/>
      <c r="AF1834" s="37"/>
    </row>
    <row r="1835" spans="1:32" x14ac:dyDescent="0.25">
      <c r="A1835" s="37"/>
      <c r="B1835" s="37"/>
      <c r="C1835" s="37"/>
      <c r="F1835" s="38"/>
      <c r="G1835" s="38"/>
      <c r="H1835" s="38"/>
      <c r="I1835" s="37"/>
      <c r="J1835" s="38"/>
      <c r="K1835" s="38"/>
      <c r="L1835" s="42"/>
      <c r="M1835" s="42"/>
      <c r="N1835" s="42"/>
      <c r="O1835" s="42"/>
      <c r="R1835" s="37"/>
      <c r="S1835" s="37"/>
      <c r="T1835" s="91"/>
      <c r="U1835" s="91"/>
      <c r="V1835" s="41"/>
      <c r="W1835" s="37"/>
      <c r="X1835" s="37"/>
      <c r="Y1835" s="43"/>
      <c r="Z1835" s="37"/>
      <c r="AA1835" s="37"/>
      <c r="AD1835" s="37"/>
      <c r="AE1835" s="37"/>
      <c r="AF1835" s="37"/>
    </row>
    <row r="1836" spans="1:32" x14ac:dyDescent="0.25">
      <c r="A1836" s="37"/>
      <c r="B1836" s="37"/>
      <c r="C1836" s="37"/>
      <c r="F1836" s="38"/>
      <c r="G1836" s="38"/>
      <c r="H1836" s="38"/>
      <c r="I1836" s="37"/>
      <c r="J1836" s="38"/>
      <c r="K1836" s="38"/>
      <c r="L1836" s="42"/>
      <c r="M1836" s="42"/>
      <c r="N1836" s="42"/>
      <c r="O1836" s="42"/>
      <c r="R1836" s="37"/>
      <c r="S1836" s="37"/>
      <c r="T1836" s="91"/>
      <c r="U1836" s="91"/>
      <c r="V1836" s="41"/>
      <c r="W1836" s="37"/>
      <c r="X1836" s="37"/>
      <c r="Y1836" s="43"/>
      <c r="Z1836" s="37"/>
      <c r="AA1836" s="37"/>
      <c r="AD1836" s="37"/>
      <c r="AE1836" s="37"/>
      <c r="AF1836" s="37"/>
    </row>
    <row r="1837" spans="1:32" x14ac:dyDescent="0.25">
      <c r="A1837" s="37"/>
      <c r="B1837" s="37"/>
      <c r="C1837" s="37"/>
      <c r="F1837" s="38"/>
      <c r="G1837" s="38"/>
      <c r="H1837" s="38"/>
      <c r="I1837" s="37"/>
      <c r="J1837" s="38"/>
      <c r="K1837" s="38"/>
      <c r="L1837" s="42"/>
      <c r="M1837" s="42"/>
      <c r="N1837" s="42"/>
      <c r="O1837" s="42"/>
      <c r="R1837" s="37"/>
      <c r="S1837" s="37"/>
      <c r="T1837" s="91"/>
      <c r="U1837" s="91"/>
      <c r="V1837" s="41"/>
      <c r="W1837" s="37"/>
      <c r="X1837" s="37"/>
      <c r="Y1837" s="43"/>
      <c r="Z1837" s="37"/>
      <c r="AA1837" s="37"/>
      <c r="AD1837" s="37"/>
      <c r="AE1837" s="37"/>
      <c r="AF1837" s="37"/>
    </row>
    <row r="1838" spans="1:32" x14ac:dyDescent="0.25">
      <c r="A1838" s="37"/>
      <c r="B1838" s="37"/>
      <c r="C1838" s="37"/>
      <c r="F1838" s="38"/>
      <c r="G1838" s="38"/>
      <c r="H1838" s="38"/>
      <c r="I1838" s="37"/>
      <c r="J1838" s="38"/>
      <c r="K1838" s="38"/>
      <c r="L1838" s="42"/>
      <c r="M1838" s="42"/>
      <c r="N1838" s="42"/>
      <c r="O1838" s="42"/>
      <c r="R1838" s="37"/>
      <c r="S1838" s="37"/>
      <c r="T1838" s="91"/>
      <c r="U1838" s="91"/>
      <c r="V1838" s="41"/>
      <c r="W1838" s="37"/>
      <c r="X1838" s="37"/>
      <c r="Y1838" s="43"/>
      <c r="Z1838" s="37"/>
      <c r="AA1838" s="37"/>
      <c r="AD1838" s="37"/>
      <c r="AE1838" s="37"/>
      <c r="AF1838" s="37"/>
    </row>
    <row r="1839" spans="1:32" x14ac:dyDescent="0.25">
      <c r="A1839" s="37"/>
      <c r="B1839" s="37"/>
      <c r="C1839" s="37"/>
      <c r="F1839" s="38"/>
      <c r="G1839" s="38"/>
      <c r="H1839" s="38"/>
      <c r="I1839" s="37"/>
      <c r="J1839" s="38"/>
      <c r="K1839" s="38"/>
      <c r="L1839" s="42"/>
      <c r="M1839" s="42"/>
      <c r="N1839" s="42"/>
      <c r="O1839" s="42"/>
      <c r="R1839" s="37"/>
      <c r="S1839" s="37"/>
      <c r="T1839" s="91"/>
      <c r="U1839" s="91"/>
      <c r="V1839" s="41"/>
      <c r="W1839" s="37"/>
      <c r="X1839" s="37"/>
      <c r="Y1839" s="43"/>
      <c r="Z1839" s="37"/>
      <c r="AA1839" s="37"/>
      <c r="AD1839" s="37"/>
      <c r="AE1839" s="37"/>
      <c r="AF1839" s="37"/>
    </row>
    <row r="1840" spans="1:32" x14ac:dyDescent="0.25">
      <c r="A1840" s="37"/>
      <c r="B1840" s="37"/>
      <c r="C1840" s="37"/>
      <c r="F1840" s="38"/>
      <c r="G1840" s="38"/>
      <c r="H1840" s="38"/>
      <c r="I1840" s="37"/>
      <c r="J1840" s="38"/>
      <c r="K1840" s="38"/>
      <c r="L1840" s="42"/>
      <c r="M1840" s="42"/>
      <c r="N1840" s="42"/>
      <c r="O1840" s="42"/>
      <c r="R1840" s="37"/>
      <c r="S1840" s="37"/>
      <c r="T1840" s="91"/>
      <c r="U1840" s="91"/>
      <c r="V1840" s="41"/>
      <c r="W1840" s="37"/>
      <c r="X1840" s="37"/>
      <c r="Y1840" s="43"/>
      <c r="Z1840" s="37"/>
      <c r="AA1840" s="37"/>
      <c r="AD1840" s="37"/>
      <c r="AE1840" s="37"/>
      <c r="AF1840" s="37"/>
    </row>
    <row r="1841" spans="1:32" x14ac:dyDescent="0.25">
      <c r="A1841" s="37"/>
      <c r="B1841" s="37"/>
      <c r="C1841" s="37"/>
      <c r="F1841" s="38"/>
      <c r="G1841" s="38"/>
      <c r="H1841" s="38"/>
      <c r="I1841" s="37"/>
      <c r="J1841" s="38"/>
      <c r="K1841" s="38"/>
      <c r="L1841" s="42"/>
      <c r="M1841" s="42"/>
      <c r="N1841" s="42"/>
      <c r="O1841" s="42"/>
      <c r="R1841" s="37"/>
      <c r="S1841" s="37"/>
      <c r="T1841" s="91"/>
      <c r="U1841" s="91"/>
      <c r="V1841" s="41"/>
      <c r="W1841" s="37"/>
      <c r="X1841" s="37"/>
      <c r="Y1841" s="43"/>
      <c r="Z1841" s="37"/>
      <c r="AA1841" s="37"/>
      <c r="AD1841" s="37"/>
      <c r="AE1841" s="37"/>
      <c r="AF1841" s="37"/>
    </row>
    <row r="1842" spans="1:32" x14ac:dyDescent="0.25">
      <c r="A1842" s="37"/>
      <c r="B1842" s="37"/>
      <c r="C1842" s="37"/>
      <c r="F1842" s="38"/>
      <c r="G1842" s="38"/>
      <c r="H1842" s="38"/>
      <c r="I1842" s="37"/>
      <c r="J1842" s="38"/>
      <c r="K1842" s="38"/>
      <c r="L1842" s="42"/>
      <c r="M1842" s="42"/>
      <c r="N1842" s="42"/>
      <c r="O1842" s="42"/>
      <c r="R1842" s="37"/>
      <c r="S1842" s="37"/>
      <c r="T1842" s="91"/>
      <c r="U1842" s="91"/>
      <c r="V1842" s="41"/>
      <c r="W1842" s="37"/>
      <c r="X1842" s="37"/>
      <c r="Y1842" s="43"/>
      <c r="Z1842" s="37"/>
      <c r="AA1842" s="37"/>
      <c r="AD1842" s="37"/>
      <c r="AE1842" s="37"/>
      <c r="AF1842" s="37"/>
    </row>
    <row r="1843" spans="1:32" x14ac:dyDescent="0.25">
      <c r="A1843" s="37"/>
      <c r="B1843" s="37"/>
      <c r="C1843" s="37"/>
      <c r="F1843" s="38"/>
      <c r="G1843" s="38"/>
      <c r="H1843" s="38"/>
      <c r="I1843" s="37"/>
      <c r="J1843" s="38"/>
      <c r="K1843" s="38"/>
      <c r="L1843" s="42"/>
      <c r="M1843" s="42"/>
      <c r="N1843" s="42"/>
      <c r="O1843" s="42"/>
      <c r="R1843" s="37"/>
      <c r="S1843" s="37"/>
      <c r="T1843" s="91"/>
      <c r="U1843" s="91"/>
      <c r="V1843" s="41"/>
      <c r="W1843" s="37"/>
      <c r="X1843" s="37"/>
      <c r="Y1843" s="43"/>
      <c r="Z1843" s="37"/>
      <c r="AA1843" s="37"/>
      <c r="AD1843" s="37"/>
      <c r="AE1843" s="37"/>
      <c r="AF1843" s="37"/>
    </row>
    <row r="1844" spans="1:32" x14ac:dyDescent="0.25">
      <c r="A1844" s="37"/>
      <c r="B1844" s="37"/>
      <c r="C1844" s="37"/>
      <c r="F1844" s="38"/>
      <c r="G1844" s="38"/>
      <c r="H1844" s="38"/>
      <c r="I1844" s="37"/>
      <c r="J1844" s="38"/>
      <c r="K1844" s="38"/>
      <c r="L1844" s="42"/>
      <c r="M1844" s="42"/>
      <c r="N1844" s="42"/>
      <c r="O1844" s="42"/>
      <c r="R1844" s="37"/>
      <c r="S1844" s="37"/>
      <c r="T1844" s="91"/>
      <c r="U1844" s="91"/>
      <c r="V1844" s="41"/>
      <c r="W1844" s="37"/>
      <c r="X1844" s="37"/>
      <c r="Y1844" s="43"/>
      <c r="Z1844" s="37"/>
      <c r="AA1844" s="37"/>
      <c r="AD1844" s="37"/>
      <c r="AE1844" s="37"/>
      <c r="AF1844" s="37"/>
    </row>
    <row r="1845" spans="1:32" x14ac:dyDescent="0.25">
      <c r="A1845" s="37"/>
      <c r="B1845" s="37"/>
      <c r="C1845" s="37"/>
      <c r="F1845" s="38"/>
      <c r="G1845" s="38"/>
      <c r="H1845" s="38"/>
      <c r="I1845" s="37"/>
      <c r="J1845" s="38"/>
      <c r="K1845" s="38"/>
      <c r="L1845" s="42"/>
      <c r="M1845" s="42"/>
      <c r="N1845" s="42"/>
      <c r="O1845" s="42"/>
      <c r="R1845" s="37"/>
      <c r="S1845" s="37"/>
      <c r="T1845" s="91"/>
      <c r="U1845" s="91"/>
      <c r="V1845" s="41"/>
      <c r="W1845" s="37"/>
      <c r="X1845" s="37"/>
      <c r="Y1845" s="43"/>
      <c r="Z1845" s="37"/>
      <c r="AA1845" s="37"/>
      <c r="AD1845" s="37"/>
      <c r="AE1845" s="37"/>
      <c r="AF1845" s="37"/>
    </row>
    <row r="1846" spans="1:32" x14ac:dyDescent="0.25">
      <c r="A1846" s="37"/>
      <c r="B1846" s="37"/>
      <c r="C1846" s="37"/>
      <c r="F1846" s="38"/>
      <c r="G1846" s="38"/>
      <c r="H1846" s="38"/>
      <c r="I1846" s="37"/>
      <c r="J1846" s="38"/>
      <c r="K1846" s="38"/>
      <c r="L1846" s="42"/>
      <c r="M1846" s="42"/>
      <c r="N1846" s="42"/>
      <c r="O1846" s="42"/>
      <c r="R1846" s="37"/>
      <c r="S1846" s="37"/>
      <c r="T1846" s="91"/>
      <c r="U1846" s="91"/>
      <c r="V1846" s="41"/>
      <c r="W1846" s="37"/>
      <c r="X1846" s="37"/>
      <c r="Y1846" s="43"/>
      <c r="Z1846" s="37"/>
      <c r="AA1846" s="37"/>
      <c r="AD1846" s="37"/>
      <c r="AE1846" s="37"/>
      <c r="AF1846" s="37"/>
    </row>
    <row r="1847" spans="1:32" x14ac:dyDescent="0.25">
      <c r="A1847" s="37"/>
      <c r="B1847" s="37"/>
      <c r="C1847" s="37"/>
      <c r="F1847" s="38"/>
      <c r="G1847" s="38"/>
      <c r="H1847" s="38"/>
      <c r="I1847" s="37"/>
      <c r="J1847" s="38"/>
      <c r="K1847" s="38"/>
      <c r="L1847" s="42"/>
      <c r="M1847" s="42"/>
      <c r="N1847" s="42"/>
      <c r="O1847" s="42"/>
      <c r="R1847" s="37"/>
      <c r="S1847" s="37"/>
      <c r="T1847" s="91"/>
      <c r="U1847" s="91"/>
      <c r="V1847" s="41"/>
      <c r="W1847" s="37"/>
      <c r="X1847" s="37"/>
      <c r="Y1847" s="43"/>
      <c r="Z1847" s="37"/>
      <c r="AA1847" s="37"/>
      <c r="AD1847" s="37"/>
      <c r="AE1847" s="37"/>
      <c r="AF1847" s="37"/>
    </row>
    <row r="1848" spans="1:32" x14ac:dyDescent="0.25">
      <c r="A1848" s="37"/>
      <c r="B1848" s="37"/>
      <c r="C1848" s="37"/>
      <c r="F1848" s="38"/>
      <c r="G1848" s="38"/>
      <c r="H1848" s="38"/>
      <c r="I1848" s="37"/>
      <c r="J1848" s="38"/>
      <c r="K1848" s="38"/>
      <c r="L1848" s="42"/>
      <c r="M1848" s="42"/>
      <c r="N1848" s="42"/>
      <c r="O1848" s="42"/>
      <c r="R1848" s="37"/>
      <c r="S1848" s="37"/>
      <c r="T1848" s="91"/>
      <c r="U1848" s="91"/>
      <c r="V1848" s="41"/>
      <c r="W1848" s="37"/>
      <c r="X1848" s="37"/>
      <c r="Y1848" s="43"/>
      <c r="Z1848" s="37"/>
      <c r="AA1848" s="37"/>
      <c r="AD1848" s="37"/>
      <c r="AE1848" s="37"/>
      <c r="AF1848" s="37"/>
    </row>
    <row r="1849" spans="1:32" x14ac:dyDescent="0.25">
      <c r="A1849" s="37"/>
      <c r="B1849" s="37"/>
      <c r="C1849" s="37"/>
      <c r="F1849" s="38"/>
      <c r="G1849" s="38"/>
      <c r="H1849" s="38"/>
      <c r="I1849" s="37"/>
      <c r="J1849" s="38"/>
      <c r="K1849" s="38"/>
      <c r="L1849" s="42"/>
      <c r="M1849" s="42"/>
      <c r="N1849" s="42"/>
      <c r="O1849" s="42"/>
      <c r="R1849" s="37"/>
      <c r="S1849" s="37"/>
      <c r="T1849" s="91"/>
      <c r="U1849" s="91"/>
      <c r="V1849" s="41"/>
      <c r="W1849" s="37"/>
      <c r="X1849" s="37"/>
      <c r="Y1849" s="43"/>
      <c r="Z1849" s="37"/>
      <c r="AA1849" s="37"/>
      <c r="AD1849" s="37"/>
      <c r="AE1849" s="37"/>
      <c r="AF1849" s="37"/>
    </row>
    <row r="1850" spans="1:32" x14ac:dyDescent="0.25">
      <c r="A1850" s="37"/>
      <c r="B1850" s="37"/>
      <c r="C1850" s="37"/>
      <c r="F1850" s="38"/>
      <c r="G1850" s="38"/>
      <c r="H1850" s="38"/>
      <c r="I1850" s="37"/>
      <c r="J1850" s="38"/>
      <c r="K1850" s="38"/>
      <c r="L1850" s="42"/>
      <c r="M1850" s="42"/>
      <c r="N1850" s="42"/>
      <c r="O1850" s="42"/>
      <c r="R1850" s="37"/>
      <c r="S1850" s="37"/>
      <c r="T1850" s="91"/>
      <c r="U1850" s="91"/>
      <c r="V1850" s="41"/>
      <c r="W1850" s="37"/>
      <c r="X1850" s="37"/>
      <c r="Y1850" s="43"/>
      <c r="Z1850" s="37"/>
      <c r="AA1850" s="37"/>
      <c r="AD1850" s="37"/>
      <c r="AE1850" s="37"/>
      <c r="AF1850" s="37"/>
    </row>
    <row r="1851" spans="1:32" x14ac:dyDescent="0.25">
      <c r="A1851" s="37"/>
      <c r="B1851" s="37"/>
      <c r="C1851" s="37"/>
      <c r="F1851" s="38"/>
      <c r="G1851" s="38"/>
      <c r="H1851" s="38"/>
      <c r="I1851" s="37"/>
      <c r="J1851" s="38"/>
      <c r="K1851" s="38"/>
      <c r="L1851" s="42"/>
      <c r="M1851" s="42"/>
      <c r="N1851" s="42"/>
      <c r="O1851" s="42"/>
      <c r="R1851" s="37"/>
      <c r="S1851" s="37"/>
      <c r="T1851" s="91"/>
      <c r="U1851" s="91"/>
      <c r="V1851" s="41"/>
      <c r="W1851" s="37"/>
      <c r="X1851" s="37"/>
      <c r="Y1851" s="43"/>
      <c r="Z1851" s="37"/>
      <c r="AA1851" s="37"/>
      <c r="AD1851" s="37"/>
      <c r="AE1851" s="37"/>
      <c r="AF1851" s="37"/>
    </row>
    <row r="1852" spans="1:32" x14ac:dyDescent="0.25">
      <c r="A1852" s="37"/>
      <c r="B1852" s="37"/>
      <c r="C1852" s="37"/>
      <c r="F1852" s="38"/>
      <c r="G1852" s="38"/>
      <c r="H1852" s="38"/>
      <c r="I1852" s="37"/>
      <c r="J1852" s="38"/>
      <c r="K1852" s="38"/>
      <c r="L1852" s="42"/>
      <c r="M1852" s="42"/>
      <c r="N1852" s="42"/>
      <c r="O1852" s="42"/>
      <c r="R1852" s="37"/>
      <c r="S1852" s="37"/>
      <c r="T1852" s="91"/>
      <c r="U1852" s="91"/>
      <c r="V1852" s="41"/>
      <c r="W1852" s="37"/>
      <c r="X1852" s="37"/>
      <c r="Y1852" s="43"/>
      <c r="Z1852" s="37"/>
      <c r="AA1852" s="37"/>
      <c r="AD1852" s="37"/>
      <c r="AE1852" s="37"/>
      <c r="AF1852" s="37"/>
    </row>
    <row r="1853" spans="1:32" x14ac:dyDescent="0.25">
      <c r="A1853" s="37"/>
      <c r="B1853" s="37"/>
      <c r="C1853" s="37"/>
      <c r="F1853" s="38"/>
      <c r="G1853" s="38"/>
      <c r="H1853" s="38"/>
      <c r="I1853" s="37"/>
      <c r="J1853" s="38"/>
      <c r="K1853" s="38"/>
      <c r="L1853" s="42"/>
      <c r="M1853" s="42"/>
      <c r="N1853" s="42"/>
      <c r="O1853" s="42"/>
      <c r="R1853" s="37"/>
      <c r="S1853" s="37"/>
      <c r="T1853" s="91"/>
      <c r="U1853" s="91"/>
      <c r="V1853" s="41"/>
      <c r="W1853" s="37"/>
      <c r="X1853" s="37"/>
      <c r="Y1853" s="43"/>
      <c r="Z1853" s="37"/>
      <c r="AA1853" s="37"/>
      <c r="AD1853" s="37"/>
      <c r="AE1853" s="37"/>
      <c r="AF1853" s="37"/>
    </row>
    <row r="1854" spans="1:32" x14ac:dyDescent="0.25">
      <c r="A1854" s="37"/>
      <c r="B1854" s="37"/>
      <c r="C1854" s="37"/>
      <c r="F1854" s="38"/>
      <c r="G1854" s="38"/>
      <c r="H1854" s="38"/>
      <c r="I1854" s="37"/>
      <c r="J1854" s="38"/>
      <c r="K1854" s="38"/>
      <c r="L1854" s="42"/>
      <c r="M1854" s="42"/>
      <c r="N1854" s="42"/>
      <c r="O1854" s="42"/>
      <c r="R1854" s="37"/>
      <c r="S1854" s="37"/>
      <c r="T1854" s="91"/>
      <c r="U1854" s="91"/>
      <c r="V1854" s="41"/>
      <c r="W1854" s="37"/>
      <c r="X1854" s="37"/>
      <c r="Y1854" s="43"/>
      <c r="Z1854" s="37"/>
      <c r="AA1854" s="37"/>
      <c r="AD1854" s="37"/>
      <c r="AE1854" s="37"/>
      <c r="AF1854" s="37"/>
    </row>
    <row r="1855" spans="1:32" x14ac:dyDescent="0.25">
      <c r="A1855" s="37"/>
      <c r="B1855" s="37"/>
      <c r="C1855" s="37"/>
      <c r="F1855" s="38"/>
      <c r="G1855" s="38"/>
      <c r="H1855" s="38"/>
      <c r="I1855" s="37"/>
      <c r="J1855" s="38"/>
      <c r="K1855" s="38"/>
      <c r="L1855" s="42"/>
      <c r="M1855" s="42"/>
      <c r="N1855" s="42"/>
      <c r="O1855" s="42"/>
      <c r="R1855" s="37"/>
      <c r="S1855" s="37"/>
      <c r="T1855" s="91"/>
      <c r="U1855" s="91"/>
      <c r="V1855" s="41"/>
      <c r="W1855" s="37"/>
      <c r="X1855" s="37"/>
      <c r="Y1855" s="43"/>
      <c r="Z1855" s="37"/>
      <c r="AA1855" s="37"/>
      <c r="AD1855" s="37"/>
      <c r="AE1855" s="37"/>
      <c r="AF1855" s="37"/>
    </row>
    <row r="1856" spans="1:32" x14ac:dyDescent="0.25">
      <c r="A1856" s="37"/>
      <c r="B1856" s="37"/>
      <c r="C1856" s="37"/>
      <c r="F1856" s="38"/>
      <c r="G1856" s="38"/>
      <c r="H1856" s="38"/>
      <c r="I1856" s="37"/>
      <c r="J1856" s="38"/>
      <c r="K1856" s="38"/>
      <c r="L1856" s="42"/>
      <c r="M1856" s="42"/>
      <c r="N1856" s="42"/>
      <c r="O1856" s="42"/>
      <c r="R1856" s="37"/>
      <c r="S1856" s="37"/>
      <c r="T1856" s="91"/>
      <c r="U1856" s="91"/>
      <c r="V1856" s="41"/>
      <c r="W1856" s="37"/>
      <c r="X1856" s="37"/>
      <c r="Y1856" s="43"/>
      <c r="Z1856" s="37"/>
      <c r="AA1856" s="37"/>
      <c r="AD1856" s="37"/>
      <c r="AE1856" s="37"/>
      <c r="AF1856" s="37"/>
    </row>
    <row r="1857" spans="1:32" x14ac:dyDescent="0.25">
      <c r="A1857" s="37"/>
      <c r="B1857" s="37"/>
      <c r="C1857" s="37"/>
      <c r="F1857" s="38"/>
      <c r="G1857" s="38"/>
      <c r="H1857" s="38"/>
      <c r="I1857" s="37"/>
      <c r="J1857" s="38"/>
      <c r="K1857" s="38"/>
      <c r="L1857" s="42"/>
      <c r="M1857" s="42"/>
      <c r="N1857" s="42"/>
      <c r="O1857" s="42"/>
      <c r="R1857" s="37"/>
      <c r="S1857" s="37"/>
      <c r="T1857" s="91"/>
      <c r="U1857" s="91"/>
      <c r="V1857" s="41"/>
      <c r="W1857" s="37"/>
      <c r="X1857" s="37"/>
      <c r="Y1857" s="43"/>
      <c r="Z1857" s="37"/>
      <c r="AA1857" s="37"/>
      <c r="AD1857" s="37"/>
      <c r="AE1857" s="37"/>
      <c r="AF1857" s="37"/>
    </row>
    <row r="1858" spans="1:32" x14ac:dyDescent="0.25">
      <c r="A1858" s="37"/>
      <c r="B1858" s="37"/>
      <c r="C1858" s="37"/>
      <c r="F1858" s="38"/>
      <c r="G1858" s="38"/>
      <c r="H1858" s="38"/>
      <c r="I1858" s="37"/>
      <c r="J1858" s="38"/>
      <c r="K1858" s="38"/>
      <c r="L1858" s="42"/>
      <c r="M1858" s="42"/>
      <c r="N1858" s="42"/>
      <c r="O1858" s="42"/>
      <c r="R1858" s="37"/>
      <c r="S1858" s="37"/>
      <c r="T1858" s="91"/>
      <c r="U1858" s="91"/>
      <c r="V1858" s="41"/>
      <c r="W1858" s="37"/>
      <c r="X1858" s="37"/>
      <c r="Y1858" s="43"/>
      <c r="Z1858" s="37"/>
      <c r="AA1858" s="37"/>
      <c r="AD1858" s="37"/>
      <c r="AE1858" s="37"/>
      <c r="AF1858" s="37"/>
    </row>
    <row r="1859" spans="1:32" x14ac:dyDescent="0.25">
      <c r="A1859" s="37"/>
      <c r="B1859" s="37"/>
      <c r="C1859" s="37"/>
      <c r="F1859" s="38"/>
      <c r="G1859" s="38"/>
      <c r="H1859" s="38"/>
      <c r="I1859" s="37"/>
      <c r="J1859" s="38"/>
      <c r="K1859" s="38"/>
      <c r="L1859" s="42"/>
      <c r="M1859" s="42"/>
      <c r="N1859" s="42"/>
      <c r="O1859" s="42"/>
      <c r="R1859" s="37"/>
      <c r="S1859" s="37"/>
      <c r="T1859" s="91"/>
      <c r="U1859" s="91"/>
      <c r="V1859" s="41"/>
      <c r="W1859" s="37"/>
      <c r="X1859" s="37"/>
      <c r="Y1859" s="43"/>
      <c r="Z1859" s="37"/>
      <c r="AA1859" s="37"/>
      <c r="AD1859" s="37"/>
      <c r="AE1859" s="37"/>
      <c r="AF1859" s="37"/>
    </row>
    <row r="1860" spans="1:32" x14ac:dyDescent="0.25">
      <c r="A1860" s="37"/>
      <c r="B1860" s="37"/>
      <c r="C1860" s="37"/>
      <c r="F1860" s="38"/>
      <c r="G1860" s="38"/>
      <c r="H1860" s="38"/>
      <c r="I1860" s="37"/>
      <c r="J1860" s="38"/>
      <c r="K1860" s="38"/>
      <c r="L1860" s="42"/>
      <c r="M1860" s="42"/>
      <c r="N1860" s="42"/>
      <c r="O1860" s="42"/>
      <c r="R1860" s="37"/>
      <c r="S1860" s="37"/>
      <c r="T1860" s="91"/>
      <c r="U1860" s="91"/>
      <c r="V1860" s="41"/>
      <c r="W1860" s="37"/>
      <c r="X1860" s="37"/>
      <c r="Y1860" s="43"/>
      <c r="Z1860" s="37"/>
      <c r="AA1860" s="37"/>
      <c r="AD1860" s="37"/>
      <c r="AE1860" s="37"/>
      <c r="AF1860" s="37"/>
    </row>
    <row r="1861" spans="1:32" x14ac:dyDescent="0.25">
      <c r="A1861" s="37"/>
      <c r="B1861" s="37"/>
      <c r="C1861" s="37"/>
      <c r="F1861" s="38"/>
      <c r="G1861" s="38"/>
      <c r="H1861" s="38"/>
      <c r="I1861" s="37"/>
      <c r="J1861" s="38"/>
      <c r="K1861" s="38"/>
      <c r="L1861" s="42"/>
      <c r="M1861" s="42"/>
      <c r="N1861" s="42"/>
      <c r="O1861" s="42"/>
      <c r="R1861" s="37"/>
      <c r="S1861" s="37"/>
      <c r="T1861" s="91"/>
      <c r="U1861" s="91"/>
      <c r="V1861" s="41"/>
      <c r="W1861" s="37"/>
      <c r="X1861" s="37"/>
      <c r="Y1861" s="43"/>
      <c r="Z1861" s="37"/>
      <c r="AA1861" s="37"/>
      <c r="AD1861" s="37"/>
      <c r="AE1861" s="37"/>
      <c r="AF1861" s="37"/>
    </row>
    <row r="1862" spans="1:32" x14ac:dyDescent="0.25">
      <c r="A1862" s="37"/>
      <c r="B1862" s="37"/>
      <c r="C1862" s="37"/>
      <c r="F1862" s="38"/>
      <c r="G1862" s="38"/>
      <c r="H1862" s="38"/>
      <c r="I1862" s="37"/>
      <c r="J1862" s="38"/>
      <c r="K1862" s="38"/>
      <c r="L1862" s="42"/>
      <c r="M1862" s="42"/>
      <c r="N1862" s="42"/>
      <c r="O1862" s="42"/>
      <c r="R1862" s="37"/>
      <c r="S1862" s="37"/>
      <c r="T1862" s="91"/>
      <c r="U1862" s="91"/>
      <c r="V1862" s="41"/>
      <c r="W1862" s="37"/>
      <c r="X1862" s="37"/>
      <c r="Y1862" s="43"/>
      <c r="Z1862" s="37"/>
      <c r="AA1862" s="37"/>
      <c r="AD1862" s="37"/>
      <c r="AE1862" s="37"/>
      <c r="AF1862" s="37"/>
    </row>
    <row r="1863" spans="1:32" x14ac:dyDescent="0.25">
      <c r="A1863" s="37"/>
      <c r="B1863" s="37"/>
      <c r="C1863" s="37"/>
      <c r="F1863" s="38"/>
      <c r="G1863" s="38"/>
      <c r="H1863" s="38"/>
      <c r="I1863" s="37"/>
      <c r="J1863" s="38"/>
      <c r="K1863" s="38"/>
      <c r="L1863" s="42"/>
      <c r="M1863" s="42"/>
      <c r="N1863" s="42"/>
      <c r="O1863" s="42"/>
      <c r="R1863" s="37"/>
      <c r="S1863" s="37"/>
      <c r="T1863" s="91"/>
      <c r="U1863" s="91"/>
      <c r="V1863" s="41"/>
      <c r="W1863" s="37"/>
      <c r="X1863" s="37"/>
      <c r="Y1863" s="43"/>
      <c r="Z1863" s="37"/>
      <c r="AA1863" s="37"/>
      <c r="AD1863" s="37"/>
      <c r="AE1863" s="37"/>
      <c r="AF1863" s="37"/>
    </row>
    <row r="1864" spans="1:32" x14ac:dyDescent="0.25">
      <c r="A1864" s="37"/>
      <c r="B1864" s="37"/>
      <c r="C1864" s="37"/>
      <c r="F1864" s="38"/>
      <c r="G1864" s="38"/>
      <c r="H1864" s="38"/>
      <c r="I1864" s="37"/>
      <c r="J1864" s="38"/>
      <c r="K1864" s="38"/>
      <c r="L1864" s="42"/>
      <c r="M1864" s="42"/>
      <c r="N1864" s="42"/>
      <c r="O1864" s="42"/>
      <c r="R1864" s="37"/>
      <c r="S1864" s="37"/>
      <c r="T1864" s="91"/>
      <c r="U1864" s="91"/>
      <c r="V1864" s="41"/>
      <c r="W1864" s="37"/>
      <c r="X1864" s="37"/>
      <c r="Y1864" s="43"/>
      <c r="Z1864" s="37"/>
      <c r="AA1864" s="37"/>
      <c r="AD1864" s="37"/>
      <c r="AE1864" s="37"/>
      <c r="AF1864" s="37"/>
    </row>
    <row r="1865" spans="1:32" x14ac:dyDescent="0.25">
      <c r="A1865" s="37"/>
      <c r="B1865" s="37"/>
      <c r="C1865" s="37"/>
      <c r="F1865" s="38"/>
      <c r="G1865" s="38"/>
      <c r="H1865" s="38"/>
      <c r="I1865" s="37"/>
      <c r="J1865" s="38"/>
      <c r="K1865" s="38"/>
      <c r="L1865" s="42"/>
      <c r="M1865" s="42"/>
      <c r="N1865" s="42"/>
      <c r="O1865" s="42"/>
      <c r="R1865" s="37"/>
      <c r="S1865" s="37"/>
      <c r="T1865" s="91"/>
      <c r="U1865" s="91"/>
      <c r="V1865" s="41"/>
      <c r="W1865" s="37"/>
      <c r="X1865" s="37"/>
      <c r="Y1865" s="43"/>
      <c r="Z1865" s="37"/>
      <c r="AA1865" s="37"/>
      <c r="AD1865" s="37"/>
      <c r="AE1865" s="37"/>
      <c r="AF1865" s="37"/>
    </row>
    <row r="1866" spans="1:32" x14ac:dyDescent="0.25">
      <c r="A1866" s="37"/>
      <c r="B1866" s="37"/>
      <c r="C1866" s="37"/>
      <c r="F1866" s="38"/>
      <c r="G1866" s="38"/>
      <c r="H1866" s="38"/>
      <c r="I1866" s="37"/>
      <c r="J1866" s="38"/>
      <c r="K1866" s="38"/>
      <c r="L1866" s="42"/>
      <c r="M1866" s="42"/>
      <c r="N1866" s="42"/>
      <c r="O1866" s="42"/>
      <c r="R1866" s="37"/>
      <c r="S1866" s="37"/>
      <c r="T1866" s="91"/>
      <c r="U1866" s="91"/>
      <c r="V1866" s="41"/>
      <c r="W1866" s="37"/>
      <c r="X1866" s="37"/>
      <c r="Y1866" s="43"/>
      <c r="Z1866" s="37"/>
      <c r="AA1866" s="37"/>
      <c r="AD1866" s="37"/>
      <c r="AE1866" s="37"/>
      <c r="AF1866" s="37"/>
    </row>
    <row r="1867" spans="1:32" x14ac:dyDescent="0.25">
      <c r="A1867" s="37"/>
      <c r="B1867" s="37"/>
      <c r="C1867" s="37"/>
      <c r="F1867" s="38"/>
      <c r="G1867" s="38"/>
      <c r="H1867" s="38"/>
      <c r="I1867" s="37"/>
      <c r="J1867" s="38"/>
      <c r="K1867" s="38"/>
      <c r="L1867" s="42"/>
      <c r="M1867" s="42"/>
      <c r="N1867" s="42"/>
      <c r="O1867" s="42"/>
      <c r="R1867" s="37"/>
      <c r="S1867" s="37"/>
      <c r="T1867" s="91"/>
      <c r="U1867" s="91"/>
      <c r="V1867" s="41"/>
      <c r="W1867" s="37"/>
      <c r="X1867" s="37"/>
      <c r="Y1867" s="43"/>
      <c r="Z1867" s="37"/>
      <c r="AA1867" s="37"/>
      <c r="AD1867" s="37"/>
      <c r="AE1867" s="37"/>
      <c r="AF1867" s="37"/>
    </row>
    <row r="1868" spans="1:32" x14ac:dyDescent="0.25">
      <c r="A1868" s="37"/>
      <c r="B1868" s="37"/>
      <c r="C1868" s="37"/>
      <c r="F1868" s="38"/>
      <c r="G1868" s="38"/>
      <c r="H1868" s="38"/>
      <c r="I1868" s="37"/>
      <c r="J1868" s="38"/>
      <c r="K1868" s="38"/>
      <c r="L1868" s="42"/>
      <c r="M1868" s="42"/>
      <c r="N1868" s="42"/>
      <c r="O1868" s="42"/>
      <c r="R1868" s="37"/>
      <c r="S1868" s="37"/>
      <c r="T1868" s="91"/>
      <c r="U1868" s="91"/>
      <c r="V1868" s="41"/>
      <c r="W1868" s="37"/>
      <c r="X1868" s="37"/>
      <c r="Y1868" s="43"/>
      <c r="Z1868" s="37"/>
      <c r="AA1868" s="37"/>
      <c r="AD1868" s="37"/>
      <c r="AE1868" s="37"/>
      <c r="AF1868" s="37"/>
    </row>
    <row r="1869" spans="1:32" x14ac:dyDescent="0.25">
      <c r="A1869" s="37"/>
      <c r="B1869" s="37"/>
      <c r="C1869" s="37"/>
      <c r="F1869" s="38"/>
      <c r="G1869" s="38"/>
      <c r="H1869" s="38"/>
      <c r="I1869" s="37"/>
      <c r="J1869" s="38"/>
      <c r="K1869" s="38"/>
      <c r="L1869" s="42"/>
      <c r="M1869" s="42"/>
      <c r="N1869" s="42"/>
      <c r="O1869" s="42"/>
      <c r="R1869" s="37"/>
      <c r="S1869" s="37"/>
      <c r="T1869" s="91"/>
      <c r="U1869" s="91"/>
      <c r="V1869" s="41"/>
      <c r="W1869" s="37"/>
      <c r="X1869" s="37"/>
      <c r="Y1869" s="43"/>
      <c r="Z1869" s="37"/>
      <c r="AA1869" s="37"/>
      <c r="AD1869" s="37"/>
      <c r="AE1869" s="37"/>
      <c r="AF1869" s="37"/>
    </row>
    <row r="1870" spans="1:32" x14ac:dyDescent="0.25">
      <c r="A1870" s="37"/>
      <c r="B1870" s="37"/>
      <c r="C1870" s="37"/>
      <c r="F1870" s="38"/>
      <c r="G1870" s="38"/>
      <c r="H1870" s="38"/>
      <c r="I1870" s="37"/>
      <c r="J1870" s="38"/>
      <c r="K1870" s="38"/>
      <c r="L1870" s="42"/>
      <c r="M1870" s="42"/>
      <c r="N1870" s="42"/>
      <c r="O1870" s="42"/>
      <c r="R1870" s="37"/>
      <c r="S1870" s="37"/>
      <c r="T1870" s="91"/>
      <c r="U1870" s="91"/>
      <c r="V1870" s="41"/>
      <c r="W1870" s="37"/>
      <c r="X1870" s="37"/>
      <c r="Y1870" s="43"/>
      <c r="Z1870" s="37"/>
      <c r="AA1870" s="37"/>
      <c r="AD1870" s="37"/>
      <c r="AE1870" s="37"/>
      <c r="AF1870" s="37"/>
    </row>
    <row r="1871" spans="1:32" x14ac:dyDescent="0.25">
      <c r="A1871" s="37"/>
      <c r="B1871" s="37"/>
      <c r="C1871" s="37"/>
      <c r="F1871" s="38"/>
      <c r="G1871" s="38"/>
      <c r="H1871" s="38"/>
      <c r="I1871" s="37"/>
      <c r="J1871" s="38"/>
      <c r="K1871" s="38"/>
      <c r="L1871" s="42"/>
      <c r="M1871" s="42"/>
      <c r="N1871" s="42"/>
      <c r="O1871" s="42"/>
      <c r="R1871" s="37"/>
      <c r="S1871" s="37"/>
      <c r="T1871" s="91"/>
      <c r="U1871" s="91"/>
      <c r="V1871" s="41"/>
      <c r="W1871" s="37"/>
      <c r="X1871" s="37"/>
      <c r="Y1871" s="43"/>
      <c r="Z1871" s="37"/>
      <c r="AA1871" s="37"/>
      <c r="AD1871" s="37"/>
      <c r="AE1871" s="37"/>
      <c r="AF1871" s="37"/>
    </row>
    <row r="1872" spans="1:32" x14ac:dyDescent="0.25">
      <c r="A1872" s="37"/>
      <c r="B1872" s="37"/>
      <c r="C1872" s="37"/>
      <c r="F1872" s="38"/>
      <c r="G1872" s="38"/>
      <c r="H1872" s="38"/>
      <c r="I1872" s="37"/>
      <c r="J1872" s="38"/>
      <c r="K1872" s="38"/>
      <c r="L1872" s="42"/>
      <c r="M1872" s="42"/>
      <c r="N1872" s="42"/>
      <c r="O1872" s="42"/>
      <c r="R1872" s="37"/>
      <c r="S1872" s="37"/>
      <c r="T1872" s="91"/>
      <c r="U1872" s="91"/>
      <c r="V1872" s="41"/>
      <c r="W1872" s="37"/>
      <c r="X1872" s="37"/>
      <c r="Y1872" s="43"/>
      <c r="Z1872" s="37"/>
      <c r="AA1872" s="37"/>
      <c r="AD1872" s="37"/>
      <c r="AE1872" s="37"/>
      <c r="AF1872" s="37"/>
    </row>
    <row r="1873" spans="1:32" x14ac:dyDescent="0.25">
      <c r="A1873" s="37"/>
      <c r="B1873" s="37"/>
      <c r="C1873" s="37"/>
      <c r="F1873" s="38"/>
      <c r="G1873" s="38"/>
      <c r="H1873" s="38"/>
      <c r="I1873" s="37"/>
      <c r="J1873" s="38"/>
      <c r="K1873" s="38"/>
      <c r="L1873" s="42"/>
      <c r="M1873" s="42"/>
      <c r="N1873" s="42"/>
      <c r="O1873" s="42"/>
      <c r="R1873" s="37"/>
      <c r="S1873" s="37"/>
      <c r="T1873" s="91"/>
      <c r="U1873" s="91"/>
      <c r="V1873" s="41"/>
      <c r="W1873" s="37"/>
      <c r="X1873" s="37"/>
      <c r="Y1873" s="43"/>
      <c r="Z1873" s="37"/>
      <c r="AA1873" s="37"/>
      <c r="AD1873" s="37"/>
      <c r="AE1873" s="37"/>
      <c r="AF1873" s="37"/>
    </row>
    <row r="1874" spans="1:32" x14ac:dyDescent="0.25">
      <c r="A1874" s="37"/>
      <c r="B1874" s="37"/>
      <c r="C1874" s="37"/>
      <c r="F1874" s="38"/>
      <c r="G1874" s="38"/>
      <c r="H1874" s="38"/>
      <c r="I1874" s="37"/>
      <c r="J1874" s="38"/>
      <c r="K1874" s="38"/>
      <c r="L1874" s="42"/>
      <c r="M1874" s="42"/>
      <c r="N1874" s="42"/>
      <c r="O1874" s="42"/>
      <c r="R1874" s="37"/>
      <c r="S1874" s="37"/>
      <c r="T1874" s="91"/>
      <c r="U1874" s="91"/>
      <c r="V1874" s="41"/>
      <c r="W1874" s="37"/>
      <c r="X1874" s="37"/>
      <c r="Y1874" s="43"/>
      <c r="Z1874" s="37"/>
      <c r="AA1874" s="37"/>
      <c r="AD1874" s="37"/>
      <c r="AE1874" s="37"/>
      <c r="AF1874" s="37"/>
    </row>
    <row r="1875" spans="1:32" x14ac:dyDescent="0.25">
      <c r="A1875" s="37"/>
      <c r="B1875" s="37"/>
      <c r="C1875" s="37"/>
      <c r="F1875" s="38"/>
      <c r="G1875" s="38"/>
      <c r="H1875" s="38"/>
      <c r="I1875" s="37"/>
      <c r="J1875" s="38"/>
      <c r="K1875" s="38"/>
      <c r="L1875" s="42"/>
      <c r="M1875" s="42"/>
      <c r="N1875" s="42"/>
      <c r="O1875" s="42"/>
      <c r="R1875" s="37"/>
      <c r="S1875" s="37"/>
      <c r="T1875" s="91"/>
      <c r="U1875" s="91"/>
      <c r="V1875" s="41"/>
      <c r="W1875" s="37"/>
      <c r="X1875" s="37"/>
      <c r="Y1875" s="43"/>
      <c r="Z1875" s="37"/>
      <c r="AA1875" s="37"/>
      <c r="AD1875" s="37"/>
      <c r="AE1875" s="37"/>
      <c r="AF1875" s="37"/>
    </row>
    <row r="1876" spans="1:32" x14ac:dyDescent="0.25">
      <c r="A1876" s="37"/>
      <c r="B1876" s="37"/>
      <c r="C1876" s="37"/>
      <c r="F1876" s="38"/>
      <c r="G1876" s="38"/>
      <c r="H1876" s="38"/>
      <c r="I1876" s="37"/>
      <c r="J1876" s="38"/>
      <c r="K1876" s="38"/>
      <c r="L1876" s="42"/>
      <c r="M1876" s="42"/>
      <c r="N1876" s="42"/>
      <c r="O1876" s="42"/>
      <c r="R1876" s="37"/>
      <c r="S1876" s="37"/>
      <c r="T1876" s="91"/>
      <c r="U1876" s="91"/>
      <c r="V1876" s="41"/>
      <c r="W1876" s="37"/>
      <c r="X1876" s="37"/>
      <c r="Y1876" s="43"/>
      <c r="Z1876" s="37"/>
      <c r="AA1876" s="37"/>
      <c r="AD1876" s="37"/>
      <c r="AE1876" s="37"/>
      <c r="AF1876" s="37"/>
    </row>
    <row r="1877" spans="1:32" x14ac:dyDescent="0.25">
      <c r="A1877" s="37"/>
      <c r="B1877" s="37"/>
      <c r="C1877" s="37"/>
      <c r="F1877" s="38"/>
      <c r="G1877" s="38"/>
      <c r="H1877" s="38"/>
      <c r="I1877" s="37"/>
      <c r="J1877" s="38"/>
      <c r="K1877" s="38"/>
      <c r="L1877" s="42"/>
      <c r="M1877" s="42"/>
      <c r="N1877" s="42"/>
      <c r="O1877" s="42"/>
      <c r="R1877" s="37"/>
      <c r="S1877" s="37"/>
      <c r="T1877" s="91"/>
      <c r="U1877" s="91"/>
      <c r="V1877" s="41"/>
      <c r="W1877" s="37"/>
      <c r="X1877" s="37"/>
      <c r="Y1877" s="43"/>
      <c r="Z1877" s="37"/>
      <c r="AA1877" s="37"/>
      <c r="AD1877" s="37"/>
      <c r="AE1877" s="37"/>
      <c r="AF1877" s="37"/>
    </row>
    <row r="1878" spans="1:32" x14ac:dyDescent="0.25">
      <c r="A1878" s="37"/>
      <c r="B1878" s="37"/>
      <c r="C1878" s="37"/>
      <c r="F1878" s="38"/>
      <c r="G1878" s="38"/>
      <c r="H1878" s="38"/>
      <c r="I1878" s="37"/>
      <c r="J1878" s="38"/>
      <c r="K1878" s="38"/>
      <c r="L1878" s="42"/>
      <c r="M1878" s="42"/>
      <c r="N1878" s="42"/>
      <c r="O1878" s="42"/>
      <c r="R1878" s="37"/>
      <c r="S1878" s="37"/>
      <c r="T1878" s="91"/>
      <c r="U1878" s="91"/>
      <c r="V1878" s="41"/>
      <c r="W1878" s="37"/>
      <c r="X1878" s="37"/>
      <c r="Y1878" s="43"/>
      <c r="Z1878" s="37"/>
      <c r="AA1878" s="37"/>
      <c r="AD1878" s="37"/>
      <c r="AE1878" s="37"/>
      <c r="AF1878" s="37"/>
    </row>
    <row r="1879" spans="1:32" x14ac:dyDescent="0.25">
      <c r="A1879" s="37"/>
      <c r="B1879" s="37"/>
      <c r="C1879" s="37"/>
      <c r="F1879" s="38"/>
      <c r="G1879" s="38"/>
      <c r="H1879" s="38"/>
      <c r="I1879" s="37"/>
      <c r="J1879" s="38"/>
      <c r="K1879" s="38"/>
      <c r="L1879" s="42"/>
      <c r="M1879" s="42"/>
      <c r="N1879" s="42"/>
      <c r="O1879" s="42"/>
      <c r="R1879" s="37"/>
      <c r="S1879" s="37"/>
      <c r="T1879" s="91"/>
      <c r="U1879" s="91"/>
      <c r="V1879" s="41"/>
      <c r="W1879" s="37"/>
      <c r="X1879" s="37"/>
      <c r="Y1879" s="43"/>
      <c r="Z1879" s="37"/>
      <c r="AA1879" s="37"/>
      <c r="AD1879" s="37"/>
      <c r="AE1879" s="37"/>
      <c r="AF1879" s="37"/>
    </row>
    <row r="1880" spans="1:32" x14ac:dyDescent="0.25">
      <c r="A1880" s="37"/>
      <c r="B1880" s="37"/>
      <c r="C1880" s="37"/>
      <c r="F1880" s="38"/>
      <c r="G1880" s="38"/>
      <c r="H1880" s="38"/>
      <c r="I1880" s="37"/>
      <c r="J1880" s="38"/>
      <c r="K1880" s="38"/>
      <c r="L1880" s="42"/>
      <c r="M1880" s="42"/>
      <c r="N1880" s="42"/>
      <c r="O1880" s="42"/>
      <c r="R1880" s="37"/>
      <c r="S1880" s="37"/>
      <c r="T1880" s="91"/>
      <c r="U1880" s="91"/>
      <c r="V1880" s="41"/>
      <c r="W1880" s="37"/>
      <c r="X1880" s="37"/>
      <c r="Y1880" s="43"/>
      <c r="Z1880" s="37"/>
      <c r="AA1880" s="37"/>
      <c r="AD1880" s="37"/>
      <c r="AE1880" s="37"/>
      <c r="AF1880" s="37"/>
    </row>
    <row r="1881" spans="1:32" x14ac:dyDescent="0.25">
      <c r="A1881" s="37"/>
      <c r="B1881" s="37"/>
      <c r="C1881" s="37"/>
      <c r="F1881" s="38"/>
      <c r="G1881" s="38"/>
      <c r="H1881" s="38"/>
      <c r="I1881" s="37"/>
      <c r="J1881" s="38"/>
      <c r="K1881" s="38"/>
      <c r="L1881" s="42"/>
      <c r="M1881" s="42"/>
      <c r="N1881" s="42"/>
      <c r="O1881" s="42"/>
      <c r="R1881" s="37"/>
      <c r="S1881" s="37"/>
      <c r="T1881" s="91"/>
      <c r="U1881" s="91"/>
      <c r="V1881" s="41"/>
      <c r="W1881" s="37"/>
      <c r="X1881" s="37"/>
      <c r="Y1881" s="43"/>
      <c r="Z1881" s="37"/>
      <c r="AA1881" s="37"/>
      <c r="AD1881" s="37"/>
      <c r="AE1881" s="37"/>
      <c r="AF1881" s="37"/>
    </row>
    <row r="1882" spans="1:32" x14ac:dyDescent="0.25">
      <c r="A1882" s="37"/>
      <c r="B1882" s="37"/>
      <c r="C1882" s="37"/>
      <c r="F1882" s="38"/>
      <c r="G1882" s="38"/>
      <c r="H1882" s="38"/>
      <c r="I1882" s="37"/>
      <c r="J1882" s="38"/>
      <c r="K1882" s="38"/>
      <c r="L1882" s="42"/>
      <c r="M1882" s="42"/>
      <c r="N1882" s="42"/>
      <c r="O1882" s="42"/>
      <c r="R1882" s="37"/>
      <c r="S1882" s="37"/>
      <c r="T1882" s="91"/>
      <c r="U1882" s="91"/>
      <c r="V1882" s="41"/>
      <c r="W1882" s="37"/>
      <c r="X1882" s="37"/>
      <c r="Y1882" s="43"/>
      <c r="Z1882" s="37"/>
      <c r="AA1882" s="37"/>
      <c r="AD1882" s="37"/>
      <c r="AE1882" s="37"/>
      <c r="AF1882" s="37"/>
    </row>
    <row r="1883" spans="1:32" x14ac:dyDescent="0.25">
      <c r="A1883" s="37"/>
      <c r="B1883" s="37"/>
      <c r="C1883" s="37"/>
      <c r="F1883" s="38"/>
      <c r="G1883" s="38"/>
      <c r="H1883" s="38"/>
      <c r="I1883" s="37"/>
      <c r="J1883" s="38"/>
      <c r="K1883" s="38"/>
      <c r="L1883" s="42"/>
      <c r="M1883" s="42"/>
      <c r="N1883" s="42"/>
      <c r="O1883" s="42"/>
      <c r="R1883" s="37"/>
      <c r="S1883" s="37"/>
      <c r="T1883" s="91"/>
      <c r="U1883" s="91"/>
      <c r="V1883" s="41"/>
      <c r="W1883" s="37"/>
      <c r="X1883" s="37"/>
      <c r="Y1883" s="43"/>
      <c r="Z1883" s="37"/>
      <c r="AA1883" s="37"/>
      <c r="AD1883" s="37"/>
      <c r="AE1883" s="37"/>
      <c r="AF1883" s="37"/>
    </row>
    <row r="1884" spans="1:32" x14ac:dyDescent="0.25">
      <c r="A1884" s="37"/>
      <c r="B1884" s="37"/>
      <c r="C1884" s="37"/>
      <c r="F1884" s="38"/>
      <c r="G1884" s="38"/>
      <c r="H1884" s="38"/>
      <c r="I1884" s="37"/>
      <c r="J1884" s="38"/>
      <c r="K1884" s="38"/>
      <c r="L1884" s="42"/>
      <c r="M1884" s="42"/>
      <c r="N1884" s="42"/>
      <c r="O1884" s="42"/>
      <c r="R1884" s="37"/>
      <c r="S1884" s="37"/>
      <c r="T1884" s="91"/>
      <c r="U1884" s="91"/>
      <c r="V1884" s="41"/>
      <c r="W1884" s="37"/>
      <c r="X1884" s="37"/>
      <c r="Y1884" s="43"/>
      <c r="Z1884" s="37"/>
      <c r="AA1884" s="37"/>
      <c r="AD1884" s="37"/>
      <c r="AE1884" s="37"/>
      <c r="AF1884" s="37"/>
    </row>
    <row r="1885" spans="1:32" x14ac:dyDescent="0.25">
      <c r="A1885" s="37"/>
      <c r="B1885" s="37"/>
      <c r="C1885" s="37"/>
      <c r="F1885" s="38"/>
      <c r="G1885" s="38"/>
      <c r="H1885" s="38"/>
      <c r="I1885" s="37"/>
      <c r="J1885" s="38"/>
      <c r="K1885" s="38"/>
      <c r="L1885" s="42"/>
      <c r="M1885" s="42"/>
      <c r="N1885" s="42"/>
      <c r="O1885" s="42"/>
      <c r="R1885" s="37"/>
      <c r="S1885" s="37"/>
      <c r="T1885" s="91"/>
      <c r="U1885" s="91"/>
      <c r="V1885" s="41"/>
      <c r="W1885" s="37"/>
      <c r="X1885" s="37"/>
      <c r="Y1885" s="43"/>
      <c r="Z1885" s="37"/>
      <c r="AA1885" s="37"/>
      <c r="AD1885" s="37"/>
      <c r="AE1885" s="37"/>
      <c r="AF1885" s="37"/>
    </row>
    <row r="1886" spans="1:32" x14ac:dyDescent="0.25">
      <c r="A1886" s="37"/>
      <c r="B1886" s="37"/>
      <c r="C1886" s="37"/>
      <c r="F1886" s="38"/>
      <c r="G1886" s="38"/>
      <c r="H1886" s="38"/>
      <c r="I1886" s="37"/>
      <c r="J1886" s="38"/>
      <c r="K1886" s="38"/>
      <c r="L1886" s="42"/>
      <c r="M1886" s="42"/>
      <c r="N1886" s="42"/>
      <c r="O1886" s="42"/>
      <c r="R1886" s="37"/>
      <c r="S1886" s="37"/>
      <c r="T1886" s="91"/>
      <c r="U1886" s="91"/>
      <c r="V1886" s="41"/>
      <c r="W1886" s="37"/>
      <c r="X1886" s="37"/>
      <c r="Y1886" s="43"/>
      <c r="Z1886" s="37"/>
      <c r="AA1886" s="37"/>
      <c r="AD1886" s="37"/>
      <c r="AE1886" s="37"/>
      <c r="AF1886" s="37"/>
    </row>
    <row r="1887" spans="1:32" x14ac:dyDescent="0.25">
      <c r="A1887" s="37"/>
      <c r="B1887" s="37"/>
      <c r="C1887" s="37"/>
      <c r="F1887" s="38"/>
      <c r="G1887" s="38"/>
      <c r="H1887" s="38"/>
      <c r="I1887" s="37"/>
      <c r="J1887" s="38"/>
      <c r="K1887" s="38"/>
      <c r="L1887" s="42"/>
      <c r="M1887" s="42"/>
      <c r="N1887" s="42"/>
      <c r="O1887" s="42"/>
      <c r="R1887" s="37"/>
      <c r="S1887" s="37"/>
      <c r="T1887" s="91"/>
      <c r="U1887" s="91"/>
      <c r="V1887" s="41"/>
      <c r="W1887" s="37"/>
      <c r="X1887" s="37"/>
      <c r="Y1887" s="43"/>
      <c r="Z1887" s="37"/>
      <c r="AA1887" s="37"/>
      <c r="AD1887" s="37"/>
      <c r="AE1887" s="37"/>
      <c r="AF1887" s="37"/>
    </row>
    <row r="1888" spans="1:32" x14ac:dyDescent="0.25">
      <c r="A1888" s="37"/>
      <c r="B1888" s="37"/>
      <c r="C1888" s="37"/>
      <c r="F1888" s="38"/>
      <c r="G1888" s="38"/>
      <c r="H1888" s="38"/>
      <c r="I1888" s="37"/>
      <c r="J1888" s="38"/>
      <c r="K1888" s="38"/>
      <c r="L1888" s="42"/>
      <c r="M1888" s="42"/>
      <c r="N1888" s="42"/>
      <c r="O1888" s="42"/>
      <c r="R1888" s="37"/>
      <c r="S1888" s="37"/>
      <c r="T1888" s="91"/>
      <c r="U1888" s="91"/>
      <c r="V1888" s="41"/>
      <c r="W1888" s="37"/>
      <c r="X1888" s="37"/>
      <c r="Y1888" s="43"/>
      <c r="Z1888" s="37"/>
      <c r="AA1888" s="37"/>
      <c r="AD1888" s="37"/>
      <c r="AE1888" s="37"/>
      <c r="AF1888" s="37"/>
    </row>
    <row r="1889" spans="1:32" x14ac:dyDescent="0.25">
      <c r="A1889" s="37"/>
      <c r="B1889" s="37"/>
      <c r="C1889" s="37"/>
      <c r="F1889" s="38"/>
      <c r="G1889" s="38"/>
      <c r="H1889" s="38"/>
      <c r="I1889" s="37"/>
      <c r="J1889" s="38"/>
      <c r="K1889" s="38"/>
      <c r="L1889" s="42"/>
      <c r="M1889" s="42"/>
      <c r="N1889" s="42"/>
      <c r="O1889" s="42"/>
      <c r="R1889" s="37"/>
      <c r="S1889" s="37"/>
      <c r="T1889" s="91"/>
      <c r="U1889" s="91"/>
      <c r="V1889" s="41"/>
      <c r="W1889" s="37"/>
      <c r="X1889" s="37"/>
      <c r="Y1889" s="43"/>
      <c r="Z1889" s="37"/>
      <c r="AA1889" s="37"/>
      <c r="AD1889" s="37"/>
      <c r="AE1889" s="37"/>
      <c r="AF1889" s="37"/>
    </row>
    <row r="1890" spans="1:32" x14ac:dyDescent="0.25">
      <c r="A1890" s="37"/>
      <c r="B1890" s="37"/>
      <c r="C1890" s="37"/>
      <c r="F1890" s="38"/>
      <c r="G1890" s="38"/>
      <c r="H1890" s="38"/>
      <c r="I1890" s="37"/>
      <c r="J1890" s="38"/>
      <c r="K1890" s="38"/>
      <c r="L1890" s="42"/>
      <c r="M1890" s="42"/>
      <c r="N1890" s="42"/>
      <c r="O1890" s="42"/>
      <c r="R1890" s="37"/>
      <c r="S1890" s="37"/>
      <c r="T1890" s="91"/>
      <c r="U1890" s="91"/>
      <c r="V1890" s="41"/>
      <c r="W1890" s="37"/>
      <c r="X1890" s="37"/>
      <c r="Y1890" s="43"/>
      <c r="Z1890" s="37"/>
      <c r="AA1890" s="37"/>
      <c r="AD1890" s="37"/>
      <c r="AE1890" s="37"/>
      <c r="AF1890" s="37"/>
    </row>
    <row r="1891" spans="1:32" x14ac:dyDescent="0.25">
      <c r="A1891" s="37"/>
      <c r="B1891" s="37"/>
      <c r="C1891" s="37"/>
      <c r="F1891" s="38"/>
      <c r="G1891" s="38"/>
      <c r="H1891" s="38"/>
      <c r="I1891" s="37"/>
      <c r="J1891" s="38"/>
      <c r="K1891" s="38"/>
      <c r="L1891" s="42"/>
      <c r="M1891" s="42"/>
      <c r="N1891" s="42"/>
      <c r="O1891" s="42"/>
      <c r="R1891" s="37"/>
      <c r="S1891" s="37"/>
      <c r="T1891" s="91"/>
      <c r="U1891" s="91"/>
      <c r="V1891" s="41"/>
      <c r="W1891" s="37"/>
      <c r="X1891" s="37"/>
      <c r="Y1891" s="43"/>
      <c r="Z1891" s="37"/>
      <c r="AA1891" s="37"/>
      <c r="AD1891" s="37"/>
      <c r="AE1891" s="37"/>
      <c r="AF1891" s="37"/>
    </row>
    <row r="1892" spans="1:32" x14ac:dyDescent="0.25">
      <c r="A1892" s="37"/>
      <c r="B1892" s="37"/>
      <c r="C1892" s="37"/>
      <c r="F1892" s="38"/>
      <c r="G1892" s="38"/>
      <c r="H1892" s="38"/>
      <c r="I1892" s="37"/>
      <c r="J1892" s="38"/>
      <c r="K1892" s="38"/>
      <c r="L1892" s="42"/>
      <c r="M1892" s="42"/>
      <c r="N1892" s="42"/>
      <c r="O1892" s="42"/>
      <c r="R1892" s="37"/>
      <c r="S1892" s="37"/>
      <c r="T1892" s="91"/>
      <c r="U1892" s="91"/>
      <c r="V1892" s="41"/>
      <c r="W1892" s="37"/>
      <c r="X1892" s="37"/>
      <c r="Y1892" s="43"/>
      <c r="Z1892" s="37"/>
      <c r="AA1892" s="37"/>
      <c r="AD1892" s="37"/>
      <c r="AE1892" s="37"/>
      <c r="AF1892" s="37"/>
    </row>
    <row r="1893" spans="1:32" x14ac:dyDescent="0.25">
      <c r="A1893" s="37"/>
      <c r="B1893" s="37"/>
      <c r="C1893" s="37"/>
      <c r="F1893" s="38"/>
      <c r="G1893" s="38"/>
      <c r="H1893" s="38"/>
      <c r="I1893" s="37"/>
      <c r="J1893" s="38"/>
      <c r="K1893" s="38"/>
      <c r="L1893" s="42"/>
      <c r="M1893" s="42"/>
      <c r="N1893" s="42"/>
      <c r="O1893" s="42"/>
      <c r="R1893" s="37"/>
      <c r="S1893" s="37"/>
      <c r="T1893" s="91"/>
      <c r="U1893" s="91"/>
      <c r="V1893" s="41"/>
      <c r="W1893" s="37"/>
      <c r="X1893" s="37"/>
      <c r="Y1893" s="43"/>
      <c r="Z1893" s="37"/>
      <c r="AA1893" s="37"/>
      <c r="AD1893" s="37"/>
      <c r="AE1893" s="37"/>
      <c r="AF1893" s="37"/>
    </row>
    <row r="1894" spans="1:32" x14ac:dyDescent="0.25">
      <c r="A1894" s="37"/>
      <c r="B1894" s="37"/>
      <c r="C1894" s="37"/>
      <c r="F1894" s="38"/>
      <c r="G1894" s="38"/>
      <c r="H1894" s="38"/>
      <c r="I1894" s="37"/>
      <c r="J1894" s="38"/>
      <c r="K1894" s="38"/>
      <c r="L1894" s="42"/>
      <c r="M1894" s="42"/>
      <c r="N1894" s="42"/>
      <c r="O1894" s="42"/>
      <c r="R1894" s="37"/>
      <c r="S1894" s="37"/>
      <c r="T1894" s="91"/>
      <c r="U1894" s="91"/>
      <c r="V1894" s="41"/>
      <c r="W1894" s="37"/>
      <c r="X1894" s="37"/>
      <c r="Y1894" s="43"/>
      <c r="Z1894" s="37"/>
      <c r="AA1894" s="37"/>
      <c r="AD1894" s="37"/>
      <c r="AE1894" s="37"/>
      <c r="AF1894" s="37"/>
    </row>
    <row r="1895" spans="1:32" x14ac:dyDescent="0.25">
      <c r="A1895" s="37"/>
      <c r="B1895" s="37"/>
      <c r="C1895" s="37"/>
      <c r="F1895" s="38"/>
      <c r="G1895" s="38"/>
      <c r="H1895" s="38"/>
      <c r="I1895" s="37"/>
      <c r="J1895" s="38"/>
      <c r="K1895" s="38"/>
      <c r="L1895" s="42"/>
      <c r="M1895" s="42"/>
      <c r="N1895" s="42"/>
      <c r="O1895" s="42"/>
      <c r="R1895" s="37"/>
      <c r="S1895" s="37"/>
      <c r="T1895" s="91"/>
      <c r="U1895" s="91"/>
      <c r="V1895" s="41"/>
      <c r="W1895" s="37"/>
      <c r="X1895" s="37"/>
      <c r="Y1895" s="43"/>
      <c r="Z1895" s="37"/>
      <c r="AA1895" s="37"/>
      <c r="AD1895" s="37"/>
      <c r="AE1895" s="37"/>
      <c r="AF1895" s="37"/>
    </row>
    <row r="1896" spans="1:32" x14ac:dyDescent="0.25">
      <c r="A1896" s="37"/>
      <c r="B1896" s="37"/>
      <c r="C1896" s="37"/>
      <c r="F1896" s="38"/>
      <c r="G1896" s="38"/>
      <c r="H1896" s="38"/>
      <c r="I1896" s="37"/>
      <c r="J1896" s="38"/>
      <c r="K1896" s="38"/>
      <c r="L1896" s="42"/>
      <c r="M1896" s="42"/>
      <c r="N1896" s="42"/>
      <c r="O1896" s="42"/>
      <c r="R1896" s="37"/>
      <c r="S1896" s="37"/>
      <c r="T1896" s="91"/>
      <c r="U1896" s="91"/>
      <c r="V1896" s="41"/>
      <c r="W1896" s="37"/>
      <c r="X1896" s="37"/>
      <c r="Y1896" s="43"/>
      <c r="Z1896" s="37"/>
      <c r="AA1896" s="37"/>
      <c r="AD1896" s="37"/>
      <c r="AE1896" s="37"/>
      <c r="AF1896" s="37"/>
    </row>
    <row r="1897" spans="1:32" x14ac:dyDescent="0.25">
      <c r="A1897" s="37"/>
      <c r="B1897" s="37"/>
      <c r="C1897" s="37"/>
      <c r="F1897" s="38"/>
      <c r="G1897" s="38"/>
      <c r="H1897" s="38"/>
      <c r="I1897" s="37"/>
      <c r="J1897" s="38"/>
      <c r="K1897" s="38"/>
      <c r="L1897" s="42"/>
      <c r="M1897" s="42"/>
      <c r="N1897" s="42"/>
      <c r="O1897" s="42"/>
      <c r="R1897" s="37"/>
      <c r="S1897" s="37"/>
      <c r="T1897" s="91"/>
      <c r="U1897" s="91"/>
      <c r="V1897" s="41"/>
      <c r="W1897" s="37"/>
      <c r="X1897" s="37"/>
      <c r="Y1897" s="43"/>
      <c r="Z1897" s="37"/>
      <c r="AA1897" s="37"/>
      <c r="AD1897" s="37"/>
      <c r="AE1897" s="37"/>
      <c r="AF1897" s="37"/>
    </row>
    <row r="1898" spans="1:32" x14ac:dyDescent="0.25">
      <c r="A1898" s="37"/>
      <c r="B1898" s="37"/>
      <c r="C1898" s="37"/>
      <c r="F1898" s="38"/>
      <c r="G1898" s="38"/>
      <c r="H1898" s="38"/>
      <c r="I1898" s="37"/>
      <c r="J1898" s="38"/>
      <c r="K1898" s="38"/>
      <c r="L1898" s="42"/>
      <c r="M1898" s="42"/>
      <c r="N1898" s="42"/>
      <c r="O1898" s="42"/>
      <c r="R1898" s="37"/>
      <c r="S1898" s="37"/>
      <c r="T1898" s="91"/>
      <c r="U1898" s="91"/>
      <c r="V1898" s="41"/>
      <c r="W1898" s="37"/>
      <c r="X1898" s="37"/>
      <c r="Y1898" s="43"/>
      <c r="Z1898" s="37"/>
      <c r="AA1898" s="37"/>
      <c r="AD1898" s="37"/>
      <c r="AE1898" s="37"/>
      <c r="AF1898" s="37"/>
    </row>
    <row r="1899" spans="1:32" x14ac:dyDescent="0.25">
      <c r="A1899" s="37"/>
      <c r="B1899" s="37"/>
      <c r="C1899" s="37"/>
      <c r="F1899" s="38"/>
      <c r="G1899" s="38"/>
      <c r="H1899" s="38"/>
      <c r="I1899" s="37"/>
      <c r="J1899" s="38"/>
      <c r="K1899" s="38"/>
      <c r="L1899" s="42"/>
      <c r="M1899" s="42"/>
      <c r="N1899" s="42"/>
      <c r="O1899" s="42"/>
      <c r="R1899" s="37"/>
      <c r="S1899" s="37"/>
      <c r="T1899" s="91"/>
      <c r="U1899" s="91"/>
      <c r="V1899" s="41"/>
      <c r="W1899" s="37"/>
      <c r="X1899" s="37"/>
      <c r="Y1899" s="43"/>
      <c r="Z1899" s="37"/>
      <c r="AA1899" s="37"/>
      <c r="AD1899" s="37"/>
      <c r="AE1899" s="37"/>
      <c r="AF1899" s="37"/>
    </row>
    <row r="1900" spans="1:32" x14ac:dyDescent="0.25">
      <c r="A1900" s="37"/>
      <c r="B1900" s="37"/>
      <c r="C1900" s="37"/>
      <c r="F1900" s="38"/>
      <c r="G1900" s="38"/>
      <c r="H1900" s="38"/>
      <c r="I1900" s="37"/>
      <c r="J1900" s="38"/>
      <c r="K1900" s="38"/>
      <c r="L1900" s="42"/>
      <c r="M1900" s="42"/>
      <c r="N1900" s="42"/>
      <c r="O1900" s="42"/>
      <c r="R1900" s="37"/>
      <c r="S1900" s="37"/>
      <c r="T1900" s="91"/>
      <c r="U1900" s="91"/>
      <c r="V1900" s="41"/>
      <c r="W1900" s="37"/>
      <c r="X1900" s="37"/>
      <c r="Y1900" s="43"/>
      <c r="Z1900" s="37"/>
      <c r="AA1900" s="37"/>
      <c r="AD1900" s="37"/>
      <c r="AE1900" s="37"/>
      <c r="AF1900" s="37"/>
    </row>
    <row r="1901" spans="1:32" x14ac:dyDescent="0.25">
      <c r="A1901" s="37"/>
      <c r="B1901" s="37"/>
      <c r="C1901" s="37"/>
      <c r="F1901" s="38"/>
      <c r="G1901" s="38"/>
      <c r="H1901" s="38"/>
      <c r="I1901" s="37"/>
      <c r="J1901" s="38"/>
      <c r="K1901" s="38"/>
      <c r="L1901" s="42"/>
      <c r="M1901" s="42"/>
      <c r="N1901" s="42"/>
      <c r="O1901" s="42"/>
      <c r="R1901" s="37"/>
      <c r="S1901" s="37"/>
      <c r="T1901" s="91"/>
      <c r="U1901" s="91"/>
      <c r="V1901" s="41"/>
      <c r="W1901" s="37"/>
      <c r="X1901" s="37"/>
      <c r="Y1901" s="43"/>
      <c r="Z1901" s="37"/>
      <c r="AA1901" s="37"/>
      <c r="AD1901" s="37"/>
      <c r="AE1901" s="37"/>
      <c r="AF1901" s="37"/>
    </row>
    <row r="1902" spans="1:32" x14ac:dyDescent="0.25">
      <c r="A1902" s="37"/>
      <c r="B1902" s="37"/>
      <c r="C1902" s="37"/>
      <c r="F1902" s="38"/>
      <c r="G1902" s="38"/>
      <c r="H1902" s="38"/>
      <c r="I1902" s="37"/>
      <c r="J1902" s="38"/>
      <c r="K1902" s="38"/>
      <c r="L1902" s="42"/>
      <c r="M1902" s="42"/>
      <c r="N1902" s="42"/>
      <c r="O1902" s="42"/>
      <c r="R1902" s="37"/>
      <c r="S1902" s="37"/>
      <c r="T1902" s="91"/>
      <c r="U1902" s="91"/>
      <c r="V1902" s="41"/>
      <c r="W1902" s="37"/>
      <c r="X1902" s="37"/>
      <c r="Y1902" s="43"/>
      <c r="Z1902" s="37"/>
      <c r="AA1902" s="37"/>
      <c r="AD1902" s="37"/>
      <c r="AE1902" s="37"/>
      <c r="AF1902" s="37"/>
    </row>
    <row r="1903" spans="1:32" x14ac:dyDescent="0.25">
      <c r="A1903" s="37"/>
      <c r="B1903" s="37"/>
      <c r="C1903" s="37"/>
      <c r="F1903" s="38"/>
      <c r="G1903" s="38"/>
      <c r="H1903" s="38"/>
      <c r="I1903" s="37"/>
      <c r="J1903" s="38"/>
      <c r="K1903" s="38"/>
      <c r="L1903" s="42"/>
      <c r="M1903" s="42"/>
      <c r="N1903" s="42"/>
      <c r="O1903" s="42"/>
      <c r="R1903" s="37"/>
      <c r="S1903" s="37"/>
      <c r="T1903" s="91"/>
      <c r="U1903" s="91"/>
      <c r="V1903" s="41"/>
      <c r="W1903" s="37"/>
      <c r="X1903" s="37"/>
      <c r="Y1903" s="43"/>
      <c r="Z1903" s="37"/>
      <c r="AA1903" s="37"/>
      <c r="AD1903" s="37"/>
      <c r="AE1903" s="37"/>
      <c r="AF1903" s="37"/>
    </row>
    <row r="1904" spans="1:32" x14ac:dyDescent="0.25">
      <c r="A1904" s="37"/>
      <c r="B1904" s="37"/>
      <c r="C1904" s="37"/>
      <c r="F1904" s="38"/>
      <c r="G1904" s="38"/>
      <c r="H1904" s="38"/>
      <c r="I1904" s="37"/>
      <c r="J1904" s="38"/>
      <c r="K1904" s="38"/>
      <c r="L1904" s="42"/>
      <c r="M1904" s="42"/>
      <c r="N1904" s="42"/>
      <c r="O1904" s="42"/>
      <c r="R1904" s="37"/>
      <c r="S1904" s="37"/>
      <c r="T1904" s="91"/>
      <c r="U1904" s="91"/>
      <c r="V1904" s="41"/>
      <c r="W1904" s="37"/>
      <c r="X1904" s="37"/>
      <c r="Y1904" s="43"/>
      <c r="Z1904" s="37"/>
      <c r="AA1904" s="37"/>
      <c r="AD1904" s="37"/>
      <c r="AE1904" s="37"/>
      <c r="AF1904" s="37"/>
    </row>
    <row r="1905" spans="1:32" x14ac:dyDescent="0.25">
      <c r="A1905" s="37"/>
      <c r="B1905" s="37"/>
      <c r="C1905" s="37"/>
      <c r="F1905" s="38"/>
      <c r="G1905" s="38"/>
      <c r="H1905" s="38"/>
      <c r="I1905" s="37"/>
      <c r="J1905" s="38"/>
      <c r="K1905" s="38"/>
      <c r="L1905" s="42"/>
      <c r="M1905" s="42"/>
      <c r="N1905" s="42"/>
      <c r="O1905" s="42"/>
      <c r="R1905" s="37"/>
      <c r="S1905" s="37"/>
      <c r="T1905" s="91"/>
      <c r="U1905" s="91"/>
      <c r="V1905" s="41"/>
      <c r="W1905" s="37"/>
      <c r="X1905" s="37"/>
      <c r="Y1905" s="43"/>
      <c r="Z1905" s="37"/>
      <c r="AA1905" s="37"/>
      <c r="AD1905" s="37"/>
      <c r="AE1905" s="37"/>
      <c r="AF1905" s="37"/>
    </row>
    <row r="1906" spans="1:32" x14ac:dyDescent="0.25">
      <c r="A1906" s="37"/>
      <c r="B1906" s="37"/>
      <c r="C1906" s="37"/>
      <c r="F1906" s="38"/>
      <c r="G1906" s="38"/>
      <c r="H1906" s="38"/>
      <c r="I1906" s="37"/>
      <c r="J1906" s="38"/>
      <c r="K1906" s="38"/>
      <c r="L1906" s="42"/>
      <c r="M1906" s="42"/>
      <c r="N1906" s="42"/>
      <c r="O1906" s="42"/>
      <c r="R1906" s="37"/>
      <c r="S1906" s="37"/>
      <c r="T1906" s="91"/>
      <c r="U1906" s="91"/>
      <c r="V1906" s="41"/>
      <c r="W1906" s="37"/>
      <c r="X1906" s="37"/>
      <c r="Y1906" s="43"/>
      <c r="Z1906" s="37"/>
      <c r="AA1906" s="37"/>
      <c r="AD1906" s="37"/>
      <c r="AE1906" s="37"/>
      <c r="AF1906" s="37"/>
    </row>
    <row r="1907" spans="1:32" x14ac:dyDescent="0.25">
      <c r="A1907" s="37"/>
      <c r="B1907" s="37"/>
      <c r="C1907" s="37"/>
      <c r="F1907" s="38"/>
      <c r="G1907" s="38"/>
      <c r="H1907" s="38"/>
      <c r="I1907" s="37"/>
      <c r="J1907" s="38"/>
      <c r="K1907" s="38"/>
      <c r="L1907" s="42"/>
      <c r="M1907" s="42"/>
      <c r="N1907" s="42"/>
      <c r="O1907" s="42"/>
      <c r="R1907" s="37"/>
      <c r="S1907" s="37"/>
      <c r="T1907" s="91"/>
      <c r="U1907" s="91"/>
      <c r="V1907" s="41"/>
      <c r="W1907" s="37"/>
      <c r="X1907" s="37"/>
      <c r="Y1907" s="43"/>
      <c r="Z1907" s="37"/>
      <c r="AA1907" s="37"/>
      <c r="AD1907" s="37"/>
      <c r="AE1907" s="37"/>
      <c r="AF1907" s="37"/>
    </row>
    <row r="1908" spans="1:32" x14ac:dyDescent="0.25">
      <c r="A1908" s="37"/>
      <c r="B1908" s="37"/>
      <c r="C1908" s="37"/>
      <c r="F1908" s="38"/>
      <c r="G1908" s="38"/>
      <c r="H1908" s="38"/>
      <c r="I1908" s="37"/>
      <c r="J1908" s="38"/>
      <c r="K1908" s="38"/>
      <c r="L1908" s="42"/>
      <c r="M1908" s="42"/>
      <c r="N1908" s="42"/>
      <c r="O1908" s="42"/>
      <c r="R1908" s="37"/>
      <c r="S1908" s="37"/>
      <c r="T1908" s="91"/>
      <c r="U1908" s="91"/>
      <c r="V1908" s="41"/>
      <c r="W1908" s="37"/>
      <c r="X1908" s="37"/>
      <c r="Y1908" s="43"/>
      <c r="Z1908" s="37"/>
      <c r="AA1908" s="37"/>
      <c r="AD1908" s="37"/>
      <c r="AE1908" s="37"/>
      <c r="AF1908" s="37"/>
    </row>
    <row r="1909" spans="1:32" x14ac:dyDescent="0.25">
      <c r="A1909" s="37"/>
      <c r="B1909" s="37"/>
      <c r="C1909" s="37"/>
      <c r="F1909" s="38"/>
      <c r="G1909" s="38"/>
      <c r="H1909" s="38"/>
      <c r="I1909" s="37"/>
      <c r="J1909" s="38"/>
      <c r="K1909" s="38"/>
      <c r="L1909" s="42"/>
      <c r="M1909" s="42"/>
      <c r="N1909" s="42"/>
      <c r="O1909" s="42"/>
      <c r="R1909" s="37"/>
      <c r="S1909" s="37"/>
      <c r="T1909" s="91"/>
      <c r="U1909" s="91"/>
      <c r="V1909" s="41"/>
      <c r="W1909" s="37"/>
      <c r="X1909" s="37"/>
      <c r="Y1909" s="43"/>
      <c r="Z1909" s="37"/>
      <c r="AA1909" s="37"/>
      <c r="AD1909" s="37"/>
      <c r="AE1909" s="37"/>
      <c r="AF1909" s="37"/>
    </row>
    <row r="1910" spans="1:32" x14ac:dyDescent="0.25">
      <c r="A1910" s="37"/>
      <c r="B1910" s="37"/>
      <c r="C1910" s="37"/>
      <c r="F1910" s="38"/>
      <c r="G1910" s="38"/>
      <c r="H1910" s="38"/>
      <c r="I1910" s="37"/>
      <c r="J1910" s="38"/>
      <c r="K1910" s="38"/>
      <c r="L1910" s="42"/>
      <c r="M1910" s="42"/>
      <c r="N1910" s="42"/>
      <c r="O1910" s="42"/>
      <c r="R1910" s="37"/>
      <c r="S1910" s="37"/>
      <c r="T1910" s="91"/>
      <c r="U1910" s="91"/>
      <c r="V1910" s="41"/>
      <c r="W1910" s="37"/>
      <c r="X1910" s="37"/>
      <c r="Y1910" s="43"/>
      <c r="Z1910" s="37"/>
      <c r="AA1910" s="37"/>
      <c r="AD1910" s="37"/>
      <c r="AE1910" s="37"/>
      <c r="AF1910" s="37"/>
    </row>
    <row r="1911" spans="1:32" x14ac:dyDescent="0.25">
      <c r="A1911" s="37"/>
      <c r="B1911" s="37"/>
      <c r="C1911" s="37"/>
      <c r="F1911" s="38"/>
      <c r="G1911" s="38"/>
      <c r="H1911" s="38"/>
      <c r="I1911" s="37"/>
      <c r="J1911" s="38"/>
      <c r="K1911" s="38"/>
      <c r="L1911" s="42"/>
      <c r="M1911" s="42"/>
      <c r="N1911" s="42"/>
      <c r="O1911" s="42"/>
      <c r="R1911" s="37"/>
      <c r="S1911" s="37"/>
      <c r="T1911" s="91"/>
      <c r="U1911" s="91"/>
      <c r="V1911" s="41"/>
      <c r="W1911" s="37"/>
      <c r="X1911" s="37"/>
      <c r="Y1911" s="43"/>
      <c r="Z1911" s="37"/>
      <c r="AA1911" s="37"/>
      <c r="AD1911" s="37"/>
      <c r="AE1911" s="37"/>
      <c r="AF1911" s="37"/>
    </row>
    <row r="1912" spans="1:32" x14ac:dyDescent="0.25">
      <c r="A1912" s="37"/>
      <c r="B1912" s="37"/>
      <c r="C1912" s="37"/>
      <c r="F1912" s="38"/>
      <c r="G1912" s="38"/>
      <c r="H1912" s="38"/>
      <c r="I1912" s="37"/>
      <c r="J1912" s="38"/>
      <c r="K1912" s="38"/>
      <c r="L1912" s="42"/>
      <c r="M1912" s="42"/>
      <c r="N1912" s="42"/>
      <c r="O1912" s="42"/>
      <c r="R1912" s="37"/>
      <c r="S1912" s="37"/>
      <c r="T1912" s="91"/>
      <c r="U1912" s="91"/>
      <c r="V1912" s="41"/>
      <c r="W1912" s="37"/>
      <c r="X1912" s="37"/>
      <c r="Y1912" s="43"/>
      <c r="Z1912" s="37"/>
      <c r="AA1912" s="37"/>
      <c r="AD1912" s="37"/>
      <c r="AE1912" s="37"/>
      <c r="AF1912" s="37"/>
    </row>
    <row r="1913" spans="1:32" x14ac:dyDescent="0.25">
      <c r="A1913" s="37"/>
      <c r="B1913" s="37"/>
      <c r="C1913" s="37"/>
      <c r="F1913" s="38"/>
      <c r="G1913" s="38"/>
      <c r="H1913" s="38"/>
      <c r="I1913" s="37"/>
      <c r="J1913" s="38"/>
      <c r="K1913" s="38"/>
      <c r="L1913" s="42"/>
      <c r="M1913" s="42"/>
      <c r="N1913" s="42"/>
      <c r="O1913" s="42"/>
      <c r="R1913" s="37"/>
      <c r="S1913" s="37"/>
      <c r="T1913" s="91"/>
      <c r="U1913" s="91"/>
      <c r="V1913" s="41"/>
      <c r="W1913" s="37"/>
      <c r="X1913" s="37"/>
      <c r="Y1913" s="43"/>
      <c r="Z1913" s="37"/>
      <c r="AA1913" s="37"/>
      <c r="AD1913" s="37"/>
      <c r="AE1913" s="37"/>
      <c r="AF1913" s="37"/>
    </row>
    <row r="1914" spans="1:32" x14ac:dyDescent="0.25">
      <c r="A1914" s="37"/>
      <c r="B1914" s="37"/>
      <c r="C1914" s="37"/>
      <c r="F1914" s="38"/>
      <c r="G1914" s="38"/>
      <c r="H1914" s="38"/>
      <c r="I1914" s="37"/>
      <c r="J1914" s="38"/>
      <c r="K1914" s="38"/>
      <c r="L1914" s="42"/>
      <c r="M1914" s="42"/>
      <c r="N1914" s="42"/>
      <c r="O1914" s="42"/>
      <c r="R1914" s="37"/>
      <c r="S1914" s="37"/>
      <c r="T1914" s="91"/>
      <c r="U1914" s="91"/>
      <c r="V1914" s="41"/>
      <c r="W1914" s="37"/>
      <c r="X1914" s="37"/>
      <c r="Y1914" s="43"/>
      <c r="Z1914" s="37"/>
      <c r="AA1914" s="37"/>
      <c r="AD1914" s="37"/>
      <c r="AE1914" s="37"/>
      <c r="AF1914" s="37"/>
    </row>
    <row r="1915" spans="1:32" x14ac:dyDescent="0.25">
      <c r="A1915" s="37"/>
      <c r="B1915" s="37"/>
      <c r="C1915" s="37"/>
      <c r="F1915" s="38"/>
      <c r="G1915" s="38"/>
      <c r="H1915" s="38"/>
      <c r="I1915" s="37"/>
      <c r="J1915" s="38"/>
      <c r="K1915" s="38"/>
      <c r="L1915" s="42"/>
      <c r="M1915" s="42"/>
      <c r="N1915" s="42"/>
      <c r="O1915" s="42"/>
      <c r="R1915" s="37"/>
      <c r="S1915" s="37"/>
      <c r="T1915" s="91"/>
      <c r="U1915" s="91"/>
      <c r="V1915" s="41"/>
      <c r="W1915" s="37"/>
      <c r="X1915" s="37"/>
      <c r="Y1915" s="43"/>
      <c r="Z1915" s="37"/>
      <c r="AA1915" s="37"/>
      <c r="AD1915" s="37"/>
      <c r="AE1915" s="37"/>
      <c r="AF1915" s="37"/>
    </row>
    <row r="1916" spans="1:32" x14ac:dyDescent="0.25">
      <c r="A1916" s="37"/>
      <c r="B1916" s="37"/>
      <c r="C1916" s="37"/>
      <c r="F1916" s="38"/>
      <c r="G1916" s="38"/>
      <c r="H1916" s="38"/>
      <c r="I1916" s="37"/>
      <c r="J1916" s="38"/>
      <c r="K1916" s="38"/>
      <c r="L1916" s="42"/>
      <c r="M1916" s="42"/>
      <c r="N1916" s="42"/>
      <c r="O1916" s="42"/>
      <c r="R1916" s="37"/>
      <c r="S1916" s="37"/>
      <c r="T1916" s="91"/>
      <c r="U1916" s="91"/>
      <c r="V1916" s="41"/>
      <c r="W1916" s="37"/>
      <c r="X1916" s="37"/>
      <c r="Y1916" s="43"/>
      <c r="Z1916" s="37"/>
      <c r="AA1916" s="37"/>
      <c r="AD1916" s="37"/>
      <c r="AE1916" s="37"/>
      <c r="AF1916" s="37"/>
    </row>
    <row r="1917" spans="1:32" x14ac:dyDescent="0.25">
      <c r="A1917" s="37"/>
      <c r="B1917" s="37"/>
      <c r="C1917" s="37"/>
      <c r="F1917" s="38"/>
      <c r="G1917" s="38"/>
      <c r="H1917" s="38"/>
      <c r="I1917" s="37"/>
      <c r="J1917" s="38"/>
      <c r="K1917" s="38"/>
      <c r="L1917" s="42"/>
      <c r="M1917" s="42"/>
      <c r="N1917" s="42"/>
      <c r="O1917" s="42"/>
      <c r="R1917" s="37"/>
      <c r="S1917" s="37"/>
      <c r="T1917" s="91"/>
      <c r="U1917" s="91"/>
      <c r="V1917" s="41"/>
      <c r="W1917" s="37"/>
      <c r="X1917" s="37"/>
      <c r="Y1917" s="43"/>
      <c r="Z1917" s="37"/>
      <c r="AA1917" s="37"/>
      <c r="AD1917" s="37"/>
      <c r="AE1917" s="37"/>
      <c r="AF1917" s="37"/>
    </row>
    <row r="1918" spans="1:32" x14ac:dyDescent="0.25">
      <c r="A1918" s="37"/>
      <c r="B1918" s="37"/>
      <c r="C1918" s="37"/>
      <c r="F1918" s="38"/>
      <c r="G1918" s="38"/>
      <c r="H1918" s="38"/>
      <c r="I1918" s="37"/>
      <c r="J1918" s="38"/>
      <c r="K1918" s="38"/>
      <c r="L1918" s="42"/>
      <c r="M1918" s="42"/>
      <c r="N1918" s="42"/>
      <c r="O1918" s="42"/>
      <c r="R1918" s="37"/>
      <c r="S1918" s="37"/>
      <c r="T1918" s="91"/>
      <c r="U1918" s="91"/>
      <c r="V1918" s="41"/>
      <c r="W1918" s="37"/>
      <c r="X1918" s="37"/>
      <c r="Y1918" s="43"/>
      <c r="Z1918" s="37"/>
      <c r="AA1918" s="37"/>
      <c r="AD1918" s="37"/>
      <c r="AE1918" s="37"/>
      <c r="AF1918" s="37"/>
    </row>
    <row r="1919" spans="1:32" x14ac:dyDescent="0.25">
      <c r="A1919" s="37"/>
      <c r="B1919" s="37"/>
      <c r="C1919" s="37"/>
      <c r="F1919" s="38"/>
      <c r="G1919" s="38"/>
      <c r="H1919" s="38"/>
      <c r="I1919" s="37"/>
      <c r="J1919" s="38"/>
      <c r="K1919" s="38"/>
      <c r="L1919" s="42"/>
      <c r="M1919" s="42"/>
      <c r="N1919" s="42"/>
      <c r="O1919" s="42"/>
      <c r="R1919" s="37"/>
      <c r="S1919" s="37"/>
      <c r="T1919" s="91"/>
      <c r="U1919" s="91"/>
      <c r="V1919" s="41"/>
      <c r="W1919" s="37"/>
      <c r="X1919" s="37"/>
      <c r="Y1919" s="43"/>
      <c r="Z1919" s="37"/>
      <c r="AA1919" s="37"/>
      <c r="AD1919" s="37"/>
      <c r="AE1919" s="37"/>
      <c r="AF1919" s="37"/>
    </row>
    <row r="1920" spans="1:32" x14ac:dyDescent="0.25">
      <c r="A1920" s="37"/>
      <c r="B1920" s="37"/>
      <c r="C1920" s="37"/>
      <c r="F1920" s="38"/>
      <c r="G1920" s="38"/>
      <c r="H1920" s="38"/>
      <c r="I1920" s="37"/>
      <c r="J1920" s="38"/>
      <c r="K1920" s="38"/>
      <c r="L1920" s="42"/>
      <c r="M1920" s="42"/>
      <c r="N1920" s="42"/>
      <c r="O1920" s="42"/>
      <c r="R1920" s="37"/>
      <c r="S1920" s="37"/>
      <c r="T1920" s="91"/>
      <c r="U1920" s="91"/>
      <c r="V1920" s="41"/>
      <c r="W1920" s="37"/>
      <c r="X1920" s="37"/>
      <c r="Y1920" s="43"/>
      <c r="Z1920" s="37"/>
      <c r="AA1920" s="37"/>
      <c r="AD1920" s="37"/>
      <c r="AE1920" s="37"/>
      <c r="AF1920" s="37"/>
    </row>
    <row r="1921" spans="1:32" x14ac:dyDescent="0.25">
      <c r="A1921" s="37"/>
      <c r="B1921" s="37"/>
      <c r="C1921" s="37"/>
      <c r="F1921" s="38"/>
      <c r="G1921" s="38"/>
      <c r="H1921" s="38"/>
      <c r="I1921" s="37"/>
      <c r="J1921" s="38"/>
      <c r="K1921" s="38"/>
      <c r="L1921" s="42"/>
      <c r="M1921" s="42"/>
      <c r="N1921" s="42"/>
      <c r="O1921" s="42"/>
      <c r="R1921" s="37"/>
      <c r="S1921" s="37"/>
      <c r="T1921" s="91"/>
      <c r="U1921" s="91"/>
      <c r="V1921" s="41"/>
      <c r="W1921" s="37"/>
      <c r="X1921" s="37"/>
      <c r="Y1921" s="43"/>
      <c r="Z1921" s="37"/>
      <c r="AA1921" s="37"/>
      <c r="AD1921" s="37"/>
      <c r="AE1921" s="37"/>
      <c r="AF1921" s="37"/>
    </row>
    <row r="1922" spans="1:32" x14ac:dyDescent="0.25">
      <c r="A1922" s="37"/>
      <c r="B1922" s="37"/>
      <c r="C1922" s="37"/>
      <c r="F1922" s="38"/>
      <c r="G1922" s="38"/>
      <c r="H1922" s="38"/>
      <c r="I1922" s="37"/>
      <c r="J1922" s="38"/>
      <c r="K1922" s="38"/>
      <c r="L1922" s="42"/>
      <c r="M1922" s="42"/>
      <c r="N1922" s="42"/>
      <c r="O1922" s="42"/>
      <c r="R1922" s="37"/>
      <c r="S1922" s="37"/>
      <c r="T1922" s="91"/>
      <c r="U1922" s="91"/>
      <c r="V1922" s="41"/>
      <c r="W1922" s="37"/>
      <c r="X1922" s="37"/>
      <c r="Y1922" s="43"/>
      <c r="Z1922" s="37"/>
      <c r="AA1922" s="37"/>
      <c r="AD1922" s="37"/>
      <c r="AE1922" s="37"/>
      <c r="AF1922" s="37"/>
    </row>
    <row r="1923" spans="1:32" x14ac:dyDescent="0.25">
      <c r="A1923" s="37"/>
      <c r="B1923" s="37"/>
      <c r="C1923" s="37"/>
      <c r="F1923" s="38"/>
      <c r="G1923" s="38"/>
      <c r="H1923" s="38"/>
      <c r="I1923" s="37"/>
      <c r="J1923" s="38"/>
      <c r="K1923" s="38"/>
      <c r="L1923" s="42"/>
      <c r="M1923" s="42"/>
      <c r="N1923" s="42"/>
      <c r="O1923" s="42"/>
      <c r="R1923" s="37"/>
      <c r="S1923" s="37"/>
      <c r="T1923" s="91"/>
      <c r="U1923" s="91"/>
      <c r="V1923" s="41"/>
      <c r="W1923" s="37"/>
      <c r="X1923" s="37"/>
      <c r="Y1923" s="43"/>
      <c r="Z1923" s="37"/>
      <c r="AA1923" s="37"/>
      <c r="AD1923" s="37"/>
      <c r="AE1923" s="37"/>
      <c r="AF1923" s="37"/>
    </row>
    <row r="1924" spans="1:32" x14ac:dyDescent="0.25">
      <c r="A1924" s="37"/>
      <c r="B1924" s="37"/>
      <c r="C1924" s="37"/>
      <c r="F1924" s="38"/>
      <c r="G1924" s="38"/>
      <c r="H1924" s="38"/>
      <c r="I1924" s="37"/>
      <c r="J1924" s="38"/>
      <c r="K1924" s="38"/>
      <c r="L1924" s="42"/>
      <c r="M1924" s="42"/>
      <c r="N1924" s="42"/>
      <c r="O1924" s="42"/>
      <c r="R1924" s="37"/>
      <c r="S1924" s="37"/>
      <c r="T1924" s="91"/>
      <c r="U1924" s="91"/>
      <c r="V1924" s="41"/>
      <c r="W1924" s="37"/>
      <c r="X1924" s="37"/>
      <c r="Y1924" s="43"/>
      <c r="Z1924" s="37"/>
      <c r="AA1924" s="37"/>
      <c r="AD1924" s="37"/>
      <c r="AE1924" s="37"/>
      <c r="AF1924" s="37"/>
    </row>
    <row r="1925" spans="1:32" x14ac:dyDescent="0.25">
      <c r="A1925" s="37"/>
      <c r="B1925" s="37"/>
      <c r="C1925" s="37"/>
      <c r="F1925" s="38"/>
      <c r="G1925" s="38"/>
      <c r="H1925" s="38"/>
      <c r="I1925" s="37"/>
      <c r="J1925" s="38"/>
      <c r="K1925" s="38"/>
      <c r="L1925" s="42"/>
      <c r="M1925" s="42"/>
      <c r="N1925" s="42"/>
      <c r="O1925" s="42"/>
      <c r="R1925" s="37"/>
      <c r="S1925" s="37"/>
      <c r="T1925" s="91"/>
      <c r="U1925" s="91"/>
      <c r="V1925" s="41"/>
      <c r="W1925" s="37"/>
      <c r="X1925" s="37"/>
      <c r="Y1925" s="43"/>
      <c r="Z1925" s="37"/>
      <c r="AA1925" s="37"/>
      <c r="AD1925" s="37"/>
      <c r="AE1925" s="37"/>
      <c r="AF1925" s="37"/>
    </row>
    <row r="1926" spans="1:32" x14ac:dyDescent="0.25">
      <c r="A1926" s="37"/>
      <c r="B1926" s="37"/>
      <c r="C1926" s="37"/>
      <c r="F1926" s="38"/>
      <c r="G1926" s="38"/>
      <c r="H1926" s="38"/>
      <c r="I1926" s="37"/>
      <c r="J1926" s="38"/>
      <c r="K1926" s="38"/>
      <c r="L1926" s="42"/>
      <c r="M1926" s="42"/>
      <c r="N1926" s="42"/>
      <c r="O1926" s="42"/>
      <c r="R1926" s="37"/>
      <c r="S1926" s="37"/>
      <c r="T1926" s="91"/>
      <c r="U1926" s="91"/>
      <c r="V1926" s="41"/>
      <c r="W1926" s="37"/>
      <c r="X1926" s="37"/>
      <c r="Y1926" s="43"/>
      <c r="Z1926" s="37"/>
      <c r="AA1926" s="37"/>
      <c r="AD1926" s="37"/>
      <c r="AE1926" s="37"/>
      <c r="AF1926" s="37"/>
    </row>
    <row r="1927" spans="1:32" x14ac:dyDescent="0.25">
      <c r="A1927" s="37"/>
      <c r="B1927" s="37"/>
      <c r="C1927" s="37"/>
      <c r="F1927" s="38"/>
      <c r="G1927" s="38"/>
      <c r="H1927" s="38"/>
      <c r="I1927" s="37"/>
      <c r="J1927" s="38"/>
      <c r="K1927" s="38"/>
      <c r="L1927" s="42"/>
      <c r="M1927" s="42"/>
      <c r="N1927" s="42"/>
      <c r="O1927" s="42"/>
      <c r="R1927" s="37"/>
      <c r="S1927" s="37"/>
      <c r="T1927" s="91"/>
      <c r="U1927" s="91"/>
      <c r="V1927" s="41"/>
      <c r="W1927" s="37"/>
      <c r="X1927" s="37"/>
      <c r="Y1927" s="43"/>
      <c r="Z1927" s="37"/>
      <c r="AA1927" s="37"/>
      <c r="AD1927" s="37"/>
      <c r="AE1927" s="37"/>
      <c r="AF1927" s="37"/>
    </row>
    <row r="1928" spans="1:32" x14ac:dyDescent="0.25">
      <c r="A1928" s="37"/>
      <c r="B1928" s="37"/>
      <c r="C1928" s="37"/>
      <c r="F1928" s="38"/>
      <c r="G1928" s="38"/>
      <c r="H1928" s="38"/>
      <c r="I1928" s="37"/>
      <c r="J1928" s="38"/>
      <c r="K1928" s="38"/>
      <c r="L1928" s="42"/>
      <c r="M1928" s="42"/>
      <c r="N1928" s="42"/>
      <c r="O1928" s="42"/>
      <c r="R1928" s="37"/>
      <c r="S1928" s="37"/>
      <c r="T1928" s="91"/>
      <c r="U1928" s="91"/>
      <c r="V1928" s="41"/>
      <c r="W1928" s="37"/>
      <c r="X1928" s="37"/>
      <c r="Y1928" s="43"/>
      <c r="Z1928" s="37"/>
      <c r="AA1928" s="37"/>
      <c r="AD1928" s="37"/>
      <c r="AE1928" s="37"/>
      <c r="AF1928" s="37"/>
    </row>
    <row r="1929" spans="1:32" x14ac:dyDescent="0.25">
      <c r="A1929" s="37"/>
      <c r="B1929" s="37"/>
      <c r="C1929" s="37"/>
      <c r="F1929" s="38"/>
      <c r="G1929" s="38"/>
      <c r="H1929" s="38"/>
      <c r="I1929" s="37"/>
      <c r="J1929" s="38"/>
      <c r="K1929" s="38"/>
      <c r="L1929" s="42"/>
      <c r="M1929" s="42"/>
      <c r="N1929" s="42"/>
      <c r="O1929" s="42"/>
      <c r="R1929" s="37"/>
      <c r="S1929" s="37"/>
      <c r="T1929" s="91"/>
      <c r="U1929" s="91"/>
      <c r="V1929" s="41"/>
      <c r="W1929" s="37"/>
      <c r="X1929" s="37"/>
      <c r="Y1929" s="43"/>
      <c r="Z1929" s="37"/>
      <c r="AA1929" s="37"/>
      <c r="AD1929" s="37"/>
      <c r="AE1929" s="37"/>
      <c r="AF1929" s="37"/>
    </row>
    <row r="1930" spans="1:32" x14ac:dyDescent="0.25">
      <c r="A1930" s="37"/>
      <c r="B1930" s="37"/>
      <c r="C1930" s="37"/>
      <c r="F1930" s="38"/>
      <c r="G1930" s="38"/>
      <c r="H1930" s="38"/>
      <c r="I1930" s="37"/>
      <c r="J1930" s="38"/>
      <c r="K1930" s="38"/>
      <c r="L1930" s="42"/>
      <c r="M1930" s="42"/>
      <c r="N1930" s="42"/>
      <c r="O1930" s="42"/>
      <c r="R1930" s="37"/>
      <c r="S1930" s="37"/>
      <c r="T1930" s="91"/>
      <c r="U1930" s="91"/>
      <c r="V1930" s="41"/>
      <c r="W1930" s="37"/>
      <c r="X1930" s="37"/>
      <c r="Y1930" s="43"/>
      <c r="Z1930" s="37"/>
      <c r="AA1930" s="37"/>
      <c r="AD1930" s="37"/>
      <c r="AE1930" s="37"/>
      <c r="AF1930" s="37"/>
    </row>
    <row r="1931" spans="1:32" x14ac:dyDescent="0.25">
      <c r="A1931" s="37"/>
      <c r="B1931" s="37"/>
      <c r="C1931" s="37"/>
      <c r="F1931" s="38"/>
      <c r="G1931" s="38"/>
      <c r="H1931" s="38"/>
      <c r="I1931" s="37"/>
      <c r="J1931" s="38"/>
      <c r="K1931" s="38"/>
      <c r="L1931" s="42"/>
      <c r="M1931" s="42"/>
      <c r="N1931" s="42"/>
      <c r="O1931" s="42"/>
      <c r="R1931" s="37"/>
      <c r="S1931" s="37"/>
      <c r="T1931" s="91"/>
      <c r="U1931" s="91"/>
      <c r="V1931" s="41"/>
      <c r="W1931" s="37"/>
      <c r="X1931" s="37"/>
      <c r="Y1931" s="43"/>
      <c r="Z1931" s="37"/>
      <c r="AA1931" s="37"/>
      <c r="AD1931" s="37"/>
      <c r="AE1931" s="37"/>
      <c r="AF1931" s="37"/>
    </row>
    <row r="1932" spans="1:32" x14ac:dyDescent="0.25">
      <c r="A1932" s="37"/>
      <c r="B1932" s="37"/>
      <c r="C1932" s="37"/>
      <c r="F1932" s="38"/>
      <c r="G1932" s="38"/>
      <c r="H1932" s="38"/>
      <c r="I1932" s="37"/>
      <c r="J1932" s="38"/>
      <c r="K1932" s="38"/>
      <c r="L1932" s="42"/>
      <c r="M1932" s="42"/>
      <c r="N1932" s="42"/>
      <c r="O1932" s="42"/>
      <c r="R1932" s="37"/>
      <c r="S1932" s="37"/>
      <c r="T1932" s="91"/>
      <c r="U1932" s="91"/>
      <c r="V1932" s="41"/>
      <c r="W1932" s="37"/>
      <c r="X1932" s="37"/>
      <c r="Y1932" s="43"/>
      <c r="Z1932" s="37"/>
      <c r="AA1932" s="37"/>
      <c r="AD1932" s="37"/>
      <c r="AE1932" s="37"/>
      <c r="AF1932" s="37"/>
    </row>
    <row r="1933" spans="1:32" x14ac:dyDescent="0.25">
      <c r="A1933" s="37"/>
      <c r="B1933" s="37"/>
      <c r="C1933" s="37"/>
      <c r="F1933" s="38"/>
      <c r="G1933" s="38"/>
      <c r="H1933" s="38"/>
      <c r="I1933" s="37"/>
      <c r="J1933" s="38"/>
      <c r="K1933" s="38"/>
      <c r="L1933" s="42"/>
      <c r="M1933" s="42"/>
      <c r="N1933" s="42"/>
      <c r="O1933" s="42"/>
      <c r="R1933" s="37"/>
      <c r="S1933" s="37"/>
      <c r="T1933" s="91"/>
      <c r="U1933" s="91"/>
      <c r="V1933" s="41"/>
      <c r="W1933" s="37"/>
      <c r="X1933" s="37"/>
      <c r="Y1933" s="43"/>
      <c r="Z1933" s="37"/>
      <c r="AA1933" s="37"/>
      <c r="AD1933" s="37"/>
      <c r="AE1933" s="37"/>
      <c r="AF1933" s="37"/>
    </row>
    <row r="1934" spans="1:32" x14ac:dyDescent="0.25">
      <c r="A1934" s="37"/>
      <c r="B1934" s="37"/>
      <c r="C1934" s="37"/>
      <c r="F1934" s="38"/>
      <c r="G1934" s="38"/>
      <c r="H1934" s="38"/>
      <c r="I1934" s="37"/>
      <c r="J1934" s="38"/>
      <c r="K1934" s="38"/>
      <c r="L1934" s="42"/>
      <c r="M1934" s="42"/>
      <c r="N1934" s="42"/>
      <c r="O1934" s="42"/>
      <c r="R1934" s="37"/>
      <c r="S1934" s="37"/>
      <c r="T1934" s="91"/>
      <c r="U1934" s="91"/>
      <c r="V1934" s="41"/>
      <c r="W1934" s="37"/>
      <c r="X1934" s="37"/>
      <c r="Y1934" s="43"/>
      <c r="Z1934" s="37"/>
      <c r="AA1934" s="37"/>
      <c r="AD1934" s="37"/>
      <c r="AE1934" s="37"/>
      <c r="AF1934" s="37"/>
    </row>
    <row r="1935" spans="1:32" x14ac:dyDescent="0.25">
      <c r="A1935" s="37"/>
      <c r="B1935" s="37"/>
      <c r="C1935" s="37"/>
      <c r="F1935" s="38"/>
      <c r="G1935" s="38"/>
      <c r="H1935" s="38"/>
      <c r="I1935" s="37"/>
      <c r="J1935" s="38"/>
      <c r="K1935" s="38"/>
      <c r="L1935" s="42"/>
      <c r="M1935" s="42"/>
      <c r="N1935" s="42"/>
      <c r="O1935" s="42"/>
      <c r="R1935" s="37"/>
      <c r="S1935" s="37"/>
      <c r="T1935" s="91"/>
      <c r="U1935" s="91"/>
      <c r="V1935" s="41"/>
      <c r="W1935" s="37"/>
      <c r="X1935" s="37"/>
      <c r="Y1935" s="43"/>
      <c r="Z1935" s="37"/>
      <c r="AA1935" s="37"/>
      <c r="AD1935" s="37"/>
      <c r="AE1935" s="37"/>
      <c r="AF1935" s="37"/>
    </row>
    <row r="1936" spans="1:32" x14ac:dyDescent="0.25">
      <c r="A1936" s="37"/>
      <c r="B1936" s="37"/>
      <c r="C1936" s="37"/>
      <c r="F1936" s="38"/>
      <c r="G1936" s="38"/>
      <c r="H1936" s="38"/>
      <c r="I1936" s="37"/>
      <c r="J1936" s="38"/>
      <c r="K1936" s="38"/>
      <c r="L1936" s="42"/>
      <c r="M1936" s="42"/>
      <c r="N1936" s="42"/>
      <c r="O1936" s="42"/>
      <c r="R1936" s="37"/>
      <c r="S1936" s="37"/>
      <c r="T1936" s="91"/>
      <c r="U1936" s="91"/>
      <c r="V1936" s="41"/>
      <c r="W1936" s="37"/>
      <c r="X1936" s="37"/>
      <c r="Y1936" s="43"/>
      <c r="Z1936" s="37"/>
      <c r="AA1936" s="37"/>
      <c r="AD1936" s="37"/>
      <c r="AE1936" s="37"/>
      <c r="AF1936" s="37"/>
    </row>
    <row r="1937" spans="1:32" x14ac:dyDescent="0.25">
      <c r="A1937" s="37"/>
      <c r="B1937" s="37"/>
      <c r="C1937" s="37"/>
      <c r="F1937" s="38"/>
      <c r="G1937" s="38"/>
      <c r="H1937" s="38"/>
      <c r="I1937" s="37"/>
      <c r="J1937" s="38"/>
      <c r="K1937" s="38"/>
      <c r="L1937" s="42"/>
      <c r="M1937" s="42"/>
      <c r="N1937" s="42"/>
      <c r="O1937" s="42"/>
      <c r="R1937" s="37"/>
      <c r="S1937" s="37"/>
      <c r="T1937" s="91"/>
      <c r="U1937" s="91"/>
      <c r="V1937" s="41"/>
      <c r="W1937" s="37"/>
      <c r="X1937" s="37"/>
      <c r="Y1937" s="43"/>
      <c r="Z1937" s="37"/>
      <c r="AA1937" s="37"/>
      <c r="AD1937" s="37"/>
      <c r="AE1937" s="37"/>
      <c r="AF1937" s="37"/>
    </row>
    <row r="1938" spans="1:32" x14ac:dyDescent="0.25">
      <c r="A1938" s="37"/>
      <c r="B1938" s="37"/>
      <c r="C1938" s="37"/>
      <c r="F1938" s="38"/>
      <c r="G1938" s="38"/>
      <c r="H1938" s="38"/>
      <c r="I1938" s="37"/>
      <c r="J1938" s="38"/>
      <c r="K1938" s="38"/>
      <c r="L1938" s="42"/>
      <c r="M1938" s="42"/>
      <c r="N1938" s="42"/>
      <c r="O1938" s="42"/>
      <c r="R1938" s="37"/>
      <c r="S1938" s="37"/>
      <c r="T1938" s="91"/>
      <c r="U1938" s="91"/>
      <c r="V1938" s="41"/>
      <c r="W1938" s="37"/>
      <c r="X1938" s="37"/>
      <c r="Y1938" s="43"/>
      <c r="Z1938" s="37"/>
      <c r="AA1938" s="37"/>
      <c r="AD1938" s="37"/>
      <c r="AE1938" s="37"/>
      <c r="AF1938" s="37"/>
    </row>
    <row r="1939" spans="1:32" x14ac:dyDescent="0.25">
      <c r="A1939" s="37"/>
      <c r="B1939" s="37"/>
      <c r="C1939" s="37"/>
      <c r="F1939" s="38"/>
      <c r="G1939" s="38"/>
      <c r="H1939" s="38"/>
      <c r="I1939" s="37"/>
      <c r="J1939" s="38"/>
      <c r="K1939" s="38"/>
      <c r="L1939" s="42"/>
      <c r="M1939" s="42"/>
      <c r="N1939" s="42"/>
      <c r="O1939" s="42"/>
      <c r="R1939" s="37"/>
      <c r="S1939" s="37"/>
      <c r="T1939" s="91"/>
      <c r="U1939" s="91"/>
      <c r="V1939" s="41"/>
      <c r="W1939" s="37"/>
      <c r="X1939" s="37"/>
      <c r="Y1939" s="43"/>
      <c r="Z1939" s="37"/>
      <c r="AA1939" s="37"/>
      <c r="AD1939" s="37"/>
      <c r="AE1939" s="37"/>
      <c r="AF1939" s="37"/>
    </row>
    <row r="1940" spans="1:32" x14ac:dyDescent="0.25">
      <c r="A1940" s="37"/>
      <c r="B1940" s="37"/>
      <c r="C1940" s="37"/>
      <c r="F1940" s="38"/>
      <c r="G1940" s="38"/>
      <c r="H1940" s="38"/>
      <c r="I1940" s="37"/>
      <c r="J1940" s="38"/>
      <c r="K1940" s="38"/>
      <c r="L1940" s="42"/>
      <c r="M1940" s="42"/>
      <c r="N1940" s="42"/>
      <c r="O1940" s="42"/>
      <c r="R1940" s="37"/>
      <c r="S1940" s="37"/>
      <c r="T1940" s="91"/>
      <c r="U1940" s="91"/>
      <c r="V1940" s="41"/>
      <c r="W1940" s="37"/>
      <c r="X1940" s="37"/>
      <c r="Y1940" s="43"/>
      <c r="Z1940" s="37"/>
      <c r="AA1940" s="37"/>
      <c r="AD1940" s="37"/>
      <c r="AE1940" s="37"/>
      <c r="AF1940" s="37"/>
    </row>
    <row r="1941" spans="1:32" x14ac:dyDescent="0.25">
      <c r="A1941" s="37"/>
      <c r="B1941" s="37"/>
      <c r="C1941" s="37"/>
      <c r="F1941" s="38"/>
      <c r="G1941" s="38"/>
      <c r="H1941" s="38"/>
      <c r="I1941" s="37"/>
      <c r="J1941" s="38"/>
      <c r="K1941" s="38"/>
      <c r="L1941" s="42"/>
      <c r="M1941" s="42"/>
      <c r="N1941" s="42"/>
      <c r="O1941" s="42"/>
      <c r="R1941" s="37"/>
      <c r="S1941" s="37"/>
      <c r="T1941" s="91"/>
      <c r="U1941" s="91"/>
      <c r="V1941" s="41"/>
      <c r="W1941" s="37"/>
      <c r="X1941" s="37"/>
      <c r="Y1941" s="43"/>
      <c r="Z1941" s="37"/>
      <c r="AA1941" s="37"/>
      <c r="AD1941" s="37"/>
      <c r="AE1941" s="37"/>
      <c r="AF1941" s="37"/>
    </row>
    <row r="1942" spans="1:32" x14ac:dyDescent="0.25">
      <c r="A1942" s="37"/>
      <c r="B1942" s="37"/>
      <c r="C1942" s="37"/>
      <c r="F1942" s="38"/>
      <c r="G1942" s="38"/>
      <c r="H1942" s="38"/>
      <c r="I1942" s="37"/>
      <c r="J1942" s="38"/>
      <c r="K1942" s="38"/>
      <c r="L1942" s="42"/>
      <c r="M1942" s="42"/>
      <c r="N1942" s="42"/>
      <c r="O1942" s="42"/>
      <c r="R1942" s="37"/>
      <c r="S1942" s="37"/>
      <c r="T1942" s="91"/>
      <c r="U1942" s="91"/>
      <c r="V1942" s="41"/>
      <c r="W1942" s="37"/>
      <c r="X1942" s="37"/>
      <c r="Y1942" s="43"/>
      <c r="Z1942" s="37"/>
      <c r="AA1942" s="37"/>
      <c r="AD1942" s="37"/>
      <c r="AE1942" s="37"/>
      <c r="AF1942" s="37"/>
    </row>
    <row r="1943" spans="1:32" x14ac:dyDescent="0.25">
      <c r="A1943" s="37"/>
      <c r="B1943" s="37"/>
      <c r="C1943" s="37"/>
      <c r="F1943" s="38"/>
      <c r="G1943" s="38"/>
      <c r="H1943" s="38"/>
      <c r="I1943" s="37"/>
      <c r="J1943" s="38"/>
      <c r="K1943" s="38"/>
      <c r="L1943" s="42"/>
      <c r="M1943" s="42"/>
      <c r="N1943" s="42"/>
      <c r="O1943" s="42"/>
      <c r="R1943" s="37"/>
      <c r="S1943" s="37"/>
      <c r="T1943" s="91"/>
      <c r="U1943" s="91"/>
      <c r="V1943" s="41"/>
      <c r="W1943" s="37"/>
      <c r="X1943" s="37"/>
      <c r="Y1943" s="43"/>
      <c r="Z1943" s="37"/>
      <c r="AA1943" s="37"/>
      <c r="AD1943" s="37"/>
      <c r="AE1943" s="37"/>
      <c r="AF1943" s="37"/>
    </row>
    <row r="1944" spans="1:32" x14ac:dyDescent="0.25">
      <c r="A1944" s="37"/>
      <c r="B1944" s="37"/>
      <c r="C1944" s="37"/>
      <c r="F1944" s="38"/>
      <c r="G1944" s="38"/>
      <c r="H1944" s="38"/>
      <c r="I1944" s="37"/>
      <c r="J1944" s="38"/>
      <c r="K1944" s="38"/>
      <c r="L1944" s="42"/>
      <c r="M1944" s="42"/>
      <c r="N1944" s="42"/>
      <c r="O1944" s="42"/>
      <c r="R1944" s="37"/>
      <c r="S1944" s="37"/>
      <c r="T1944" s="91"/>
      <c r="U1944" s="91"/>
      <c r="V1944" s="41"/>
      <c r="W1944" s="37"/>
      <c r="X1944" s="37"/>
      <c r="Y1944" s="43"/>
      <c r="Z1944" s="37"/>
      <c r="AA1944" s="37"/>
      <c r="AD1944" s="37"/>
      <c r="AE1944" s="37"/>
      <c r="AF1944" s="37"/>
    </row>
    <row r="1945" spans="1:32" x14ac:dyDescent="0.25">
      <c r="A1945" s="37"/>
      <c r="B1945" s="37"/>
      <c r="C1945" s="37"/>
      <c r="F1945" s="38"/>
      <c r="G1945" s="38"/>
      <c r="H1945" s="38"/>
      <c r="I1945" s="37"/>
      <c r="J1945" s="38"/>
      <c r="K1945" s="38"/>
      <c r="L1945" s="42"/>
      <c r="M1945" s="42"/>
      <c r="N1945" s="42"/>
      <c r="O1945" s="42"/>
      <c r="R1945" s="37"/>
      <c r="S1945" s="37"/>
      <c r="T1945" s="91"/>
      <c r="U1945" s="91"/>
      <c r="V1945" s="41"/>
      <c r="W1945" s="37"/>
      <c r="X1945" s="37"/>
      <c r="Y1945" s="43"/>
      <c r="Z1945" s="37"/>
      <c r="AA1945" s="37"/>
      <c r="AD1945" s="37"/>
      <c r="AE1945" s="37"/>
      <c r="AF1945" s="37"/>
    </row>
    <row r="1946" spans="1:32" x14ac:dyDescent="0.25">
      <c r="A1946" s="37"/>
      <c r="B1946" s="37"/>
      <c r="C1946" s="37"/>
      <c r="F1946" s="38"/>
      <c r="G1946" s="38"/>
      <c r="H1946" s="38"/>
      <c r="I1946" s="37"/>
      <c r="J1946" s="38"/>
      <c r="K1946" s="38"/>
      <c r="L1946" s="42"/>
      <c r="M1946" s="42"/>
      <c r="N1946" s="42"/>
      <c r="O1946" s="42"/>
      <c r="R1946" s="37"/>
      <c r="S1946" s="37"/>
      <c r="T1946" s="91"/>
      <c r="U1946" s="91"/>
      <c r="V1946" s="41"/>
      <c r="W1946" s="37"/>
      <c r="X1946" s="37"/>
      <c r="Y1946" s="43"/>
      <c r="Z1946" s="37"/>
      <c r="AA1946" s="37"/>
      <c r="AD1946" s="37"/>
      <c r="AE1946" s="37"/>
      <c r="AF1946" s="37"/>
    </row>
    <row r="1947" spans="1:32" x14ac:dyDescent="0.25">
      <c r="A1947" s="37"/>
      <c r="B1947" s="37"/>
      <c r="C1947" s="37"/>
      <c r="F1947" s="38"/>
      <c r="G1947" s="38"/>
      <c r="H1947" s="38"/>
      <c r="I1947" s="37"/>
      <c r="J1947" s="38"/>
      <c r="K1947" s="38"/>
      <c r="L1947" s="42"/>
      <c r="M1947" s="42"/>
      <c r="N1947" s="42"/>
      <c r="O1947" s="42"/>
      <c r="R1947" s="37"/>
      <c r="S1947" s="37"/>
      <c r="T1947" s="91"/>
      <c r="U1947" s="91"/>
      <c r="V1947" s="41"/>
      <c r="W1947" s="37"/>
      <c r="X1947" s="37"/>
      <c r="Y1947" s="43"/>
      <c r="Z1947" s="37"/>
      <c r="AA1947" s="37"/>
      <c r="AD1947" s="37"/>
      <c r="AE1947" s="37"/>
      <c r="AF1947" s="37"/>
    </row>
    <row r="1948" spans="1:32" x14ac:dyDescent="0.25">
      <c r="A1948" s="37"/>
      <c r="B1948" s="37"/>
      <c r="C1948" s="37"/>
      <c r="F1948" s="38"/>
      <c r="G1948" s="38"/>
      <c r="H1948" s="38"/>
      <c r="I1948" s="37"/>
      <c r="J1948" s="38"/>
      <c r="K1948" s="38"/>
      <c r="L1948" s="42"/>
      <c r="M1948" s="42"/>
      <c r="N1948" s="42"/>
      <c r="O1948" s="42"/>
      <c r="R1948" s="37"/>
      <c r="S1948" s="37"/>
      <c r="T1948" s="91"/>
      <c r="U1948" s="91"/>
      <c r="V1948" s="41"/>
      <c r="W1948" s="37"/>
      <c r="X1948" s="37"/>
      <c r="Y1948" s="43"/>
      <c r="Z1948" s="37"/>
      <c r="AA1948" s="37"/>
      <c r="AD1948" s="37"/>
      <c r="AE1948" s="37"/>
      <c r="AF1948" s="37"/>
    </row>
    <row r="1949" spans="1:32" x14ac:dyDescent="0.25">
      <c r="A1949" s="37"/>
      <c r="B1949" s="37"/>
      <c r="C1949" s="37"/>
      <c r="F1949" s="38"/>
      <c r="G1949" s="38"/>
      <c r="H1949" s="38"/>
      <c r="I1949" s="37"/>
      <c r="J1949" s="38"/>
      <c r="K1949" s="38"/>
      <c r="L1949" s="42"/>
      <c r="M1949" s="42"/>
      <c r="N1949" s="42"/>
      <c r="O1949" s="42"/>
      <c r="R1949" s="37"/>
      <c r="S1949" s="37"/>
      <c r="T1949" s="91"/>
      <c r="U1949" s="91"/>
      <c r="V1949" s="41"/>
      <c r="W1949" s="37"/>
      <c r="X1949" s="37"/>
      <c r="Y1949" s="43"/>
      <c r="Z1949" s="37"/>
      <c r="AA1949" s="37"/>
      <c r="AD1949" s="37"/>
      <c r="AE1949" s="37"/>
      <c r="AF1949" s="37"/>
    </row>
    <row r="1950" spans="1:32" x14ac:dyDescent="0.25">
      <c r="A1950" s="37"/>
      <c r="B1950" s="37"/>
      <c r="C1950" s="37"/>
      <c r="F1950" s="38"/>
      <c r="G1950" s="38"/>
      <c r="H1950" s="38"/>
      <c r="I1950" s="37"/>
      <c r="J1950" s="38"/>
      <c r="K1950" s="38"/>
      <c r="L1950" s="42"/>
      <c r="M1950" s="42"/>
      <c r="N1950" s="42"/>
      <c r="O1950" s="42"/>
      <c r="R1950" s="37"/>
      <c r="S1950" s="37"/>
      <c r="T1950" s="91"/>
      <c r="U1950" s="91"/>
      <c r="V1950" s="41"/>
      <c r="W1950" s="37"/>
      <c r="X1950" s="37"/>
      <c r="Y1950" s="43"/>
      <c r="Z1950" s="37"/>
      <c r="AA1950" s="37"/>
      <c r="AD1950" s="37"/>
      <c r="AE1950" s="37"/>
      <c r="AF1950" s="37"/>
    </row>
    <row r="1951" spans="1:32" x14ac:dyDescent="0.25">
      <c r="A1951" s="37"/>
      <c r="B1951" s="37"/>
      <c r="C1951" s="37"/>
      <c r="F1951" s="38"/>
      <c r="G1951" s="38"/>
      <c r="H1951" s="38"/>
      <c r="I1951" s="37"/>
      <c r="J1951" s="38"/>
      <c r="K1951" s="38"/>
      <c r="L1951" s="42"/>
      <c r="M1951" s="42"/>
      <c r="N1951" s="42"/>
      <c r="O1951" s="42"/>
      <c r="R1951" s="37"/>
      <c r="S1951" s="37"/>
      <c r="T1951" s="91"/>
      <c r="U1951" s="91"/>
      <c r="V1951" s="41"/>
      <c r="W1951" s="37"/>
      <c r="X1951" s="37"/>
      <c r="Y1951" s="43"/>
      <c r="Z1951" s="37"/>
      <c r="AA1951" s="37"/>
      <c r="AD1951" s="37"/>
      <c r="AE1951" s="37"/>
      <c r="AF1951" s="37"/>
    </row>
    <row r="1952" spans="1:32" x14ac:dyDescent="0.25">
      <c r="A1952" s="37"/>
      <c r="B1952" s="37"/>
      <c r="C1952" s="37"/>
      <c r="F1952" s="38"/>
      <c r="G1952" s="38"/>
      <c r="H1952" s="38"/>
      <c r="I1952" s="37"/>
      <c r="J1952" s="38"/>
      <c r="K1952" s="38"/>
      <c r="L1952" s="42"/>
      <c r="M1952" s="42"/>
      <c r="N1952" s="42"/>
      <c r="O1952" s="42"/>
      <c r="R1952" s="37"/>
      <c r="S1952" s="37"/>
      <c r="T1952" s="91"/>
      <c r="U1952" s="91"/>
      <c r="V1952" s="41"/>
      <c r="W1952" s="37"/>
      <c r="X1952" s="37"/>
      <c r="Y1952" s="43"/>
      <c r="Z1952" s="37"/>
      <c r="AA1952" s="37"/>
      <c r="AD1952" s="37"/>
      <c r="AE1952" s="37"/>
      <c r="AF1952" s="37"/>
    </row>
    <row r="1953" spans="1:32" x14ac:dyDescent="0.25">
      <c r="A1953" s="37"/>
      <c r="B1953" s="37"/>
      <c r="C1953" s="37"/>
      <c r="F1953" s="38"/>
      <c r="G1953" s="38"/>
      <c r="H1953" s="38"/>
      <c r="I1953" s="37"/>
      <c r="J1953" s="38"/>
      <c r="K1953" s="38"/>
      <c r="L1953" s="42"/>
      <c r="M1953" s="42"/>
      <c r="N1953" s="42"/>
      <c r="O1953" s="42"/>
      <c r="R1953" s="37"/>
      <c r="S1953" s="37"/>
      <c r="T1953" s="91"/>
      <c r="U1953" s="91"/>
      <c r="V1953" s="41"/>
      <c r="W1953" s="37"/>
      <c r="X1953" s="37"/>
      <c r="Y1953" s="43"/>
      <c r="Z1953" s="37"/>
      <c r="AA1953" s="37"/>
      <c r="AD1953" s="37"/>
      <c r="AE1953" s="37"/>
      <c r="AF1953" s="37"/>
    </row>
    <row r="1954" spans="1:32" x14ac:dyDescent="0.25">
      <c r="A1954" s="37"/>
      <c r="B1954" s="37"/>
      <c r="C1954" s="37"/>
      <c r="F1954" s="38"/>
      <c r="G1954" s="38"/>
      <c r="H1954" s="38"/>
      <c r="I1954" s="37"/>
      <c r="J1954" s="38"/>
      <c r="K1954" s="38"/>
      <c r="L1954" s="42"/>
      <c r="M1954" s="42"/>
      <c r="N1954" s="42"/>
      <c r="O1954" s="42"/>
      <c r="R1954" s="37"/>
      <c r="S1954" s="37"/>
      <c r="T1954" s="91"/>
      <c r="U1954" s="91"/>
      <c r="V1954" s="41"/>
      <c r="W1954" s="37"/>
      <c r="X1954" s="37"/>
      <c r="Y1954" s="43"/>
      <c r="Z1954" s="37"/>
      <c r="AA1954" s="37"/>
      <c r="AD1954" s="37"/>
      <c r="AE1954" s="37"/>
      <c r="AF1954" s="37"/>
    </row>
    <row r="1955" spans="1:32" x14ac:dyDescent="0.25">
      <c r="A1955" s="37"/>
      <c r="B1955" s="37"/>
      <c r="C1955" s="37"/>
      <c r="F1955" s="38"/>
      <c r="G1955" s="38"/>
      <c r="H1955" s="38"/>
      <c r="I1955" s="37"/>
      <c r="J1955" s="38"/>
      <c r="K1955" s="38"/>
      <c r="L1955" s="42"/>
      <c r="M1955" s="42"/>
      <c r="N1955" s="42"/>
      <c r="O1955" s="42"/>
      <c r="R1955" s="37"/>
      <c r="S1955" s="37"/>
      <c r="T1955" s="91"/>
      <c r="U1955" s="91"/>
      <c r="V1955" s="41"/>
      <c r="W1955" s="37"/>
      <c r="X1955" s="37"/>
      <c r="Y1955" s="43"/>
      <c r="Z1955" s="37"/>
      <c r="AA1955" s="37"/>
      <c r="AD1955" s="37"/>
      <c r="AE1955" s="37"/>
      <c r="AF1955" s="37"/>
    </row>
    <row r="1956" spans="1:32" x14ac:dyDescent="0.25">
      <c r="A1956" s="37"/>
      <c r="B1956" s="37"/>
      <c r="C1956" s="37"/>
      <c r="F1956" s="38"/>
      <c r="G1956" s="38"/>
      <c r="H1956" s="38"/>
      <c r="I1956" s="37"/>
      <c r="J1956" s="38"/>
      <c r="K1956" s="38"/>
      <c r="L1956" s="42"/>
      <c r="M1956" s="42"/>
      <c r="N1956" s="42"/>
      <c r="O1956" s="42"/>
      <c r="R1956" s="37"/>
      <c r="S1956" s="37"/>
      <c r="T1956" s="91"/>
      <c r="U1956" s="91"/>
      <c r="V1956" s="41"/>
      <c r="W1956" s="37"/>
      <c r="X1956" s="37"/>
      <c r="Y1956" s="43"/>
      <c r="Z1956" s="37"/>
      <c r="AA1956" s="37"/>
      <c r="AD1956" s="37"/>
      <c r="AE1956" s="37"/>
      <c r="AF1956" s="37"/>
    </row>
    <row r="1957" spans="1:32" x14ac:dyDescent="0.25">
      <c r="A1957" s="37"/>
      <c r="B1957" s="37"/>
      <c r="C1957" s="37"/>
      <c r="F1957" s="38"/>
      <c r="G1957" s="38"/>
      <c r="H1957" s="38"/>
      <c r="I1957" s="37"/>
      <c r="J1957" s="38"/>
      <c r="K1957" s="38"/>
      <c r="L1957" s="42"/>
      <c r="M1957" s="42"/>
      <c r="N1957" s="42"/>
      <c r="O1957" s="42"/>
      <c r="R1957" s="37"/>
      <c r="S1957" s="37"/>
      <c r="T1957" s="91"/>
      <c r="U1957" s="91"/>
      <c r="V1957" s="41"/>
      <c r="W1957" s="37"/>
      <c r="X1957" s="37"/>
      <c r="Y1957" s="43"/>
      <c r="Z1957" s="37"/>
      <c r="AA1957" s="37"/>
      <c r="AD1957" s="37"/>
      <c r="AE1957" s="37"/>
      <c r="AF1957" s="37"/>
    </row>
    <row r="1958" spans="1:32" x14ac:dyDescent="0.25">
      <c r="A1958" s="37"/>
      <c r="B1958" s="37"/>
      <c r="C1958" s="37"/>
      <c r="F1958" s="38"/>
      <c r="G1958" s="38"/>
      <c r="H1958" s="38"/>
      <c r="I1958" s="37"/>
      <c r="J1958" s="38"/>
      <c r="K1958" s="38"/>
      <c r="L1958" s="42"/>
      <c r="M1958" s="42"/>
      <c r="N1958" s="42"/>
      <c r="O1958" s="42"/>
      <c r="R1958" s="37"/>
      <c r="S1958" s="37"/>
      <c r="T1958" s="91"/>
      <c r="U1958" s="91"/>
      <c r="V1958" s="41"/>
      <c r="W1958" s="37"/>
      <c r="X1958" s="37"/>
      <c r="Y1958" s="43"/>
      <c r="Z1958" s="37"/>
      <c r="AA1958" s="37"/>
      <c r="AD1958" s="37"/>
      <c r="AE1958" s="37"/>
      <c r="AF1958" s="37"/>
    </row>
    <row r="1959" spans="1:32" x14ac:dyDescent="0.25">
      <c r="A1959" s="37"/>
      <c r="B1959" s="37"/>
      <c r="C1959" s="37"/>
      <c r="F1959" s="38"/>
      <c r="G1959" s="38"/>
      <c r="H1959" s="38"/>
      <c r="I1959" s="37"/>
      <c r="J1959" s="38"/>
      <c r="K1959" s="38"/>
      <c r="L1959" s="42"/>
      <c r="M1959" s="42"/>
      <c r="N1959" s="42"/>
      <c r="O1959" s="42"/>
      <c r="R1959" s="37"/>
      <c r="S1959" s="37"/>
      <c r="T1959" s="91"/>
      <c r="U1959" s="91"/>
      <c r="V1959" s="41"/>
      <c r="W1959" s="37"/>
      <c r="X1959" s="37"/>
      <c r="Y1959" s="43"/>
      <c r="Z1959" s="37"/>
      <c r="AA1959" s="37"/>
      <c r="AD1959" s="37"/>
      <c r="AE1959" s="37"/>
      <c r="AF1959" s="37"/>
    </row>
    <row r="1960" spans="1:32" x14ac:dyDescent="0.25">
      <c r="A1960" s="37"/>
      <c r="B1960" s="37"/>
      <c r="C1960" s="37"/>
      <c r="F1960" s="38"/>
      <c r="G1960" s="38"/>
      <c r="H1960" s="38"/>
      <c r="I1960" s="37"/>
      <c r="J1960" s="38"/>
      <c r="K1960" s="38"/>
      <c r="L1960" s="42"/>
      <c r="M1960" s="42"/>
      <c r="N1960" s="42"/>
      <c r="O1960" s="42"/>
      <c r="R1960" s="37"/>
      <c r="S1960" s="37"/>
      <c r="T1960" s="91"/>
      <c r="U1960" s="91"/>
      <c r="V1960" s="41"/>
      <c r="W1960" s="37"/>
      <c r="X1960" s="37"/>
      <c r="Y1960" s="43"/>
      <c r="Z1960" s="37"/>
      <c r="AA1960" s="37"/>
      <c r="AD1960" s="37"/>
      <c r="AE1960" s="37"/>
      <c r="AF1960" s="37"/>
    </row>
    <row r="1961" spans="1:32" x14ac:dyDescent="0.25">
      <c r="A1961" s="37"/>
      <c r="B1961" s="37"/>
      <c r="C1961" s="37"/>
      <c r="F1961" s="38"/>
      <c r="G1961" s="38"/>
      <c r="H1961" s="38"/>
      <c r="I1961" s="37"/>
      <c r="J1961" s="38"/>
      <c r="K1961" s="38"/>
      <c r="L1961" s="42"/>
      <c r="M1961" s="42"/>
      <c r="N1961" s="42"/>
      <c r="O1961" s="42"/>
      <c r="R1961" s="37"/>
      <c r="S1961" s="37"/>
      <c r="T1961" s="91"/>
      <c r="U1961" s="91"/>
      <c r="V1961" s="41"/>
      <c r="W1961" s="37"/>
      <c r="X1961" s="37"/>
      <c r="Y1961" s="43"/>
      <c r="Z1961" s="37"/>
      <c r="AA1961" s="37"/>
      <c r="AD1961" s="37"/>
      <c r="AE1961" s="37"/>
      <c r="AF1961" s="37"/>
    </row>
    <row r="1962" spans="1:32" x14ac:dyDescent="0.25">
      <c r="A1962" s="37"/>
      <c r="B1962" s="37"/>
      <c r="C1962" s="37"/>
      <c r="F1962" s="38"/>
      <c r="G1962" s="38"/>
      <c r="H1962" s="38"/>
      <c r="I1962" s="37"/>
      <c r="J1962" s="38"/>
      <c r="K1962" s="38"/>
      <c r="L1962" s="42"/>
      <c r="M1962" s="42"/>
      <c r="N1962" s="42"/>
      <c r="O1962" s="42"/>
      <c r="R1962" s="37"/>
      <c r="S1962" s="37"/>
      <c r="T1962" s="91"/>
      <c r="U1962" s="91"/>
      <c r="V1962" s="41"/>
      <c r="W1962" s="37"/>
      <c r="X1962" s="37"/>
      <c r="Y1962" s="43"/>
      <c r="Z1962" s="37"/>
      <c r="AA1962" s="37"/>
      <c r="AD1962" s="37"/>
      <c r="AE1962" s="37"/>
      <c r="AF1962" s="37"/>
    </row>
    <row r="1963" spans="1:32" x14ac:dyDescent="0.25">
      <c r="A1963" s="37"/>
      <c r="B1963" s="37"/>
      <c r="C1963" s="37"/>
      <c r="F1963" s="38"/>
      <c r="G1963" s="38"/>
      <c r="H1963" s="38"/>
      <c r="I1963" s="37"/>
      <c r="J1963" s="38"/>
      <c r="K1963" s="38"/>
      <c r="L1963" s="42"/>
      <c r="M1963" s="42"/>
      <c r="N1963" s="42"/>
      <c r="O1963" s="42"/>
      <c r="R1963" s="37"/>
      <c r="S1963" s="37"/>
      <c r="T1963" s="91"/>
      <c r="U1963" s="91"/>
      <c r="V1963" s="41"/>
      <c r="W1963" s="37"/>
      <c r="X1963" s="37"/>
      <c r="Y1963" s="43"/>
      <c r="Z1963" s="37"/>
      <c r="AA1963" s="37"/>
      <c r="AD1963" s="37"/>
      <c r="AE1963" s="37"/>
      <c r="AF1963" s="37"/>
    </row>
    <row r="1964" spans="1:32" x14ac:dyDescent="0.25">
      <c r="A1964" s="37"/>
      <c r="B1964" s="37"/>
      <c r="C1964" s="37"/>
      <c r="F1964" s="38"/>
      <c r="G1964" s="38"/>
      <c r="H1964" s="38"/>
      <c r="I1964" s="37"/>
      <c r="J1964" s="38"/>
      <c r="K1964" s="38"/>
      <c r="L1964" s="42"/>
      <c r="M1964" s="42"/>
      <c r="N1964" s="42"/>
      <c r="O1964" s="42"/>
      <c r="R1964" s="37"/>
      <c r="S1964" s="37"/>
      <c r="T1964" s="91"/>
      <c r="U1964" s="91"/>
      <c r="V1964" s="41"/>
      <c r="W1964" s="37"/>
      <c r="X1964" s="37"/>
      <c r="Y1964" s="43"/>
      <c r="Z1964" s="37"/>
      <c r="AA1964" s="37"/>
      <c r="AD1964" s="37"/>
      <c r="AE1964" s="37"/>
      <c r="AF1964" s="37"/>
    </row>
    <row r="1965" spans="1:32" x14ac:dyDescent="0.25">
      <c r="A1965" s="37"/>
      <c r="B1965" s="37"/>
      <c r="C1965" s="37"/>
      <c r="F1965" s="38"/>
      <c r="G1965" s="38"/>
      <c r="H1965" s="38"/>
      <c r="I1965" s="37"/>
      <c r="J1965" s="38"/>
      <c r="K1965" s="38"/>
      <c r="L1965" s="42"/>
      <c r="M1965" s="42"/>
      <c r="N1965" s="42"/>
      <c r="O1965" s="42"/>
      <c r="R1965" s="37"/>
      <c r="S1965" s="37"/>
      <c r="T1965" s="91"/>
      <c r="U1965" s="91"/>
      <c r="V1965" s="41"/>
      <c r="W1965" s="37"/>
      <c r="X1965" s="37"/>
      <c r="Y1965" s="43"/>
      <c r="Z1965" s="37"/>
      <c r="AA1965" s="37"/>
      <c r="AD1965" s="37"/>
      <c r="AE1965" s="37"/>
      <c r="AF1965" s="37"/>
    </row>
    <row r="1966" spans="1:32" x14ac:dyDescent="0.25">
      <c r="A1966" s="37"/>
      <c r="B1966" s="37"/>
      <c r="C1966" s="37"/>
      <c r="F1966" s="38"/>
      <c r="G1966" s="38"/>
      <c r="H1966" s="38"/>
      <c r="I1966" s="37"/>
      <c r="J1966" s="38"/>
      <c r="K1966" s="38"/>
      <c r="L1966" s="42"/>
      <c r="M1966" s="42"/>
      <c r="N1966" s="42"/>
      <c r="O1966" s="42"/>
      <c r="R1966" s="37"/>
      <c r="S1966" s="37"/>
      <c r="T1966" s="91"/>
      <c r="U1966" s="91"/>
      <c r="V1966" s="41"/>
      <c r="W1966" s="37"/>
      <c r="X1966" s="37"/>
      <c r="Y1966" s="43"/>
      <c r="Z1966" s="37"/>
      <c r="AA1966" s="37"/>
      <c r="AD1966" s="37"/>
      <c r="AE1966" s="37"/>
      <c r="AF1966" s="37"/>
    </row>
    <row r="1967" spans="1:32" x14ac:dyDescent="0.25">
      <c r="A1967" s="37"/>
      <c r="B1967" s="37"/>
      <c r="C1967" s="37"/>
      <c r="F1967" s="38"/>
      <c r="G1967" s="38"/>
      <c r="H1967" s="38"/>
      <c r="I1967" s="37"/>
      <c r="J1967" s="38"/>
      <c r="K1967" s="38"/>
      <c r="L1967" s="42"/>
      <c r="M1967" s="42"/>
      <c r="N1967" s="42"/>
      <c r="O1967" s="42"/>
      <c r="R1967" s="37"/>
      <c r="S1967" s="37"/>
      <c r="T1967" s="91"/>
      <c r="U1967" s="91"/>
      <c r="V1967" s="41"/>
      <c r="W1967" s="37"/>
      <c r="X1967" s="37"/>
      <c r="Y1967" s="43"/>
      <c r="Z1967" s="37"/>
      <c r="AA1967" s="37"/>
      <c r="AD1967" s="37"/>
      <c r="AE1967" s="37"/>
      <c r="AF1967" s="37"/>
    </row>
    <row r="1968" spans="1:32" x14ac:dyDescent="0.25">
      <c r="A1968" s="37"/>
      <c r="B1968" s="37"/>
      <c r="C1968" s="37"/>
      <c r="F1968" s="38"/>
      <c r="G1968" s="38"/>
      <c r="H1968" s="38"/>
      <c r="I1968" s="37"/>
      <c r="J1968" s="38"/>
      <c r="K1968" s="38"/>
      <c r="L1968" s="42"/>
      <c r="M1968" s="42"/>
      <c r="N1968" s="42"/>
      <c r="O1968" s="42"/>
      <c r="R1968" s="37"/>
      <c r="S1968" s="37"/>
      <c r="T1968" s="91"/>
      <c r="U1968" s="91"/>
      <c r="V1968" s="41"/>
      <c r="W1968" s="37"/>
      <c r="X1968" s="37"/>
      <c r="Y1968" s="43"/>
      <c r="Z1968" s="37"/>
      <c r="AA1968" s="37"/>
      <c r="AD1968" s="37"/>
      <c r="AE1968" s="37"/>
      <c r="AF1968" s="37"/>
    </row>
    <row r="1969" spans="1:32" x14ac:dyDescent="0.25">
      <c r="A1969" s="37"/>
      <c r="B1969" s="37"/>
      <c r="C1969" s="37"/>
      <c r="F1969" s="38"/>
      <c r="G1969" s="38"/>
      <c r="H1969" s="38"/>
      <c r="I1969" s="37"/>
      <c r="J1969" s="38"/>
      <c r="K1969" s="38"/>
      <c r="L1969" s="42"/>
      <c r="M1969" s="42"/>
      <c r="N1969" s="42"/>
      <c r="O1969" s="42"/>
      <c r="R1969" s="37"/>
      <c r="S1969" s="37"/>
      <c r="T1969" s="91"/>
      <c r="U1969" s="91"/>
      <c r="V1969" s="41"/>
      <c r="W1969" s="37"/>
      <c r="X1969" s="37"/>
      <c r="Y1969" s="43"/>
      <c r="Z1969" s="37"/>
      <c r="AA1969" s="37"/>
      <c r="AD1969" s="37"/>
      <c r="AE1969" s="37"/>
      <c r="AF1969" s="37"/>
    </row>
    <row r="1970" spans="1:32" x14ac:dyDescent="0.25">
      <c r="A1970" s="37"/>
      <c r="B1970" s="37"/>
      <c r="C1970" s="37"/>
      <c r="F1970" s="38"/>
      <c r="G1970" s="38"/>
      <c r="H1970" s="38"/>
      <c r="I1970" s="37"/>
      <c r="J1970" s="38"/>
      <c r="K1970" s="38"/>
      <c r="L1970" s="42"/>
      <c r="M1970" s="42"/>
      <c r="N1970" s="42"/>
      <c r="O1970" s="42"/>
      <c r="R1970" s="37"/>
      <c r="S1970" s="37"/>
      <c r="T1970" s="91"/>
      <c r="U1970" s="91"/>
      <c r="V1970" s="41"/>
      <c r="W1970" s="37"/>
      <c r="X1970" s="37"/>
      <c r="Y1970" s="43"/>
      <c r="Z1970" s="37"/>
      <c r="AA1970" s="37"/>
      <c r="AD1970" s="37"/>
      <c r="AE1970" s="37"/>
      <c r="AF1970" s="37"/>
    </row>
    <row r="1971" spans="1:32" x14ac:dyDescent="0.25">
      <c r="A1971" s="37"/>
      <c r="B1971" s="37"/>
      <c r="C1971" s="37"/>
      <c r="F1971" s="38"/>
      <c r="G1971" s="38"/>
      <c r="H1971" s="38"/>
      <c r="I1971" s="37"/>
      <c r="J1971" s="38"/>
      <c r="K1971" s="38"/>
      <c r="L1971" s="42"/>
      <c r="M1971" s="42"/>
      <c r="N1971" s="42"/>
      <c r="O1971" s="42"/>
      <c r="R1971" s="37"/>
      <c r="S1971" s="37"/>
      <c r="T1971" s="91"/>
      <c r="U1971" s="91"/>
      <c r="V1971" s="41"/>
      <c r="W1971" s="37"/>
      <c r="X1971" s="37"/>
      <c r="Y1971" s="43"/>
      <c r="Z1971" s="37"/>
      <c r="AA1971" s="37"/>
      <c r="AD1971" s="37"/>
      <c r="AE1971" s="37"/>
      <c r="AF1971" s="37"/>
    </row>
    <row r="1972" spans="1:32" x14ac:dyDescent="0.25">
      <c r="A1972" s="37"/>
      <c r="B1972" s="37"/>
      <c r="C1972" s="37"/>
      <c r="F1972" s="38"/>
      <c r="G1972" s="38"/>
      <c r="H1972" s="38"/>
      <c r="I1972" s="37"/>
      <c r="J1972" s="38"/>
      <c r="K1972" s="38"/>
      <c r="L1972" s="42"/>
      <c r="M1972" s="42"/>
      <c r="N1972" s="42"/>
      <c r="O1972" s="42"/>
      <c r="R1972" s="37"/>
      <c r="S1972" s="37"/>
      <c r="T1972" s="91"/>
      <c r="U1972" s="91"/>
      <c r="V1972" s="41"/>
      <c r="W1972" s="37"/>
      <c r="X1972" s="37"/>
      <c r="Y1972" s="43"/>
      <c r="Z1972" s="37"/>
      <c r="AA1972" s="37"/>
      <c r="AD1972" s="37"/>
      <c r="AE1972" s="37"/>
      <c r="AF1972" s="37"/>
    </row>
    <row r="1973" spans="1:32" x14ac:dyDescent="0.25">
      <c r="A1973" s="37"/>
      <c r="B1973" s="37"/>
      <c r="C1973" s="37"/>
      <c r="F1973" s="38"/>
      <c r="G1973" s="38"/>
      <c r="H1973" s="38"/>
      <c r="I1973" s="37"/>
      <c r="J1973" s="38"/>
      <c r="K1973" s="38"/>
      <c r="L1973" s="42"/>
      <c r="M1973" s="42"/>
      <c r="N1973" s="42"/>
      <c r="O1973" s="42"/>
      <c r="R1973" s="37"/>
      <c r="S1973" s="37"/>
      <c r="T1973" s="91"/>
      <c r="U1973" s="91"/>
      <c r="V1973" s="41"/>
      <c r="W1973" s="37"/>
      <c r="X1973" s="37"/>
      <c r="Y1973" s="43"/>
      <c r="Z1973" s="37"/>
      <c r="AA1973" s="37"/>
      <c r="AD1973" s="37"/>
      <c r="AE1973" s="37"/>
      <c r="AF1973" s="37"/>
    </row>
    <row r="1974" spans="1:32" x14ac:dyDescent="0.25">
      <c r="A1974" s="37"/>
      <c r="B1974" s="37"/>
      <c r="C1974" s="37"/>
      <c r="F1974" s="38"/>
      <c r="G1974" s="38"/>
      <c r="H1974" s="38"/>
      <c r="I1974" s="37"/>
      <c r="J1974" s="38"/>
      <c r="K1974" s="38"/>
      <c r="L1974" s="42"/>
      <c r="M1974" s="42"/>
      <c r="N1974" s="42"/>
      <c r="O1974" s="42"/>
      <c r="R1974" s="37"/>
      <c r="S1974" s="37"/>
      <c r="T1974" s="91"/>
      <c r="U1974" s="91"/>
      <c r="V1974" s="41"/>
      <c r="W1974" s="37"/>
      <c r="X1974" s="37"/>
      <c r="Y1974" s="43"/>
      <c r="Z1974" s="37"/>
      <c r="AA1974" s="37"/>
      <c r="AD1974" s="37"/>
      <c r="AE1974" s="37"/>
      <c r="AF1974" s="37"/>
    </row>
    <row r="1975" spans="1:32" x14ac:dyDescent="0.25">
      <c r="A1975" s="37"/>
      <c r="B1975" s="37"/>
      <c r="C1975" s="37"/>
      <c r="F1975" s="38"/>
      <c r="G1975" s="38"/>
      <c r="H1975" s="38"/>
      <c r="I1975" s="37"/>
      <c r="J1975" s="38"/>
      <c r="K1975" s="38"/>
      <c r="L1975" s="42"/>
      <c r="M1975" s="42"/>
      <c r="N1975" s="42"/>
      <c r="O1975" s="42"/>
      <c r="R1975" s="37"/>
      <c r="S1975" s="37"/>
      <c r="T1975" s="91"/>
      <c r="U1975" s="91"/>
      <c r="V1975" s="41"/>
      <c r="W1975" s="37"/>
      <c r="X1975" s="37"/>
      <c r="Y1975" s="43"/>
      <c r="Z1975" s="37"/>
      <c r="AA1975" s="37"/>
      <c r="AD1975" s="37"/>
      <c r="AE1975" s="37"/>
      <c r="AF1975" s="37"/>
    </row>
    <row r="1976" spans="1:32" x14ac:dyDescent="0.25">
      <c r="A1976" s="37"/>
      <c r="B1976" s="37"/>
      <c r="C1976" s="37"/>
      <c r="F1976" s="38"/>
      <c r="G1976" s="38"/>
      <c r="H1976" s="38"/>
      <c r="I1976" s="37"/>
      <c r="J1976" s="38"/>
      <c r="K1976" s="38"/>
      <c r="L1976" s="42"/>
      <c r="M1976" s="42"/>
      <c r="N1976" s="42"/>
      <c r="O1976" s="42"/>
      <c r="R1976" s="37"/>
      <c r="S1976" s="37"/>
      <c r="T1976" s="91"/>
      <c r="U1976" s="91"/>
      <c r="V1976" s="41"/>
      <c r="W1976" s="37"/>
      <c r="X1976" s="37"/>
      <c r="Y1976" s="43"/>
      <c r="Z1976" s="37"/>
      <c r="AA1976" s="37"/>
      <c r="AD1976" s="37"/>
      <c r="AE1976" s="37"/>
      <c r="AF1976" s="37"/>
    </row>
    <row r="1977" spans="1:32" x14ac:dyDescent="0.25">
      <c r="A1977" s="37"/>
      <c r="B1977" s="37"/>
      <c r="C1977" s="37"/>
      <c r="F1977" s="38"/>
      <c r="G1977" s="38"/>
      <c r="H1977" s="38"/>
      <c r="I1977" s="37"/>
      <c r="J1977" s="38"/>
      <c r="K1977" s="38"/>
      <c r="L1977" s="42"/>
      <c r="M1977" s="42"/>
      <c r="N1977" s="42"/>
      <c r="O1977" s="42"/>
      <c r="R1977" s="37"/>
      <c r="S1977" s="37"/>
      <c r="T1977" s="91"/>
      <c r="U1977" s="91"/>
      <c r="V1977" s="41"/>
      <c r="W1977" s="37"/>
      <c r="X1977" s="37"/>
      <c r="Y1977" s="43"/>
      <c r="Z1977" s="37"/>
      <c r="AA1977" s="37"/>
      <c r="AD1977" s="37"/>
      <c r="AE1977" s="37"/>
      <c r="AF1977" s="37"/>
    </row>
    <row r="1978" spans="1:32" x14ac:dyDescent="0.25">
      <c r="A1978" s="37"/>
      <c r="B1978" s="37"/>
      <c r="C1978" s="37"/>
      <c r="F1978" s="38"/>
      <c r="G1978" s="38"/>
      <c r="H1978" s="38"/>
      <c r="I1978" s="37"/>
      <c r="J1978" s="38"/>
      <c r="K1978" s="38"/>
      <c r="L1978" s="42"/>
      <c r="M1978" s="42"/>
      <c r="N1978" s="42"/>
      <c r="O1978" s="42"/>
      <c r="R1978" s="37"/>
      <c r="S1978" s="37"/>
      <c r="T1978" s="91"/>
      <c r="U1978" s="91"/>
      <c r="V1978" s="41"/>
      <c r="W1978" s="37"/>
      <c r="X1978" s="37"/>
      <c r="Y1978" s="43"/>
      <c r="Z1978" s="37"/>
      <c r="AA1978" s="37"/>
      <c r="AD1978" s="37"/>
      <c r="AE1978" s="37"/>
      <c r="AF1978" s="37"/>
    </row>
    <row r="1979" spans="1:32" x14ac:dyDescent="0.25">
      <c r="A1979" s="37"/>
      <c r="B1979" s="37"/>
      <c r="C1979" s="37"/>
      <c r="F1979" s="38"/>
      <c r="G1979" s="38"/>
      <c r="H1979" s="38"/>
      <c r="I1979" s="37"/>
      <c r="J1979" s="38"/>
      <c r="K1979" s="38"/>
      <c r="L1979" s="42"/>
      <c r="M1979" s="42"/>
      <c r="N1979" s="42"/>
      <c r="O1979" s="42"/>
      <c r="R1979" s="37"/>
      <c r="S1979" s="37"/>
      <c r="T1979" s="91"/>
      <c r="U1979" s="91"/>
      <c r="V1979" s="41"/>
      <c r="W1979" s="37"/>
      <c r="X1979" s="37"/>
      <c r="Y1979" s="43"/>
      <c r="Z1979" s="37"/>
      <c r="AA1979" s="37"/>
      <c r="AD1979" s="37"/>
      <c r="AE1979" s="37"/>
      <c r="AF1979" s="37"/>
    </row>
    <row r="1980" spans="1:32" x14ac:dyDescent="0.25">
      <c r="A1980" s="37"/>
      <c r="B1980" s="37"/>
      <c r="C1980" s="37"/>
      <c r="F1980" s="38"/>
      <c r="G1980" s="38"/>
      <c r="H1980" s="38"/>
      <c r="I1980" s="37"/>
      <c r="J1980" s="38"/>
      <c r="K1980" s="38"/>
      <c r="L1980" s="42"/>
      <c r="M1980" s="42"/>
      <c r="N1980" s="42"/>
      <c r="O1980" s="42"/>
      <c r="R1980" s="37"/>
      <c r="S1980" s="37"/>
      <c r="T1980" s="91"/>
      <c r="U1980" s="91"/>
      <c r="V1980" s="41"/>
      <c r="W1980" s="37"/>
      <c r="X1980" s="37"/>
      <c r="Y1980" s="43"/>
      <c r="Z1980" s="37"/>
      <c r="AA1980" s="37"/>
      <c r="AD1980" s="37"/>
      <c r="AE1980" s="37"/>
      <c r="AF1980" s="37"/>
    </row>
    <row r="1981" spans="1:32" x14ac:dyDescent="0.25">
      <c r="A1981" s="37"/>
      <c r="B1981" s="37"/>
      <c r="C1981" s="37"/>
      <c r="F1981" s="38"/>
      <c r="G1981" s="38"/>
      <c r="H1981" s="38"/>
      <c r="I1981" s="37"/>
      <c r="J1981" s="38"/>
      <c r="K1981" s="38"/>
      <c r="L1981" s="42"/>
      <c r="M1981" s="42"/>
      <c r="N1981" s="42"/>
      <c r="O1981" s="42"/>
      <c r="R1981" s="37"/>
      <c r="S1981" s="37"/>
      <c r="T1981" s="91"/>
      <c r="U1981" s="91"/>
      <c r="V1981" s="41"/>
      <c r="W1981" s="37"/>
      <c r="X1981" s="37"/>
      <c r="Y1981" s="43"/>
      <c r="Z1981" s="37"/>
      <c r="AA1981" s="37"/>
      <c r="AD1981" s="37"/>
      <c r="AE1981" s="37"/>
      <c r="AF1981" s="37"/>
    </row>
    <row r="1982" spans="1:32" x14ac:dyDescent="0.25">
      <c r="A1982" s="37"/>
      <c r="B1982" s="37"/>
      <c r="C1982" s="37"/>
      <c r="F1982" s="38"/>
      <c r="G1982" s="38"/>
      <c r="H1982" s="38"/>
      <c r="I1982" s="37"/>
      <c r="J1982" s="38"/>
      <c r="K1982" s="38"/>
      <c r="L1982" s="42"/>
      <c r="M1982" s="42"/>
      <c r="N1982" s="42"/>
      <c r="O1982" s="42"/>
      <c r="R1982" s="37"/>
      <c r="S1982" s="37"/>
      <c r="T1982" s="91"/>
      <c r="U1982" s="91"/>
      <c r="V1982" s="41"/>
      <c r="W1982" s="37"/>
      <c r="X1982" s="37"/>
      <c r="Y1982" s="43"/>
      <c r="Z1982" s="37"/>
      <c r="AA1982" s="37"/>
      <c r="AD1982" s="37"/>
      <c r="AE1982" s="37"/>
      <c r="AF1982" s="37"/>
    </row>
    <row r="1983" spans="1:32" x14ac:dyDescent="0.25">
      <c r="A1983" s="37"/>
      <c r="B1983" s="37"/>
      <c r="C1983" s="37"/>
      <c r="F1983" s="38"/>
      <c r="G1983" s="38"/>
      <c r="H1983" s="38"/>
      <c r="I1983" s="37"/>
      <c r="J1983" s="38"/>
      <c r="K1983" s="38"/>
      <c r="L1983" s="42"/>
      <c r="M1983" s="42"/>
      <c r="N1983" s="42"/>
      <c r="O1983" s="42"/>
      <c r="R1983" s="37"/>
      <c r="S1983" s="37"/>
      <c r="T1983" s="91"/>
      <c r="U1983" s="91"/>
      <c r="V1983" s="41"/>
      <c r="W1983" s="37"/>
      <c r="X1983" s="37"/>
      <c r="Y1983" s="43"/>
      <c r="Z1983" s="37"/>
      <c r="AA1983" s="37"/>
      <c r="AD1983" s="37"/>
      <c r="AE1983" s="37"/>
      <c r="AF1983" s="37"/>
    </row>
    <row r="1984" spans="1:32" x14ac:dyDescent="0.25">
      <c r="A1984" s="37"/>
      <c r="B1984" s="37"/>
      <c r="C1984" s="37"/>
      <c r="F1984" s="38"/>
      <c r="G1984" s="38"/>
      <c r="H1984" s="38"/>
      <c r="I1984" s="37"/>
      <c r="J1984" s="38"/>
      <c r="K1984" s="38"/>
      <c r="L1984" s="42"/>
      <c r="M1984" s="42"/>
      <c r="N1984" s="42"/>
      <c r="O1984" s="42"/>
      <c r="R1984" s="37"/>
      <c r="S1984" s="37"/>
      <c r="T1984" s="91"/>
      <c r="U1984" s="91"/>
      <c r="V1984" s="41"/>
      <c r="W1984" s="37"/>
      <c r="X1984" s="37"/>
      <c r="Y1984" s="43"/>
      <c r="Z1984" s="37"/>
      <c r="AA1984" s="37"/>
      <c r="AD1984" s="37"/>
      <c r="AE1984" s="37"/>
      <c r="AF1984" s="37"/>
    </row>
    <row r="1985" spans="1:32" x14ac:dyDescent="0.25">
      <c r="A1985" s="37"/>
      <c r="B1985" s="37"/>
      <c r="C1985" s="37"/>
      <c r="F1985" s="38"/>
      <c r="G1985" s="38"/>
      <c r="H1985" s="38"/>
      <c r="I1985" s="37"/>
      <c r="J1985" s="38"/>
      <c r="K1985" s="38"/>
      <c r="L1985" s="42"/>
      <c r="M1985" s="42"/>
      <c r="N1985" s="42"/>
      <c r="O1985" s="42"/>
      <c r="R1985" s="37"/>
      <c r="S1985" s="37"/>
      <c r="T1985" s="91"/>
      <c r="U1985" s="91"/>
      <c r="V1985" s="41"/>
      <c r="W1985" s="37"/>
      <c r="X1985" s="37"/>
      <c r="Y1985" s="43"/>
      <c r="Z1985" s="37"/>
      <c r="AA1985" s="37"/>
      <c r="AD1985" s="37"/>
      <c r="AE1985" s="37"/>
      <c r="AF1985" s="37"/>
    </row>
    <row r="1986" spans="1:32" x14ac:dyDescent="0.25">
      <c r="A1986" s="37"/>
      <c r="B1986" s="37"/>
      <c r="C1986" s="37"/>
      <c r="F1986" s="38"/>
      <c r="G1986" s="38"/>
      <c r="H1986" s="38"/>
      <c r="I1986" s="37"/>
      <c r="J1986" s="38"/>
      <c r="K1986" s="38"/>
      <c r="L1986" s="42"/>
      <c r="M1986" s="42"/>
      <c r="N1986" s="42"/>
      <c r="O1986" s="42"/>
      <c r="R1986" s="37"/>
      <c r="S1986" s="37"/>
      <c r="T1986" s="91"/>
      <c r="U1986" s="91"/>
      <c r="V1986" s="41"/>
      <c r="W1986" s="37"/>
      <c r="X1986" s="37"/>
      <c r="Y1986" s="43"/>
      <c r="Z1986" s="37"/>
      <c r="AA1986" s="37"/>
      <c r="AD1986" s="37"/>
      <c r="AE1986" s="37"/>
      <c r="AF1986" s="37"/>
    </row>
    <row r="1987" spans="1:32" x14ac:dyDescent="0.25">
      <c r="A1987" s="37"/>
      <c r="B1987" s="37"/>
      <c r="C1987" s="37"/>
      <c r="F1987" s="38"/>
      <c r="G1987" s="38"/>
      <c r="H1987" s="38"/>
      <c r="I1987" s="37"/>
      <c r="J1987" s="38"/>
      <c r="K1987" s="38"/>
      <c r="L1987" s="42"/>
      <c r="M1987" s="42"/>
      <c r="N1987" s="42"/>
      <c r="O1987" s="42"/>
      <c r="R1987" s="37"/>
      <c r="S1987" s="37"/>
      <c r="T1987" s="91"/>
      <c r="U1987" s="91"/>
      <c r="V1987" s="41"/>
      <c r="W1987" s="37"/>
      <c r="X1987" s="37"/>
      <c r="Y1987" s="43"/>
      <c r="Z1987" s="37"/>
      <c r="AA1987" s="37"/>
      <c r="AD1987" s="37"/>
      <c r="AE1987" s="37"/>
      <c r="AF1987" s="37"/>
    </row>
    <row r="1988" spans="1:32" x14ac:dyDescent="0.25">
      <c r="A1988" s="37"/>
      <c r="B1988" s="37"/>
      <c r="C1988" s="37"/>
      <c r="F1988" s="38"/>
      <c r="G1988" s="38"/>
      <c r="H1988" s="38"/>
      <c r="I1988" s="37"/>
      <c r="J1988" s="38"/>
      <c r="K1988" s="38"/>
      <c r="L1988" s="42"/>
      <c r="M1988" s="42"/>
      <c r="N1988" s="42"/>
      <c r="O1988" s="42"/>
      <c r="R1988" s="37"/>
      <c r="S1988" s="37"/>
      <c r="T1988" s="91"/>
      <c r="U1988" s="91"/>
      <c r="V1988" s="41"/>
      <c r="W1988" s="37"/>
      <c r="X1988" s="37"/>
      <c r="Y1988" s="43"/>
      <c r="Z1988" s="37"/>
      <c r="AA1988" s="37"/>
      <c r="AD1988" s="37"/>
      <c r="AE1988" s="37"/>
      <c r="AF1988" s="37"/>
    </row>
    <row r="1989" spans="1:32" x14ac:dyDescent="0.25">
      <c r="A1989" s="37"/>
      <c r="B1989" s="37"/>
      <c r="C1989" s="37"/>
      <c r="F1989" s="38"/>
      <c r="G1989" s="38"/>
      <c r="H1989" s="38"/>
      <c r="I1989" s="37"/>
      <c r="J1989" s="38"/>
      <c r="K1989" s="38"/>
      <c r="L1989" s="42"/>
      <c r="M1989" s="42"/>
      <c r="N1989" s="42"/>
      <c r="O1989" s="42"/>
      <c r="R1989" s="37"/>
      <c r="S1989" s="37"/>
      <c r="T1989" s="91"/>
      <c r="U1989" s="91"/>
      <c r="V1989" s="41"/>
      <c r="W1989" s="37"/>
      <c r="X1989" s="37"/>
      <c r="Y1989" s="43"/>
      <c r="Z1989" s="37"/>
      <c r="AA1989" s="37"/>
      <c r="AD1989" s="37"/>
      <c r="AE1989" s="37"/>
      <c r="AF1989" s="37"/>
    </row>
    <row r="1990" spans="1:32" x14ac:dyDescent="0.25">
      <c r="A1990" s="37"/>
      <c r="B1990" s="37"/>
      <c r="C1990" s="37"/>
      <c r="F1990" s="38"/>
      <c r="G1990" s="38"/>
      <c r="H1990" s="38"/>
      <c r="I1990" s="37"/>
      <c r="J1990" s="38"/>
      <c r="K1990" s="38"/>
      <c r="L1990" s="42"/>
      <c r="M1990" s="42"/>
      <c r="N1990" s="42"/>
      <c r="O1990" s="42"/>
      <c r="R1990" s="37"/>
      <c r="S1990" s="37"/>
      <c r="T1990" s="91"/>
      <c r="U1990" s="91"/>
      <c r="V1990" s="41"/>
      <c r="W1990" s="37"/>
      <c r="X1990" s="37"/>
      <c r="Y1990" s="43"/>
      <c r="Z1990" s="37"/>
      <c r="AA1990" s="37"/>
      <c r="AD1990" s="37"/>
      <c r="AE1990" s="37"/>
      <c r="AF1990" s="37"/>
    </row>
    <row r="1991" spans="1:32" x14ac:dyDescent="0.25">
      <c r="A1991" s="37"/>
      <c r="B1991" s="37"/>
      <c r="C1991" s="37"/>
      <c r="F1991" s="38"/>
      <c r="G1991" s="38"/>
      <c r="H1991" s="38"/>
      <c r="I1991" s="37"/>
      <c r="J1991" s="38"/>
      <c r="K1991" s="38"/>
      <c r="L1991" s="42"/>
      <c r="M1991" s="42"/>
      <c r="N1991" s="42"/>
      <c r="O1991" s="42"/>
      <c r="R1991" s="37"/>
      <c r="S1991" s="37"/>
      <c r="T1991" s="91"/>
      <c r="U1991" s="91"/>
      <c r="V1991" s="41"/>
      <c r="W1991" s="37"/>
      <c r="X1991" s="37"/>
      <c r="Y1991" s="43"/>
      <c r="Z1991" s="37"/>
      <c r="AA1991" s="37"/>
      <c r="AD1991" s="37"/>
      <c r="AE1991" s="37"/>
      <c r="AF1991" s="37"/>
    </row>
    <row r="1992" spans="1:32" x14ac:dyDescent="0.25">
      <c r="A1992" s="37"/>
      <c r="B1992" s="37"/>
      <c r="C1992" s="37"/>
      <c r="F1992" s="38"/>
      <c r="G1992" s="38"/>
      <c r="H1992" s="38"/>
      <c r="I1992" s="37"/>
      <c r="J1992" s="38"/>
      <c r="K1992" s="38"/>
      <c r="L1992" s="42"/>
      <c r="M1992" s="42"/>
      <c r="N1992" s="42"/>
      <c r="O1992" s="42"/>
      <c r="R1992" s="37"/>
      <c r="S1992" s="37"/>
      <c r="T1992" s="91"/>
      <c r="U1992" s="91"/>
      <c r="V1992" s="41"/>
      <c r="W1992" s="37"/>
      <c r="X1992" s="37"/>
      <c r="Y1992" s="43"/>
      <c r="Z1992" s="37"/>
      <c r="AA1992" s="37"/>
      <c r="AD1992" s="37"/>
      <c r="AE1992" s="37"/>
      <c r="AF1992" s="37"/>
    </row>
    <row r="1993" spans="1:32" x14ac:dyDescent="0.25">
      <c r="A1993" s="37"/>
      <c r="B1993" s="37"/>
      <c r="C1993" s="37"/>
      <c r="F1993" s="38"/>
      <c r="G1993" s="38"/>
      <c r="H1993" s="38"/>
      <c r="I1993" s="37"/>
      <c r="J1993" s="38"/>
      <c r="K1993" s="38"/>
      <c r="L1993" s="42"/>
      <c r="M1993" s="42"/>
      <c r="N1993" s="42"/>
      <c r="O1993" s="42"/>
      <c r="R1993" s="37"/>
      <c r="S1993" s="37"/>
      <c r="T1993" s="91"/>
      <c r="U1993" s="91"/>
      <c r="V1993" s="41"/>
      <c r="W1993" s="37"/>
      <c r="X1993" s="37"/>
      <c r="Y1993" s="43"/>
      <c r="Z1993" s="37"/>
      <c r="AA1993" s="37"/>
      <c r="AD1993" s="37"/>
      <c r="AE1993" s="37"/>
      <c r="AF1993" s="37"/>
    </row>
    <row r="1994" spans="1:32" x14ac:dyDescent="0.25">
      <c r="A1994" s="37"/>
      <c r="B1994" s="37"/>
      <c r="C1994" s="37"/>
      <c r="F1994" s="38"/>
      <c r="G1994" s="38"/>
      <c r="H1994" s="38"/>
      <c r="I1994" s="37"/>
      <c r="J1994" s="38"/>
      <c r="K1994" s="38"/>
      <c r="L1994" s="42"/>
      <c r="M1994" s="42"/>
      <c r="N1994" s="42"/>
      <c r="O1994" s="42"/>
      <c r="R1994" s="37"/>
      <c r="S1994" s="37"/>
      <c r="T1994" s="91"/>
      <c r="U1994" s="91"/>
      <c r="V1994" s="41"/>
      <c r="W1994" s="37"/>
      <c r="X1994" s="37"/>
      <c r="Y1994" s="43"/>
      <c r="Z1994" s="37"/>
      <c r="AA1994" s="37"/>
      <c r="AD1994" s="37"/>
      <c r="AE1994" s="37"/>
      <c r="AF1994" s="37"/>
    </row>
    <row r="1995" spans="1:32" x14ac:dyDescent="0.25">
      <c r="A1995" s="37"/>
      <c r="B1995" s="37"/>
      <c r="C1995" s="37"/>
      <c r="F1995" s="38"/>
      <c r="G1995" s="38"/>
      <c r="H1995" s="38"/>
      <c r="I1995" s="37"/>
      <c r="J1995" s="38"/>
      <c r="K1995" s="38"/>
      <c r="L1995" s="42"/>
      <c r="M1995" s="42"/>
      <c r="N1995" s="42"/>
      <c r="O1995" s="42"/>
      <c r="R1995" s="37"/>
      <c r="S1995" s="37"/>
      <c r="T1995" s="91"/>
      <c r="U1995" s="91"/>
      <c r="V1995" s="41"/>
      <c r="W1995" s="37"/>
      <c r="X1995" s="37"/>
      <c r="Y1995" s="43"/>
      <c r="Z1995" s="37"/>
      <c r="AA1995" s="37"/>
      <c r="AD1995" s="37"/>
      <c r="AE1995" s="37"/>
      <c r="AF1995" s="37"/>
    </row>
    <row r="1996" spans="1:32" x14ac:dyDescent="0.25">
      <c r="A1996" s="37"/>
      <c r="B1996" s="37"/>
      <c r="C1996" s="37"/>
      <c r="F1996" s="38"/>
      <c r="G1996" s="38"/>
      <c r="H1996" s="38"/>
      <c r="I1996" s="37"/>
      <c r="J1996" s="38"/>
      <c r="K1996" s="38"/>
      <c r="L1996" s="42"/>
      <c r="M1996" s="42"/>
      <c r="N1996" s="42"/>
      <c r="O1996" s="42"/>
      <c r="R1996" s="37"/>
      <c r="S1996" s="37"/>
      <c r="T1996" s="91"/>
      <c r="U1996" s="91"/>
      <c r="V1996" s="41"/>
      <c r="W1996" s="37"/>
      <c r="X1996" s="37"/>
      <c r="Y1996" s="43"/>
      <c r="Z1996" s="37"/>
      <c r="AA1996" s="37"/>
      <c r="AD1996" s="37"/>
      <c r="AE1996" s="37"/>
      <c r="AF1996" s="37"/>
    </row>
    <row r="1997" spans="1:32" x14ac:dyDescent="0.25">
      <c r="A1997" s="37"/>
      <c r="B1997" s="37"/>
      <c r="C1997" s="37"/>
      <c r="F1997" s="38"/>
      <c r="G1997" s="38"/>
      <c r="H1997" s="38"/>
      <c r="I1997" s="37"/>
      <c r="J1997" s="38"/>
      <c r="K1997" s="38"/>
      <c r="L1997" s="42"/>
      <c r="M1997" s="42"/>
      <c r="N1997" s="42"/>
      <c r="O1997" s="42"/>
      <c r="R1997" s="37"/>
      <c r="S1997" s="37"/>
      <c r="T1997" s="91"/>
      <c r="U1997" s="91"/>
      <c r="V1997" s="41"/>
      <c r="W1997" s="37"/>
      <c r="X1997" s="37"/>
      <c r="Y1997" s="43"/>
      <c r="Z1997" s="37"/>
      <c r="AA1997" s="37"/>
      <c r="AD1997" s="37"/>
      <c r="AE1997" s="37"/>
      <c r="AF1997" s="37"/>
    </row>
    <row r="1998" spans="1:32" x14ac:dyDescent="0.25">
      <c r="A1998" s="37"/>
      <c r="B1998" s="37"/>
      <c r="C1998" s="37"/>
      <c r="F1998" s="38"/>
      <c r="G1998" s="38"/>
      <c r="H1998" s="38"/>
      <c r="I1998" s="37"/>
      <c r="J1998" s="38"/>
      <c r="K1998" s="38"/>
      <c r="L1998" s="42"/>
      <c r="M1998" s="42"/>
      <c r="N1998" s="42"/>
      <c r="O1998" s="42"/>
      <c r="R1998" s="37"/>
      <c r="S1998" s="37"/>
      <c r="T1998" s="91"/>
      <c r="U1998" s="91"/>
      <c r="V1998" s="41"/>
      <c r="W1998" s="37"/>
      <c r="X1998" s="37"/>
      <c r="Y1998" s="43"/>
      <c r="Z1998" s="37"/>
      <c r="AA1998" s="37"/>
      <c r="AD1998" s="37"/>
      <c r="AE1998" s="37"/>
      <c r="AF1998" s="37"/>
    </row>
    <row r="1999" spans="1:32" x14ac:dyDescent="0.25">
      <c r="A1999" s="37"/>
      <c r="B1999" s="37"/>
      <c r="C1999" s="37"/>
      <c r="F1999" s="38"/>
      <c r="G1999" s="38"/>
      <c r="H1999" s="38"/>
      <c r="I1999" s="37"/>
      <c r="J1999" s="38"/>
      <c r="K1999" s="38"/>
      <c r="L1999" s="42"/>
      <c r="M1999" s="42"/>
      <c r="N1999" s="42"/>
      <c r="O1999" s="42"/>
      <c r="R1999" s="37"/>
      <c r="S1999" s="37"/>
      <c r="T1999" s="91"/>
      <c r="U1999" s="91"/>
      <c r="V1999" s="41"/>
      <c r="W1999" s="37"/>
      <c r="X1999" s="37"/>
      <c r="Y1999" s="43"/>
      <c r="Z1999" s="37"/>
      <c r="AA1999" s="37"/>
      <c r="AD1999" s="37"/>
      <c r="AE1999" s="37"/>
      <c r="AF1999" s="37"/>
    </row>
    <row r="2000" spans="1:32" x14ac:dyDescent="0.25">
      <c r="A2000" s="37"/>
      <c r="B2000" s="37"/>
      <c r="C2000" s="37"/>
      <c r="F2000" s="38"/>
      <c r="G2000" s="38"/>
      <c r="H2000" s="38"/>
      <c r="I2000" s="37"/>
      <c r="J2000" s="38"/>
      <c r="K2000" s="38"/>
      <c r="L2000" s="42"/>
      <c r="M2000" s="42"/>
      <c r="N2000" s="42"/>
      <c r="O2000" s="42"/>
      <c r="R2000" s="37"/>
      <c r="S2000" s="37"/>
      <c r="T2000" s="91"/>
      <c r="U2000" s="91"/>
      <c r="V2000" s="41"/>
      <c r="W2000" s="37"/>
      <c r="X2000" s="37"/>
      <c r="Y2000" s="43"/>
      <c r="Z2000" s="37"/>
      <c r="AA2000" s="37"/>
      <c r="AD2000" s="37"/>
      <c r="AE2000" s="37"/>
      <c r="AF2000" s="37"/>
    </row>
    <row r="2001" spans="1:32" x14ac:dyDescent="0.25">
      <c r="A2001" s="37"/>
      <c r="B2001" s="37"/>
      <c r="C2001" s="37"/>
      <c r="F2001" s="38"/>
      <c r="G2001" s="38"/>
      <c r="H2001" s="38"/>
      <c r="I2001" s="37"/>
      <c r="J2001" s="38"/>
      <c r="K2001" s="38"/>
      <c r="L2001" s="42"/>
      <c r="M2001" s="42"/>
      <c r="N2001" s="42"/>
      <c r="O2001" s="42"/>
      <c r="R2001" s="37"/>
      <c r="S2001" s="37"/>
      <c r="T2001" s="91"/>
      <c r="U2001" s="91"/>
      <c r="V2001" s="41"/>
      <c r="W2001" s="37"/>
      <c r="X2001" s="37"/>
      <c r="Y2001" s="43"/>
      <c r="Z2001" s="37"/>
      <c r="AA2001" s="37"/>
      <c r="AD2001" s="37"/>
      <c r="AE2001" s="37"/>
      <c r="AF2001" s="37"/>
    </row>
    <row r="2002" spans="1:32" x14ac:dyDescent="0.25">
      <c r="A2002" s="37"/>
      <c r="B2002" s="37"/>
      <c r="C2002" s="37"/>
      <c r="F2002" s="38"/>
      <c r="G2002" s="38"/>
      <c r="H2002" s="38"/>
      <c r="I2002" s="37"/>
      <c r="J2002" s="38"/>
      <c r="K2002" s="38"/>
      <c r="L2002" s="42"/>
      <c r="M2002" s="42"/>
      <c r="N2002" s="42"/>
      <c r="O2002" s="42"/>
      <c r="R2002" s="37"/>
      <c r="S2002" s="37"/>
      <c r="T2002" s="91"/>
      <c r="U2002" s="91"/>
      <c r="V2002" s="41"/>
      <c r="W2002" s="37"/>
      <c r="X2002" s="37"/>
      <c r="Y2002" s="43"/>
      <c r="Z2002" s="37"/>
      <c r="AA2002" s="37"/>
      <c r="AD2002" s="37"/>
      <c r="AE2002" s="37"/>
      <c r="AF2002" s="37"/>
    </row>
    <row r="2003" spans="1:32" x14ac:dyDescent="0.25">
      <c r="A2003" s="37"/>
      <c r="B2003" s="37"/>
      <c r="C2003" s="37"/>
      <c r="F2003" s="38"/>
      <c r="G2003" s="38"/>
      <c r="H2003" s="38"/>
      <c r="I2003" s="37"/>
      <c r="J2003" s="38"/>
      <c r="K2003" s="38"/>
      <c r="L2003" s="42"/>
      <c r="M2003" s="42"/>
      <c r="N2003" s="42"/>
      <c r="O2003" s="42"/>
      <c r="R2003" s="37"/>
      <c r="S2003" s="37"/>
      <c r="T2003" s="91"/>
      <c r="U2003" s="91"/>
      <c r="V2003" s="41"/>
      <c r="W2003" s="37"/>
      <c r="X2003" s="37"/>
      <c r="Y2003" s="43"/>
      <c r="Z2003" s="37"/>
      <c r="AA2003" s="37"/>
      <c r="AD2003" s="37"/>
      <c r="AE2003" s="37"/>
      <c r="AF2003" s="37"/>
    </row>
    <row r="2004" spans="1:32" x14ac:dyDescent="0.25">
      <c r="A2004" s="37"/>
      <c r="B2004" s="37"/>
      <c r="C2004" s="37"/>
      <c r="F2004" s="38"/>
      <c r="G2004" s="38"/>
      <c r="H2004" s="38"/>
      <c r="I2004" s="37"/>
      <c r="J2004" s="38"/>
      <c r="K2004" s="38"/>
      <c r="L2004" s="42"/>
      <c r="M2004" s="42"/>
      <c r="N2004" s="42"/>
      <c r="O2004" s="42"/>
      <c r="R2004" s="37"/>
      <c r="S2004" s="37"/>
      <c r="T2004" s="91"/>
      <c r="U2004" s="91"/>
      <c r="V2004" s="41"/>
      <c r="W2004" s="37"/>
      <c r="X2004" s="37"/>
      <c r="Y2004" s="43"/>
      <c r="Z2004" s="37"/>
      <c r="AA2004" s="37"/>
      <c r="AD2004" s="37"/>
      <c r="AE2004" s="37"/>
      <c r="AF2004" s="37"/>
    </row>
    <row r="2005" spans="1:32" x14ac:dyDescent="0.25">
      <c r="A2005" s="37"/>
      <c r="B2005" s="37"/>
      <c r="C2005" s="37"/>
      <c r="F2005" s="38"/>
      <c r="G2005" s="38"/>
      <c r="H2005" s="38"/>
      <c r="I2005" s="37"/>
      <c r="J2005" s="38"/>
      <c r="K2005" s="38"/>
      <c r="L2005" s="42"/>
      <c r="M2005" s="42"/>
      <c r="N2005" s="42"/>
      <c r="O2005" s="42"/>
      <c r="R2005" s="37"/>
      <c r="S2005" s="37"/>
      <c r="T2005" s="91"/>
      <c r="U2005" s="91"/>
      <c r="V2005" s="41"/>
      <c r="W2005" s="37"/>
      <c r="X2005" s="37"/>
      <c r="Y2005" s="43"/>
      <c r="Z2005" s="37"/>
      <c r="AA2005" s="37"/>
      <c r="AD2005" s="37"/>
      <c r="AE2005" s="37"/>
      <c r="AF2005" s="37"/>
    </row>
    <row r="2006" spans="1:32" x14ac:dyDescent="0.25">
      <c r="A2006" s="37"/>
      <c r="B2006" s="37"/>
      <c r="C2006" s="37"/>
      <c r="F2006" s="38"/>
      <c r="G2006" s="38"/>
      <c r="H2006" s="38"/>
      <c r="I2006" s="37"/>
      <c r="J2006" s="38"/>
      <c r="K2006" s="38"/>
      <c r="L2006" s="42"/>
      <c r="M2006" s="42"/>
      <c r="N2006" s="42"/>
      <c r="O2006" s="42"/>
      <c r="R2006" s="37"/>
      <c r="S2006" s="37"/>
      <c r="T2006" s="91"/>
      <c r="U2006" s="91"/>
      <c r="V2006" s="41"/>
      <c r="W2006" s="37"/>
      <c r="X2006" s="37"/>
      <c r="Y2006" s="43"/>
      <c r="Z2006" s="37"/>
      <c r="AA2006" s="37"/>
      <c r="AD2006" s="37"/>
      <c r="AE2006" s="37"/>
      <c r="AF2006" s="37"/>
    </row>
    <row r="2007" spans="1:32" x14ac:dyDescent="0.25">
      <c r="A2007" s="37"/>
      <c r="B2007" s="37"/>
      <c r="C2007" s="37"/>
      <c r="F2007" s="38"/>
      <c r="G2007" s="38"/>
      <c r="H2007" s="38"/>
      <c r="I2007" s="37"/>
      <c r="J2007" s="38"/>
      <c r="K2007" s="38"/>
      <c r="L2007" s="42"/>
      <c r="M2007" s="42"/>
      <c r="N2007" s="42"/>
      <c r="O2007" s="42"/>
      <c r="R2007" s="37"/>
      <c r="S2007" s="37"/>
      <c r="T2007" s="91"/>
      <c r="U2007" s="91"/>
      <c r="V2007" s="41"/>
      <c r="W2007" s="37"/>
      <c r="X2007" s="37"/>
      <c r="Y2007" s="43"/>
      <c r="Z2007" s="37"/>
      <c r="AA2007" s="37"/>
      <c r="AD2007" s="37"/>
      <c r="AE2007" s="37"/>
      <c r="AF2007" s="37"/>
    </row>
    <row r="2008" spans="1:32" x14ac:dyDescent="0.25">
      <c r="A2008" s="37"/>
      <c r="B2008" s="37"/>
      <c r="C2008" s="37"/>
      <c r="F2008" s="38"/>
      <c r="G2008" s="38"/>
      <c r="H2008" s="38"/>
      <c r="I2008" s="37"/>
      <c r="J2008" s="38"/>
      <c r="K2008" s="38"/>
      <c r="L2008" s="42"/>
      <c r="M2008" s="42"/>
      <c r="N2008" s="42"/>
      <c r="O2008" s="42"/>
      <c r="R2008" s="37"/>
      <c r="S2008" s="37"/>
      <c r="T2008" s="91"/>
      <c r="U2008" s="91"/>
      <c r="V2008" s="41"/>
      <c r="W2008" s="37"/>
      <c r="X2008" s="37"/>
      <c r="Y2008" s="43"/>
      <c r="Z2008" s="37"/>
      <c r="AA2008" s="37"/>
      <c r="AD2008" s="37"/>
      <c r="AE2008" s="37"/>
      <c r="AF2008" s="37"/>
    </row>
    <row r="2009" spans="1:32" x14ac:dyDescent="0.25">
      <c r="A2009" s="37"/>
      <c r="B2009" s="37"/>
      <c r="C2009" s="37"/>
      <c r="F2009" s="38"/>
      <c r="G2009" s="38"/>
      <c r="H2009" s="38"/>
      <c r="I2009" s="37"/>
      <c r="J2009" s="38"/>
      <c r="K2009" s="38"/>
      <c r="L2009" s="42"/>
      <c r="M2009" s="42"/>
      <c r="N2009" s="42"/>
      <c r="O2009" s="42"/>
      <c r="R2009" s="37"/>
      <c r="S2009" s="37"/>
      <c r="T2009" s="91"/>
      <c r="U2009" s="91"/>
      <c r="V2009" s="41"/>
      <c r="W2009" s="37"/>
      <c r="X2009" s="37"/>
      <c r="Y2009" s="43"/>
      <c r="Z2009" s="37"/>
      <c r="AA2009" s="37"/>
      <c r="AD2009" s="37"/>
      <c r="AE2009" s="37"/>
      <c r="AF2009" s="37"/>
    </row>
    <row r="2010" spans="1:32" x14ac:dyDescent="0.25">
      <c r="A2010" s="37"/>
      <c r="B2010" s="37"/>
      <c r="C2010" s="37"/>
      <c r="F2010" s="38"/>
      <c r="G2010" s="38"/>
      <c r="H2010" s="38"/>
      <c r="I2010" s="37"/>
      <c r="J2010" s="38"/>
      <c r="K2010" s="38"/>
      <c r="L2010" s="42"/>
      <c r="M2010" s="42"/>
      <c r="N2010" s="42"/>
      <c r="O2010" s="42"/>
      <c r="R2010" s="37"/>
      <c r="S2010" s="37"/>
      <c r="T2010" s="91"/>
      <c r="U2010" s="91"/>
      <c r="V2010" s="41"/>
      <c r="W2010" s="37"/>
      <c r="X2010" s="37"/>
      <c r="Y2010" s="43"/>
      <c r="Z2010" s="37"/>
      <c r="AA2010" s="37"/>
      <c r="AD2010" s="37"/>
      <c r="AE2010" s="37"/>
      <c r="AF2010" s="37"/>
    </row>
    <row r="2011" spans="1:32" x14ac:dyDescent="0.25">
      <c r="A2011" s="37"/>
      <c r="B2011" s="37"/>
      <c r="C2011" s="37"/>
      <c r="F2011" s="38"/>
      <c r="G2011" s="38"/>
      <c r="H2011" s="38"/>
      <c r="I2011" s="37"/>
      <c r="J2011" s="38"/>
      <c r="K2011" s="38"/>
      <c r="L2011" s="42"/>
      <c r="M2011" s="42"/>
      <c r="N2011" s="42"/>
      <c r="O2011" s="42"/>
      <c r="R2011" s="37"/>
      <c r="S2011" s="37"/>
      <c r="T2011" s="91"/>
      <c r="U2011" s="91"/>
      <c r="V2011" s="41"/>
      <c r="W2011" s="37"/>
      <c r="X2011" s="37"/>
      <c r="Y2011" s="43"/>
      <c r="Z2011" s="37"/>
      <c r="AA2011" s="37"/>
      <c r="AD2011" s="37"/>
      <c r="AE2011" s="37"/>
      <c r="AF2011" s="37"/>
    </row>
    <row r="2012" spans="1:32" x14ac:dyDescent="0.25">
      <c r="A2012" s="37"/>
      <c r="B2012" s="37"/>
      <c r="C2012" s="37"/>
      <c r="F2012" s="38"/>
      <c r="G2012" s="38"/>
      <c r="H2012" s="38"/>
      <c r="I2012" s="37"/>
      <c r="J2012" s="38"/>
      <c r="K2012" s="38"/>
      <c r="L2012" s="42"/>
      <c r="M2012" s="42"/>
      <c r="N2012" s="42"/>
      <c r="O2012" s="42"/>
      <c r="R2012" s="37"/>
      <c r="S2012" s="37"/>
      <c r="T2012" s="91"/>
      <c r="U2012" s="91"/>
      <c r="V2012" s="41"/>
      <c r="W2012" s="37"/>
      <c r="X2012" s="37"/>
      <c r="Y2012" s="43"/>
      <c r="Z2012" s="37"/>
      <c r="AA2012" s="37"/>
      <c r="AD2012" s="37"/>
      <c r="AE2012" s="37"/>
      <c r="AF2012" s="37"/>
    </row>
    <row r="2013" spans="1:32" x14ac:dyDescent="0.25">
      <c r="A2013" s="37"/>
      <c r="B2013" s="37"/>
      <c r="C2013" s="37"/>
      <c r="F2013" s="38"/>
      <c r="G2013" s="38"/>
      <c r="H2013" s="38"/>
      <c r="I2013" s="37"/>
      <c r="J2013" s="38"/>
      <c r="K2013" s="38"/>
      <c r="L2013" s="42"/>
      <c r="M2013" s="42"/>
      <c r="N2013" s="42"/>
      <c r="O2013" s="42"/>
      <c r="R2013" s="37"/>
      <c r="S2013" s="37"/>
      <c r="T2013" s="91"/>
      <c r="U2013" s="91"/>
      <c r="V2013" s="41"/>
      <c r="W2013" s="37"/>
      <c r="X2013" s="37"/>
      <c r="Y2013" s="43"/>
      <c r="Z2013" s="37"/>
      <c r="AA2013" s="37"/>
      <c r="AD2013" s="37"/>
      <c r="AE2013" s="37"/>
      <c r="AF2013" s="37"/>
    </row>
    <row r="2014" spans="1:32" x14ac:dyDescent="0.25">
      <c r="A2014" s="37"/>
      <c r="B2014" s="37"/>
      <c r="C2014" s="37"/>
      <c r="F2014" s="38"/>
      <c r="G2014" s="38"/>
      <c r="H2014" s="38"/>
      <c r="I2014" s="37"/>
      <c r="J2014" s="38"/>
      <c r="K2014" s="38"/>
      <c r="L2014" s="42"/>
      <c r="M2014" s="42"/>
      <c r="N2014" s="42"/>
      <c r="O2014" s="42"/>
      <c r="R2014" s="37"/>
      <c r="S2014" s="37"/>
      <c r="T2014" s="91"/>
      <c r="U2014" s="91"/>
      <c r="V2014" s="41"/>
      <c r="W2014" s="37"/>
      <c r="X2014" s="37"/>
      <c r="Y2014" s="43"/>
      <c r="Z2014" s="37"/>
      <c r="AA2014" s="37"/>
      <c r="AD2014" s="37"/>
      <c r="AE2014" s="37"/>
      <c r="AF2014" s="37"/>
    </row>
    <row r="2015" spans="1:32" x14ac:dyDescent="0.25">
      <c r="A2015" s="37"/>
      <c r="B2015" s="37"/>
      <c r="C2015" s="37"/>
      <c r="F2015" s="38"/>
      <c r="G2015" s="38"/>
      <c r="H2015" s="38"/>
      <c r="I2015" s="37"/>
      <c r="J2015" s="38"/>
      <c r="K2015" s="38"/>
      <c r="L2015" s="42"/>
      <c r="M2015" s="42"/>
      <c r="N2015" s="42"/>
      <c r="O2015" s="42"/>
      <c r="R2015" s="37"/>
      <c r="S2015" s="37"/>
      <c r="T2015" s="91"/>
      <c r="U2015" s="91"/>
      <c r="V2015" s="41"/>
      <c r="W2015" s="37"/>
      <c r="X2015" s="37"/>
      <c r="Y2015" s="43"/>
      <c r="Z2015" s="37"/>
      <c r="AA2015" s="37"/>
      <c r="AD2015" s="37"/>
      <c r="AE2015" s="37"/>
      <c r="AF2015" s="37"/>
    </row>
    <row r="2016" spans="1:32" x14ac:dyDescent="0.25">
      <c r="A2016" s="37"/>
      <c r="B2016" s="37"/>
      <c r="C2016" s="37"/>
      <c r="F2016" s="38"/>
      <c r="G2016" s="38"/>
      <c r="H2016" s="38"/>
      <c r="I2016" s="37"/>
      <c r="J2016" s="38"/>
      <c r="K2016" s="38"/>
      <c r="L2016" s="42"/>
      <c r="M2016" s="42"/>
      <c r="N2016" s="42"/>
      <c r="O2016" s="42"/>
      <c r="R2016" s="37"/>
      <c r="S2016" s="37"/>
      <c r="T2016" s="91"/>
      <c r="U2016" s="91"/>
      <c r="V2016" s="41"/>
      <c r="W2016" s="37"/>
      <c r="X2016" s="37"/>
      <c r="Y2016" s="43"/>
      <c r="Z2016" s="37"/>
      <c r="AA2016" s="37"/>
      <c r="AD2016" s="37"/>
      <c r="AE2016" s="37"/>
      <c r="AF2016" s="37"/>
    </row>
    <row r="2017" spans="1:32" x14ac:dyDescent="0.25">
      <c r="A2017" s="37"/>
      <c r="B2017" s="37"/>
      <c r="C2017" s="37"/>
      <c r="F2017" s="38"/>
      <c r="G2017" s="38"/>
      <c r="H2017" s="38"/>
      <c r="I2017" s="37"/>
      <c r="J2017" s="38"/>
      <c r="K2017" s="38"/>
      <c r="L2017" s="42"/>
      <c r="M2017" s="42"/>
      <c r="N2017" s="42"/>
      <c r="O2017" s="42"/>
      <c r="R2017" s="37"/>
      <c r="S2017" s="37"/>
      <c r="T2017" s="91"/>
      <c r="U2017" s="91"/>
      <c r="V2017" s="41"/>
      <c r="W2017" s="37"/>
      <c r="X2017" s="37"/>
      <c r="Y2017" s="43"/>
      <c r="Z2017" s="37"/>
      <c r="AA2017" s="37"/>
      <c r="AD2017" s="37"/>
      <c r="AE2017" s="37"/>
      <c r="AF2017" s="37"/>
    </row>
    <row r="2018" spans="1:32" x14ac:dyDescent="0.25">
      <c r="A2018" s="37"/>
      <c r="B2018" s="37"/>
      <c r="C2018" s="37"/>
      <c r="F2018" s="38"/>
      <c r="G2018" s="38"/>
      <c r="H2018" s="38"/>
      <c r="I2018" s="37"/>
      <c r="J2018" s="38"/>
      <c r="K2018" s="38"/>
      <c r="L2018" s="42"/>
      <c r="M2018" s="42"/>
      <c r="N2018" s="42"/>
      <c r="O2018" s="42"/>
      <c r="R2018" s="37"/>
      <c r="S2018" s="37"/>
      <c r="T2018" s="91"/>
      <c r="U2018" s="91"/>
      <c r="V2018" s="41"/>
      <c r="W2018" s="37"/>
      <c r="X2018" s="37"/>
      <c r="Y2018" s="43"/>
      <c r="Z2018" s="37"/>
      <c r="AA2018" s="37"/>
      <c r="AD2018" s="37"/>
      <c r="AE2018" s="37"/>
      <c r="AF2018" s="37"/>
    </row>
    <row r="2019" spans="1:32" x14ac:dyDescent="0.25">
      <c r="A2019" s="37"/>
      <c r="B2019" s="37"/>
      <c r="C2019" s="37"/>
      <c r="F2019" s="38"/>
      <c r="G2019" s="38"/>
      <c r="H2019" s="38"/>
      <c r="I2019" s="37"/>
      <c r="J2019" s="38"/>
      <c r="K2019" s="38"/>
      <c r="L2019" s="42"/>
      <c r="M2019" s="42"/>
      <c r="N2019" s="42"/>
      <c r="O2019" s="42"/>
      <c r="R2019" s="37"/>
      <c r="S2019" s="37"/>
      <c r="T2019" s="91"/>
      <c r="U2019" s="91"/>
      <c r="V2019" s="41"/>
      <c r="W2019" s="37"/>
      <c r="X2019" s="37"/>
      <c r="Y2019" s="43"/>
      <c r="Z2019" s="37"/>
      <c r="AA2019" s="37"/>
      <c r="AD2019" s="37"/>
      <c r="AE2019" s="37"/>
      <c r="AF2019" s="37"/>
    </row>
    <row r="2020" spans="1:32" x14ac:dyDescent="0.25">
      <c r="A2020" s="37"/>
      <c r="B2020" s="37"/>
      <c r="C2020" s="37"/>
      <c r="F2020" s="38"/>
      <c r="G2020" s="38"/>
      <c r="H2020" s="38"/>
      <c r="I2020" s="37"/>
      <c r="J2020" s="38"/>
      <c r="K2020" s="38"/>
      <c r="L2020" s="42"/>
      <c r="M2020" s="42"/>
      <c r="N2020" s="42"/>
      <c r="O2020" s="42"/>
      <c r="R2020" s="37"/>
      <c r="S2020" s="37"/>
      <c r="T2020" s="91"/>
      <c r="U2020" s="91"/>
      <c r="V2020" s="41"/>
      <c r="W2020" s="37"/>
      <c r="X2020" s="37"/>
      <c r="Y2020" s="43"/>
      <c r="Z2020" s="37"/>
      <c r="AA2020" s="37"/>
      <c r="AD2020" s="37"/>
      <c r="AE2020" s="37"/>
      <c r="AF2020" s="37"/>
    </row>
    <row r="2021" spans="1:32" x14ac:dyDescent="0.25">
      <c r="A2021" s="37"/>
      <c r="B2021" s="37"/>
      <c r="C2021" s="37"/>
      <c r="F2021" s="38"/>
      <c r="G2021" s="38"/>
      <c r="H2021" s="38"/>
      <c r="I2021" s="37"/>
      <c r="J2021" s="38"/>
      <c r="K2021" s="38"/>
      <c r="L2021" s="42"/>
      <c r="M2021" s="42"/>
      <c r="N2021" s="42"/>
      <c r="O2021" s="42"/>
      <c r="R2021" s="37"/>
      <c r="S2021" s="37"/>
      <c r="T2021" s="91"/>
      <c r="U2021" s="91"/>
      <c r="V2021" s="41"/>
      <c r="W2021" s="37"/>
      <c r="X2021" s="37"/>
      <c r="Y2021" s="43"/>
      <c r="Z2021" s="37"/>
      <c r="AA2021" s="37"/>
      <c r="AD2021" s="37"/>
      <c r="AE2021" s="37"/>
      <c r="AF2021" s="37"/>
    </row>
    <row r="2022" spans="1:32" x14ac:dyDescent="0.25">
      <c r="A2022" s="37"/>
      <c r="B2022" s="37"/>
      <c r="C2022" s="37"/>
      <c r="F2022" s="38"/>
      <c r="G2022" s="38"/>
      <c r="H2022" s="38"/>
      <c r="I2022" s="37"/>
      <c r="J2022" s="38"/>
      <c r="K2022" s="38"/>
      <c r="L2022" s="42"/>
      <c r="M2022" s="42"/>
      <c r="N2022" s="42"/>
      <c r="O2022" s="42"/>
      <c r="R2022" s="37"/>
      <c r="S2022" s="37"/>
      <c r="T2022" s="91"/>
      <c r="U2022" s="91"/>
      <c r="V2022" s="41"/>
      <c r="W2022" s="37"/>
      <c r="X2022" s="37"/>
      <c r="Y2022" s="43"/>
      <c r="Z2022" s="37"/>
      <c r="AA2022" s="37"/>
      <c r="AD2022" s="37"/>
      <c r="AE2022" s="37"/>
      <c r="AF2022" s="37"/>
    </row>
    <row r="2023" spans="1:32" x14ac:dyDescent="0.25">
      <c r="A2023" s="37"/>
      <c r="B2023" s="37"/>
      <c r="C2023" s="37"/>
      <c r="F2023" s="38"/>
      <c r="G2023" s="38"/>
      <c r="H2023" s="38"/>
      <c r="I2023" s="37"/>
      <c r="J2023" s="38"/>
      <c r="K2023" s="38"/>
      <c r="L2023" s="42"/>
      <c r="M2023" s="42"/>
      <c r="N2023" s="42"/>
      <c r="O2023" s="42"/>
      <c r="R2023" s="37"/>
      <c r="S2023" s="37"/>
      <c r="T2023" s="91"/>
      <c r="U2023" s="91"/>
      <c r="V2023" s="41"/>
      <c r="W2023" s="37"/>
      <c r="X2023" s="37"/>
      <c r="Y2023" s="43"/>
      <c r="Z2023" s="37"/>
      <c r="AA2023" s="37"/>
      <c r="AD2023" s="37"/>
      <c r="AE2023" s="37"/>
      <c r="AF2023" s="37"/>
    </row>
    <row r="2024" spans="1:32" x14ac:dyDescent="0.25">
      <c r="A2024" s="37"/>
      <c r="B2024" s="37"/>
      <c r="C2024" s="37"/>
      <c r="F2024" s="38"/>
      <c r="G2024" s="38"/>
      <c r="H2024" s="38"/>
      <c r="I2024" s="37"/>
      <c r="J2024" s="38"/>
      <c r="K2024" s="38"/>
      <c r="L2024" s="42"/>
      <c r="M2024" s="42"/>
      <c r="N2024" s="42"/>
      <c r="O2024" s="42"/>
      <c r="R2024" s="37"/>
      <c r="S2024" s="37"/>
      <c r="T2024" s="91"/>
      <c r="U2024" s="91"/>
      <c r="V2024" s="41"/>
      <c r="W2024" s="37"/>
      <c r="X2024" s="37"/>
      <c r="Y2024" s="43"/>
      <c r="Z2024" s="37"/>
      <c r="AA2024" s="37"/>
      <c r="AD2024" s="37"/>
      <c r="AE2024" s="37"/>
      <c r="AF2024" s="37"/>
    </row>
    <row r="2025" spans="1:32" x14ac:dyDescent="0.25">
      <c r="A2025" s="37"/>
      <c r="B2025" s="37"/>
      <c r="C2025" s="37"/>
      <c r="F2025" s="38"/>
      <c r="G2025" s="38"/>
      <c r="H2025" s="38"/>
      <c r="I2025" s="37"/>
      <c r="J2025" s="38"/>
      <c r="K2025" s="38"/>
      <c r="L2025" s="42"/>
      <c r="M2025" s="42"/>
      <c r="N2025" s="42"/>
      <c r="O2025" s="42"/>
      <c r="R2025" s="37"/>
      <c r="S2025" s="37"/>
      <c r="T2025" s="91"/>
      <c r="U2025" s="91"/>
      <c r="V2025" s="41"/>
      <c r="W2025" s="37"/>
      <c r="X2025" s="37"/>
      <c r="Y2025" s="43"/>
      <c r="Z2025" s="37"/>
      <c r="AA2025" s="37"/>
      <c r="AD2025" s="37"/>
      <c r="AE2025" s="37"/>
      <c r="AF2025" s="37"/>
    </row>
    <row r="2026" spans="1:32" x14ac:dyDescent="0.25">
      <c r="A2026" s="37"/>
      <c r="B2026" s="37"/>
      <c r="C2026" s="37"/>
      <c r="F2026" s="38"/>
      <c r="G2026" s="38"/>
      <c r="H2026" s="38"/>
      <c r="I2026" s="37"/>
      <c r="J2026" s="38"/>
      <c r="K2026" s="38"/>
      <c r="L2026" s="42"/>
      <c r="M2026" s="42"/>
      <c r="N2026" s="42"/>
      <c r="O2026" s="42"/>
      <c r="R2026" s="37"/>
      <c r="S2026" s="37"/>
      <c r="T2026" s="91"/>
      <c r="U2026" s="91"/>
      <c r="V2026" s="41"/>
      <c r="W2026" s="37"/>
      <c r="X2026" s="37"/>
      <c r="Y2026" s="43"/>
      <c r="Z2026" s="37"/>
      <c r="AA2026" s="37"/>
      <c r="AD2026" s="37"/>
      <c r="AE2026" s="37"/>
      <c r="AF2026" s="37"/>
    </row>
    <row r="2027" spans="1:32" x14ac:dyDescent="0.25">
      <c r="A2027" s="37"/>
      <c r="B2027" s="37"/>
      <c r="C2027" s="37"/>
      <c r="F2027" s="38"/>
      <c r="G2027" s="38"/>
      <c r="H2027" s="38"/>
      <c r="I2027" s="37"/>
      <c r="J2027" s="38"/>
      <c r="K2027" s="38"/>
      <c r="L2027" s="42"/>
      <c r="M2027" s="42"/>
      <c r="N2027" s="42"/>
      <c r="O2027" s="42"/>
      <c r="R2027" s="37"/>
      <c r="S2027" s="37"/>
      <c r="T2027" s="91"/>
      <c r="U2027" s="91"/>
      <c r="V2027" s="41"/>
      <c r="W2027" s="37"/>
      <c r="X2027" s="37"/>
      <c r="Y2027" s="43"/>
      <c r="Z2027" s="37"/>
      <c r="AA2027" s="37"/>
      <c r="AD2027" s="37"/>
      <c r="AE2027" s="37"/>
      <c r="AF2027" s="37"/>
    </row>
    <row r="2028" spans="1:32" x14ac:dyDescent="0.25">
      <c r="A2028" s="37"/>
      <c r="B2028" s="37"/>
      <c r="C2028" s="37"/>
      <c r="F2028" s="38"/>
      <c r="G2028" s="38"/>
      <c r="H2028" s="38"/>
      <c r="I2028" s="37"/>
      <c r="J2028" s="38"/>
      <c r="K2028" s="38"/>
      <c r="L2028" s="42"/>
      <c r="M2028" s="42"/>
      <c r="N2028" s="42"/>
      <c r="O2028" s="42"/>
      <c r="R2028" s="37"/>
      <c r="S2028" s="37"/>
      <c r="T2028" s="91"/>
      <c r="U2028" s="91"/>
      <c r="V2028" s="41"/>
      <c r="W2028" s="37"/>
      <c r="X2028" s="37"/>
      <c r="Y2028" s="43"/>
      <c r="Z2028" s="37"/>
      <c r="AA2028" s="37"/>
      <c r="AD2028" s="37"/>
      <c r="AE2028" s="37"/>
      <c r="AF2028" s="37"/>
    </row>
    <row r="2029" spans="1:32" x14ac:dyDescent="0.25">
      <c r="A2029" s="37"/>
      <c r="B2029" s="37"/>
      <c r="C2029" s="37"/>
      <c r="F2029" s="38"/>
      <c r="G2029" s="38"/>
      <c r="H2029" s="38"/>
      <c r="I2029" s="37"/>
      <c r="J2029" s="38"/>
      <c r="K2029" s="38"/>
      <c r="L2029" s="42"/>
      <c r="M2029" s="42"/>
      <c r="N2029" s="42"/>
      <c r="O2029" s="42"/>
      <c r="R2029" s="37"/>
      <c r="S2029" s="37"/>
      <c r="T2029" s="91"/>
      <c r="U2029" s="91"/>
      <c r="V2029" s="41"/>
      <c r="W2029" s="37"/>
      <c r="X2029" s="37"/>
      <c r="Y2029" s="43"/>
      <c r="Z2029" s="37"/>
      <c r="AA2029" s="37"/>
      <c r="AD2029" s="37"/>
      <c r="AE2029" s="37"/>
      <c r="AF2029" s="37"/>
    </row>
    <row r="2030" spans="1:32" x14ac:dyDescent="0.25">
      <c r="A2030" s="37"/>
      <c r="B2030" s="37"/>
      <c r="C2030" s="37"/>
      <c r="F2030" s="38"/>
      <c r="G2030" s="38"/>
      <c r="H2030" s="38"/>
      <c r="I2030" s="37"/>
      <c r="J2030" s="38"/>
      <c r="K2030" s="38"/>
      <c r="L2030" s="42"/>
      <c r="M2030" s="42"/>
      <c r="N2030" s="42"/>
      <c r="O2030" s="42"/>
      <c r="R2030" s="37"/>
      <c r="S2030" s="37"/>
      <c r="T2030" s="91"/>
      <c r="U2030" s="91"/>
      <c r="V2030" s="41"/>
      <c r="W2030" s="37"/>
      <c r="X2030" s="37"/>
      <c r="Y2030" s="43"/>
      <c r="Z2030" s="37"/>
      <c r="AA2030" s="37"/>
      <c r="AD2030" s="37"/>
      <c r="AE2030" s="37"/>
      <c r="AF2030" s="37"/>
    </row>
    <row r="2031" spans="1:32" x14ac:dyDescent="0.25">
      <c r="A2031" s="37"/>
      <c r="B2031" s="37"/>
      <c r="C2031" s="37"/>
      <c r="F2031" s="38"/>
      <c r="G2031" s="38"/>
      <c r="H2031" s="38"/>
      <c r="I2031" s="37"/>
      <c r="J2031" s="38"/>
      <c r="K2031" s="38"/>
      <c r="L2031" s="42"/>
      <c r="M2031" s="42"/>
      <c r="N2031" s="42"/>
      <c r="O2031" s="42"/>
      <c r="R2031" s="37"/>
      <c r="S2031" s="37"/>
      <c r="T2031" s="91"/>
      <c r="U2031" s="91"/>
      <c r="V2031" s="41"/>
      <c r="W2031" s="37"/>
      <c r="X2031" s="37"/>
      <c r="Y2031" s="43"/>
      <c r="Z2031" s="37"/>
      <c r="AA2031" s="37"/>
      <c r="AD2031" s="37"/>
      <c r="AE2031" s="37"/>
      <c r="AF2031" s="37"/>
    </row>
    <row r="2032" spans="1:32" x14ac:dyDescent="0.25">
      <c r="A2032" s="37"/>
      <c r="B2032" s="37"/>
      <c r="C2032" s="37"/>
      <c r="F2032" s="38"/>
      <c r="G2032" s="38"/>
      <c r="H2032" s="38"/>
      <c r="I2032" s="37"/>
      <c r="J2032" s="38"/>
      <c r="K2032" s="38"/>
      <c r="L2032" s="42"/>
      <c r="M2032" s="42"/>
      <c r="N2032" s="42"/>
      <c r="O2032" s="42"/>
      <c r="R2032" s="37"/>
      <c r="S2032" s="37"/>
      <c r="T2032" s="91"/>
      <c r="U2032" s="91"/>
      <c r="V2032" s="41"/>
      <c r="W2032" s="37"/>
      <c r="X2032" s="37"/>
      <c r="Y2032" s="43"/>
      <c r="Z2032" s="37"/>
      <c r="AA2032" s="37"/>
      <c r="AD2032" s="37"/>
      <c r="AE2032" s="37"/>
      <c r="AF2032" s="37"/>
    </row>
    <row r="2033" spans="1:32" x14ac:dyDescent="0.25">
      <c r="A2033" s="37"/>
      <c r="B2033" s="37"/>
      <c r="C2033" s="37"/>
      <c r="F2033" s="38"/>
      <c r="G2033" s="38"/>
      <c r="H2033" s="38"/>
      <c r="I2033" s="37"/>
      <c r="J2033" s="38"/>
      <c r="K2033" s="38"/>
      <c r="L2033" s="42"/>
      <c r="M2033" s="42"/>
      <c r="N2033" s="42"/>
      <c r="O2033" s="42"/>
      <c r="R2033" s="37"/>
      <c r="S2033" s="37"/>
      <c r="T2033" s="91"/>
      <c r="U2033" s="91"/>
      <c r="V2033" s="41"/>
      <c r="W2033" s="37"/>
      <c r="X2033" s="37"/>
      <c r="Y2033" s="43"/>
      <c r="Z2033" s="37"/>
      <c r="AA2033" s="37"/>
      <c r="AD2033" s="37"/>
      <c r="AE2033" s="37"/>
      <c r="AF2033" s="37"/>
    </row>
    <row r="2034" spans="1:32" x14ac:dyDescent="0.25">
      <c r="A2034" s="37"/>
      <c r="B2034" s="37"/>
      <c r="C2034" s="37"/>
      <c r="F2034" s="38"/>
      <c r="G2034" s="38"/>
      <c r="H2034" s="38"/>
      <c r="I2034" s="37"/>
      <c r="J2034" s="38"/>
      <c r="K2034" s="38"/>
      <c r="L2034" s="42"/>
      <c r="M2034" s="42"/>
      <c r="N2034" s="42"/>
      <c r="O2034" s="42"/>
      <c r="R2034" s="37"/>
      <c r="S2034" s="37"/>
      <c r="T2034" s="91"/>
      <c r="U2034" s="91"/>
      <c r="V2034" s="41"/>
      <c r="W2034" s="37"/>
      <c r="X2034" s="37"/>
      <c r="Y2034" s="43"/>
      <c r="Z2034" s="37"/>
      <c r="AA2034" s="37"/>
      <c r="AD2034" s="37"/>
      <c r="AE2034" s="37"/>
      <c r="AF2034" s="37"/>
    </row>
    <row r="2035" spans="1:32" x14ac:dyDescent="0.25">
      <c r="A2035" s="37"/>
      <c r="B2035" s="37"/>
      <c r="C2035" s="37"/>
      <c r="F2035" s="38"/>
      <c r="G2035" s="38"/>
      <c r="H2035" s="38"/>
      <c r="I2035" s="37"/>
      <c r="J2035" s="38"/>
      <c r="K2035" s="38"/>
      <c r="L2035" s="42"/>
      <c r="M2035" s="42"/>
      <c r="N2035" s="42"/>
      <c r="O2035" s="42"/>
      <c r="R2035" s="37"/>
      <c r="S2035" s="37"/>
      <c r="T2035" s="91"/>
      <c r="U2035" s="91"/>
      <c r="V2035" s="41"/>
      <c r="W2035" s="37"/>
      <c r="X2035" s="37"/>
      <c r="Y2035" s="43"/>
      <c r="Z2035" s="37"/>
      <c r="AA2035" s="37"/>
      <c r="AD2035" s="37"/>
      <c r="AE2035" s="37"/>
      <c r="AF2035" s="37"/>
    </row>
    <row r="2036" spans="1:32" x14ac:dyDescent="0.25">
      <c r="A2036" s="37"/>
      <c r="B2036" s="37"/>
      <c r="C2036" s="37"/>
      <c r="F2036" s="38"/>
      <c r="G2036" s="38"/>
      <c r="H2036" s="38"/>
      <c r="I2036" s="37"/>
      <c r="J2036" s="38"/>
      <c r="K2036" s="38"/>
      <c r="L2036" s="42"/>
      <c r="M2036" s="42"/>
      <c r="N2036" s="42"/>
      <c r="O2036" s="42"/>
      <c r="R2036" s="37"/>
      <c r="S2036" s="37"/>
      <c r="T2036" s="91"/>
      <c r="U2036" s="91"/>
      <c r="V2036" s="41"/>
      <c r="W2036" s="37"/>
      <c r="X2036" s="37"/>
      <c r="Y2036" s="43"/>
      <c r="Z2036" s="37"/>
      <c r="AA2036" s="37"/>
      <c r="AD2036" s="37"/>
      <c r="AE2036" s="37"/>
      <c r="AF2036" s="37"/>
    </row>
    <row r="2037" spans="1:32" x14ac:dyDescent="0.25">
      <c r="A2037" s="37"/>
      <c r="B2037" s="37"/>
      <c r="C2037" s="37"/>
      <c r="F2037" s="38"/>
      <c r="G2037" s="38"/>
      <c r="H2037" s="38"/>
      <c r="I2037" s="37"/>
      <c r="J2037" s="38"/>
      <c r="K2037" s="38"/>
      <c r="L2037" s="42"/>
      <c r="M2037" s="42"/>
      <c r="N2037" s="42"/>
      <c r="O2037" s="42"/>
      <c r="R2037" s="37"/>
      <c r="S2037" s="37"/>
      <c r="T2037" s="91"/>
      <c r="U2037" s="91"/>
      <c r="V2037" s="41"/>
      <c r="W2037" s="37"/>
      <c r="X2037" s="37"/>
      <c r="Y2037" s="43"/>
      <c r="Z2037" s="37"/>
      <c r="AA2037" s="37"/>
      <c r="AD2037" s="37"/>
      <c r="AE2037" s="37"/>
      <c r="AF2037" s="37"/>
    </row>
    <row r="2038" spans="1:32" x14ac:dyDescent="0.25">
      <c r="A2038" s="37"/>
      <c r="B2038" s="37"/>
      <c r="C2038" s="37"/>
      <c r="F2038" s="38"/>
      <c r="G2038" s="38"/>
      <c r="H2038" s="38"/>
      <c r="I2038" s="37"/>
      <c r="J2038" s="38"/>
      <c r="K2038" s="38"/>
      <c r="L2038" s="42"/>
      <c r="M2038" s="42"/>
      <c r="N2038" s="42"/>
      <c r="O2038" s="42"/>
      <c r="R2038" s="37"/>
      <c r="S2038" s="37"/>
      <c r="T2038" s="91"/>
      <c r="U2038" s="91"/>
      <c r="V2038" s="41"/>
      <c r="W2038" s="37"/>
      <c r="X2038" s="37"/>
      <c r="Y2038" s="43"/>
      <c r="Z2038" s="37"/>
      <c r="AA2038" s="37"/>
      <c r="AD2038" s="37"/>
      <c r="AE2038" s="37"/>
      <c r="AF2038" s="37"/>
    </row>
    <row r="2039" spans="1:32" x14ac:dyDescent="0.25">
      <c r="A2039" s="37"/>
      <c r="B2039" s="37"/>
      <c r="C2039" s="37"/>
      <c r="F2039" s="38"/>
      <c r="G2039" s="38"/>
      <c r="H2039" s="38"/>
      <c r="I2039" s="37"/>
      <c r="J2039" s="38"/>
      <c r="K2039" s="38"/>
      <c r="L2039" s="42"/>
      <c r="M2039" s="42"/>
      <c r="N2039" s="42"/>
      <c r="O2039" s="42"/>
      <c r="R2039" s="37"/>
      <c r="S2039" s="37"/>
      <c r="T2039" s="91"/>
      <c r="U2039" s="91"/>
      <c r="V2039" s="41"/>
      <c r="W2039" s="37"/>
      <c r="X2039" s="37"/>
      <c r="Y2039" s="43"/>
      <c r="Z2039" s="37"/>
      <c r="AA2039" s="37"/>
      <c r="AD2039" s="37"/>
      <c r="AE2039" s="37"/>
      <c r="AF2039" s="37"/>
    </row>
    <row r="2040" spans="1:32" x14ac:dyDescent="0.25">
      <c r="A2040" s="37"/>
      <c r="B2040" s="37"/>
      <c r="C2040" s="37"/>
      <c r="F2040" s="38"/>
      <c r="G2040" s="38"/>
      <c r="H2040" s="38"/>
      <c r="I2040" s="37"/>
      <c r="J2040" s="38"/>
      <c r="K2040" s="38"/>
      <c r="L2040" s="42"/>
      <c r="M2040" s="42"/>
      <c r="N2040" s="42"/>
      <c r="O2040" s="42"/>
      <c r="R2040" s="37"/>
      <c r="S2040" s="37"/>
      <c r="T2040" s="91"/>
      <c r="U2040" s="91"/>
      <c r="V2040" s="41"/>
      <c r="W2040" s="37"/>
      <c r="X2040" s="37"/>
      <c r="Y2040" s="43"/>
      <c r="Z2040" s="37"/>
      <c r="AA2040" s="37"/>
      <c r="AD2040" s="37"/>
      <c r="AE2040" s="37"/>
      <c r="AF2040" s="37"/>
    </row>
    <row r="2041" spans="1:32" x14ac:dyDescent="0.25">
      <c r="A2041" s="37"/>
      <c r="B2041" s="37"/>
      <c r="C2041" s="37"/>
      <c r="F2041" s="38"/>
      <c r="G2041" s="38"/>
      <c r="H2041" s="38"/>
      <c r="I2041" s="37"/>
      <c r="J2041" s="38"/>
      <c r="K2041" s="38"/>
      <c r="L2041" s="42"/>
      <c r="M2041" s="42"/>
      <c r="N2041" s="42"/>
      <c r="O2041" s="42"/>
      <c r="R2041" s="37"/>
      <c r="S2041" s="37"/>
      <c r="T2041" s="91"/>
      <c r="U2041" s="91"/>
      <c r="V2041" s="41"/>
      <c r="W2041" s="37"/>
      <c r="X2041" s="37"/>
      <c r="Y2041" s="43"/>
      <c r="Z2041" s="37"/>
      <c r="AA2041" s="37"/>
      <c r="AD2041" s="37"/>
      <c r="AE2041" s="37"/>
      <c r="AF2041" s="37"/>
    </row>
    <row r="2042" spans="1:32" x14ac:dyDescent="0.25">
      <c r="A2042" s="37"/>
      <c r="B2042" s="37"/>
      <c r="C2042" s="37"/>
      <c r="F2042" s="38"/>
      <c r="G2042" s="38"/>
      <c r="H2042" s="38"/>
      <c r="I2042" s="37"/>
      <c r="J2042" s="38"/>
      <c r="K2042" s="38"/>
      <c r="L2042" s="42"/>
      <c r="M2042" s="42"/>
      <c r="N2042" s="42"/>
      <c r="O2042" s="42"/>
      <c r="R2042" s="37"/>
      <c r="S2042" s="37"/>
      <c r="T2042" s="91"/>
      <c r="U2042" s="91"/>
      <c r="V2042" s="41"/>
      <c r="W2042" s="37"/>
      <c r="X2042" s="37"/>
      <c r="Y2042" s="43"/>
      <c r="Z2042" s="37"/>
      <c r="AA2042" s="37"/>
      <c r="AD2042" s="37"/>
      <c r="AE2042" s="37"/>
      <c r="AF2042" s="37"/>
    </row>
    <row r="2043" spans="1:32" x14ac:dyDescent="0.25">
      <c r="A2043" s="37"/>
      <c r="B2043" s="37"/>
      <c r="C2043" s="37"/>
      <c r="F2043" s="38"/>
      <c r="G2043" s="38"/>
      <c r="H2043" s="38"/>
      <c r="I2043" s="37"/>
      <c r="J2043" s="38"/>
      <c r="K2043" s="38"/>
      <c r="L2043" s="42"/>
      <c r="M2043" s="42"/>
      <c r="N2043" s="42"/>
      <c r="O2043" s="42"/>
      <c r="R2043" s="37"/>
      <c r="S2043" s="37"/>
      <c r="T2043" s="91"/>
      <c r="U2043" s="91"/>
      <c r="V2043" s="41"/>
      <c r="W2043" s="37"/>
      <c r="X2043" s="37"/>
      <c r="Y2043" s="43"/>
      <c r="Z2043" s="37"/>
      <c r="AA2043" s="37"/>
      <c r="AD2043" s="37"/>
      <c r="AE2043" s="37"/>
      <c r="AF2043" s="37"/>
    </row>
    <row r="2044" spans="1:32" x14ac:dyDescent="0.25">
      <c r="A2044" s="37"/>
      <c r="B2044" s="37"/>
      <c r="C2044" s="37"/>
      <c r="F2044" s="38"/>
      <c r="G2044" s="38"/>
      <c r="H2044" s="38"/>
      <c r="I2044" s="37"/>
      <c r="J2044" s="38"/>
      <c r="K2044" s="38"/>
      <c r="L2044" s="42"/>
      <c r="M2044" s="42"/>
      <c r="N2044" s="42"/>
      <c r="O2044" s="42"/>
      <c r="R2044" s="37"/>
      <c r="S2044" s="37"/>
      <c r="T2044" s="91"/>
      <c r="U2044" s="91"/>
      <c r="V2044" s="41"/>
      <c r="W2044" s="37"/>
      <c r="X2044" s="37"/>
      <c r="Y2044" s="43"/>
      <c r="Z2044" s="37"/>
      <c r="AA2044" s="37"/>
      <c r="AD2044" s="37"/>
      <c r="AE2044" s="37"/>
      <c r="AF2044" s="37"/>
    </row>
    <row r="2045" spans="1:32" x14ac:dyDescent="0.25">
      <c r="A2045" s="37"/>
      <c r="B2045" s="37"/>
      <c r="C2045" s="37"/>
      <c r="F2045" s="38"/>
      <c r="G2045" s="38"/>
      <c r="H2045" s="38"/>
      <c r="I2045" s="37"/>
      <c r="J2045" s="38"/>
      <c r="K2045" s="38"/>
      <c r="L2045" s="42"/>
      <c r="M2045" s="42"/>
      <c r="N2045" s="42"/>
      <c r="O2045" s="42"/>
      <c r="R2045" s="37"/>
      <c r="S2045" s="37"/>
      <c r="T2045" s="91"/>
      <c r="U2045" s="91"/>
      <c r="V2045" s="41"/>
      <c r="W2045" s="37"/>
      <c r="X2045" s="37"/>
      <c r="Y2045" s="43"/>
      <c r="Z2045" s="37"/>
      <c r="AA2045" s="37"/>
      <c r="AD2045" s="37"/>
      <c r="AE2045" s="37"/>
      <c r="AF2045" s="37"/>
    </row>
    <row r="2046" spans="1:32" x14ac:dyDescent="0.25">
      <c r="A2046" s="37"/>
      <c r="B2046" s="37"/>
      <c r="C2046" s="37"/>
      <c r="F2046" s="38"/>
      <c r="G2046" s="38"/>
      <c r="H2046" s="38"/>
      <c r="I2046" s="37"/>
      <c r="J2046" s="38"/>
      <c r="K2046" s="38"/>
      <c r="L2046" s="42"/>
      <c r="M2046" s="42"/>
      <c r="N2046" s="42"/>
      <c r="O2046" s="42"/>
      <c r="R2046" s="37"/>
      <c r="S2046" s="37"/>
      <c r="T2046" s="91"/>
      <c r="U2046" s="91"/>
      <c r="V2046" s="41"/>
      <c r="W2046" s="37"/>
      <c r="X2046" s="37"/>
      <c r="Y2046" s="43"/>
      <c r="Z2046" s="37"/>
      <c r="AA2046" s="37"/>
      <c r="AD2046" s="37"/>
      <c r="AE2046" s="37"/>
      <c r="AF2046" s="37"/>
    </row>
    <row r="2047" spans="1:32" x14ac:dyDescent="0.25">
      <c r="A2047" s="37"/>
      <c r="B2047" s="37"/>
      <c r="C2047" s="37"/>
      <c r="F2047" s="38"/>
      <c r="G2047" s="38"/>
      <c r="H2047" s="38"/>
      <c r="I2047" s="37"/>
      <c r="J2047" s="38"/>
      <c r="K2047" s="38"/>
      <c r="L2047" s="42"/>
      <c r="M2047" s="42"/>
      <c r="N2047" s="42"/>
      <c r="O2047" s="42"/>
      <c r="R2047" s="37"/>
      <c r="S2047" s="37"/>
      <c r="T2047" s="91"/>
      <c r="U2047" s="91"/>
      <c r="V2047" s="41"/>
      <c r="W2047" s="37"/>
      <c r="X2047" s="37"/>
      <c r="Y2047" s="43"/>
      <c r="Z2047" s="37"/>
      <c r="AA2047" s="37"/>
      <c r="AD2047" s="37"/>
      <c r="AE2047" s="37"/>
      <c r="AF2047" s="37"/>
    </row>
    <row r="2048" spans="1:32" x14ac:dyDescent="0.25">
      <c r="A2048" s="37"/>
      <c r="B2048" s="37"/>
      <c r="C2048" s="37"/>
      <c r="F2048" s="38"/>
      <c r="G2048" s="38"/>
      <c r="H2048" s="38"/>
      <c r="I2048" s="37"/>
      <c r="J2048" s="38"/>
      <c r="K2048" s="38"/>
      <c r="L2048" s="42"/>
      <c r="M2048" s="42"/>
      <c r="N2048" s="42"/>
      <c r="O2048" s="42"/>
      <c r="R2048" s="37"/>
      <c r="S2048" s="37"/>
      <c r="T2048" s="91"/>
      <c r="U2048" s="91"/>
      <c r="V2048" s="41"/>
      <c r="W2048" s="37"/>
      <c r="X2048" s="37"/>
      <c r="Y2048" s="43"/>
      <c r="Z2048" s="37"/>
      <c r="AA2048" s="37"/>
      <c r="AD2048" s="37"/>
      <c r="AE2048" s="37"/>
      <c r="AF2048" s="37"/>
    </row>
    <row r="2049" spans="1:32" x14ac:dyDescent="0.25">
      <c r="A2049" s="37"/>
      <c r="B2049" s="37"/>
      <c r="C2049" s="37"/>
      <c r="F2049" s="38"/>
      <c r="G2049" s="38"/>
      <c r="H2049" s="38"/>
      <c r="I2049" s="37"/>
      <c r="J2049" s="38"/>
      <c r="K2049" s="38"/>
      <c r="L2049" s="42"/>
      <c r="M2049" s="42"/>
      <c r="N2049" s="42"/>
      <c r="O2049" s="42"/>
      <c r="R2049" s="37"/>
      <c r="S2049" s="37"/>
      <c r="T2049" s="91"/>
      <c r="U2049" s="91"/>
      <c r="V2049" s="41"/>
      <c r="W2049" s="37"/>
      <c r="X2049" s="37"/>
      <c r="Y2049" s="43"/>
      <c r="Z2049" s="37"/>
      <c r="AA2049" s="37"/>
      <c r="AD2049" s="37"/>
      <c r="AE2049" s="37"/>
      <c r="AF2049" s="37"/>
    </row>
    <row r="2050" spans="1:32" x14ac:dyDescent="0.25">
      <c r="A2050" s="37"/>
      <c r="B2050" s="37"/>
      <c r="C2050" s="37"/>
      <c r="F2050" s="38"/>
      <c r="G2050" s="38"/>
      <c r="H2050" s="38"/>
      <c r="I2050" s="37"/>
      <c r="J2050" s="38"/>
      <c r="K2050" s="38"/>
      <c r="L2050" s="42"/>
      <c r="M2050" s="42"/>
      <c r="N2050" s="42"/>
      <c r="O2050" s="42"/>
      <c r="R2050" s="37"/>
      <c r="S2050" s="37"/>
      <c r="T2050" s="91"/>
      <c r="U2050" s="91"/>
      <c r="V2050" s="41"/>
      <c r="W2050" s="37"/>
      <c r="X2050" s="37"/>
      <c r="Y2050" s="43"/>
      <c r="Z2050" s="37"/>
      <c r="AA2050" s="37"/>
      <c r="AD2050" s="37"/>
      <c r="AE2050" s="37"/>
      <c r="AF2050" s="37"/>
    </row>
    <row r="2051" spans="1:32" x14ac:dyDescent="0.25">
      <c r="A2051" s="37"/>
      <c r="B2051" s="37"/>
      <c r="C2051" s="37"/>
      <c r="F2051" s="38"/>
      <c r="G2051" s="38"/>
      <c r="H2051" s="38"/>
      <c r="I2051" s="37"/>
      <c r="J2051" s="38"/>
      <c r="K2051" s="38"/>
      <c r="L2051" s="42"/>
      <c r="M2051" s="42"/>
      <c r="N2051" s="42"/>
      <c r="O2051" s="42"/>
      <c r="R2051" s="37"/>
      <c r="S2051" s="37"/>
      <c r="T2051" s="91"/>
      <c r="U2051" s="91"/>
      <c r="V2051" s="41"/>
      <c r="W2051" s="37"/>
      <c r="X2051" s="37"/>
      <c r="Y2051" s="43"/>
      <c r="Z2051" s="37"/>
      <c r="AA2051" s="37"/>
      <c r="AD2051" s="37"/>
      <c r="AE2051" s="37"/>
      <c r="AF2051" s="37"/>
    </row>
    <row r="2052" spans="1:32" x14ac:dyDescent="0.25">
      <c r="A2052" s="37"/>
      <c r="B2052" s="37"/>
      <c r="C2052" s="37"/>
      <c r="F2052" s="38"/>
      <c r="G2052" s="38"/>
      <c r="H2052" s="38"/>
      <c r="I2052" s="37"/>
      <c r="J2052" s="38"/>
      <c r="K2052" s="38"/>
      <c r="L2052" s="42"/>
      <c r="M2052" s="42"/>
      <c r="N2052" s="42"/>
      <c r="O2052" s="42"/>
      <c r="R2052" s="37"/>
      <c r="S2052" s="37"/>
      <c r="T2052" s="91"/>
      <c r="U2052" s="91"/>
      <c r="V2052" s="41"/>
      <c r="W2052" s="37"/>
      <c r="X2052" s="37"/>
      <c r="Y2052" s="43"/>
      <c r="Z2052" s="37"/>
      <c r="AA2052" s="37"/>
      <c r="AD2052" s="37"/>
      <c r="AE2052" s="37"/>
      <c r="AF2052" s="37"/>
    </row>
    <row r="2053" spans="1:32" x14ac:dyDescent="0.25">
      <c r="A2053" s="37"/>
      <c r="B2053" s="37"/>
      <c r="C2053" s="37"/>
      <c r="F2053" s="38"/>
      <c r="G2053" s="38"/>
      <c r="H2053" s="38"/>
      <c r="I2053" s="37"/>
      <c r="J2053" s="38"/>
      <c r="K2053" s="38"/>
      <c r="L2053" s="42"/>
      <c r="M2053" s="42"/>
      <c r="N2053" s="42"/>
      <c r="O2053" s="42"/>
      <c r="R2053" s="37"/>
      <c r="S2053" s="37"/>
      <c r="T2053" s="91"/>
      <c r="U2053" s="91"/>
      <c r="V2053" s="41"/>
      <c r="W2053" s="37"/>
      <c r="X2053" s="37"/>
      <c r="Y2053" s="43"/>
      <c r="Z2053" s="37"/>
      <c r="AA2053" s="37"/>
      <c r="AD2053" s="37"/>
      <c r="AE2053" s="37"/>
      <c r="AF2053" s="37"/>
    </row>
    <row r="2054" spans="1:32" x14ac:dyDescent="0.25">
      <c r="A2054" s="37"/>
      <c r="B2054" s="37"/>
      <c r="C2054" s="37"/>
      <c r="F2054" s="38"/>
      <c r="G2054" s="38"/>
      <c r="H2054" s="38"/>
      <c r="I2054" s="37"/>
      <c r="J2054" s="38"/>
      <c r="K2054" s="38"/>
      <c r="L2054" s="42"/>
      <c r="M2054" s="42"/>
      <c r="N2054" s="42"/>
      <c r="O2054" s="42"/>
      <c r="R2054" s="37"/>
      <c r="S2054" s="37"/>
      <c r="T2054" s="91"/>
      <c r="U2054" s="91"/>
      <c r="V2054" s="41"/>
      <c r="W2054" s="37"/>
      <c r="X2054" s="37"/>
      <c r="Y2054" s="43"/>
      <c r="Z2054" s="37"/>
      <c r="AA2054" s="37"/>
      <c r="AD2054" s="37"/>
      <c r="AE2054" s="37"/>
      <c r="AF2054" s="37"/>
    </row>
    <row r="2055" spans="1:32" x14ac:dyDescent="0.25">
      <c r="A2055" s="37"/>
      <c r="B2055" s="37"/>
      <c r="C2055" s="37"/>
      <c r="F2055" s="38"/>
      <c r="G2055" s="38"/>
      <c r="H2055" s="38"/>
      <c r="I2055" s="37"/>
      <c r="J2055" s="38"/>
      <c r="K2055" s="38"/>
      <c r="L2055" s="42"/>
      <c r="M2055" s="42"/>
      <c r="N2055" s="42"/>
      <c r="O2055" s="42"/>
      <c r="R2055" s="37"/>
      <c r="S2055" s="37"/>
      <c r="T2055" s="91"/>
      <c r="U2055" s="91"/>
      <c r="V2055" s="41"/>
      <c r="W2055" s="37"/>
      <c r="X2055" s="37"/>
      <c r="Y2055" s="43"/>
      <c r="Z2055" s="37"/>
      <c r="AA2055" s="37"/>
      <c r="AD2055" s="37"/>
      <c r="AE2055" s="37"/>
      <c r="AF2055" s="37"/>
    </row>
    <row r="2056" spans="1:32" x14ac:dyDescent="0.25">
      <c r="A2056" s="37"/>
      <c r="B2056" s="37"/>
      <c r="C2056" s="37"/>
      <c r="F2056" s="38"/>
      <c r="G2056" s="38"/>
      <c r="H2056" s="38"/>
      <c r="I2056" s="37"/>
      <c r="J2056" s="38"/>
      <c r="K2056" s="38"/>
      <c r="L2056" s="42"/>
      <c r="M2056" s="42"/>
      <c r="N2056" s="42"/>
      <c r="O2056" s="42"/>
      <c r="R2056" s="37"/>
      <c r="S2056" s="37"/>
      <c r="T2056" s="91"/>
      <c r="U2056" s="91"/>
      <c r="V2056" s="41"/>
      <c r="W2056" s="37"/>
      <c r="X2056" s="37"/>
      <c r="Y2056" s="43"/>
      <c r="Z2056" s="37"/>
      <c r="AA2056" s="37"/>
      <c r="AD2056" s="37"/>
      <c r="AE2056" s="37"/>
      <c r="AF2056" s="37"/>
    </row>
    <row r="2057" spans="1:32" x14ac:dyDescent="0.25">
      <c r="A2057" s="37"/>
      <c r="B2057" s="37"/>
      <c r="C2057" s="37"/>
      <c r="F2057" s="38"/>
      <c r="G2057" s="38"/>
      <c r="H2057" s="38"/>
      <c r="I2057" s="37"/>
      <c r="J2057" s="38"/>
      <c r="K2057" s="38"/>
      <c r="L2057" s="42"/>
      <c r="M2057" s="42"/>
      <c r="N2057" s="42"/>
      <c r="O2057" s="42"/>
      <c r="R2057" s="37"/>
      <c r="S2057" s="37"/>
      <c r="T2057" s="91"/>
      <c r="U2057" s="91"/>
      <c r="V2057" s="41"/>
      <c r="W2057" s="37"/>
      <c r="X2057" s="37"/>
      <c r="Y2057" s="43"/>
      <c r="Z2057" s="37"/>
      <c r="AA2057" s="37"/>
      <c r="AD2057" s="37"/>
      <c r="AE2057" s="37"/>
      <c r="AF2057" s="37"/>
    </row>
    <row r="2058" spans="1:32" x14ac:dyDescent="0.25">
      <c r="A2058" s="37"/>
      <c r="B2058" s="37"/>
      <c r="C2058" s="37"/>
      <c r="F2058" s="38"/>
      <c r="G2058" s="38"/>
      <c r="H2058" s="38"/>
      <c r="I2058" s="37"/>
      <c r="J2058" s="38"/>
      <c r="K2058" s="38"/>
      <c r="L2058" s="42"/>
      <c r="M2058" s="42"/>
      <c r="N2058" s="42"/>
      <c r="O2058" s="42"/>
      <c r="R2058" s="37"/>
      <c r="S2058" s="37"/>
      <c r="T2058" s="91"/>
      <c r="U2058" s="91"/>
      <c r="V2058" s="41"/>
      <c r="W2058" s="37"/>
      <c r="X2058" s="37"/>
      <c r="Y2058" s="43"/>
      <c r="Z2058" s="37"/>
      <c r="AA2058" s="37"/>
      <c r="AD2058" s="37"/>
      <c r="AE2058" s="37"/>
      <c r="AF2058" s="37"/>
    </row>
    <row r="2059" spans="1:32" x14ac:dyDescent="0.25">
      <c r="A2059" s="37"/>
      <c r="B2059" s="37"/>
      <c r="C2059" s="37"/>
      <c r="F2059" s="38"/>
      <c r="G2059" s="38"/>
      <c r="H2059" s="38"/>
      <c r="I2059" s="37"/>
      <c r="J2059" s="38"/>
      <c r="K2059" s="38"/>
      <c r="L2059" s="42"/>
      <c r="M2059" s="42"/>
      <c r="N2059" s="42"/>
      <c r="O2059" s="42"/>
      <c r="R2059" s="37"/>
      <c r="S2059" s="37"/>
      <c r="T2059" s="91"/>
      <c r="U2059" s="91"/>
      <c r="V2059" s="41"/>
      <c r="W2059" s="37"/>
      <c r="X2059" s="37"/>
      <c r="Y2059" s="43"/>
      <c r="Z2059" s="37"/>
      <c r="AA2059" s="37"/>
      <c r="AD2059" s="37"/>
      <c r="AE2059" s="37"/>
      <c r="AF2059" s="37"/>
    </row>
    <row r="2060" spans="1:32" x14ac:dyDescent="0.25">
      <c r="A2060" s="37"/>
      <c r="B2060" s="37"/>
      <c r="C2060" s="37"/>
      <c r="F2060" s="38"/>
      <c r="G2060" s="38"/>
      <c r="H2060" s="38"/>
      <c r="I2060" s="37"/>
      <c r="J2060" s="38"/>
      <c r="K2060" s="38"/>
      <c r="L2060" s="42"/>
      <c r="M2060" s="42"/>
      <c r="N2060" s="42"/>
      <c r="O2060" s="42"/>
      <c r="R2060" s="37"/>
      <c r="S2060" s="37"/>
      <c r="T2060" s="91"/>
      <c r="U2060" s="91"/>
      <c r="V2060" s="41"/>
      <c r="W2060" s="37"/>
      <c r="X2060" s="37"/>
      <c r="Y2060" s="43"/>
      <c r="Z2060" s="37"/>
      <c r="AA2060" s="37"/>
      <c r="AD2060" s="37"/>
      <c r="AE2060" s="37"/>
      <c r="AF2060" s="37"/>
    </row>
    <row r="2061" spans="1:32" x14ac:dyDescent="0.25">
      <c r="A2061" s="37"/>
      <c r="B2061" s="37"/>
      <c r="C2061" s="37"/>
      <c r="F2061" s="38"/>
      <c r="G2061" s="38"/>
      <c r="H2061" s="38"/>
      <c r="I2061" s="37"/>
      <c r="J2061" s="38"/>
      <c r="K2061" s="38"/>
      <c r="L2061" s="42"/>
      <c r="M2061" s="42"/>
      <c r="N2061" s="42"/>
      <c r="O2061" s="42"/>
      <c r="R2061" s="37"/>
      <c r="S2061" s="37"/>
      <c r="T2061" s="91"/>
      <c r="U2061" s="91"/>
      <c r="V2061" s="41"/>
      <c r="W2061" s="37"/>
      <c r="X2061" s="37"/>
      <c r="Y2061" s="43"/>
      <c r="Z2061" s="37"/>
      <c r="AA2061" s="37"/>
      <c r="AD2061" s="37"/>
      <c r="AE2061" s="37"/>
      <c r="AF2061" s="37"/>
    </row>
    <row r="2062" spans="1:32" x14ac:dyDescent="0.25">
      <c r="A2062" s="37"/>
      <c r="B2062" s="37"/>
      <c r="C2062" s="37"/>
      <c r="F2062" s="38"/>
      <c r="G2062" s="38"/>
      <c r="H2062" s="38"/>
      <c r="I2062" s="37"/>
      <c r="J2062" s="38"/>
      <c r="K2062" s="38"/>
      <c r="L2062" s="42"/>
      <c r="M2062" s="42"/>
      <c r="N2062" s="42"/>
      <c r="O2062" s="42"/>
      <c r="R2062" s="37"/>
      <c r="S2062" s="37"/>
      <c r="T2062" s="91"/>
      <c r="U2062" s="91"/>
      <c r="V2062" s="41"/>
      <c r="W2062" s="37"/>
      <c r="X2062" s="37"/>
      <c r="Y2062" s="43"/>
      <c r="Z2062" s="37"/>
      <c r="AA2062" s="37"/>
      <c r="AD2062" s="37"/>
      <c r="AE2062" s="37"/>
      <c r="AF2062" s="37"/>
    </row>
    <row r="2063" spans="1:32" x14ac:dyDescent="0.25">
      <c r="A2063" s="37"/>
      <c r="B2063" s="37"/>
      <c r="C2063" s="37"/>
      <c r="F2063" s="38"/>
      <c r="G2063" s="38"/>
      <c r="H2063" s="38"/>
      <c r="I2063" s="37"/>
      <c r="J2063" s="38"/>
      <c r="K2063" s="38"/>
      <c r="L2063" s="42"/>
      <c r="M2063" s="42"/>
      <c r="N2063" s="42"/>
      <c r="O2063" s="42"/>
      <c r="R2063" s="37"/>
      <c r="S2063" s="37"/>
      <c r="T2063" s="91"/>
      <c r="U2063" s="91"/>
      <c r="V2063" s="41"/>
      <c r="W2063" s="37"/>
      <c r="X2063" s="37"/>
      <c r="Y2063" s="43"/>
      <c r="Z2063" s="37"/>
      <c r="AA2063" s="37"/>
      <c r="AD2063" s="37"/>
      <c r="AE2063" s="37"/>
      <c r="AF2063" s="37"/>
    </row>
    <row r="2064" spans="1:32" x14ac:dyDescent="0.25">
      <c r="A2064" s="37"/>
      <c r="B2064" s="37"/>
      <c r="C2064" s="37"/>
      <c r="F2064" s="38"/>
      <c r="G2064" s="38"/>
      <c r="H2064" s="38"/>
      <c r="I2064" s="37"/>
      <c r="J2064" s="38"/>
      <c r="K2064" s="38"/>
      <c r="L2064" s="42"/>
      <c r="M2064" s="42"/>
      <c r="N2064" s="42"/>
      <c r="O2064" s="42"/>
      <c r="R2064" s="37"/>
      <c r="S2064" s="37"/>
      <c r="T2064" s="91"/>
      <c r="U2064" s="91"/>
      <c r="V2064" s="41"/>
      <c r="W2064" s="37"/>
      <c r="X2064" s="37"/>
      <c r="Y2064" s="43"/>
      <c r="Z2064" s="37"/>
      <c r="AA2064" s="37"/>
      <c r="AD2064" s="37"/>
      <c r="AE2064" s="37"/>
      <c r="AF2064" s="37"/>
    </row>
    <row r="2065" spans="1:32" x14ac:dyDescent="0.25">
      <c r="A2065" s="37"/>
      <c r="B2065" s="37"/>
      <c r="C2065" s="37"/>
      <c r="F2065" s="38"/>
      <c r="G2065" s="38"/>
      <c r="H2065" s="38"/>
      <c r="I2065" s="37"/>
      <c r="J2065" s="38"/>
      <c r="K2065" s="38"/>
      <c r="L2065" s="42"/>
      <c r="M2065" s="42"/>
      <c r="N2065" s="42"/>
      <c r="O2065" s="42"/>
      <c r="R2065" s="37"/>
      <c r="S2065" s="37"/>
      <c r="T2065" s="91"/>
      <c r="U2065" s="91"/>
      <c r="V2065" s="41"/>
      <c r="W2065" s="37"/>
      <c r="X2065" s="37"/>
      <c r="Y2065" s="43"/>
      <c r="Z2065" s="37"/>
      <c r="AA2065" s="37"/>
      <c r="AD2065" s="37"/>
      <c r="AE2065" s="37"/>
      <c r="AF2065" s="37"/>
    </row>
    <row r="2066" spans="1:32" x14ac:dyDescent="0.25">
      <c r="A2066" s="37"/>
      <c r="B2066" s="37"/>
      <c r="C2066" s="37"/>
      <c r="F2066" s="38"/>
      <c r="G2066" s="38"/>
      <c r="H2066" s="38"/>
      <c r="I2066" s="37"/>
      <c r="J2066" s="38"/>
      <c r="K2066" s="38"/>
      <c r="L2066" s="42"/>
      <c r="M2066" s="42"/>
      <c r="N2066" s="42"/>
      <c r="O2066" s="42"/>
      <c r="R2066" s="37"/>
      <c r="S2066" s="37"/>
      <c r="T2066" s="91"/>
      <c r="U2066" s="91"/>
      <c r="V2066" s="41"/>
      <c r="W2066" s="37"/>
      <c r="X2066" s="37"/>
      <c r="Y2066" s="43"/>
      <c r="Z2066" s="37"/>
      <c r="AA2066" s="37"/>
      <c r="AD2066" s="37"/>
      <c r="AE2066" s="37"/>
      <c r="AF2066" s="37"/>
    </row>
    <row r="2067" spans="1:32" x14ac:dyDescent="0.25">
      <c r="A2067" s="37"/>
      <c r="B2067" s="37"/>
      <c r="C2067" s="37"/>
      <c r="F2067" s="38"/>
      <c r="G2067" s="38"/>
      <c r="H2067" s="38"/>
      <c r="I2067" s="37"/>
      <c r="J2067" s="38"/>
      <c r="K2067" s="38"/>
      <c r="L2067" s="42"/>
      <c r="M2067" s="42"/>
      <c r="N2067" s="42"/>
      <c r="O2067" s="42"/>
      <c r="R2067" s="37"/>
      <c r="S2067" s="37"/>
      <c r="T2067" s="91"/>
      <c r="U2067" s="91"/>
      <c r="V2067" s="41"/>
      <c r="W2067" s="37"/>
      <c r="X2067" s="37"/>
      <c r="Y2067" s="43"/>
      <c r="Z2067" s="37"/>
      <c r="AA2067" s="37"/>
      <c r="AD2067" s="37"/>
      <c r="AE2067" s="37"/>
      <c r="AF2067" s="37"/>
    </row>
    <row r="2068" spans="1:32" x14ac:dyDescent="0.25">
      <c r="A2068" s="37"/>
      <c r="B2068" s="37"/>
      <c r="C2068" s="37"/>
      <c r="F2068" s="38"/>
      <c r="G2068" s="38"/>
      <c r="H2068" s="38"/>
      <c r="I2068" s="37"/>
      <c r="J2068" s="38"/>
      <c r="K2068" s="38"/>
      <c r="L2068" s="42"/>
      <c r="M2068" s="42"/>
      <c r="N2068" s="42"/>
      <c r="O2068" s="42"/>
      <c r="R2068" s="37"/>
      <c r="S2068" s="37"/>
      <c r="T2068" s="91"/>
      <c r="U2068" s="91"/>
      <c r="V2068" s="41"/>
      <c r="W2068" s="37"/>
      <c r="X2068" s="37"/>
      <c r="Y2068" s="43"/>
      <c r="Z2068" s="37"/>
      <c r="AA2068" s="37"/>
      <c r="AD2068" s="37"/>
      <c r="AE2068" s="37"/>
      <c r="AF2068" s="37"/>
    </row>
    <row r="2069" spans="1:32" x14ac:dyDescent="0.25">
      <c r="A2069" s="37"/>
      <c r="B2069" s="37"/>
      <c r="C2069" s="37"/>
      <c r="F2069" s="38"/>
      <c r="G2069" s="38"/>
      <c r="H2069" s="38"/>
      <c r="I2069" s="37"/>
      <c r="J2069" s="38"/>
      <c r="K2069" s="38"/>
      <c r="L2069" s="42"/>
      <c r="M2069" s="42"/>
      <c r="N2069" s="42"/>
      <c r="O2069" s="42"/>
      <c r="R2069" s="37"/>
      <c r="S2069" s="37"/>
      <c r="T2069" s="91"/>
      <c r="U2069" s="91"/>
      <c r="V2069" s="41"/>
      <c r="W2069" s="37"/>
      <c r="X2069" s="37"/>
      <c r="Y2069" s="43"/>
      <c r="Z2069" s="37"/>
      <c r="AA2069" s="37"/>
      <c r="AD2069" s="37"/>
      <c r="AE2069" s="37"/>
      <c r="AF2069" s="37"/>
    </row>
    <row r="2070" spans="1:32" x14ac:dyDescent="0.25">
      <c r="A2070" s="37"/>
      <c r="B2070" s="37"/>
      <c r="C2070" s="37"/>
      <c r="F2070" s="38"/>
      <c r="G2070" s="38"/>
      <c r="H2070" s="38"/>
      <c r="I2070" s="37"/>
      <c r="J2070" s="38"/>
      <c r="K2070" s="38"/>
      <c r="L2070" s="42"/>
      <c r="M2070" s="42"/>
      <c r="N2070" s="42"/>
      <c r="O2070" s="42"/>
      <c r="R2070" s="37"/>
      <c r="S2070" s="37"/>
      <c r="T2070" s="91"/>
      <c r="U2070" s="91"/>
      <c r="V2070" s="41"/>
      <c r="W2070" s="37"/>
      <c r="X2070" s="37"/>
      <c r="Y2070" s="43"/>
      <c r="Z2070" s="37"/>
      <c r="AA2070" s="37"/>
      <c r="AD2070" s="37"/>
      <c r="AE2070" s="37"/>
      <c r="AF2070" s="37"/>
    </row>
    <row r="2071" spans="1:32" x14ac:dyDescent="0.25">
      <c r="A2071" s="37"/>
      <c r="B2071" s="37"/>
      <c r="C2071" s="37"/>
      <c r="F2071" s="38"/>
      <c r="G2071" s="38"/>
      <c r="H2071" s="38"/>
      <c r="I2071" s="37"/>
      <c r="J2071" s="38"/>
      <c r="K2071" s="38"/>
      <c r="L2071" s="42"/>
      <c r="M2071" s="42"/>
      <c r="N2071" s="42"/>
      <c r="O2071" s="42"/>
      <c r="R2071" s="37"/>
      <c r="S2071" s="37"/>
      <c r="T2071" s="91"/>
      <c r="U2071" s="91"/>
      <c r="V2071" s="41"/>
      <c r="W2071" s="37"/>
      <c r="X2071" s="37"/>
      <c r="Y2071" s="43"/>
      <c r="Z2071" s="37"/>
      <c r="AA2071" s="37"/>
      <c r="AD2071" s="37"/>
      <c r="AE2071" s="37"/>
      <c r="AF2071" s="37"/>
    </row>
    <row r="2072" spans="1:32" x14ac:dyDescent="0.25">
      <c r="A2072" s="37"/>
      <c r="B2072" s="37"/>
      <c r="C2072" s="37"/>
      <c r="F2072" s="38"/>
      <c r="G2072" s="38"/>
      <c r="H2072" s="38"/>
      <c r="I2072" s="37"/>
      <c r="J2072" s="38"/>
      <c r="K2072" s="38"/>
      <c r="L2072" s="42"/>
      <c r="M2072" s="42"/>
      <c r="N2072" s="42"/>
      <c r="O2072" s="42"/>
      <c r="R2072" s="37"/>
      <c r="S2072" s="37"/>
      <c r="T2072" s="91"/>
      <c r="U2072" s="91"/>
      <c r="V2072" s="41"/>
      <c r="W2072" s="37"/>
      <c r="X2072" s="37"/>
      <c r="Y2072" s="43"/>
      <c r="Z2072" s="37"/>
      <c r="AA2072" s="37"/>
      <c r="AD2072" s="37"/>
      <c r="AE2072" s="37"/>
      <c r="AF2072" s="37"/>
    </row>
    <row r="2073" spans="1:32" x14ac:dyDescent="0.25">
      <c r="A2073" s="37"/>
      <c r="B2073" s="37"/>
      <c r="C2073" s="37"/>
      <c r="F2073" s="38"/>
      <c r="G2073" s="38"/>
      <c r="H2073" s="38"/>
      <c r="I2073" s="37"/>
      <c r="J2073" s="38"/>
      <c r="K2073" s="38"/>
      <c r="L2073" s="42"/>
      <c r="M2073" s="42"/>
      <c r="N2073" s="42"/>
      <c r="O2073" s="42"/>
      <c r="R2073" s="37"/>
      <c r="S2073" s="37"/>
      <c r="T2073" s="91"/>
      <c r="U2073" s="91"/>
      <c r="V2073" s="41"/>
      <c r="W2073" s="37"/>
      <c r="X2073" s="37"/>
      <c r="Y2073" s="43"/>
      <c r="Z2073" s="37"/>
      <c r="AA2073" s="37"/>
      <c r="AD2073" s="37"/>
      <c r="AE2073" s="37"/>
      <c r="AF2073" s="37"/>
    </row>
    <row r="2074" spans="1:32" x14ac:dyDescent="0.25">
      <c r="A2074" s="37"/>
      <c r="B2074" s="37"/>
      <c r="C2074" s="37"/>
      <c r="F2074" s="38"/>
      <c r="G2074" s="38"/>
      <c r="H2074" s="38"/>
      <c r="I2074" s="37"/>
      <c r="J2074" s="38"/>
      <c r="K2074" s="38"/>
      <c r="L2074" s="42"/>
      <c r="M2074" s="42"/>
      <c r="N2074" s="42"/>
      <c r="O2074" s="42"/>
      <c r="R2074" s="37"/>
      <c r="S2074" s="37"/>
      <c r="T2074" s="91"/>
      <c r="U2074" s="91"/>
      <c r="V2074" s="41"/>
      <c r="W2074" s="37"/>
      <c r="X2074" s="37"/>
      <c r="Y2074" s="43"/>
      <c r="Z2074" s="37"/>
      <c r="AA2074" s="37"/>
      <c r="AD2074" s="37"/>
      <c r="AE2074" s="37"/>
      <c r="AF2074" s="37"/>
    </row>
    <row r="2075" spans="1:32" x14ac:dyDescent="0.25">
      <c r="A2075" s="37"/>
      <c r="B2075" s="37"/>
      <c r="C2075" s="37"/>
      <c r="F2075" s="38"/>
      <c r="G2075" s="38"/>
      <c r="H2075" s="38"/>
      <c r="I2075" s="37"/>
      <c r="J2075" s="38"/>
      <c r="K2075" s="38"/>
      <c r="L2075" s="42"/>
      <c r="M2075" s="42"/>
      <c r="N2075" s="42"/>
      <c r="O2075" s="42"/>
      <c r="R2075" s="37"/>
      <c r="S2075" s="37"/>
      <c r="T2075" s="91"/>
      <c r="U2075" s="91"/>
      <c r="V2075" s="41"/>
      <c r="W2075" s="37"/>
      <c r="X2075" s="37"/>
      <c r="Y2075" s="43"/>
      <c r="Z2075" s="37"/>
      <c r="AA2075" s="37"/>
      <c r="AD2075" s="37"/>
      <c r="AE2075" s="37"/>
      <c r="AF2075" s="37"/>
    </row>
    <row r="2076" spans="1:32" x14ac:dyDescent="0.25">
      <c r="A2076" s="37"/>
      <c r="B2076" s="37"/>
      <c r="C2076" s="37"/>
      <c r="F2076" s="38"/>
      <c r="G2076" s="38"/>
      <c r="H2076" s="38"/>
      <c r="I2076" s="37"/>
      <c r="J2076" s="38"/>
      <c r="K2076" s="38"/>
      <c r="L2076" s="42"/>
      <c r="M2076" s="42"/>
      <c r="N2076" s="42"/>
      <c r="O2076" s="42"/>
      <c r="R2076" s="37"/>
      <c r="S2076" s="37"/>
      <c r="T2076" s="91"/>
      <c r="U2076" s="91"/>
      <c r="V2076" s="41"/>
      <c r="W2076" s="37"/>
      <c r="X2076" s="37"/>
      <c r="Y2076" s="43"/>
      <c r="Z2076" s="37"/>
      <c r="AA2076" s="37"/>
      <c r="AD2076" s="37"/>
      <c r="AE2076" s="37"/>
      <c r="AF2076" s="37"/>
    </row>
    <row r="2077" spans="1:32" x14ac:dyDescent="0.25">
      <c r="A2077" s="37"/>
      <c r="B2077" s="37"/>
      <c r="C2077" s="37"/>
      <c r="F2077" s="38"/>
      <c r="G2077" s="38"/>
      <c r="H2077" s="38"/>
      <c r="I2077" s="37"/>
      <c r="J2077" s="38"/>
      <c r="K2077" s="38"/>
      <c r="L2077" s="42"/>
      <c r="M2077" s="42"/>
      <c r="N2077" s="42"/>
      <c r="O2077" s="42"/>
      <c r="R2077" s="37"/>
      <c r="S2077" s="37"/>
      <c r="T2077" s="91"/>
      <c r="U2077" s="91"/>
      <c r="V2077" s="41"/>
      <c r="W2077" s="37"/>
      <c r="X2077" s="37"/>
      <c r="Y2077" s="43"/>
      <c r="Z2077" s="37"/>
      <c r="AA2077" s="37"/>
      <c r="AD2077" s="37"/>
      <c r="AE2077" s="37"/>
      <c r="AF2077" s="37"/>
    </row>
    <row r="2078" spans="1:32" x14ac:dyDescent="0.25">
      <c r="A2078" s="37"/>
      <c r="B2078" s="37"/>
      <c r="C2078" s="37"/>
      <c r="F2078" s="38"/>
      <c r="G2078" s="38"/>
      <c r="H2078" s="38"/>
      <c r="I2078" s="37"/>
      <c r="J2078" s="38"/>
      <c r="K2078" s="38"/>
      <c r="L2078" s="42"/>
      <c r="M2078" s="42"/>
      <c r="N2078" s="42"/>
      <c r="O2078" s="42"/>
      <c r="R2078" s="37"/>
      <c r="S2078" s="37"/>
      <c r="T2078" s="91"/>
      <c r="U2078" s="91"/>
      <c r="V2078" s="41"/>
      <c r="W2078" s="37"/>
      <c r="X2078" s="37"/>
      <c r="Y2078" s="43"/>
      <c r="Z2078" s="37"/>
      <c r="AA2078" s="37"/>
      <c r="AD2078" s="37"/>
      <c r="AE2078" s="37"/>
      <c r="AF2078" s="37"/>
    </row>
    <row r="2079" spans="1:32" x14ac:dyDescent="0.25">
      <c r="A2079" s="37"/>
      <c r="B2079" s="37"/>
      <c r="C2079" s="37"/>
      <c r="F2079" s="38"/>
      <c r="G2079" s="38"/>
      <c r="H2079" s="38"/>
      <c r="I2079" s="37"/>
      <c r="J2079" s="38"/>
      <c r="K2079" s="38"/>
      <c r="L2079" s="42"/>
      <c r="M2079" s="42"/>
      <c r="N2079" s="42"/>
      <c r="O2079" s="42"/>
      <c r="R2079" s="37"/>
      <c r="S2079" s="37"/>
      <c r="T2079" s="91"/>
      <c r="U2079" s="91"/>
      <c r="V2079" s="41"/>
      <c r="W2079" s="37"/>
      <c r="X2079" s="37"/>
      <c r="Y2079" s="43"/>
      <c r="Z2079" s="37"/>
      <c r="AA2079" s="37"/>
      <c r="AD2079" s="37"/>
      <c r="AE2079" s="37"/>
      <c r="AF2079" s="37"/>
    </row>
    <row r="2080" spans="1:32" x14ac:dyDescent="0.25">
      <c r="A2080" s="37"/>
      <c r="B2080" s="37"/>
      <c r="C2080" s="37"/>
      <c r="F2080" s="38"/>
      <c r="G2080" s="38"/>
      <c r="H2080" s="38"/>
      <c r="I2080" s="37"/>
      <c r="J2080" s="38"/>
      <c r="K2080" s="38"/>
      <c r="L2080" s="42"/>
      <c r="M2080" s="42"/>
      <c r="N2080" s="42"/>
      <c r="O2080" s="42"/>
      <c r="R2080" s="37"/>
      <c r="S2080" s="37"/>
      <c r="T2080" s="91"/>
      <c r="U2080" s="91"/>
      <c r="V2080" s="41"/>
      <c r="W2080" s="37"/>
      <c r="X2080" s="37"/>
      <c r="Y2080" s="43"/>
      <c r="Z2080" s="37"/>
      <c r="AA2080" s="37"/>
      <c r="AD2080" s="37"/>
      <c r="AE2080" s="37"/>
      <c r="AF2080" s="37"/>
    </row>
    <row r="2081" spans="1:32" x14ac:dyDescent="0.25">
      <c r="A2081" s="37"/>
      <c r="B2081" s="37"/>
      <c r="C2081" s="37"/>
      <c r="F2081" s="38"/>
      <c r="G2081" s="38"/>
      <c r="H2081" s="38"/>
      <c r="I2081" s="37"/>
      <c r="J2081" s="38"/>
      <c r="K2081" s="38"/>
      <c r="L2081" s="42"/>
      <c r="M2081" s="42"/>
      <c r="N2081" s="42"/>
      <c r="O2081" s="42"/>
      <c r="R2081" s="37"/>
      <c r="S2081" s="37"/>
      <c r="T2081" s="91"/>
      <c r="U2081" s="91"/>
      <c r="V2081" s="41"/>
      <c r="W2081" s="37"/>
      <c r="X2081" s="37"/>
      <c r="Y2081" s="43"/>
      <c r="Z2081" s="37"/>
      <c r="AA2081" s="37"/>
      <c r="AD2081" s="37"/>
      <c r="AE2081" s="37"/>
      <c r="AF2081" s="37"/>
    </row>
    <row r="2082" spans="1:32" x14ac:dyDescent="0.25">
      <c r="A2082" s="37"/>
      <c r="B2082" s="37"/>
      <c r="C2082" s="37"/>
      <c r="F2082" s="38"/>
      <c r="G2082" s="38"/>
      <c r="H2082" s="38"/>
      <c r="I2082" s="37"/>
      <c r="J2082" s="38"/>
      <c r="K2082" s="38"/>
      <c r="L2082" s="42"/>
      <c r="M2082" s="42"/>
      <c r="N2082" s="42"/>
      <c r="O2082" s="42"/>
      <c r="R2082" s="37"/>
      <c r="S2082" s="37"/>
      <c r="T2082" s="91"/>
      <c r="U2082" s="91"/>
      <c r="V2082" s="41"/>
      <c r="W2082" s="37"/>
      <c r="X2082" s="37"/>
      <c r="Y2082" s="43"/>
      <c r="Z2082" s="37"/>
      <c r="AA2082" s="37"/>
      <c r="AD2082" s="37"/>
      <c r="AE2082" s="37"/>
      <c r="AF2082" s="37"/>
    </row>
    <row r="2083" spans="1:32" x14ac:dyDescent="0.25">
      <c r="A2083" s="37"/>
      <c r="B2083" s="37"/>
      <c r="C2083" s="37"/>
      <c r="F2083" s="38"/>
      <c r="G2083" s="38"/>
      <c r="H2083" s="38"/>
      <c r="I2083" s="37"/>
      <c r="J2083" s="38"/>
      <c r="K2083" s="38"/>
      <c r="L2083" s="42"/>
      <c r="M2083" s="42"/>
      <c r="N2083" s="42"/>
      <c r="O2083" s="42"/>
      <c r="R2083" s="37"/>
      <c r="S2083" s="37"/>
      <c r="T2083" s="91"/>
      <c r="U2083" s="91"/>
      <c r="V2083" s="41"/>
      <c r="W2083" s="37"/>
      <c r="X2083" s="37"/>
      <c r="Y2083" s="43"/>
      <c r="Z2083" s="37"/>
      <c r="AA2083" s="37"/>
      <c r="AD2083" s="37"/>
      <c r="AE2083" s="37"/>
      <c r="AF2083" s="37"/>
    </row>
    <row r="2084" spans="1:32" x14ac:dyDescent="0.25">
      <c r="A2084" s="37"/>
      <c r="B2084" s="37"/>
      <c r="C2084" s="37"/>
      <c r="F2084" s="38"/>
      <c r="G2084" s="38"/>
      <c r="H2084" s="38"/>
      <c r="I2084" s="37"/>
      <c r="J2084" s="38"/>
      <c r="K2084" s="38"/>
      <c r="L2084" s="42"/>
      <c r="M2084" s="42"/>
      <c r="N2084" s="42"/>
      <c r="O2084" s="42"/>
      <c r="R2084" s="37"/>
      <c r="S2084" s="37"/>
      <c r="T2084" s="91"/>
      <c r="U2084" s="91"/>
      <c r="V2084" s="41"/>
      <c r="W2084" s="37"/>
      <c r="X2084" s="37"/>
      <c r="Y2084" s="43"/>
      <c r="Z2084" s="37"/>
      <c r="AA2084" s="37"/>
      <c r="AD2084" s="37"/>
      <c r="AE2084" s="37"/>
      <c r="AF2084" s="37"/>
    </row>
    <row r="2085" spans="1:32" x14ac:dyDescent="0.25">
      <c r="A2085" s="37"/>
      <c r="B2085" s="37"/>
      <c r="C2085" s="37"/>
      <c r="F2085" s="38"/>
      <c r="G2085" s="38"/>
      <c r="H2085" s="38"/>
      <c r="I2085" s="37"/>
      <c r="J2085" s="38"/>
      <c r="K2085" s="38"/>
      <c r="L2085" s="42"/>
      <c r="M2085" s="42"/>
      <c r="N2085" s="42"/>
      <c r="O2085" s="42"/>
      <c r="R2085" s="37"/>
      <c r="S2085" s="37"/>
      <c r="T2085" s="91"/>
      <c r="U2085" s="91"/>
      <c r="V2085" s="41"/>
      <c r="W2085" s="37"/>
      <c r="X2085" s="37"/>
      <c r="Y2085" s="43"/>
      <c r="Z2085" s="37"/>
      <c r="AA2085" s="37"/>
      <c r="AD2085" s="37"/>
      <c r="AE2085" s="37"/>
      <c r="AF2085" s="37"/>
    </row>
    <row r="2086" spans="1:32" x14ac:dyDescent="0.25">
      <c r="A2086" s="37"/>
      <c r="B2086" s="37"/>
      <c r="C2086" s="37"/>
      <c r="F2086" s="38"/>
      <c r="G2086" s="38"/>
      <c r="H2086" s="38"/>
      <c r="I2086" s="37"/>
      <c r="J2086" s="38"/>
      <c r="K2086" s="38"/>
      <c r="L2086" s="42"/>
      <c r="M2086" s="42"/>
      <c r="N2086" s="42"/>
      <c r="O2086" s="42"/>
      <c r="R2086" s="37"/>
      <c r="S2086" s="37"/>
      <c r="T2086" s="91"/>
      <c r="U2086" s="91"/>
      <c r="V2086" s="41"/>
      <c r="W2086" s="37"/>
      <c r="X2086" s="37"/>
      <c r="Y2086" s="43"/>
      <c r="Z2086" s="37"/>
      <c r="AA2086" s="37"/>
      <c r="AD2086" s="37"/>
      <c r="AE2086" s="37"/>
      <c r="AF2086" s="37"/>
    </row>
    <row r="2087" spans="1:32" x14ac:dyDescent="0.25">
      <c r="A2087" s="37"/>
      <c r="B2087" s="37"/>
      <c r="C2087" s="37"/>
      <c r="F2087" s="38"/>
      <c r="G2087" s="38"/>
      <c r="H2087" s="38"/>
      <c r="I2087" s="37"/>
      <c r="J2087" s="38"/>
      <c r="K2087" s="38"/>
      <c r="L2087" s="42"/>
      <c r="M2087" s="42"/>
      <c r="N2087" s="42"/>
      <c r="O2087" s="42"/>
      <c r="R2087" s="37"/>
      <c r="S2087" s="37"/>
      <c r="T2087" s="91"/>
      <c r="U2087" s="91"/>
      <c r="V2087" s="41"/>
      <c r="W2087" s="37"/>
      <c r="X2087" s="37"/>
      <c r="Y2087" s="43"/>
      <c r="Z2087" s="37"/>
      <c r="AA2087" s="37"/>
      <c r="AD2087" s="37"/>
      <c r="AE2087" s="37"/>
      <c r="AF2087" s="37"/>
    </row>
    <row r="2088" spans="1:32" x14ac:dyDescent="0.25">
      <c r="A2088" s="37"/>
      <c r="B2088" s="37"/>
      <c r="C2088" s="37"/>
      <c r="F2088" s="38"/>
      <c r="G2088" s="38"/>
      <c r="H2088" s="38"/>
      <c r="I2088" s="37"/>
      <c r="J2088" s="38"/>
      <c r="K2088" s="38"/>
      <c r="L2088" s="42"/>
      <c r="M2088" s="42"/>
      <c r="N2088" s="42"/>
      <c r="O2088" s="42"/>
      <c r="R2088" s="37"/>
      <c r="S2088" s="37"/>
      <c r="T2088" s="91"/>
      <c r="U2088" s="91"/>
      <c r="V2088" s="41"/>
      <c r="W2088" s="37"/>
      <c r="X2088" s="37"/>
      <c r="Y2088" s="43"/>
      <c r="Z2088" s="37"/>
      <c r="AA2088" s="37"/>
      <c r="AD2088" s="37"/>
      <c r="AE2088" s="37"/>
      <c r="AF2088" s="37"/>
    </row>
    <row r="2089" spans="1:32" x14ac:dyDescent="0.25">
      <c r="A2089" s="37"/>
      <c r="B2089" s="37"/>
      <c r="C2089" s="37"/>
      <c r="F2089" s="38"/>
      <c r="G2089" s="38"/>
      <c r="H2089" s="38"/>
      <c r="I2089" s="37"/>
      <c r="J2089" s="38"/>
      <c r="K2089" s="38"/>
      <c r="L2089" s="42"/>
      <c r="M2089" s="42"/>
      <c r="N2089" s="42"/>
      <c r="O2089" s="42"/>
      <c r="R2089" s="37"/>
      <c r="S2089" s="37"/>
      <c r="T2089" s="91"/>
      <c r="U2089" s="91"/>
      <c r="V2089" s="41"/>
      <c r="W2089" s="37"/>
      <c r="X2089" s="37"/>
      <c r="Y2089" s="43"/>
      <c r="Z2089" s="37"/>
      <c r="AA2089" s="37"/>
      <c r="AD2089" s="37"/>
      <c r="AE2089" s="37"/>
      <c r="AF2089" s="37"/>
    </row>
    <row r="2090" spans="1:32" x14ac:dyDescent="0.25">
      <c r="A2090" s="37"/>
      <c r="B2090" s="37"/>
      <c r="C2090" s="37"/>
      <c r="F2090" s="38"/>
      <c r="G2090" s="38"/>
      <c r="H2090" s="38"/>
      <c r="I2090" s="37"/>
      <c r="J2090" s="38"/>
      <c r="K2090" s="38"/>
      <c r="L2090" s="42"/>
      <c r="M2090" s="42"/>
      <c r="N2090" s="42"/>
      <c r="O2090" s="42"/>
      <c r="R2090" s="37"/>
      <c r="S2090" s="37"/>
      <c r="T2090" s="91"/>
      <c r="U2090" s="91"/>
      <c r="V2090" s="41"/>
      <c r="W2090" s="37"/>
      <c r="X2090" s="37"/>
      <c r="Y2090" s="43"/>
      <c r="Z2090" s="37"/>
      <c r="AA2090" s="37"/>
      <c r="AD2090" s="37"/>
      <c r="AE2090" s="37"/>
      <c r="AF2090" s="37"/>
    </row>
    <row r="2091" spans="1:32" x14ac:dyDescent="0.25">
      <c r="A2091" s="37"/>
      <c r="B2091" s="37"/>
      <c r="C2091" s="37"/>
      <c r="F2091" s="38"/>
      <c r="G2091" s="38"/>
      <c r="H2091" s="38"/>
      <c r="I2091" s="37"/>
      <c r="J2091" s="38"/>
      <c r="K2091" s="38"/>
      <c r="L2091" s="42"/>
      <c r="M2091" s="42"/>
      <c r="N2091" s="42"/>
      <c r="O2091" s="42"/>
      <c r="R2091" s="37"/>
      <c r="S2091" s="37"/>
      <c r="T2091" s="91"/>
      <c r="U2091" s="91"/>
      <c r="V2091" s="41"/>
      <c r="W2091" s="37"/>
      <c r="X2091" s="37"/>
      <c r="Y2091" s="43"/>
      <c r="Z2091" s="37"/>
      <c r="AA2091" s="37"/>
      <c r="AD2091" s="37"/>
      <c r="AE2091" s="37"/>
      <c r="AF2091" s="37"/>
    </row>
    <row r="2092" spans="1:32" x14ac:dyDescent="0.25">
      <c r="A2092" s="37"/>
      <c r="B2092" s="37"/>
      <c r="C2092" s="37"/>
      <c r="F2092" s="38"/>
      <c r="G2092" s="38"/>
      <c r="H2092" s="38"/>
      <c r="I2092" s="37"/>
      <c r="J2092" s="38"/>
      <c r="K2092" s="38"/>
      <c r="L2092" s="42"/>
      <c r="M2092" s="42"/>
      <c r="N2092" s="42"/>
      <c r="O2092" s="42"/>
      <c r="R2092" s="37"/>
      <c r="S2092" s="37"/>
      <c r="T2092" s="91"/>
      <c r="U2092" s="91"/>
      <c r="V2092" s="41"/>
      <c r="W2092" s="37"/>
      <c r="X2092" s="37"/>
      <c r="Y2092" s="43"/>
      <c r="Z2092" s="37"/>
      <c r="AA2092" s="37"/>
      <c r="AD2092" s="37"/>
      <c r="AE2092" s="37"/>
      <c r="AF2092" s="37"/>
    </row>
    <row r="2093" spans="1:32" x14ac:dyDescent="0.25">
      <c r="A2093" s="37"/>
      <c r="B2093" s="37"/>
      <c r="C2093" s="37"/>
      <c r="F2093" s="38"/>
      <c r="G2093" s="38"/>
      <c r="H2093" s="38"/>
      <c r="I2093" s="37"/>
      <c r="J2093" s="38"/>
      <c r="K2093" s="38"/>
      <c r="L2093" s="42"/>
      <c r="M2093" s="42"/>
      <c r="N2093" s="42"/>
      <c r="O2093" s="42"/>
      <c r="R2093" s="37"/>
      <c r="S2093" s="37"/>
      <c r="T2093" s="91"/>
      <c r="U2093" s="91"/>
      <c r="V2093" s="41"/>
      <c r="W2093" s="37"/>
      <c r="X2093" s="37"/>
      <c r="Y2093" s="43"/>
      <c r="Z2093" s="37"/>
      <c r="AA2093" s="37"/>
      <c r="AD2093" s="37"/>
      <c r="AE2093" s="37"/>
      <c r="AF2093" s="37"/>
    </row>
    <row r="2094" spans="1:32" x14ac:dyDescent="0.25">
      <c r="A2094" s="37"/>
      <c r="B2094" s="37"/>
      <c r="C2094" s="37"/>
      <c r="F2094" s="38"/>
      <c r="G2094" s="38"/>
      <c r="H2094" s="38"/>
      <c r="I2094" s="37"/>
      <c r="J2094" s="38"/>
      <c r="K2094" s="38"/>
      <c r="L2094" s="42"/>
      <c r="M2094" s="42"/>
      <c r="N2094" s="42"/>
      <c r="O2094" s="42"/>
      <c r="R2094" s="37"/>
      <c r="S2094" s="37"/>
      <c r="T2094" s="91"/>
      <c r="U2094" s="91"/>
      <c r="V2094" s="41"/>
      <c r="W2094" s="37"/>
      <c r="X2094" s="37"/>
      <c r="Y2094" s="43"/>
      <c r="Z2094" s="37"/>
      <c r="AA2094" s="37"/>
      <c r="AD2094" s="37"/>
      <c r="AE2094" s="37"/>
      <c r="AF2094" s="37"/>
    </row>
    <row r="2095" spans="1:32" x14ac:dyDescent="0.25">
      <c r="A2095" s="37"/>
      <c r="B2095" s="37"/>
      <c r="C2095" s="37"/>
      <c r="F2095" s="38"/>
      <c r="G2095" s="38"/>
      <c r="H2095" s="38"/>
      <c r="I2095" s="37"/>
      <c r="J2095" s="38"/>
      <c r="K2095" s="38"/>
      <c r="L2095" s="42"/>
      <c r="M2095" s="42"/>
      <c r="N2095" s="42"/>
      <c r="O2095" s="42"/>
      <c r="R2095" s="37"/>
      <c r="S2095" s="37"/>
      <c r="T2095" s="91"/>
      <c r="U2095" s="91"/>
      <c r="V2095" s="41"/>
      <c r="W2095" s="37"/>
      <c r="X2095" s="37"/>
      <c r="Y2095" s="43"/>
      <c r="Z2095" s="37"/>
      <c r="AA2095" s="37"/>
      <c r="AD2095" s="37"/>
      <c r="AE2095" s="37"/>
      <c r="AF2095" s="37"/>
    </row>
    <row r="2096" spans="1:32" x14ac:dyDescent="0.25">
      <c r="A2096" s="37"/>
      <c r="B2096" s="37"/>
      <c r="C2096" s="37"/>
      <c r="F2096" s="38"/>
      <c r="G2096" s="38"/>
      <c r="H2096" s="38"/>
      <c r="I2096" s="37"/>
      <c r="J2096" s="38"/>
      <c r="K2096" s="38"/>
      <c r="L2096" s="42"/>
      <c r="M2096" s="42"/>
      <c r="N2096" s="42"/>
      <c r="O2096" s="42"/>
      <c r="R2096" s="37"/>
      <c r="S2096" s="37"/>
      <c r="T2096" s="91"/>
      <c r="U2096" s="91"/>
      <c r="V2096" s="41"/>
      <c r="W2096" s="37"/>
      <c r="X2096" s="37"/>
      <c r="Y2096" s="43"/>
      <c r="Z2096" s="37"/>
      <c r="AA2096" s="37"/>
      <c r="AD2096" s="37"/>
      <c r="AE2096" s="37"/>
      <c r="AF2096" s="37"/>
    </row>
    <row r="2097" spans="1:32" x14ac:dyDescent="0.25">
      <c r="A2097" s="37"/>
      <c r="B2097" s="37"/>
      <c r="C2097" s="37"/>
      <c r="F2097" s="38"/>
      <c r="G2097" s="38"/>
      <c r="H2097" s="38"/>
      <c r="I2097" s="37"/>
      <c r="J2097" s="38"/>
      <c r="K2097" s="38"/>
      <c r="L2097" s="42"/>
      <c r="M2097" s="42"/>
      <c r="N2097" s="42"/>
      <c r="O2097" s="42"/>
      <c r="R2097" s="37"/>
      <c r="S2097" s="37"/>
      <c r="T2097" s="91"/>
      <c r="U2097" s="91"/>
      <c r="V2097" s="41"/>
      <c r="W2097" s="37"/>
      <c r="X2097" s="37"/>
      <c r="Y2097" s="43"/>
      <c r="Z2097" s="37"/>
      <c r="AA2097" s="37"/>
      <c r="AD2097" s="37"/>
      <c r="AE2097" s="37"/>
      <c r="AF2097" s="37"/>
    </row>
    <row r="2098" spans="1:32" x14ac:dyDescent="0.25">
      <c r="A2098" s="37"/>
      <c r="B2098" s="37"/>
      <c r="C2098" s="37"/>
      <c r="F2098" s="38"/>
      <c r="G2098" s="38"/>
      <c r="H2098" s="38"/>
      <c r="I2098" s="37"/>
      <c r="J2098" s="38"/>
      <c r="K2098" s="38"/>
      <c r="L2098" s="42"/>
      <c r="M2098" s="42"/>
      <c r="N2098" s="42"/>
      <c r="O2098" s="42"/>
      <c r="R2098" s="37"/>
      <c r="S2098" s="37"/>
      <c r="T2098" s="91"/>
      <c r="U2098" s="91"/>
      <c r="V2098" s="41"/>
      <c r="W2098" s="37"/>
      <c r="X2098" s="37"/>
      <c r="Y2098" s="43"/>
      <c r="Z2098" s="37"/>
      <c r="AA2098" s="37"/>
      <c r="AD2098" s="37"/>
      <c r="AE2098" s="37"/>
      <c r="AF2098" s="37"/>
    </row>
    <row r="2099" spans="1:32" x14ac:dyDescent="0.25">
      <c r="A2099" s="37"/>
      <c r="B2099" s="37"/>
      <c r="C2099" s="37"/>
      <c r="F2099" s="38"/>
      <c r="G2099" s="38"/>
      <c r="H2099" s="38"/>
      <c r="I2099" s="37"/>
      <c r="J2099" s="38"/>
      <c r="K2099" s="38"/>
      <c r="L2099" s="42"/>
      <c r="M2099" s="42"/>
      <c r="N2099" s="42"/>
      <c r="O2099" s="42"/>
      <c r="R2099" s="37"/>
      <c r="S2099" s="37"/>
      <c r="T2099" s="91"/>
      <c r="U2099" s="91"/>
      <c r="V2099" s="41"/>
      <c r="W2099" s="37"/>
      <c r="X2099" s="37"/>
      <c r="Y2099" s="43"/>
      <c r="Z2099" s="37"/>
      <c r="AA2099" s="37"/>
      <c r="AD2099" s="37"/>
      <c r="AE2099" s="37"/>
      <c r="AF2099" s="37"/>
    </row>
    <row r="2100" spans="1:32" x14ac:dyDescent="0.25">
      <c r="A2100" s="37"/>
      <c r="B2100" s="37"/>
      <c r="C2100" s="37"/>
      <c r="F2100" s="38"/>
      <c r="G2100" s="38"/>
      <c r="H2100" s="38"/>
      <c r="I2100" s="37"/>
      <c r="J2100" s="38"/>
      <c r="K2100" s="38"/>
      <c r="L2100" s="42"/>
      <c r="M2100" s="42"/>
      <c r="N2100" s="42"/>
      <c r="O2100" s="42"/>
      <c r="R2100" s="37"/>
      <c r="S2100" s="37"/>
      <c r="T2100" s="91"/>
      <c r="U2100" s="91"/>
      <c r="V2100" s="41"/>
      <c r="W2100" s="37"/>
      <c r="X2100" s="37"/>
      <c r="Y2100" s="43"/>
      <c r="Z2100" s="37"/>
      <c r="AA2100" s="37"/>
      <c r="AD2100" s="37"/>
      <c r="AE2100" s="37"/>
      <c r="AF2100" s="37"/>
    </row>
    <row r="2101" spans="1:32" x14ac:dyDescent="0.25">
      <c r="A2101" s="37"/>
      <c r="B2101" s="37"/>
      <c r="C2101" s="37"/>
      <c r="F2101" s="38"/>
      <c r="G2101" s="38"/>
      <c r="H2101" s="38"/>
      <c r="I2101" s="37"/>
      <c r="J2101" s="38"/>
      <c r="K2101" s="38"/>
      <c r="L2101" s="42"/>
      <c r="M2101" s="42"/>
      <c r="N2101" s="42"/>
      <c r="O2101" s="42"/>
      <c r="R2101" s="37"/>
      <c r="S2101" s="37"/>
      <c r="T2101" s="91"/>
      <c r="U2101" s="91"/>
      <c r="V2101" s="41"/>
      <c r="W2101" s="37"/>
      <c r="X2101" s="37"/>
      <c r="Y2101" s="43"/>
      <c r="Z2101" s="37"/>
      <c r="AA2101" s="37"/>
      <c r="AD2101" s="37"/>
      <c r="AE2101" s="37"/>
      <c r="AF2101" s="37"/>
    </row>
    <row r="2102" spans="1:32" x14ac:dyDescent="0.25">
      <c r="A2102" s="37"/>
      <c r="B2102" s="37"/>
      <c r="C2102" s="37"/>
      <c r="F2102" s="38"/>
      <c r="G2102" s="38"/>
      <c r="H2102" s="38"/>
      <c r="I2102" s="37"/>
      <c r="J2102" s="38"/>
      <c r="K2102" s="38"/>
      <c r="L2102" s="42"/>
      <c r="M2102" s="42"/>
      <c r="N2102" s="42"/>
      <c r="O2102" s="42"/>
      <c r="R2102" s="37"/>
      <c r="S2102" s="37"/>
      <c r="T2102" s="91"/>
      <c r="U2102" s="91"/>
      <c r="V2102" s="41"/>
      <c r="W2102" s="37"/>
      <c r="X2102" s="37"/>
      <c r="Y2102" s="43"/>
      <c r="Z2102" s="37"/>
      <c r="AA2102" s="37"/>
      <c r="AD2102" s="37"/>
      <c r="AE2102" s="37"/>
      <c r="AF2102" s="37"/>
    </row>
    <row r="2103" spans="1:32" x14ac:dyDescent="0.25">
      <c r="A2103" s="37"/>
      <c r="B2103" s="37"/>
      <c r="C2103" s="37"/>
      <c r="F2103" s="38"/>
      <c r="G2103" s="38"/>
      <c r="H2103" s="38"/>
      <c r="I2103" s="37"/>
      <c r="J2103" s="38"/>
      <c r="K2103" s="38"/>
      <c r="L2103" s="42"/>
      <c r="M2103" s="42"/>
      <c r="N2103" s="42"/>
      <c r="O2103" s="42"/>
      <c r="R2103" s="37"/>
      <c r="S2103" s="37"/>
      <c r="T2103" s="91"/>
      <c r="U2103" s="91"/>
      <c r="V2103" s="41"/>
      <c r="W2103" s="37"/>
      <c r="X2103" s="37"/>
      <c r="Y2103" s="43"/>
      <c r="Z2103" s="37"/>
      <c r="AA2103" s="37"/>
      <c r="AD2103" s="37"/>
      <c r="AE2103" s="37"/>
      <c r="AF2103" s="37"/>
    </row>
    <row r="2104" spans="1:32" x14ac:dyDescent="0.25">
      <c r="A2104" s="37"/>
      <c r="B2104" s="37"/>
      <c r="C2104" s="37"/>
      <c r="F2104" s="38"/>
      <c r="G2104" s="38"/>
      <c r="H2104" s="38"/>
      <c r="I2104" s="37"/>
      <c r="J2104" s="38"/>
      <c r="K2104" s="38"/>
      <c r="L2104" s="42"/>
      <c r="M2104" s="42"/>
      <c r="N2104" s="42"/>
      <c r="O2104" s="42"/>
      <c r="R2104" s="37"/>
      <c r="S2104" s="37"/>
      <c r="T2104" s="91"/>
      <c r="U2104" s="91"/>
      <c r="V2104" s="41"/>
      <c r="W2104" s="37"/>
      <c r="X2104" s="37"/>
      <c r="Y2104" s="43"/>
      <c r="Z2104" s="37"/>
      <c r="AA2104" s="37"/>
      <c r="AD2104" s="37"/>
      <c r="AE2104" s="37"/>
      <c r="AF2104" s="37"/>
    </row>
    <row r="2105" spans="1:32" x14ac:dyDescent="0.25">
      <c r="A2105" s="37"/>
      <c r="B2105" s="37"/>
      <c r="C2105" s="37"/>
      <c r="F2105" s="38"/>
      <c r="G2105" s="38"/>
      <c r="H2105" s="38"/>
      <c r="I2105" s="37"/>
      <c r="J2105" s="38"/>
      <c r="K2105" s="38"/>
      <c r="L2105" s="42"/>
      <c r="M2105" s="42"/>
      <c r="N2105" s="42"/>
      <c r="O2105" s="42"/>
      <c r="R2105" s="37"/>
      <c r="S2105" s="37"/>
      <c r="T2105" s="91"/>
      <c r="U2105" s="91"/>
      <c r="V2105" s="41"/>
      <c r="W2105" s="37"/>
      <c r="X2105" s="37"/>
      <c r="Y2105" s="43"/>
      <c r="Z2105" s="37"/>
      <c r="AA2105" s="37"/>
      <c r="AD2105" s="37"/>
      <c r="AE2105" s="37"/>
      <c r="AF2105" s="37"/>
    </row>
    <row r="2106" spans="1:32" x14ac:dyDescent="0.25">
      <c r="A2106" s="37"/>
      <c r="B2106" s="37"/>
      <c r="C2106" s="37"/>
      <c r="F2106" s="38"/>
      <c r="G2106" s="38"/>
      <c r="H2106" s="38"/>
      <c r="I2106" s="37"/>
      <c r="J2106" s="38"/>
      <c r="K2106" s="38"/>
      <c r="L2106" s="42"/>
      <c r="M2106" s="42"/>
      <c r="N2106" s="42"/>
      <c r="O2106" s="42"/>
      <c r="R2106" s="37"/>
      <c r="S2106" s="37"/>
      <c r="T2106" s="91"/>
      <c r="U2106" s="91"/>
      <c r="V2106" s="41"/>
      <c r="W2106" s="37"/>
      <c r="X2106" s="37"/>
      <c r="Y2106" s="43"/>
      <c r="Z2106" s="37"/>
      <c r="AA2106" s="37"/>
      <c r="AD2106" s="37"/>
      <c r="AE2106" s="37"/>
      <c r="AF2106" s="37"/>
    </row>
    <row r="2107" spans="1:32" x14ac:dyDescent="0.25">
      <c r="A2107" s="37"/>
      <c r="B2107" s="37"/>
      <c r="C2107" s="37"/>
      <c r="F2107" s="38"/>
      <c r="G2107" s="38"/>
      <c r="H2107" s="38"/>
      <c r="I2107" s="37"/>
      <c r="J2107" s="38"/>
      <c r="K2107" s="38"/>
      <c r="L2107" s="42"/>
      <c r="M2107" s="42"/>
      <c r="N2107" s="42"/>
      <c r="O2107" s="42"/>
      <c r="R2107" s="37"/>
      <c r="S2107" s="37"/>
      <c r="T2107" s="91"/>
      <c r="U2107" s="91"/>
      <c r="V2107" s="41"/>
      <c r="W2107" s="37"/>
      <c r="X2107" s="37"/>
      <c r="Y2107" s="43"/>
      <c r="Z2107" s="37"/>
      <c r="AA2107" s="37"/>
      <c r="AD2107" s="37"/>
      <c r="AE2107" s="37"/>
      <c r="AF2107" s="37"/>
    </row>
    <row r="2108" spans="1:32" x14ac:dyDescent="0.25">
      <c r="A2108" s="37"/>
      <c r="B2108" s="37"/>
      <c r="C2108" s="37"/>
      <c r="F2108" s="38"/>
      <c r="G2108" s="38"/>
      <c r="H2108" s="38"/>
      <c r="I2108" s="37"/>
      <c r="J2108" s="38"/>
      <c r="K2108" s="38"/>
      <c r="L2108" s="42"/>
      <c r="M2108" s="42"/>
      <c r="N2108" s="42"/>
      <c r="O2108" s="42"/>
      <c r="R2108" s="37"/>
      <c r="S2108" s="37"/>
      <c r="T2108" s="91"/>
      <c r="U2108" s="91"/>
      <c r="V2108" s="41"/>
      <c r="W2108" s="37"/>
      <c r="X2108" s="37"/>
      <c r="Y2108" s="43"/>
      <c r="Z2108" s="37"/>
      <c r="AA2108" s="37"/>
      <c r="AD2108" s="37"/>
      <c r="AE2108" s="37"/>
      <c r="AF2108" s="37"/>
    </row>
    <row r="2109" spans="1:32" x14ac:dyDescent="0.25">
      <c r="A2109" s="37"/>
      <c r="B2109" s="37"/>
      <c r="C2109" s="37"/>
      <c r="F2109" s="38"/>
      <c r="G2109" s="38"/>
      <c r="H2109" s="38"/>
      <c r="I2109" s="37"/>
      <c r="J2109" s="38"/>
      <c r="K2109" s="38"/>
      <c r="L2109" s="42"/>
      <c r="M2109" s="42"/>
      <c r="N2109" s="42"/>
      <c r="O2109" s="42"/>
      <c r="R2109" s="37"/>
      <c r="S2109" s="37"/>
      <c r="T2109" s="91"/>
      <c r="U2109" s="91"/>
      <c r="V2109" s="41"/>
      <c r="W2109" s="37"/>
      <c r="X2109" s="37"/>
      <c r="Y2109" s="43"/>
      <c r="Z2109" s="37"/>
      <c r="AA2109" s="37"/>
      <c r="AD2109" s="37"/>
      <c r="AE2109" s="37"/>
      <c r="AF2109" s="37"/>
    </row>
    <row r="2110" spans="1:32" x14ac:dyDescent="0.25">
      <c r="A2110" s="37"/>
      <c r="B2110" s="37"/>
      <c r="C2110" s="37"/>
      <c r="F2110" s="38"/>
      <c r="G2110" s="38"/>
      <c r="H2110" s="38"/>
      <c r="I2110" s="37"/>
      <c r="J2110" s="38"/>
      <c r="K2110" s="38"/>
      <c r="L2110" s="42"/>
      <c r="M2110" s="42"/>
      <c r="N2110" s="42"/>
      <c r="O2110" s="42"/>
      <c r="R2110" s="37"/>
      <c r="S2110" s="37"/>
      <c r="T2110" s="91"/>
      <c r="U2110" s="91"/>
      <c r="V2110" s="41"/>
      <c r="W2110" s="37"/>
      <c r="X2110" s="37"/>
      <c r="Y2110" s="43"/>
      <c r="Z2110" s="37"/>
      <c r="AA2110" s="37"/>
      <c r="AD2110" s="37"/>
      <c r="AE2110" s="37"/>
      <c r="AF2110" s="37"/>
    </row>
    <row r="2111" spans="1:32" x14ac:dyDescent="0.25">
      <c r="A2111" s="37"/>
      <c r="B2111" s="37"/>
      <c r="C2111" s="37"/>
      <c r="F2111" s="38"/>
      <c r="G2111" s="38"/>
      <c r="H2111" s="38"/>
      <c r="I2111" s="37"/>
      <c r="J2111" s="38"/>
      <c r="K2111" s="38"/>
      <c r="L2111" s="42"/>
      <c r="M2111" s="42"/>
      <c r="N2111" s="42"/>
      <c r="O2111" s="42"/>
      <c r="R2111" s="37"/>
      <c r="S2111" s="37"/>
      <c r="T2111" s="91"/>
      <c r="U2111" s="91"/>
      <c r="V2111" s="41"/>
      <c r="W2111" s="37"/>
      <c r="X2111" s="37"/>
      <c r="Y2111" s="43"/>
      <c r="Z2111" s="37"/>
      <c r="AA2111" s="37"/>
      <c r="AD2111" s="37"/>
      <c r="AE2111" s="37"/>
      <c r="AF2111" s="37"/>
    </row>
    <row r="2112" spans="1:32" x14ac:dyDescent="0.25">
      <c r="A2112" s="37"/>
      <c r="B2112" s="37"/>
      <c r="C2112" s="37"/>
      <c r="F2112" s="38"/>
      <c r="G2112" s="38"/>
      <c r="H2112" s="38"/>
      <c r="I2112" s="37"/>
      <c r="J2112" s="38"/>
      <c r="K2112" s="38"/>
      <c r="L2112" s="42"/>
      <c r="M2112" s="42"/>
      <c r="N2112" s="42"/>
      <c r="O2112" s="42"/>
      <c r="R2112" s="37"/>
      <c r="S2112" s="37"/>
      <c r="T2112" s="91"/>
      <c r="U2112" s="91"/>
      <c r="V2112" s="41"/>
      <c r="W2112" s="37"/>
      <c r="X2112" s="37"/>
      <c r="Y2112" s="43"/>
      <c r="Z2112" s="37"/>
      <c r="AA2112" s="37"/>
      <c r="AD2112" s="37"/>
      <c r="AE2112" s="37"/>
      <c r="AF2112" s="37"/>
    </row>
    <row r="2113" spans="1:32" x14ac:dyDescent="0.25">
      <c r="A2113" s="37"/>
      <c r="B2113" s="37"/>
      <c r="C2113" s="37"/>
      <c r="F2113" s="38"/>
      <c r="G2113" s="38"/>
      <c r="H2113" s="38"/>
      <c r="I2113" s="37"/>
      <c r="J2113" s="38"/>
      <c r="K2113" s="38"/>
      <c r="L2113" s="42"/>
      <c r="M2113" s="42"/>
      <c r="N2113" s="42"/>
      <c r="O2113" s="42"/>
      <c r="R2113" s="37"/>
      <c r="S2113" s="37"/>
      <c r="T2113" s="91"/>
      <c r="U2113" s="91"/>
      <c r="V2113" s="41"/>
      <c r="W2113" s="37"/>
      <c r="X2113" s="37"/>
      <c r="Y2113" s="43"/>
      <c r="Z2113" s="37"/>
      <c r="AA2113" s="37"/>
      <c r="AD2113" s="37"/>
      <c r="AE2113" s="37"/>
      <c r="AF2113" s="37"/>
    </row>
    <row r="2114" spans="1:32" x14ac:dyDescent="0.25">
      <c r="A2114" s="37"/>
      <c r="B2114" s="37"/>
      <c r="C2114" s="37"/>
      <c r="F2114" s="38"/>
      <c r="G2114" s="38"/>
      <c r="H2114" s="38"/>
      <c r="I2114" s="37"/>
      <c r="J2114" s="38"/>
      <c r="K2114" s="38"/>
      <c r="L2114" s="42"/>
      <c r="M2114" s="42"/>
      <c r="N2114" s="42"/>
      <c r="O2114" s="42"/>
      <c r="R2114" s="37"/>
      <c r="S2114" s="37"/>
      <c r="T2114" s="91"/>
      <c r="U2114" s="91"/>
      <c r="V2114" s="41"/>
      <c r="W2114" s="37"/>
      <c r="X2114" s="37"/>
      <c r="Y2114" s="43"/>
      <c r="Z2114" s="37"/>
      <c r="AA2114" s="37"/>
      <c r="AD2114" s="37"/>
      <c r="AE2114" s="37"/>
      <c r="AF2114" s="37"/>
    </row>
    <row r="2115" spans="1:32" x14ac:dyDescent="0.25">
      <c r="A2115" s="37"/>
      <c r="B2115" s="37"/>
      <c r="C2115" s="37"/>
      <c r="F2115" s="38"/>
      <c r="G2115" s="38"/>
      <c r="H2115" s="38"/>
      <c r="I2115" s="37"/>
      <c r="J2115" s="38"/>
      <c r="K2115" s="38"/>
      <c r="L2115" s="42"/>
      <c r="M2115" s="42"/>
      <c r="N2115" s="42"/>
      <c r="O2115" s="42"/>
      <c r="R2115" s="37"/>
      <c r="S2115" s="37"/>
      <c r="T2115" s="91"/>
      <c r="U2115" s="91"/>
      <c r="V2115" s="41"/>
      <c r="W2115" s="37"/>
      <c r="X2115" s="37"/>
      <c r="Y2115" s="43"/>
      <c r="Z2115" s="37"/>
      <c r="AA2115" s="37"/>
      <c r="AD2115" s="37"/>
      <c r="AE2115" s="37"/>
      <c r="AF2115" s="37"/>
    </row>
    <row r="2116" spans="1:32" x14ac:dyDescent="0.25">
      <c r="A2116" s="37"/>
      <c r="B2116" s="37"/>
      <c r="C2116" s="37"/>
      <c r="F2116" s="38"/>
      <c r="G2116" s="38"/>
      <c r="H2116" s="38"/>
      <c r="I2116" s="37"/>
      <c r="J2116" s="38"/>
      <c r="K2116" s="38"/>
      <c r="L2116" s="42"/>
      <c r="M2116" s="42"/>
      <c r="N2116" s="42"/>
      <c r="O2116" s="42"/>
      <c r="R2116" s="37"/>
      <c r="S2116" s="37"/>
      <c r="T2116" s="91"/>
      <c r="U2116" s="91"/>
      <c r="V2116" s="41"/>
      <c r="W2116" s="37"/>
      <c r="X2116" s="37"/>
      <c r="Y2116" s="43"/>
      <c r="Z2116" s="37"/>
      <c r="AA2116" s="37"/>
      <c r="AD2116" s="37"/>
      <c r="AE2116" s="37"/>
      <c r="AF2116" s="37"/>
    </row>
    <row r="2117" spans="1:32" x14ac:dyDescent="0.25">
      <c r="A2117" s="37"/>
      <c r="B2117" s="37"/>
      <c r="C2117" s="37"/>
      <c r="F2117" s="38"/>
      <c r="G2117" s="38"/>
      <c r="H2117" s="38"/>
      <c r="I2117" s="37"/>
      <c r="J2117" s="38"/>
      <c r="K2117" s="38"/>
      <c r="L2117" s="42"/>
      <c r="M2117" s="42"/>
      <c r="N2117" s="42"/>
      <c r="O2117" s="42"/>
      <c r="R2117" s="37"/>
      <c r="S2117" s="37"/>
      <c r="T2117" s="91"/>
      <c r="U2117" s="91"/>
      <c r="V2117" s="41"/>
      <c r="W2117" s="37"/>
      <c r="X2117" s="37"/>
      <c r="Y2117" s="43"/>
      <c r="Z2117" s="37"/>
      <c r="AA2117" s="37"/>
      <c r="AD2117" s="37"/>
      <c r="AE2117" s="37"/>
      <c r="AF2117" s="37"/>
    </row>
    <row r="2118" spans="1:32" x14ac:dyDescent="0.25">
      <c r="A2118" s="37"/>
      <c r="B2118" s="37"/>
      <c r="C2118" s="37"/>
      <c r="F2118" s="38"/>
      <c r="G2118" s="38"/>
      <c r="H2118" s="38"/>
      <c r="I2118" s="37"/>
      <c r="J2118" s="38"/>
      <c r="K2118" s="38"/>
      <c r="L2118" s="42"/>
      <c r="M2118" s="42"/>
      <c r="N2118" s="42"/>
      <c r="O2118" s="42"/>
      <c r="R2118" s="37"/>
      <c r="S2118" s="37"/>
      <c r="T2118" s="91"/>
      <c r="U2118" s="91"/>
      <c r="V2118" s="41"/>
      <c r="W2118" s="37"/>
      <c r="X2118" s="37"/>
      <c r="Y2118" s="43"/>
      <c r="Z2118" s="37"/>
      <c r="AA2118" s="37"/>
      <c r="AD2118" s="37"/>
      <c r="AE2118" s="37"/>
      <c r="AF2118" s="37"/>
    </row>
    <row r="2119" spans="1:32" x14ac:dyDescent="0.25">
      <c r="A2119" s="37"/>
      <c r="B2119" s="37"/>
      <c r="C2119" s="37"/>
      <c r="F2119" s="38"/>
      <c r="G2119" s="38"/>
      <c r="H2119" s="38"/>
      <c r="I2119" s="37"/>
      <c r="J2119" s="38"/>
      <c r="K2119" s="38"/>
      <c r="L2119" s="42"/>
      <c r="M2119" s="42"/>
      <c r="N2119" s="42"/>
      <c r="O2119" s="42"/>
      <c r="R2119" s="37"/>
      <c r="S2119" s="37"/>
      <c r="T2119" s="91"/>
      <c r="U2119" s="91"/>
      <c r="V2119" s="41"/>
      <c r="W2119" s="37"/>
      <c r="X2119" s="37"/>
      <c r="Y2119" s="43"/>
      <c r="Z2119" s="37"/>
      <c r="AA2119" s="37"/>
      <c r="AD2119" s="37"/>
      <c r="AE2119" s="37"/>
      <c r="AF2119" s="37"/>
    </row>
    <row r="2120" spans="1:32" x14ac:dyDescent="0.25">
      <c r="A2120" s="37"/>
      <c r="B2120" s="37"/>
      <c r="C2120" s="37"/>
      <c r="F2120" s="38"/>
      <c r="G2120" s="38"/>
      <c r="H2120" s="38"/>
      <c r="I2120" s="37"/>
      <c r="J2120" s="38"/>
      <c r="K2120" s="38"/>
      <c r="L2120" s="42"/>
      <c r="M2120" s="42"/>
      <c r="N2120" s="42"/>
      <c r="O2120" s="42"/>
      <c r="R2120" s="37"/>
      <c r="S2120" s="37"/>
      <c r="T2120" s="91"/>
      <c r="U2120" s="91"/>
      <c r="V2120" s="41"/>
      <c r="W2120" s="37"/>
      <c r="X2120" s="37"/>
      <c r="Y2120" s="43"/>
      <c r="Z2120" s="37"/>
      <c r="AA2120" s="37"/>
      <c r="AD2120" s="37"/>
      <c r="AE2120" s="37"/>
      <c r="AF2120" s="37"/>
    </row>
    <row r="2121" spans="1:32" x14ac:dyDescent="0.25">
      <c r="A2121" s="37"/>
      <c r="B2121" s="37"/>
      <c r="C2121" s="37"/>
      <c r="F2121" s="38"/>
      <c r="G2121" s="38"/>
      <c r="H2121" s="38"/>
      <c r="I2121" s="37"/>
      <c r="J2121" s="38"/>
      <c r="K2121" s="38"/>
      <c r="L2121" s="42"/>
      <c r="M2121" s="42"/>
      <c r="N2121" s="42"/>
      <c r="O2121" s="42"/>
      <c r="R2121" s="37"/>
      <c r="S2121" s="37"/>
      <c r="T2121" s="91"/>
      <c r="U2121" s="91"/>
      <c r="V2121" s="41"/>
      <c r="W2121" s="37"/>
      <c r="X2121" s="37"/>
      <c r="Y2121" s="43"/>
      <c r="Z2121" s="37"/>
      <c r="AA2121" s="37"/>
      <c r="AD2121" s="37"/>
      <c r="AE2121" s="37"/>
      <c r="AF2121" s="37"/>
    </row>
    <row r="2122" spans="1:32" x14ac:dyDescent="0.25">
      <c r="A2122" s="37"/>
      <c r="B2122" s="37"/>
      <c r="C2122" s="37"/>
      <c r="F2122" s="38"/>
      <c r="G2122" s="38"/>
      <c r="H2122" s="38"/>
      <c r="I2122" s="37"/>
      <c r="J2122" s="38"/>
      <c r="K2122" s="38"/>
      <c r="L2122" s="42"/>
      <c r="M2122" s="42"/>
      <c r="N2122" s="42"/>
      <c r="O2122" s="42"/>
      <c r="R2122" s="37"/>
      <c r="S2122" s="37"/>
      <c r="T2122" s="91"/>
      <c r="U2122" s="91"/>
      <c r="V2122" s="41"/>
      <c r="W2122" s="37"/>
      <c r="X2122" s="37"/>
      <c r="Y2122" s="43"/>
      <c r="Z2122" s="37"/>
      <c r="AA2122" s="37"/>
      <c r="AD2122" s="37"/>
      <c r="AE2122" s="37"/>
      <c r="AF2122" s="37"/>
    </row>
    <row r="2123" spans="1:32" x14ac:dyDescent="0.25">
      <c r="A2123" s="37"/>
      <c r="B2123" s="37"/>
      <c r="C2123" s="37"/>
      <c r="F2123" s="38"/>
      <c r="G2123" s="38"/>
      <c r="H2123" s="38"/>
      <c r="I2123" s="37"/>
      <c r="J2123" s="38"/>
      <c r="K2123" s="38"/>
      <c r="L2123" s="42"/>
      <c r="M2123" s="42"/>
      <c r="N2123" s="42"/>
      <c r="O2123" s="42"/>
      <c r="R2123" s="37"/>
      <c r="S2123" s="37"/>
      <c r="T2123" s="91"/>
      <c r="U2123" s="91"/>
      <c r="V2123" s="41"/>
      <c r="W2123" s="37"/>
      <c r="X2123" s="37"/>
      <c r="Y2123" s="43"/>
      <c r="Z2123" s="37"/>
      <c r="AA2123" s="37"/>
      <c r="AD2123" s="37"/>
      <c r="AE2123" s="37"/>
      <c r="AF2123" s="37"/>
    </row>
    <row r="2124" spans="1:32" x14ac:dyDescent="0.25">
      <c r="A2124" s="37"/>
      <c r="B2124" s="37"/>
      <c r="C2124" s="37"/>
      <c r="F2124" s="38"/>
      <c r="G2124" s="38"/>
      <c r="H2124" s="38"/>
      <c r="I2124" s="37"/>
      <c r="J2124" s="38"/>
      <c r="K2124" s="38"/>
      <c r="L2124" s="42"/>
      <c r="M2124" s="42"/>
      <c r="N2124" s="42"/>
      <c r="O2124" s="42"/>
      <c r="R2124" s="37"/>
      <c r="S2124" s="37"/>
      <c r="T2124" s="91"/>
      <c r="U2124" s="91"/>
      <c r="V2124" s="41"/>
      <c r="W2124" s="37"/>
      <c r="X2124" s="37"/>
      <c r="Y2124" s="43"/>
      <c r="Z2124" s="37"/>
      <c r="AA2124" s="37"/>
      <c r="AD2124" s="37"/>
      <c r="AE2124" s="37"/>
      <c r="AF2124" s="37"/>
    </row>
    <row r="2125" spans="1:32" x14ac:dyDescent="0.25">
      <c r="A2125" s="37"/>
      <c r="B2125" s="37"/>
      <c r="C2125" s="37"/>
      <c r="F2125" s="38"/>
      <c r="G2125" s="38"/>
      <c r="H2125" s="38"/>
      <c r="I2125" s="37"/>
      <c r="J2125" s="38"/>
      <c r="K2125" s="38"/>
      <c r="L2125" s="42"/>
      <c r="M2125" s="42"/>
      <c r="N2125" s="42"/>
      <c r="O2125" s="42"/>
      <c r="R2125" s="37"/>
      <c r="S2125" s="37"/>
      <c r="T2125" s="91"/>
      <c r="U2125" s="91"/>
      <c r="V2125" s="41"/>
      <c r="W2125" s="37"/>
      <c r="X2125" s="37"/>
      <c r="Y2125" s="43"/>
      <c r="Z2125" s="37"/>
      <c r="AA2125" s="37"/>
      <c r="AD2125" s="37"/>
      <c r="AE2125" s="37"/>
      <c r="AF2125" s="37"/>
    </row>
    <row r="2126" spans="1:32" x14ac:dyDescent="0.25">
      <c r="A2126" s="37"/>
      <c r="B2126" s="37"/>
      <c r="C2126" s="37"/>
      <c r="F2126" s="38"/>
      <c r="G2126" s="38"/>
      <c r="H2126" s="38"/>
      <c r="I2126" s="37"/>
      <c r="J2126" s="38"/>
      <c r="K2126" s="38"/>
      <c r="L2126" s="42"/>
      <c r="M2126" s="42"/>
      <c r="N2126" s="42"/>
      <c r="O2126" s="42"/>
      <c r="R2126" s="37"/>
      <c r="S2126" s="37"/>
      <c r="T2126" s="91"/>
      <c r="U2126" s="91"/>
      <c r="V2126" s="41"/>
      <c r="W2126" s="37"/>
      <c r="X2126" s="37"/>
      <c r="Y2126" s="43"/>
      <c r="Z2126" s="37"/>
      <c r="AA2126" s="37"/>
      <c r="AD2126" s="37"/>
      <c r="AE2126" s="37"/>
      <c r="AF2126" s="37"/>
    </row>
    <row r="2127" spans="1:32" x14ac:dyDescent="0.25">
      <c r="A2127" s="37"/>
      <c r="B2127" s="37"/>
      <c r="C2127" s="37"/>
      <c r="F2127" s="38"/>
      <c r="G2127" s="38"/>
      <c r="H2127" s="38"/>
      <c r="I2127" s="37"/>
      <c r="J2127" s="38"/>
      <c r="K2127" s="38"/>
      <c r="L2127" s="42"/>
      <c r="M2127" s="42"/>
      <c r="N2127" s="42"/>
      <c r="O2127" s="42"/>
      <c r="R2127" s="37"/>
      <c r="S2127" s="37"/>
      <c r="T2127" s="91"/>
      <c r="U2127" s="91"/>
      <c r="V2127" s="41"/>
      <c r="W2127" s="37"/>
      <c r="X2127" s="37"/>
      <c r="Y2127" s="43"/>
      <c r="Z2127" s="37"/>
      <c r="AA2127" s="37"/>
      <c r="AD2127" s="37"/>
      <c r="AE2127" s="37"/>
      <c r="AF2127" s="37"/>
    </row>
    <row r="2128" spans="1:32" x14ac:dyDescent="0.25">
      <c r="A2128" s="37"/>
      <c r="B2128" s="37"/>
      <c r="C2128" s="37"/>
      <c r="F2128" s="38"/>
      <c r="G2128" s="38"/>
      <c r="H2128" s="38"/>
      <c r="I2128" s="37"/>
      <c r="J2128" s="38"/>
      <c r="K2128" s="38"/>
      <c r="L2128" s="42"/>
      <c r="M2128" s="42"/>
      <c r="N2128" s="42"/>
      <c r="O2128" s="42"/>
      <c r="R2128" s="37"/>
      <c r="S2128" s="37"/>
      <c r="T2128" s="91"/>
      <c r="U2128" s="91"/>
      <c r="V2128" s="41"/>
      <c r="W2128" s="37"/>
      <c r="X2128" s="37"/>
      <c r="Y2128" s="43"/>
      <c r="Z2128" s="37"/>
      <c r="AA2128" s="37"/>
      <c r="AD2128" s="37"/>
      <c r="AE2128" s="37"/>
      <c r="AF2128" s="37"/>
    </row>
    <row r="2129" spans="1:32" x14ac:dyDescent="0.25">
      <c r="A2129" s="37"/>
      <c r="B2129" s="37"/>
      <c r="C2129" s="37"/>
      <c r="F2129" s="38"/>
      <c r="G2129" s="38"/>
      <c r="H2129" s="38"/>
      <c r="I2129" s="37"/>
      <c r="J2129" s="38"/>
      <c r="K2129" s="38"/>
      <c r="L2129" s="42"/>
      <c r="M2129" s="42"/>
      <c r="N2129" s="42"/>
      <c r="O2129" s="42"/>
      <c r="R2129" s="37"/>
      <c r="S2129" s="37"/>
      <c r="T2129" s="91"/>
      <c r="U2129" s="91"/>
      <c r="V2129" s="41"/>
      <c r="W2129" s="37"/>
      <c r="X2129" s="37"/>
      <c r="Y2129" s="43"/>
      <c r="Z2129" s="37"/>
      <c r="AA2129" s="37"/>
      <c r="AD2129" s="37"/>
      <c r="AE2129" s="37"/>
      <c r="AF2129" s="37"/>
    </row>
    <row r="2130" spans="1:32" x14ac:dyDescent="0.25">
      <c r="A2130" s="37"/>
      <c r="B2130" s="37"/>
      <c r="C2130" s="37"/>
      <c r="F2130" s="38"/>
      <c r="G2130" s="38"/>
      <c r="H2130" s="38"/>
      <c r="I2130" s="37"/>
      <c r="J2130" s="38"/>
      <c r="K2130" s="38"/>
      <c r="L2130" s="42"/>
      <c r="M2130" s="42"/>
      <c r="N2130" s="42"/>
      <c r="O2130" s="42"/>
      <c r="R2130" s="37"/>
      <c r="S2130" s="37"/>
      <c r="T2130" s="91"/>
      <c r="U2130" s="91"/>
      <c r="V2130" s="41"/>
      <c r="W2130" s="37"/>
      <c r="X2130" s="37"/>
      <c r="Y2130" s="43"/>
      <c r="Z2130" s="37"/>
      <c r="AA2130" s="37"/>
      <c r="AD2130" s="37"/>
      <c r="AE2130" s="37"/>
      <c r="AF2130" s="37"/>
    </row>
    <row r="2131" spans="1:32" x14ac:dyDescent="0.25">
      <c r="A2131" s="37"/>
      <c r="B2131" s="37"/>
      <c r="C2131" s="37"/>
      <c r="F2131" s="38"/>
      <c r="G2131" s="38"/>
      <c r="H2131" s="38"/>
      <c r="I2131" s="37"/>
      <c r="J2131" s="38"/>
      <c r="K2131" s="38"/>
      <c r="L2131" s="42"/>
      <c r="M2131" s="42"/>
      <c r="N2131" s="42"/>
      <c r="O2131" s="42"/>
      <c r="R2131" s="37"/>
      <c r="S2131" s="37"/>
      <c r="T2131" s="91"/>
      <c r="U2131" s="91"/>
      <c r="V2131" s="41"/>
      <c r="W2131" s="37"/>
      <c r="X2131" s="37"/>
      <c r="Y2131" s="43"/>
      <c r="Z2131" s="37"/>
      <c r="AA2131" s="37"/>
      <c r="AD2131" s="37"/>
      <c r="AE2131" s="37"/>
      <c r="AF2131" s="37"/>
    </row>
    <row r="2132" spans="1:32" x14ac:dyDescent="0.25">
      <c r="A2132" s="37"/>
      <c r="B2132" s="37"/>
      <c r="C2132" s="37"/>
      <c r="F2132" s="38"/>
      <c r="G2132" s="38"/>
      <c r="H2132" s="38"/>
      <c r="I2132" s="37"/>
      <c r="J2132" s="38"/>
      <c r="K2132" s="38"/>
      <c r="L2132" s="42"/>
      <c r="M2132" s="42"/>
      <c r="N2132" s="42"/>
      <c r="O2132" s="42"/>
      <c r="R2132" s="37"/>
      <c r="S2132" s="37"/>
      <c r="T2132" s="91"/>
      <c r="U2132" s="91"/>
      <c r="V2132" s="41"/>
      <c r="W2132" s="37"/>
      <c r="X2132" s="37"/>
      <c r="Y2132" s="43"/>
      <c r="Z2132" s="37"/>
      <c r="AA2132" s="37"/>
      <c r="AD2132" s="37"/>
      <c r="AE2132" s="37"/>
      <c r="AF2132" s="37"/>
    </row>
    <row r="2133" spans="1:32" x14ac:dyDescent="0.25">
      <c r="A2133" s="37"/>
      <c r="B2133" s="37"/>
      <c r="C2133" s="37"/>
      <c r="F2133" s="38"/>
      <c r="G2133" s="38"/>
      <c r="H2133" s="38"/>
      <c r="I2133" s="37"/>
      <c r="J2133" s="38"/>
      <c r="K2133" s="38"/>
      <c r="L2133" s="42"/>
      <c r="M2133" s="42"/>
      <c r="N2133" s="42"/>
      <c r="O2133" s="42"/>
      <c r="R2133" s="37"/>
      <c r="S2133" s="37"/>
      <c r="T2133" s="91"/>
      <c r="U2133" s="91"/>
      <c r="V2133" s="41"/>
      <c r="W2133" s="37"/>
      <c r="X2133" s="37"/>
      <c r="Y2133" s="43"/>
      <c r="Z2133" s="37"/>
      <c r="AA2133" s="37"/>
      <c r="AD2133" s="37"/>
      <c r="AE2133" s="37"/>
      <c r="AF2133" s="37"/>
    </row>
    <row r="2134" spans="1:32" x14ac:dyDescent="0.25">
      <c r="A2134" s="37"/>
      <c r="B2134" s="37"/>
      <c r="C2134" s="37"/>
      <c r="F2134" s="38"/>
      <c r="G2134" s="38"/>
      <c r="H2134" s="38"/>
      <c r="I2134" s="37"/>
      <c r="J2134" s="38"/>
      <c r="K2134" s="38"/>
      <c r="L2134" s="42"/>
      <c r="M2134" s="42"/>
      <c r="N2134" s="42"/>
      <c r="O2134" s="42"/>
      <c r="R2134" s="37"/>
      <c r="S2134" s="37"/>
      <c r="T2134" s="91"/>
      <c r="U2134" s="91"/>
      <c r="V2134" s="41"/>
      <c r="W2134" s="37"/>
      <c r="X2134" s="37"/>
      <c r="Y2134" s="43"/>
      <c r="Z2134" s="37"/>
      <c r="AA2134" s="37"/>
      <c r="AD2134" s="37"/>
      <c r="AE2134" s="37"/>
      <c r="AF2134" s="37"/>
    </row>
    <row r="2135" spans="1:32" x14ac:dyDescent="0.25">
      <c r="A2135" s="37"/>
      <c r="B2135" s="37"/>
      <c r="C2135" s="37"/>
      <c r="F2135" s="38"/>
      <c r="G2135" s="38"/>
      <c r="H2135" s="38"/>
      <c r="I2135" s="37"/>
      <c r="J2135" s="38"/>
      <c r="K2135" s="38"/>
      <c r="L2135" s="42"/>
      <c r="M2135" s="42"/>
      <c r="N2135" s="42"/>
      <c r="O2135" s="42"/>
      <c r="R2135" s="37"/>
      <c r="S2135" s="37"/>
      <c r="T2135" s="91"/>
      <c r="U2135" s="91"/>
      <c r="V2135" s="41"/>
      <c r="W2135" s="37"/>
      <c r="X2135" s="37"/>
      <c r="Y2135" s="43"/>
      <c r="Z2135" s="37"/>
      <c r="AA2135" s="37"/>
      <c r="AD2135" s="37"/>
      <c r="AE2135" s="37"/>
      <c r="AF2135" s="37"/>
    </row>
    <row r="2136" spans="1:32" x14ac:dyDescent="0.25">
      <c r="A2136" s="37"/>
      <c r="B2136" s="37"/>
      <c r="C2136" s="37"/>
      <c r="F2136" s="38"/>
      <c r="G2136" s="38"/>
      <c r="H2136" s="38"/>
      <c r="I2136" s="37"/>
      <c r="J2136" s="38"/>
      <c r="K2136" s="38"/>
      <c r="L2136" s="42"/>
      <c r="M2136" s="42"/>
      <c r="N2136" s="42"/>
      <c r="O2136" s="42"/>
      <c r="R2136" s="37"/>
      <c r="S2136" s="37"/>
      <c r="T2136" s="91"/>
      <c r="U2136" s="91"/>
      <c r="V2136" s="41"/>
      <c r="W2136" s="37"/>
      <c r="X2136" s="37"/>
      <c r="Y2136" s="43"/>
      <c r="Z2136" s="37"/>
      <c r="AA2136" s="37"/>
      <c r="AD2136" s="37"/>
      <c r="AE2136" s="37"/>
      <c r="AF2136" s="37"/>
    </row>
    <row r="2137" spans="1:32" x14ac:dyDescent="0.25">
      <c r="A2137" s="37"/>
      <c r="B2137" s="37"/>
      <c r="C2137" s="37"/>
      <c r="F2137" s="38"/>
      <c r="G2137" s="38"/>
      <c r="H2137" s="38"/>
      <c r="I2137" s="37"/>
      <c r="J2137" s="38"/>
      <c r="K2137" s="38"/>
      <c r="L2137" s="42"/>
      <c r="M2137" s="42"/>
      <c r="N2137" s="42"/>
      <c r="O2137" s="42"/>
      <c r="R2137" s="37"/>
      <c r="S2137" s="37"/>
      <c r="T2137" s="91"/>
      <c r="U2137" s="91"/>
      <c r="V2137" s="41"/>
      <c r="W2137" s="37"/>
      <c r="X2137" s="37"/>
      <c r="Y2137" s="43"/>
      <c r="Z2137" s="37"/>
      <c r="AA2137" s="37"/>
      <c r="AD2137" s="37"/>
      <c r="AE2137" s="37"/>
      <c r="AF2137" s="37"/>
    </row>
    <row r="2138" spans="1:32" x14ac:dyDescent="0.25">
      <c r="A2138" s="37"/>
      <c r="B2138" s="37"/>
      <c r="C2138" s="37"/>
      <c r="F2138" s="38"/>
      <c r="G2138" s="38"/>
      <c r="H2138" s="38"/>
      <c r="I2138" s="37"/>
      <c r="J2138" s="38"/>
      <c r="K2138" s="38"/>
      <c r="L2138" s="42"/>
      <c r="M2138" s="42"/>
      <c r="N2138" s="42"/>
      <c r="O2138" s="42"/>
      <c r="R2138" s="37"/>
      <c r="S2138" s="37"/>
      <c r="T2138" s="91"/>
      <c r="U2138" s="91"/>
      <c r="V2138" s="41"/>
      <c r="W2138" s="37"/>
      <c r="X2138" s="37"/>
      <c r="Y2138" s="43"/>
      <c r="Z2138" s="37"/>
      <c r="AA2138" s="37"/>
      <c r="AD2138" s="37"/>
      <c r="AE2138" s="37"/>
      <c r="AF2138" s="37"/>
    </row>
    <row r="2139" spans="1:32" x14ac:dyDescent="0.25">
      <c r="A2139" s="37"/>
      <c r="B2139" s="37"/>
      <c r="C2139" s="37"/>
      <c r="F2139" s="38"/>
      <c r="G2139" s="38"/>
      <c r="H2139" s="38"/>
      <c r="I2139" s="37"/>
      <c r="J2139" s="38"/>
      <c r="K2139" s="38"/>
      <c r="L2139" s="42"/>
      <c r="M2139" s="42"/>
      <c r="N2139" s="42"/>
      <c r="O2139" s="42"/>
      <c r="R2139" s="37"/>
      <c r="S2139" s="37"/>
      <c r="T2139" s="91"/>
      <c r="U2139" s="91"/>
      <c r="V2139" s="41"/>
      <c r="W2139" s="37"/>
      <c r="X2139" s="37"/>
      <c r="Y2139" s="43"/>
      <c r="Z2139" s="37"/>
      <c r="AA2139" s="37"/>
      <c r="AD2139" s="37"/>
      <c r="AE2139" s="37"/>
      <c r="AF2139" s="37"/>
    </row>
    <row r="2140" spans="1:32" x14ac:dyDescent="0.25">
      <c r="A2140" s="37"/>
      <c r="B2140" s="37"/>
      <c r="C2140" s="37"/>
      <c r="F2140" s="38"/>
      <c r="G2140" s="38"/>
      <c r="H2140" s="38"/>
      <c r="I2140" s="37"/>
      <c r="J2140" s="38"/>
      <c r="K2140" s="38"/>
      <c r="L2140" s="42"/>
      <c r="M2140" s="42"/>
      <c r="N2140" s="42"/>
      <c r="O2140" s="42"/>
      <c r="R2140" s="37"/>
      <c r="S2140" s="37"/>
      <c r="T2140" s="91"/>
      <c r="U2140" s="91"/>
      <c r="V2140" s="41"/>
      <c r="W2140" s="37"/>
      <c r="X2140" s="37"/>
      <c r="Y2140" s="43"/>
      <c r="Z2140" s="37"/>
      <c r="AA2140" s="37"/>
      <c r="AD2140" s="37"/>
      <c r="AE2140" s="37"/>
      <c r="AF2140" s="37"/>
    </row>
    <row r="2141" spans="1:32" x14ac:dyDescent="0.25">
      <c r="A2141" s="37"/>
      <c r="B2141" s="37"/>
      <c r="C2141" s="37"/>
      <c r="F2141" s="38"/>
      <c r="G2141" s="38"/>
      <c r="H2141" s="38"/>
      <c r="I2141" s="37"/>
      <c r="J2141" s="38"/>
      <c r="K2141" s="38"/>
      <c r="L2141" s="42"/>
      <c r="M2141" s="42"/>
      <c r="N2141" s="42"/>
      <c r="O2141" s="42"/>
      <c r="R2141" s="37"/>
      <c r="S2141" s="37"/>
      <c r="T2141" s="91"/>
      <c r="U2141" s="91"/>
      <c r="V2141" s="41"/>
      <c r="W2141" s="37"/>
      <c r="X2141" s="37"/>
      <c r="Y2141" s="43"/>
      <c r="Z2141" s="37"/>
      <c r="AA2141" s="37"/>
      <c r="AD2141" s="37"/>
      <c r="AE2141" s="37"/>
      <c r="AF2141" s="37"/>
    </row>
    <row r="2142" spans="1:32" x14ac:dyDescent="0.25">
      <c r="A2142" s="37"/>
      <c r="B2142" s="37"/>
      <c r="C2142" s="37"/>
      <c r="F2142" s="38"/>
      <c r="G2142" s="38"/>
      <c r="H2142" s="38"/>
      <c r="I2142" s="37"/>
      <c r="J2142" s="38"/>
      <c r="K2142" s="38"/>
      <c r="L2142" s="42"/>
      <c r="M2142" s="42"/>
      <c r="N2142" s="42"/>
      <c r="O2142" s="42"/>
      <c r="R2142" s="37"/>
      <c r="S2142" s="37"/>
      <c r="T2142" s="91"/>
      <c r="U2142" s="91"/>
      <c r="V2142" s="41"/>
      <c r="W2142" s="37"/>
      <c r="X2142" s="37"/>
      <c r="Y2142" s="43"/>
      <c r="Z2142" s="37"/>
      <c r="AA2142" s="37"/>
      <c r="AD2142" s="37"/>
      <c r="AE2142" s="37"/>
      <c r="AF2142" s="37"/>
    </row>
    <row r="2143" spans="1:32" x14ac:dyDescent="0.25">
      <c r="A2143" s="37"/>
      <c r="B2143" s="37"/>
      <c r="C2143" s="37"/>
      <c r="F2143" s="38"/>
      <c r="G2143" s="38"/>
      <c r="H2143" s="38"/>
      <c r="I2143" s="37"/>
      <c r="J2143" s="38"/>
      <c r="K2143" s="38"/>
      <c r="L2143" s="42"/>
      <c r="M2143" s="42"/>
      <c r="N2143" s="42"/>
      <c r="O2143" s="42"/>
      <c r="R2143" s="37"/>
      <c r="S2143" s="37"/>
      <c r="T2143" s="91"/>
      <c r="U2143" s="91"/>
      <c r="V2143" s="41"/>
      <c r="W2143" s="37"/>
      <c r="X2143" s="37"/>
      <c r="Y2143" s="43"/>
      <c r="Z2143" s="37"/>
      <c r="AA2143" s="37"/>
      <c r="AD2143" s="37"/>
      <c r="AE2143" s="37"/>
      <c r="AF2143" s="37"/>
    </row>
    <row r="2144" spans="1:32" x14ac:dyDescent="0.25">
      <c r="A2144" s="37"/>
      <c r="B2144" s="37"/>
      <c r="C2144" s="37"/>
      <c r="F2144" s="38"/>
      <c r="G2144" s="38"/>
      <c r="H2144" s="38"/>
      <c r="I2144" s="37"/>
      <c r="J2144" s="38"/>
      <c r="K2144" s="38"/>
      <c r="L2144" s="42"/>
      <c r="M2144" s="42"/>
      <c r="N2144" s="42"/>
      <c r="O2144" s="42"/>
      <c r="R2144" s="37"/>
      <c r="S2144" s="37"/>
      <c r="T2144" s="91"/>
      <c r="U2144" s="91"/>
      <c r="V2144" s="41"/>
      <c r="W2144" s="37"/>
      <c r="X2144" s="37"/>
      <c r="Y2144" s="43"/>
      <c r="Z2144" s="37"/>
      <c r="AA2144" s="37"/>
      <c r="AD2144" s="37"/>
      <c r="AE2144" s="37"/>
      <c r="AF2144" s="37"/>
    </row>
    <row r="2145" spans="1:32" x14ac:dyDescent="0.25">
      <c r="A2145" s="37"/>
      <c r="B2145" s="37"/>
      <c r="C2145" s="37"/>
      <c r="F2145" s="38"/>
      <c r="G2145" s="38"/>
      <c r="H2145" s="38"/>
      <c r="I2145" s="37"/>
      <c r="J2145" s="38"/>
      <c r="K2145" s="38"/>
      <c r="L2145" s="42"/>
      <c r="M2145" s="42"/>
      <c r="N2145" s="42"/>
      <c r="O2145" s="42"/>
      <c r="R2145" s="37"/>
      <c r="S2145" s="37"/>
      <c r="T2145" s="91"/>
      <c r="U2145" s="91"/>
      <c r="V2145" s="41"/>
      <c r="W2145" s="37"/>
      <c r="X2145" s="37"/>
      <c r="Y2145" s="43"/>
      <c r="Z2145" s="37"/>
      <c r="AA2145" s="37"/>
      <c r="AD2145" s="37"/>
      <c r="AE2145" s="37"/>
      <c r="AF2145" s="37"/>
    </row>
    <row r="2146" spans="1:32" x14ac:dyDescent="0.25">
      <c r="A2146" s="37"/>
      <c r="B2146" s="37"/>
      <c r="C2146" s="37"/>
      <c r="F2146" s="38"/>
      <c r="G2146" s="38"/>
      <c r="H2146" s="38"/>
      <c r="I2146" s="37"/>
      <c r="J2146" s="38"/>
      <c r="K2146" s="38"/>
      <c r="L2146" s="42"/>
      <c r="M2146" s="42"/>
      <c r="N2146" s="42"/>
      <c r="O2146" s="42"/>
      <c r="R2146" s="37"/>
      <c r="S2146" s="37"/>
      <c r="T2146" s="91"/>
      <c r="U2146" s="91"/>
      <c r="V2146" s="41"/>
      <c r="W2146" s="37"/>
      <c r="X2146" s="37"/>
      <c r="Y2146" s="43"/>
      <c r="Z2146" s="37"/>
      <c r="AA2146" s="37"/>
      <c r="AD2146" s="37"/>
      <c r="AE2146" s="37"/>
      <c r="AF2146" s="37"/>
    </row>
    <row r="2147" spans="1:32" x14ac:dyDescent="0.25">
      <c r="A2147" s="37"/>
      <c r="B2147" s="37"/>
      <c r="C2147" s="37"/>
      <c r="F2147" s="38"/>
      <c r="G2147" s="38"/>
      <c r="H2147" s="38"/>
      <c r="I2147" s="37"/>
      <c r="J2147" s="38"/>
      <c r="K2147" s="38"/>
      <c r="L2147" s="42"/>
      <c r="M2147" s="42"/>
      <c r="N2147" s="42"/>
      <c r="O2147" s="42"/>
      <c r="R2147" s="37"/>
      <c r="S2147" s="37"/>
      <c r="T2147" s="91"/>
      <c r="U2147" s="91"/>
      <c r="V2147" s="41"/>
      <c r="W2147" s="37"/>
      <c r="X2147" s="37"/>
      <c r="Y2147" s="43"/>
      <c r="Z2147" s="37"/>
      <c r="AA2147" s="37"/>
      <c r="AD2147" s="37"/>
      <c r="AE2147" s="37"/>
      <c r="AF2147" s="37"/>
    </row>
    <row r="2148" spans="1:32" x14ac:dyDescent="0.25">
      <c r="A2148" s="37"/>
      <c r="B2148" s="37"/>
      <c r="C2148" s="37"/>
      <c r="F2148" s="38"/>
      <c r="G2148" s="38"/>
      <c r="H2148" s="38"/>
      <c r="I2148" s="37"/>
      <c r="J2148" s="38"/>
      <c r="K2148" s="38"/>
      <c r="L2148" s="42"/>
      <c r="M2148" s="42"/>
      <c r="N2148" s="42"/>
      <c r="O2148" s="42"/>
      <c r="R2148" s="37"/>
      <c r="S2148" s="37"/>
      <c r="T2148" s="91"/>
      <c r="U2148" s="91"/>
      <c r="V2148" s="41"/>
      <c r="W2148" s="37"/>
      <c r="X2148" s="37"/>
      <c r="Y2148" s="43"/>
      <c r="Z2148" s="37"/>
      <c r="AA2148" s="37"/>
      <c r="AD2148" s="37"/>
      <c r="AE2148" s="37"/>
      <c r="AF2148" s="37"/>
    </row>
    <row r="2149" spans="1:32" x14ac:dyDescent="0.25">
      <c r="A2149" s="37"/>
      <c r="B2149" s="37"/>
      <c r="C2149" s="37"/>
      <c r="F2149" s="38"/>
      <c r="G2149" s="38"/>
      <c r="H2149" s="38"/>
      <c r="I2149" s="37"/>
      <c r="J2149" s="38"/>
      <c r="K2149" s="38"/>
      <c r="L2149" s="42"/>
      <c r="M2149" s="42"/>
      <c r="N2149" s="42"/>
      <c r="O2149" s="42"/>
      <c r="R2149" s="37"/>
      <c r="S2149" s="37"/>
      <c r="T2149" s="91"/>
      <c r="U2149" s="91"/>
      <c r="V2149" s="41"/>
      <c r="W2149" s="37"/>
      <c r="X2149" s="37"/>
      <c r="Y2149" s="43"/>
      <c r="Z2149" s="37"/>
      <c r="AA2149" s="37"/>
      <c r="AD2149" s="37"/>
      <c r="AE2149" s="37"/>
      <c r="AF2149" s="37"/>
    </row>
    <row r="2150" spans="1:32" x14ac:dyDescent="0.25">
      <c r="A2150" s="37"/>
      <c r="B2150" s="37"/>
      <c r="C2150" s="37"/>
      <c r="F2150" s="38"/>
      <c r="G2150" s="38"/>
      <c r="H2150" s="38"/>
      <c r="I2150" s="37"/>
      <c r="J2150" s="38"/>
      <c r="K2150" s="38"/>
      <c r="L2150" s="42"/>
      <c r="M2150" s="42"/>
      <c r="N2150" s="42"/>
      <c r="O2150" s="42"/>
      <c r="R2150" s="37"/>
      <c r="S2150" s="37"/>
      <c r="T2150" s="91"/>
      <c r="U2150" s="91"/>
      <c r="V2150" s="41"/>
      <c r="W2150" s="37"/>
      <c r="X2150" s="37"/>
      <c r="Y2150" s="43"/>
      <c r="Z2150" s="37"/>
      <c r="AA2150" s="37"/>
      <c r="AD2150" s="37"/>
      <c r="AE2150" s="37"/>
      <c r="AF2150" s="37"/>
    </row>
    <row r="2151" spans="1:32" x14ac:dyDescent="0.25">
      <c r="A2151" s="37"/>
      <c r="B2151" s="37"/>
      <c r="C2151" s="37"/>
      <c r="F2151" s="38"/>
      <c r="G2151" s="38"/>
      <c r="H2151" s="38"/>
      <c r="I2151" s="37"/>
      <c r="J2151" s="38"/>
      <c r="K2151" s="38"/>
      <c r="L2151" s="42"/>
      <c r="M2151" s="42"/>
      <c r="N2151" s="42"/>
      <c r="O2151" s="42"/>
      <c r="R2151" s="37"/>
      <c r="S2151" s="37"/>
      <c r="T2151" s="91"/>
      <c r="U2151" s="91"/>
      <c r="V2151" s="41"/>
      <c r="W2151" s="37"/>
      <c r="X2151" s="37"/>
      <c r="Y2151" s="43"/>
      <c r="Z2151" s="37"/>
      <c r="AA2151" s="37"/>
      <c r="AD2151" s="37"/>
      <c r="AE2151" s="37"/>
      <c r="AF2151" s="37"/>
    </row>
    <row r="2152" spans="1:32" x14ac:dyDescent="0.25">
      <c r="A2152" s="37"/>
      <c r="B2152" s="37"/>
      <c r="C2152" s="37"/>
      <c r="F2152" s="38"/>
      <c r="G2152" s="38"/>
      <c r="H2152" s="38"/>
      <c r="I2152" s="37"/>
      <c r="J2152" s="38"/>
      <c r="K2152" s="38"/>
      <c r="L2152" s="42"/>
      <c r="M2152" s="42"/>
      <c r="N2152" s="42"/>
      <c r="O2152" s="42"/>
      <c r="R2152" s="37"/>
      <c r="S2152" s="37"/>
      <c r="T2152" s="91"/>
      <c r="U2152" s="91"/>
      <c r="V2152" s="41"/>
      <c r="W2152" s="37"/>
      <c r="X2152" s="37"/>
      <c r="Y2152" s="43"/>
      <c r="Z2152" s="37"/>
      <c r="AA2152" s="37"/>
      <c r="AD2152" s="37"/>
      <c r="AE2152" s="37"/>
      <c r="AF2152" s="37"/>
    </row>
    <row r="2153" spans="1:32" x14ac:dyDescent="0.25">
      <c r="A2153" s="37"/>
      <c r="B2153" s="37"/>
      <c r="C2153" s="37"/>
      <c r="F2153" s="38"/>
      <c r="G2153" s="38"/>
      <c r="H2153" s="38"/>
      <c r="I2153" s="37"/>
      <c r="J2153" s="38"/>
      <c r="K2153" s="38"/>
      <c r="L2153" s="42"/>
      <c r="M2153" s="42"/>
      <c r="N2153" s="42"/>
      <c r="O2153" s="42"/>
      <c r="R2153" s="37"/>
      <c r="S2153" s="37"/>
      <c r="T2153" s="91"/>
      <c r="U2153" s="91"/>
      <c r="V2153" s="41"/>
      <c r="W2153" s="37"/>
      <c r="X2153" s="37"/>
      <c r="Y2153" s="43"/>
      <c r="Z2153" s="37"/>
      <c r="AA2153" s="37"/>
      <c r="AD2153" s="37"/>
      <c r="AE2153" s="37"/>
      <c r="AF2153" s="37"/>
    </row>
    <row r="2154" spans="1:32" x14ac:dyDescent="0.25">
      <c r="A2154" s="37"/>
      <c r="B2154" s="37"/>
      <c r="C2154" s="37"/>
      <c r="F2154" s="38"/>
      <c r="G2154" s="38"/>
      <c r="H2154" s="38"/>
      <c r="I2154" s="37"/>
      <c r="J2154" s="38"/>
      <c r="K2154" s="38"/>
      <c r="L2154" s="42"/>
      <c r="M2154" s="42"/>
      <c r="N2154" s="42"/>
      <c r="O2154" s="42"/>
      <c r="R2154" s="37"/>
      <c r="S2154" s="37"/>
      <c r="T2154" s="91"/>
      <c r="U2154" s="91"/>
      <c r="V2154" s="41"/>
      <c r="W2154" s="37"/>
      <c r="X2154" s="37"/>
      <c r="Y2154" s="43"/>
      <c r="Z2154" s="37"/>
      <c r="AA2154" s="37"/>
      <c r="AD2154" s="37"/>
      <c r="AE2154" s="37"/>
      <c r="AF2154" s="37"/>
    </row>
    <row r="2155" spans="1:32" x14ac:dyDescent="0.25">
      <c r="A2155" s="37"/>
      <c r="B2155" s="37"/>
      <c r="C2155" s="37"/>
      <c r="F2155" s="38"/>
      <c r="G2155" s="38"/>
      <c r="H2155" s="38"/>
      <c r="I2155" s="37"/>
      <c r="J2155" s="38"/>
      <c r="K2155" s="38"/>
      <c r="L2155" s="42"/>
      <c r="M2155" s="42"/>
      <c r="N2155" s="42"/>
      <c r="O2155" s="42"/>
      <c r="R2155" s="37"/>
      <c r="S2155" s="37"/>
      <c r="T2155" s="91"/>
      <c r="U2155" s="91"/>
      <c r="V2155" s="41"/>
      <c r="W2155" s="37"/>
      <c r="X2155" s="37"/>
      <c r="Y2155" s="43"/>
      <c r="Z2155" s="37"/>
      <c r="AA2155" s="37"/>
      <c r="AD2155" s="37"/>
      <c r="AE2155" s="37"/>
      <c r="AF2155" s="37"/>
    </row>
    <row r="2156" spans="1:32" x14ac:dyDescent="0.25">
      <c r="A2156" s="37"/>
      <c r="B2156" s="37"/>
      <c r="C2156" s="37"/>
      <c r="F2156" s="38"/>
      <c r="G2156" s="38"/>
      <c r="H2156" s="38"/>
      <c r="I2156" s="37"/>
      <c r="J2156" s="38"/>
      <c r="K2156" s="38"/>
      <c r="L2156" s="42"/>
      <c r="M2156" s="42"/>
      <c r="N2156" s="42"/>
      <c r="O2156" s="42"/>
      <c r="R2156" s="37"/>
      <c r="S2156" s="37"/>
      <c r="T2156" s="91"/>
      <c r="U2156" s="91"/>
      <c r="V2156" s="41"/>
      <c r="W2156" s="37"/>
      <c r="X2156" s="37"/>
      <c r="Y2156" s="43"/>
      <c r="Z2156" s="37"/>
      <c r="AA2156" s="37"/>
      <c r="AD2156" s="37"/>
      <c r="AE2156" s="37"/>
      <c r="AF2156" s="37"/>
    </row>
    <row r="2157" spans="1:32" x14ac:dyDescent="0.25">
      <c r="A2157" s="37"/>
      <c r="B2157" s="37"/>
      <c r="C2157" s="37"/>
      <c r="F2157" s="38"/>
      <c r="G2157" s="38"/>
      <c r="H2157" s="38"/>
      <c r="I2157" s="37"/>
      <c r="J2157" s="38"/>
      <c r="K2157" s="38"/>
      <c r="L2157" s="42"/>
      <c r="M2157" s="42"/>
      <c r="N2157" s="42"/>
      <c r="O2157" s="42"/>
      <c r="R2157" s="37"/>
      <c r="S2157" s="37"/>
      <c r="T2157" s="91"/>
      <c r="U2157" s="91"/>
      <c r="V2157" s="41"/>
      <c r="W2157" s="37"/>
      <c r="X2157" s="37"/>
      <c r="Y2157" s="43"/>
      <c r="Z2157" s="37"/>
      <c r="AA2157" s="37"/>
      <c r="AD2157" s="37"/>
      <c r="AE2157" s="37"/>
      <c r="AF2157" s="37"/>
    </row>
    <row r="2158" spans="1:32" x14ac:dyDescent="0.25">
      <c r="A2158" s="37"/>
      <c r="B2158" s="37"/>
      <c r="C2158" s="37"/>
      <c r="F2158" s="38"/>
      <c r="G2158" s="38"/>
      <c r="H2158" s="38"/>
      <c r="I2158" s="37"/>
      <c r="J2158" s="38"/>
      <c r="K2158" s="38"/>
      <c r="L2158" s="42"/>
      <c r="M2158" s="42"/>
      <c r="N2158" s="42"/>
      <c r="O2158" s="42"/>
      <c r="R2158" s="37"/>
      <c r="S2158" s="37"/>
      <c r="T2158" s="91"/>
      <c r="U2158" s="91"/>
      <c r="V2158" s="41"/>
      <c r="W2158" s="37"/>
      <c r="X2158" s="37"/>
      <c r="Y2158" s="43"/>
      <c r="Z2158" s="37"/>
      <c r="AA2158" s="37"/>
      <c r="AD2158" s="37"/>
      <c r="AE2158" s="37"/>
      <c r="AF2158" s="37"/>
    </row>
    <row r="2159" spans="1:32" x14ac:dyDescent="0.25">
      <c r="A2159" s="37"/>
      <c r="B2159" s="37"/>
      <c r="C2159" s="37"/>
      <c r="F2159" s="38"/>
      <c r="G2159" s="38"/>
      <c r="H2159" s="38"/>
      <c r="I2159" s="37"/>
      <c r="J2159" s="38"/>
      <c r="K2159" s="38"/>
      <c r="L2159" s="42"/>
      <c r="M2159" s="42"/>
      <c r="N2159" s="42"/>
      <c r="O2159" s="42"/>
      <c r="R2159" s="37"/>
      <c r="S2159" s="37"/>
      <c r="T2159" s="91"/>
      <c r="U2159" s="91"/>
      <c r="V2159" s="41"/>
      <c r="W2159" s="37"/>
      <c r="X2159" s="37"/>
      <c r="Y2159" s="43"/>
      <c r="Z2159" s="37"/>
      <c r="AA2159" s="37"/>
      <c r="AD2159" s="37"/>
      <c r="AE2159" s="37"/>
      <c r="AF2159" s="37"/>
    </row>
    <row r="2160" spans="1:32" x14ac:dyDescent="0.25">
      <c r="A2160" s="37"/>
      <c r="B2160" s="37"/>
      <c r="C2160" s="37"/>
      <c r="F2160" s="38"/>
      <c r="G2160" s="38"/>
      <c r="H2160" s="38"/>
      <c r="I2160" s="37"/>
      <c r="J2160" s="38"/>
      <c r="K2160" s="38"/>
      <c r="L2160" s="42"/>
      <c r="M2160" s="42"/>
      <c r="N2160" s="42"/>
      <c r="O2160" s="42"/>
      <c r="R2160" s="37"/>
      <c r="S2160" s="37"/>
      <c r="T2160" s="91"/>
      <c r="U2160" s="91"/>
      <c r="V2160" s="41"/>
      <c r="W2160" s="37"/>
      <c r="X2160" s="37"/>
      <c r="Y2160" s="43"/>
      <c r="Z2160" s="37"/>
      <c r="AA2160" s="37"/>
      <c r="AD2160" s="37"/>
      <c r="AE2160" s="37"/>
      <c r="AF2160" s="37"/>
    </row>
    <row r="2161" spans="1:32" x14ac:dyDescent="0.25">
      <c r="A2161" s="37"/>
      <c r="B2161" s="37"/>
      <c r="C2161" s="37"/>
      <c r="F2161" s="38"/>
      <c r="G2161" s="38"/>
      <c r="H2161" s="38"/>
      <c r="I2161" s="37"/>
      <c r="J2161" s="38"/>
      <c r="K2161" s="38"/>
      <c r="L2161" s="42"/>
      <c r="M2161" s="42"/>
      <c r="N2161" s="42"/>
      <c r="O2161" s="42"/>
      <c r="R2161" s="37"/>
      <c r="S2161" s="37"/>
      <c r="T2161" s="91"/>
      <c r="U2161" s="91"/>
      <c r="V2161" s="41"/>
      <c r="W2161" s="37"/>
      <c r="X2161" s="37"/>
      <c r="Y2161" s="43"/>
      <c r="Z2161" s="37"/>
      <c r="AA2161" s="37"/>
      <c r="AD2161" s="37"/>
      <c r="AE2161" s="37"/>
      <c r="AF2161" s="37"/>
    </row>
    <row r="2162" spans="1:32" x14ac:dyDescent="0.25">
      <c r="A2162" s="37"/>
      <c r="B2162" s="37"/>
      <c r="C2162" s="37"/>
      <c r="F2162" s="38"/>
      <c r="G2162" s="38"/>
      <c r="H2162" s="38"/>
      <c r="I2162" s="37"/>
      <c r="J2162" s="38"/>
      <c r="K2162" s="38"/>
      <c r="L2162" s="42"/>
      <c r="M2162" s="42"/>
      <c r="N2162" s="42"/>
      <c r="O2162" s="42"/>
      <c r="R2162" s="37"/>
      <c r="S2162" s="37"/>
      <c r="T2162" s="91"/>
      <c r="U2162" s="91"/>
      <c r="V2162" s="41"/>
      <c r="W2162" s="37"/>
      <c r="X2162" s="37"/>
      <c r="Y2162" s="43"/>
      <c r="Z2162" s="37"/>
      <c r="AA2162" s="37"/>
      <c r="AD2162" s="37"/>
      <c r="AE2162" s="37"/>
      <c r="AF2162" s="37"/>
    </row>
    <row r="2163" spans="1:32" x14ac:dyDescent="0.25">
      <c r="A2163" s="37"/>
      <c r="B2163" s="37"/>
      <c r="C2163" s="37"/>
      <c r="F2163" s="38"/>
      <c r="G2163" s="38"/>
      <c r="H2163" s="38"/>
      <c r="I2163" s="37"/>
      <c r="J2163" s="38"/>
      <c r="K2163" s="38"/>
      <c r="L2163" s="42"/>
      <c r="M2163" s="42"/>
      <c r="N2163" s="42"/>
      <c r="O2163" s="42"/>
      <c r="R2163" s="37"/>
      <c r="S2163" s="37"/>
      <c r="T2163" s="91"/>
      <c r="U2163" s="91"/>
      <c r="V2163" s="41"/>
      <c r="W2163" s="37"/>
      <c r="X2163" s="37"/>
      <c r="Y2163" s="43"/>
      <c r="Z2163" s="37"/>
      <c r="AA2163" s="37"/>
      <c r="AD2163" s="37"/>
      <c r="AE2163" s="37"/>
      <c r="AF2163" s="37"/>
    </row>
    <row r="2164" spans="1:32" x14ac:dyDescent="0.25">
      <c r="A2164" s="37"/>
      <c r="B2164" s="37"/>
      <c r="C2164" s="37"/>
      <c r="F2164" s="38"/>
      <c r="G2164" s="38"/>
      <c r="H2164" s="38"/>
      <c r="I2164" s="37"/>
      <c r="J2164" s="38"/>
      <c r="K2164" s="38"/>
      <c r="L2164" s="42"/>
      <c r="M2164" s="42"/>
      <c r="N2164" s="42"/>
      <c r="O2164" s="42"/>
      <c r="R2164" s="37"/>
      <c r="S2164" s="37"/>
      <c r="T2164" s="91"/>
      <c r="U2164" s="91"/>
      <c r="V2164" s="41"/>
      <c r="W2164" s="37"/>
      <c r="X2164" s="37"/>
      <c r="Y2164" s="43"/>
      <c r="Z2164" s="37"/>
      <c r="AA2164" s="37"/>
      <c r="AD2164" s="37"/>
      <c r="AE2164" s="37"/>
      <c r="AF2164" s="37"/>
    </row>
    <row r="2165" spans="1:32" x14ac:dyDescent="0.25">
      <c r="A2165" s="37"/>
      <c r="B2165" s="37"/>
      <c r="C2165" s="37"/>
      <c r="F2165" s="38"/>
      <c r="G2165" s="38"/>
      <c r="H2165" s="38"/>
      <c r="I2165" s="37"/>
      <c r="J2165" s="38"/>
      <c r="K2165" s="38"/>
      <c r="L2165" s="42"/>
      <c r="M2165" s="42"/>
      <c r="N2165" s="42"/>
      <c r="O2165" s="42"/>
      <c r="R2165" s="37"/>
      <c r="S2165" s="37"/>
      <c r="T2165" s="91"/>
      <c r="U2165" s="91"/>
      <c r="V2165" s="41"/>
      <c r="W2165" s="37"/>
      <c r="X2165" s="37"/>
      <c r="Y2165" s="43"/>
      <c r="Z2165" s="37"/>
      <c r="AA2165" s="37"/>
      <c r="AD2165" s="37"/>
      <c r="AE2165" s="37"/>
      <c r="AF2165" s="37"/>
    </row>
    <row r="2166" spans="1:32" x14ac:dyDescent="0.25">
      <c r="A2166" s="37"/>
      <c r="B2166" s="37"/>
      <c r="C2166" s="37"/>
      <c r="F2166" s="38"/>
      <c r="G2166" s="38"/>
      <c r="H2166" s="38"/>
      <c r="I2166" s="37"/>
      <c r="J2166" s="38"/>
      <c r="K2166" s="38"/>
      <c r="L2166" s="42"/>
      <c r="M2166" s="42"/>
      <c r="N2166" s="42"/>
      <c r="O2166" s="42"/>
      <c r="R2166" s="37"/>
      <c r="S2166" s="37"/>
      <c r="T2166" s="91"/>
      <c r="U2166" s="91"/>
      <c r="V2166" s="41"/>
      <c r="W2166" s="37"/>
      <c r="X2166" s="37"/>
      <c r="Y2166" s="43"/>
      <c r="Z2166" s="37"/>
      <c r="AA2166" s="37"/>
      <c r="AD2166" s="37"/>
      <c r="AE2166" s="37"/>
      <c r="AF2166" s="37"/>
    </row>
    <row r="2167" spans="1:32" x14ac:dyDescent="0.25">
      <c r="A2167" s="37"/>
      <c r="B2167" s="37"/>
      <c r="C2167" s="37"/>
      <c r="F2167" s="38"/>
      <c r="G2167" s="38"/>
      <c r="H2167" s="38"/>
      <c r="I2167" s="37"/>
      <c r="J2167" s="38"/>
      <c r="K2167" s="38"/>
      <c r="L2167" s="42"/>
      <c r="M2167" s="42"/>
      <c r="N2167" s="42"/>
      <c r="O2167" s="42"/>
      <c r="R2167" s="37"/>
      <c r="S2167" s="37"/>
      <c r="T2167" s="91"/>
      <c r="U2167" s="91"/>
      <c r="V2167" s="41"/>
      <c r="W2167" s="37"/>
      <c r="X2167" s="37"/>
      <c r="Y2167" s="43"/>
      <c r="Z2167" s="37"/>
      <c r="AA2167" s="37"/>
      <c r="AD2167" s="37"/>
      <c r="AE2167" s="37"/>
      <c r="AF2167" s="37"/>
    </row>
    <row r="2168" spans="1:32" x14ac:dyDescent="0.25">
      <c r="A2168" s="37"/>
      <c r="B2168" s="37"/>
      <c r="C2168" s="37"/>
      <c r="F2168" s="38"/>
      <c r="G2168" s="38"/>
      <c r="H2168" s="38"/>
      <c r="I2168" s="37"/>
      <c r="J2168" s="38"/>
      <c r="K2168" s="38"/>
      <c r="L2168" s="42"/>
      <c r="M2168" s="42"/>
      <c r="N2168" s="42"/>
      <c r="O2168" s="42"/>
      <c r="R2168" s="37"/>
      <c r="S2168" s="37"/>
      <c r="T2168" s="91"/>
      <c r="U2168" s="91"/>
      <c r="V2168" s="41"/>
      <c r="W2168" s="37"/>
      <c r="X2168" s="37"/>
      <c r="Y2168" s="43"/>
      <c r="Z2168" s="37"/>
      <c r="AA2168" s="37"/>
      <c r="AD2168" s="37"/>
      <c r="AE2168" s="37"/>
      <c r="AF2168" s="37"/>
    </row>
    <row r="2169" spans="1:32" x14ac:dyDescent="0.25">
      <c r="A2169" s="37"/>
      <c r="B2169" s="37"/>
      <c r="C2169" s="37"/>
      <c r="F2169" s="38"/>
      <c r="G2169" s="38"/>
      <c r="H2169" s="38"/>
      <c r="I2169" s="37"/>
      <c r="J2169" s="38"/>
      <c r="K2169" s="38"/>
      <c r="L2169" s="42"/>
      <c r="M2169" s="42"/>
      <c r="N2169" s="42"/>
      <c r="O2169" s="42"/>
      <c r="R2169" s="37"/>
      <c r="S2169" s="37"/>
      <c r="T2169" s="91"/>
      <c r="U2169" s="91"/>
      <c r="V2169" s="41"/>
      <c r="W2169" s="37"/>
      <c r="X2169" s="37"/>
      <c r="Y2169" s="43"/>
      <c r="Z2169" s="37"/>
      <c r="AA2169" s="37"/>
      <c r="AD2169" s="37"/>
      <c r="AE2169" s="37"/>
      <c r="AF2169" s="37"/>
    </row>
    <row r="2170" spans="1:32" x14ac:dyDescent="0.25">
      <c r="A2170" s="37"/>
      <c r="B2170" s="37"/>
      <c r="C2170" s="37"/>
      <c r="F2170" s="38"/>
      <c r="G2170" s="38"/>
      <c r="H2170" s="38"/>
      <c r="I2170" s="37"/>
      <c r="J2170" s="38"/>
      <c r="K2170" s="38"/>
      <c r="L2170" s="42"/>
      <c r="M2170" s="42"/>
      <c r="N2170" s="42"/>
      <c r="O2170" s="42"/>
      <c r="R2170" s="37"/>
      <c r="S2170" s="37"/>
      <c r="T2170" s="91"/>
      <c r="U2170" s="91"/>
      <c r="V2170" s="41"/>
      <c r="W2170" s="37"/>
      <c r="X2170" s="37"/>
      <c r="Y2170" s="43"/>
      <c r="Z2170" s="37"/>
      <c r="AA2170" s="37"/>
      <c r="AD2170" s="37"/>
      <c r="AE2170" s="37"/>
      <c r="AF2170" s="37"/>
    </row>
    <row r="2171" spans="1:32" x14ac:dyDescent="0.25">
      <c r="A2171" s="37"/>
      <c r="B2171" s="37"/>
      <c r="C2171" s="37"/>
      <c r="F2171" s="38"/>
      <c r="G2171" s="38"/>
      <c r="H2171" s="38"/>
      <c r="I2171" s="37"/>
      <c r="J2171" s="38"/>
      <c r="K2171" s="38"/>
      <c r="L2171" s="42"/>
      <c r="M2171" s="42"/>
      <c r="N2171" s="42"/>
      <c r="O2171" s="42"/>
      <c r="R2171" s="37"/>
      <c r="S2171" s="37"/>
      <c r="T2171" s="91"/>
      <c r="U2171" s="91"/>
      <c r="V2171" s="41"/>
      <c r="W2171" s="37"/>
      <c r="X2171" s="37"/>
      <c r="Y2171" s="43"/>
      <c r="Z2171" s="37"/>
      <c r="AA2171" s="37"/>
      <c r="AD2171" s="37"/>
      <c r="AE2171" s="37"/>
      <c r="AF2171" s="37"/>
    </row>
    <row r="2172" spans="1:32" x14ac:dyDescent="0.25">
      <c r="A2172" s="37"/>
      <c r="B2172" s="37"/>
      <c r="C2172" s="37"/>
      <c r="F2172" s="38"/>
      <c r="G2172" s="38"/>
      <c r="H2172" s="38"/>
      <c r="I2172" s="37"/>
      <c r="J2172" s="38"/>
      <c r="K2172" s="38"/>
      <c r="L2172" s="42"/>
      <c r="M2172" s="42"/>
      <c r="N2172" s="42"/>
      <c r="O2172" s="42"/>
      <c r="R2172" s="37"/>
      <c r="S2172" s="37"/>
      <c r="T2172" s="91"/>
      <c r="U2172" s="91"/>
      <c r="V2172" s="41"/>
      <c r="W2172" s="37"/>
      <c r="X2172" s="37"/>
      <c r="Y2172" s="43"/>
      <c r="Z2172" s="37"/>
      <c r="AA2172" s="37"/>
      <c r="AD2172" s="37"/>
      <c r="AE2172" s="37"/>
      <c r="AF2172" s="37"/>
    </row>
    <row r="2173" spans="1:32" x14ac:dyDescent="0.25">
      <c r="A2173" s="37"/>
      <c r="B2173" s="37"/>
      <c r="C2173" s="37"/>
      <c r="F2173" s="38"/>
      <c r="G2173" s="38"/>
      <c r="H2173" s="38"/>
      <c r="I2173" s="37"/>
      <c r="J2173" s="38"/>
      <c r="K2173" s="38"/>
      <c r="L2173" s="42"/>
      <c r="M2173" s="42"/>
      <c r="N2173" s="42"/>
      <c r="O2173" s="42"/>
      <c r="R2173" s="37"/>
      <c r="S2173" s="37"/>
      <c r="T2173" s="91"/>
      <c r="U2173" s="91"/>
      <c r="V2173" s="41"/>
      <c r="W2173" s="37"/>
      <c r="X2173" s="37"/>
      <c r="Y2173" s="43"/>
      <c r="Z2173" s="37"/>
      <c r="AA2173" s="37"/>
      <c r="AD2173" s="37"/>
      <c r="AE2173" s="37"/>
      <c r="AF2173" s="37"/>
    </row>
    <row r="2174" spans="1:32" x14ac:dyDescent="0.25">
      <c r="A2174" s="37"/>
      <c r="B2174" s="37"/>
      <c r="C2174" s="37"/>
      <c r="F2174" s="38"/>
      <c r="G2174" s="38"/>
      <c r="H2174" s="38"/>
      <c r="I2174" s="37"/>
      <c r="J2174" s="38"/>
      <c r="K2174" s="38"/>
      <c r="L2174" s="42"/>
      <c r="M2174" s="42"/>
      <c r="N2174" s="42"/>
      <c r="O2174" s="42"/>
      <c r="R2174" s="37"/>
      <c r="S2174" s="37"/>
      <c r="T2174" s="91"/>
      <c r="U2174" s="91"/>
      <c r="V2174" s="41"/>
      <c r="W2174" s="37"/>
      <c r="X2174" s="37"/>
      <c r="Y2174" s="43"/>
      <c r="Z2174" s="37"/>
      <c r="AA2174" s="37"/>
      <c r="AD2174" s="37"/>
      <c r="AE2174" s="37"/>
      <c r="AF2174" s="37"/>
    </row>
    <row r="2175" spans="1:32" x14ac:dyDescent="0.25">
      <c r="A2175" s="37"/>
      <c r="B2175" s="37"/>
      <c r="C2175" s="37"/>
      <c r="F2175" s="38"/>
      <c r="G2175" s="38"/>
      <c r="H2175" s="38"/>
      <c r="I2175" s="37"/>
      <c r="J2175" s="38"/>
      <c r="K2175" s="38"/>
      <c r="L2175" s="42"/>
      <c r="M2175" s="42"/>
      <c r="N2175" s="42"/>
      <c r="O2175" s="42"/>
      <c r="R2175" s="37"/>
      <c r="S2175" s="37"/>
      <c r="T2175" s="91"/>
      <c r="U2175" s="91"/>
      <c r="V2175" s="41"/>
      <c r="W2175" s="37"/>
      <c r="X2175" s="37"/>
      <c r="Y2175" s="43"/>
      <c r="Z2175" s="37"/>
      <c r="AA2175" s="37"/>
      <c r="AD2175" s="37"/>
      <c r="AE2175" s="37"/>
      <c r="AF2175" s="37"/>
    </row>
    <row r="2176" spans="1:32" x14ac:dyDescent="0.25">
      <c r="A2176" s="37"/>
      <c r="B2176" s="37"/>
      <c r="C2176" s="37"/>
      <c r="F2176" s="38"/>
      <c r="G2176" s="38"/>
      <c r="H2176" s="38"/>
      <c r="I2176" s="37"/>
      <c r="J2176" s="38"/>
      <c r="K2176" s="38"/>
      <c r="L2176" s="42"/>
      <c r="M2176" s="42"/>
      <c r="N2176" s="42"/>
      <c r="O2176" s="42"/>
      <c r="R2176" s="37"/>
      <c r="S2176" s="37"/>
      <c r="T2176" s="91"/>
      <c r="U2176" s="91"/>
      <c r="V2176" s="41"/>
      <c r="W2176" s="37"/>
      <c r="X2176" s="37"/>
      <c r="Y2176" s="43"/>
      <c r="Z2176" s="37"/>
      <c r="AA2176" s="37"/>
      <c r="AD2176" s="37"/>
      <c r="AE2176" s="37"/>
      <c r="AF2176" s="37"/>
    </row>
    <row r="2177" spans="1:32" x14ac:dyDescent="0.25">
      <c r="A2177" s="37"/>
      <c r="B2177" s="37"/>
      <c r="C2177" s="37"/>
      <c r="F2177" s="38"/>
      <c r="G2177" s="38"/>
      <c r="H2177" s="38"/>
      <c r="I2177" s="37"/>
      <c r="J2177" s="38"/>
      <c r="K2177" s="38"/>
      <c r="L2177" s="42"/>
      <c r="M2177" s="42"/>
      <c r="N2177" s="42"/>
      <c r="O2177" s="42"/>
      <c r="R2177" s="37"/>
      <c r="S2177" s="37"/>
      <c r="T2177" s="91"/>
      <c r="U2177" s="91"/>
      <c r="V2177" s="41"/>
      <c r="W2177" s="37"/>
      <c r="X2177" s="37"/>
      <c r="Y2177" s="43"/>
      <c r="Z2177" s="37"/>
      <c r="AA2177" s="37"/>
      <c r="AD2177" s="37"/>
      <c r="AE2177" s="37"/>
      <c r="AF2177" s="37"/>
    </row>
    <row r="2178" spans="1:32" x14ac:dyDescent="0.25">
      <c r="A2178" s="37"/>
      <c r="B2178" s="37"/>
      <c r="C2178" s="37"/>
      <c r="F2178" s="38"/>
      <c r="G2178" s="38"/>
      <c r="H2178" s="38"/>
      <c r="I2178" s="37"/>
      <c r="J2178" s="38"/>
      <c r="K2178" s="38"/>
      <c r="L2178" s="42"/>
      <c r="M2178" s="42"/>
      <c r="N2178" s="42"/>
      <c r="O2178" s="42"/>
      <c r="R2178" s="37"/>
      <c r="S2178" s="37"/>
      <c r="T2178" s="91"/>
      <c r="U2178" s="91"/>
      <c r="V2178" s="41"/>
      <c r="W2178" s="37"/>
      <c r="X2178" s="37"/>
      <c r="Y2178" s="43"/>
      <c r="Z2178" s="37"/>
      <c r="AA2178" s="37"/>
      <c r="AD2178" s="37"/>
      <c r="AE2178" s="37"/>
      <c r="AF2178" s="37"/>
    </row>
    <row r="2179" spans="1:32" x14ac:dyDescent="0.25">
      <c r="A2179" s="37"/>
      <c r="B2179" s="37"/>
      <c r="C2179" s="37"/>
      <c r="F2179" s="38"/>
      <c r="G2179" s="38"/>
      <c r="H2179" s="38"/>
      <c r="I2179" s="37"/>
      <c r="J2179" s="38"/>
      <c r="K2179" s="38"/>
      <c r="L2179" s="42"/>
      <c r="M2179" s="42"/>
      <c r="N2179" s="42"/>
      <c r="O2179" s="42"/>
      <c r="R2179" s="37"/>
      <c r="S2179" s="37"/>
      <c r="T2179" s="91"/>
      <c r="U2179" s="91"/>
      <c r="V2179" s="41"/>
      <c r="W2179" s="37"/>
      <c r="X2179" s="37"/>
      <c r="Y2179" s="43"/>
      <c r="Z2179" s="37"/>
      <c r="AA2179" s="37"/>
      <c r="AD2179" s="37"/>
      <c r="AE2179" s="37"/>
      <c r="AF2179" s="37"/>
    </row>
    <row r="2180" spans="1:32" x14ac:dyDescent="0.25">
      <c r="A2180" s="37"/>
      <c r="B2180" s="37"/>
      <c r="C2180" s="37"/>
      <c r="F2180" s="38"/>
      <c r="G2180" s="38"/>
      <c r="H2180" s="38"/>
      <c r="I2180" s="37"/>
      <c r="J2180" s="38"/>
      <c r="K2180" s="38"/>
      <c r="L2180" s="42"/>
      <c r="M2180" s="42"/>
      <c r="N2180" s="42"/>
      <c r="O2180" s="42"/>
      <c r="R2180" s="37"/>
      <c r="S2180" s="37"/>
      <c r="T2180" s="91"/>
      <c r="U2180" s="91"/>
      <c r="V2180" s="41"/>
      <c r="W2180" s="37"/>
      <c r="X2180" s="37"/>
      <c r="Y2180" s="43"/>
      <c r="Z2180" s="37"/>
      <c r="AA2180" s="37"/>
      <c r="AD2180" s="37"/>
      <c r="AE2180" s="37"/>
      <c r="AF2180" s="37"/>
    </row>
    <row r="2181" spans="1:32" x14ac:dyDescent="0.25">
      <c r="A2181" s="37"/>
      <c r="B2181" s="37"/>
      <c r="C2181" s="37"/>
      <c r="F2181" s="38"/>
      <c r="G2181" s="38"/>
      <c r="H2181" s="38"/>
      <c r="I2181" s="37"/>
      <c r="J2181" s="38"/>
      <c r="K2181" s="38"/>
      <c r="L2181" s="42"/>
      <c r="M2181" s="42"/>
      <c r="N2181" s="42"/>
      <c r="O2181" s="42"/>
      <c r="R2181" s="37"/>
      <c r="S2181" s="37"/>
      <c r="T2181" s="91"/>
      <c r="U2181" s="91"/>
      <c r="V2181" s="41"/>
      <c r="W2181" s="37"/>
      <c r="X2181" s="37"/>
      <c r="Y2181" s="43"/>
      <c r="Z2181" s="37"/>
      <c r="AA2181" s="37"/>
      <c r="AD2181" s="37"/>
      <c r="AE2181" s="37"/>
      <c r="AF2181" s="37"/>
    </row>
    <row r="2182" spans="1:32" x14ac:dyDescent="0.25">
      <c r="A2182" s="37"/>
      <c r="B2182" s="37"/>
      <c r="C2182" s="37"/>
      <c r="F2182" s="38"/>
      <c r="G2182" s="38"/>
      <c r="H2182" s="38"/>
      <c r="I2182" s="37"/>
      <c r="J2182" s="38"/>
      <c r="K2182" s="38"/>
      <c r="L2182" s="42"/>
      <c r="M2182" s="42"/>
      <c r="N2182" s="42"/>
      <c r="O2182" s="42"/>
      <c r="R2182" s="37"/>
      <c r="S2182" s="37"/>
      <c r="T2182" s="91"/>
      <c r="U2182" s="91"/>
      <c r="V2182" s="41"/>
      <c r="W2182" s="37"/>
      <c r="X2182" s="37"/>
      <c r="Y2182" s="43"/>
      <c r="Z2182" s="37"/>
      <c r="AA2182" s="37"/>
      <c r="AD2182" s="37"/>
      <c r="AE2182" s="37"/>
      <c r="AF2182" s="37"/>
    </row>
    <row r="2183" spans="1:32" x14ac:dyDescent="0.25">
      <c r="A2183" s="37"/>
      <c r="B2183" s="37"/>
      <c r="C2183" s="37"/>
      <c r="F2183" s="38"/>
      <c r="G2183" s="38"/>
      <c r="H2183" s="38"/>
      <c r="I2183" s="37"/>
      <c r="J2183" s="38"/>
      <c r="K2183" s="38"/>
      <c r="L2183" s="42"/>
      <c r="M2183" s="42"/>
      <c r="N2183" s="42"/>
      <c r="O2183" s="42"/>
      <c r="R2183" s="37"/>
      <c r="S2183" s="37"/>
      <c r="T2183" s="91"/>
      <c r="U2183" s="91"/>
      <c r="V2183" s="41"/>
      <c r="W2183" s="37"/>
      <c r="X2183" s="37"/>
      <c r="Y2183" s="43"/>
      <c r="Z2183" s="37"/>
      <c r="AA2183" s="37"/>
      <c r="AD2183" s="37"/>
      <c r="AE2183" s="37"/>
      <c r="AF2183" s="37"/>
    </row>
    <row r="2184" spans="1:32" x14ac:dyDescent="0.25">
      <c r="A2184" s="37"/>
      <c r="B2184" s="37"/>
      <c r="C2184" s="37"/>
      <c r="F2184" s="38"/>
      <c r="G2184" s="38"/>
      <c r="H2184" s="38"/>
      <c r="I2184" s="37"/>
      <c r="J2184" s="38"/>
      <c r="K2184" s="38"/>
      <c r="L2184" s="42"/>
      <c r="M2184" s="42"/>
      <c r="N2184" s="42"/>
      <c r="O2184" s="42"/>
      <c r="R2184" s="37"/>
      <c r="S2184" s="37"/>
      <c r="T2184" s="91"/>
      <c r="U2184" s="91"/>
      <c r="V2184" s="41"/>
      <c r="W2184" s="37"/>
      <c r="X2184" s="37"/>
      <c r="Y2184" s="43"/>
      <c r="Z2184" s="37"/>
      <c r="AA2184" s="37"/>
      <c r="AD2184" s="37"/>
      <c r="AE2184" s="37"/>
      <c r="AF2184" s="37"/>
    </row>
    <row r="2185" spans="1:32" x14ac:dyDescent="0.25">
      <c r="A2185" s="37"/>
      <c r="B2185" s="37"/>
      <c r="C2185" s="37"/>
      <c r="F2185" s="38"/>
      <c r="G2185" s="38"/>
      <c r="H2185" s="38"/>
      <c r="I2185" s="37"/>
      <c r="J2185" s="38"/>
      <c r="K2185" s="38"/>
      <c r="L2185" s="42"/>
      <c r="M2185" s="42"/>
      <c r="N2185" s="42"/>
      <c r="O2185" s="42"/>
      <c r="R2185" s="37"/>
      <c r="S2185" s="37"/>
      <c r="T2185" s="91"/>
      <c r="U2185" s="91"/>
      <c r="V2185" s="41"/>
      <c r="W2185" s="37"/>
      <c r="X2185" s="37"/>
      <c r="Y2185" s="43"/>
      <c r="Z2185" s="37"/>
      <c r="AA2185" s="37"/>
      <c r="AD2185" s="37"/>
      <c r="AE2185" s="37"/>
      <c r="AF2185" s="37"/>
    </row>
    <row r="2186" spans="1:32" x14ac:dyDescent="0.25">
      <c r="A2186" s="37"/>
      <c r="B2186" s="37"/>
      <c r="C2186" s="37"/>
      <c r="F2186" s="38"/>
      <c r="G2186" s="38"/>
      <c r="H2186" s="38"/>
      <c r="I2186" s="37"/>
      <c r="J2186" s="38"/>
      <c r="K2186" s="38"/>
      <c r="L2186" s="42"/>
      <c r="M2186" s="42"/>
      <c r="N2186" s="42"/>
      <c r="O2186" s="42"/>
      <c r="R2186" s="37"/>
      <c r="S2186" s="37"/>
      <c r="T2186" s="91"/>
      <c r="U2186" s="91"/>
      <c r="V2186" s="41"/>
      <c r="W2186" s="37"/>
      <c r="X2186" s="37"/>
      <c r="Y2186" s="43"/>
      <c r="Z2186" s="37"/>
      <c r="AA2186" s="37"/>
      <c r="AD2186" s="37"/>
      <c r="AE2186" s="37"/>
      <c r="AF2186" s="37"/>
    </row>
    <row r="2187" spans="1:32" x14ac:dyDescent="0.25">
      <c r="A2187" s="37"/>
      <c r="B2187" s="37"/>
      <c r="C2187" s="37"/>
      <c r="F2187" s="38"/>
      <c r="G2187" s="38"/>
      <c r="H2187" s="38"/>
      <c r="I2187" s="37"/>
      <c r="J2187" s="38"/>
      <c r="K2187" s="38"/>
      <c r="L2187" s="42"/>
      <c r="M2187" s="42"/>
      <c r="N2187" s="42"/>
      <c r="O2187" s="42"/>
      <c r="R2187" s="37"/>
      <c r="S2187" s="37"/>
      <c r="T2187" s="91"/>
      <c r="U2187" s="91"/>
      <c r="V2187" s="41"/>
      <c r="W2187" s="37"/>
      <c r="X2187" s="37"/>
      <c r="Y2187" s="43"/>
      <c r="Z2187" s="37"/>
      <c r="AA2187" s="37"/>
      <c r="AD2187" s="37"/>
      <c r="AE2187" s="37"/>
      <c r="AF2187" s="37"/>
    </row>
    <row r="2188" spans="1:32" x14ac:dyDescent="0.25">
      <c r="A2188" s="37"/>
      <c r="B2188" s="37"/>
      <c r="C2188" s="37"/>
      <c r="F2188" s="38"/>
      <c r="G2188" s="38"/>
      <c r="H2188" s="38"/>
      <c r="I2188" s="37"/>
      <c r="J2188" s="38"/>
      <c r="K2188" s="38"/>
      <c r="L2188" s="42"/>
      <c r="M2188" s="42"/>
      <c r="N2188" s="42"/>
      <c r="O2188" s="42"/>
      <c r="R2188" s="37"/>
      <c r="S2188" s="37"/>
      <c r="T2188" s="91"/>
      <c r="U2188" s="91"/>
      <c r="V2188" s="41"/>
      <c r="W2188" s="37"/>
      <c r="X2188" s="37"/>
      <c r="Y2188" s="43"/>
      <c r="Z2188" s="37"/>
      <c r="AA2188" s="37"/>
      <c r="AD2188" s="37"/>
      <c r="AE2188" s="37"/>
      <c r="AF2188" s="37"/>
    </row>
    <row r="2189" spans="1:32" x14ac:dyDescent="0.25">
      <c r="A2189" s="37"/>
      <c r="B2189" s="37"/>
      <c r="C2189" s="37"/>
      <c r="F2189" s="38"/>
      <c r="G2189" s="38"/>
      <c r="H2189" s="38"/>
      <c r="I2189" s="37"/>
      <c r="J2189" s="38"/>
      <c r="K2189" s="38"/>
      <c r="L2189" s="42"/>
      <c r="M2189" s="42"/>
      <c r="N2189" s="42"/>
      <c r="O2189" s="42"/>
      <c r="R2189" s="37"/>
      <c r="S2189" s="37"/>
      <c r="T2189" s="91"/>
      <c r="U2189" s="91"/>
      <c r="V2189" s="41"/>
      <c r="W2189" s="37"/>
      <c r="X2189" s="37"/>
      <c r="Y2189" s="43"/>
      <c r="Z2189" s="37"/>
      <c r="AA2189" s="37"/>
      <c r="AD2189" s="37"/>
      <c r="AE2189" s="37"/>
      <c r="AF2189" s="37"/>
    </row>
    <row r="2190" spans="1:32" x14ac:dyDescent="0.25">
      <c r="A2190" s="37"/>
      <c r="B2190" s="37"/>
      <c r="C2190" s="37"/>
      <c r="F2190" s="38"/>
      <c r="G2190" s="38"/>
      <c r="H2190" s="38"/>
      <c r="I2190" s="37"/>
      <c r="J2190" s="38"/>
      <c r="K2190" s="38"/>
      <c r="L2190" s="42"/>
      <c r="M2190" s="42"/>
      <c r="N2190" s="42"/>
      <c r="O2190" s="42"/>
      <c r="R2190" s="37"/>
      <c r="S2190" s="37"/>
      <c r="T2190" s="91"/>
      <c r="U2190" s="91"/>
      <c r="V2190" s="41"/>
      <c r="W2190" s="37"/>
      <c r="X2190" s="37"/>
      <c r="Y2190" s="43"/>
      <c r="Z2190" s="37"/>
      <c r="AA2190" s="37"/>
      <c r="AD2190" s="37"/>
      <c r="AE2190" s="37"/>
      <c r="AF2190" s="37"/>
    </row>
    <row r="2191" spans="1:32" x14ac:dyDescent="0.25">
      <c r="A2191" s="37"/>
      <c r="B2191" s="37"/>
      <c r="C2191" s="37"/>
      <c r="F2191" s="38"/>
      <c r="G2191" s="38"/>
      <c r="H2191" s="38"/>
      <c r="I2191" s="37"/>
      <c r="J2191" s="38"/>
      <c r="K2191" s="38"/>
      <c r="L2191" s="42"/>
      <c r="M2191" s="42"/>
      <c r="N2191" s="42"/>
      <c r="O2191" s="42"/>
      <c r="R2191" s="37"/>
      <c r="S2191" s="37"/>
      <c r="T2191" s="91"/>
      <c r="U2191" s="91"/>
      <c r="V2191" s="41"/>
      <c r="W2191" s="37"/>
      <c r="X2191" s="37"/>
      <c r="Y2191" s="43"/>
      <c r="Z2191" s="37"/>
      <c r="AA2191" s="37"/>
      <c r="AD2191" s="37"/>
      <c r="AE2191" s="37"/>
      <c r="AF2191" s="37"/>
    </row>
    <row r="2192" spans="1:32" x14ac:dyDescent="0.25">
      <c r="A2192" s="37"/>
      <c r="B2192" s="37"/>
      <c r="C2192" s="37"/>
      <c r="F2192" s="38"/>
      <c r="G2192" s="38"/>
      <c r="H2192" s="38"/>
      <c r="I2192" s="37"/>
      <c r="J2192" s="38"/>
      <c r="K2192" s="38"/>
      <c r="L2192" s="42"/>
      <c r="M2192" s="42"/>
      <c r="N2192" s="42"/>
      <c r="O2192" s="42"/>
      <c r="R2192" s="37"/>
      <c r="S2192" s="37"/>
      <c r="T2192" s="91"/>
      <c r="U2192" s="91"/>
      <c r="V2192" s="41"/>
      <c r="W2192" s="37"/>
      <c r="X2192" s="37"/>
      <c r="Y2192" s="43"/>
      <c r="Z2192" s="37"/>
      <c r="AA2192" s="37"/>
      <c r="AD2192" s="37"/>
      <c r="AE2192" s="37"/>
      <c r="AF2192" s="37"/>
    </row>
    <row r="2193" spans="1:32" x14ac:dyDescent="0.25">
      <c r="A2193" s="37"/>
      <c r="B2193" s="37"/>
      <c r="C2193" s="37"/>
      <c r="F2193" s="38"/>
      <c r="G2193" s="38"/>
      <c r="H2193" s="38"/>
      <c r="I2193" s="37"/>
      <c r="J2193" s="38"/>
      <c r="K2193" s="38"/>
      <c r="L2193" s="42"/>
      <c r="M2193" s="42"/>
      <c r="N2193" s="42"/>
      <c r="O2193" s="42"/>
      <c r="R2193" s="37"/>
      <c r="S2193" s="37"/>
      <c r="T2193" s="91"/>
      <c r="U2193" s="91"/>
      <c r="V2193" s="41"/>
      <c r="W2193" s="37"/>
      <c r="X2193" s="37"/>
      <c r="Y2193" s="43"/>
      <c r="Z2193" s="37"/>
      <c r="AA2193" s="37"/>
      <c r="AD2193" s="37"/>
      <c r="AE2193" s="37"/>
      <c r="AF2193" s="37"/>
    </row>
    <row r="2194" spans="1:32" x14ac:dyDescent="0.25">
      <c r="A2194" s="37"/>
      <c r="B2194" s="37"/>
      <c r="C2194" s="37"/>
      <c r="F2194" s="38"/>
      <c r="G2194" s="38"/>
      <c r="H2194" s="38"/>
      <c r="I2194" s="37"/>
      <c r="J2194" s="38"/>
      <c r="K2194" s="38"/>
      <c r="L2194" s="42"/>
      <c r="M2194" s="42"/>
      <c r="N2194" s="42"/>
      <c r="O2194" s="42"/>
      <c r="R2194" s="37"/>
      <c r="S2194" s="37"/>
      <c r="T2194" s="91"/>
      <c r="U2194" s="91"/>
      <c r="V2194" s="41"/>
      <c r="W2194" s="37"/>
      <c r="X2194" s="37"/>
      <c r="Y2194" s="43"/>
      <c r="Z2194" s="37"/>
      <c r="AA2194" s="37"/>
      <c r="AD2194" s="37"/>
      <c r="AE2194" s="37"/>
      <c r="AF2194" s="37"/>
    </row>
    <row r="2195" spans="1:32" x14ac:dyDescent="0.25">
      <c r="A2195" s="37"/>
      <c r="B2195" s="37"/>
      <c r="C2195" s="37"/>
      <c r="F2195" s="38"/>
      <c r="G2195" s="38"/>
      <c r="H2195" s="38"/>
      <c r="I2195" s="37"/>
      <c r="J2195" s="38"/>
      <c r="K2195" s="38"/>
      <c r="L2195" s="42"/>
      <c r="M2195" s="42"/>
      <c r="N2195" s="42"/>
      <c r="O2195" s="42"/>
      <c r="R2195" s="37"/>
      <c r="S2195" s="37"/>
      <c r="T2195" s="91"/>
      <c r="U2195" s="91"/>
      <c r="V2195" s="41"/>
      <c r="W2195" s="37"/>
      <c r="X2195" s="37"/>
      <c r="Y2195" s="43"/>
      <c r="Z2195" s="37"/>
      <c r="AA2195" s="37"/>
      <c r="AD2195" s="37"/>
      <c r="AE2195" s="37"/>
      <c r="AF2195" s="37"/>
    </row>
    <row r="2196" spans="1:32" x14ac:dyDescent="0.25">
      <c r="A2196" s="37"/>
      <c r="B2196" s="37"/>
      <c r="C2196" s="37"/>
      <c r="F2196" s="38"/>
      <c r="G2196" s="38"/>
      <c r="H2196" s="38"/>
      <c r="I2196" s="37"/>
      <c r="J2196" s="38"/>
      <c r="K2196" s="38"/>
      <c r="L2196" s="42"/>
      <c r="M2196" s="42"/>
      <c r="N2196" s="42"/>
      <c r="O2196" s="42"/>
      <c r="R2196" s="37"/>
      <c r="S2196" s="37"/>
      <c r="T2196" s="91"/>
      <c r="U2196" s="91"/>
      <c r="V2196" s="41"/>
      <c r="W2196" s="37"/>
      <c r="X2196" s="37"/>
      <c r="Y2196" s="43"/>
      <c r="Z2196" s="37"/>
      <c r="AA2196" s="37"/>
      <c r="AD2196" s="37"/>
      <c r="AE2196" s="37"/>
      <c r="AF2196" s="37"/>
    </row>
    <row r="2197" spans="1:32" x14ac:dyDescent="0.25">
      <c r="A2197" s="37"/>
      <c r="B2197" s="37"/>
      <c r="C2197" s="37"/>
      <c r="F2197" s="38"/>
      <c r="G2197" s="38"/>
      <c r="H2197" s="38"/>
      <c r="I2197" s="37"/>
      <c r="J2197" s="38"/>
      <c r="K2197" s="38"/>
      <c r="L2197" s="42"/>
      <c r="M2197" s="42"/>
      <c r="N2197" s="42"/>
      <c r="O2197" s="42"/>
      <c r="R2197" s="37"/>
      <c r="S2197" s="37"/>
      <c r="T2197" s="91"/>
      <c r="U2197" s="91"/>
      <c r="V2197" s="41"/>
      <c r="W2197" s="37"/>
      <c r="X2197" s="37"/>
      <c r="Y2197" s="43"/>
      <c r="Z2197" s="37"/>
      <c r="AA2197" s="37"/>
      <c r="AD2197" s="37"/>
      <c r="AE2197" s="37"/>
      <c r="AF2197" s="37"/>
    </row>
    <row r="2198" spans="1:32" x14ac:dyDescent="0.25">
      <c r="A2198" s="37"/>
      <c r="B2198" s="37"/>
      <c r="C2198" s="37"/>
      <c r="F2198" s="38"/>
      <c r="G2198" s="38"/>
      <c r="H2198" s="38"/>
      <c r="I2198" s="37"/>
      <c r="J2198" s="38"/>
      <c r="K2198" s="38"/>
      <c r="L2198" s="42"/>
      <c r="M2198" s="42"/>
      <c r="N2198" s="42"/>
      <c r="O2198" s="42"/>
      <c r="R2198" s="37"/>
      <c r="S2198" s="37"/>
      <c r="T2198" s="91"/>
      <c r="U2198" s="91"/>
      <c r="V2198" s="41"/>
      <c r="W2198" s="37"/>
      <c r="X2198" s="37"/>
      <c r="Y2198" s="43"/>
      <c r="Z2198" s="37"/>
      <c r="AA2198" s="37"/>
      <c r="AD2198" s="37"/>
      <c r="AE2198" s="37"/>
      <c r="AF2198" s="37"/>
    </row>
    <row r="2199" spans="1:32" x14ac:dyDescent="0.25">
      <c r="A2199" s="37"/>
      <c r="B2199" s="37"/>
      <c r="C2199" s="37"/>
      <c r="F2199" s="38"/>
      <c r="G2199" s="38"/>
      <c r="H2199" s="38"/>
      <c r="I2199" s="37"/>
      <c r="J2199" s="38"/>
      <c r="K2199" s="38"/>
      <c r="L2199" s="42"/>
      <c r="M2199" s="42"/>
      <c r="N2199" s="42"/>
      <c r="O2199" s="42"/>
      <c r="R2199" s="37"/>
      <c r="S2199" s="37"/>
      <c r="T2199" s="91"/>
      <c r="U2199" s="91"/>
      <c r="V2199" s="41"/>
      <c r="W2199" s="37"/>
      <c r="X2199" s="37"/>
      <c r="Y2199" s="43"/>
      <c r="Z2199" s="37"/>
      <c r="AA2199" s="37"/>
      <c r="AD2199" s="37"/>
      <c r="AE2199" s="37"/>
      <c r="AF2199" s="37"/>
    </row>
    <row r="2200" spans="1:32" x14ac:dyDescent="0.25">
      <c r="A2200" s="37"/>
      <c r="B2200" s="37"/>
      <c r="C2200" s="37"/>
      <c r="F2200" s="38"/>
      <c r="G2200" s="38"/>
      <c r="H2200" s="38"/>
      <c r="I2200" s="37"/>
      <c r="J2200" s="38"/>
      <c r="K2200" s="38"/>
      <c r="L2200" s="42"/>
      <c r="M2200" s="42"/>
      <c r="N2200" s="42"/>
      <c r="O2200" s="42"/>
      <c r="R2200" s="37"/>
      <c r="S2200" s="37"/>
      <c r="T2200" s="91"/>
      <c r="U2200" s="91"/>
      <c r="V2200" s="41"/>
      <c r="W2200" s="37"/>
      <c r="X2200" s="37"/>
      <c r="Y2200" s="43"/>
      <c r="Z2200" s="37"/>
      <c r="AA2200" s="37"/>
      <c r="AD2200" s="37"/>
      <c r="AE2200" s="37"/>
      <c r="AF2200" s="37"/>
    </row>
    <row r="2201" spans="1:32" x14ac:dyDescent="0.25">
      <c r="A2201" s="37"/>
      <c r="B2201" s="37"/>
      <c r="C2201" s="37"/>
      <c r="F2201" s="38"/>
      <c r="G2201" s="38"/>
      <c r="H2201" s="38"/>
      <c r="I2201" s="37"/>
      <c r="J2201" s="38"/>
      <c r="K2201" s="38"/>
      <c r="L2201" s="42"/>
      <c r="M2201" s="42"/>
      <c r="N2201" s="42"/>
      <c r="O2201" s="42"/>
      <c r="R2201" s="37"/>
      <c r="S2201" s="37"/>
      <c r="T2201" s="91"/>
      <c r="U2201" s="91"/>
      <c r="V2201" s="41"/>
      <c r="W2201" s="37"/>
      <c r="X2201" s="37"/>
      <c r="Y2201" s="43"/>
      <c r="Z2201" s="37"/>
      <c r="AA2201" s="37"/>
      <c r="AD2201" s="37"/>
      <c r="AE2201" s="37"/>
      <c r="AF2201" s="37"/>
    </row>
    <row r="2202" spans="1:32" x14ac:dyDescent="0.25">
      <c r="A2202" s="37"/>
      <c r="B2202" s="37"/>
      <c r="C2202" s="37"/>
      <c r="F2202" s="38"/>
      <c r="G2202" s="38"/>
      <c r="H2202" s="38"/>
      <c r="I2202" s="37"/>
      <c r="J2202" s="38"/>
      <c r="K2202" s="38"/>
      <c r="L2202" s="42"/>
      <c r="M2202" s="42"/>
      <c r="N2202" s="42"/>
      <c r="O2202" s="42"/>
      <c r="R2202" s="37"/>
      <c r="S2202" s="37"/>
      <c r="T2202" s="91"/>
      <c r="U2202" s="91"/>
      <c r="V2202" s="41"/>
      <c r="W2202" s="37"/>
      <c r="X2202" s="37"/>
      <c r="Y2202" s="43"/>
      <c r="Z2202" s="37"/>
      <c r="AA2202" s="37"/>
      <c r="AD2202" s="37"/>
      <c r="AE2202" s="37"/>
      <c r="AF2202" s="37"/>
    </row>
    <row r="2203" spans="1:32" x14ac:dyDescent="0.25">
      <c r="A2203" s="37"/>
      <c r="B2203" s="37"/>
      <c r="C2203" s="37"/>
      <c r="F2203" s="38"/>
      <c r="G2203" s="38"/>
      <c r="H2203" s="38"/>
      <c r="I2203" s="37"/>
      <c r="J2203" s="38"/>
      <c r="K2203" s="38"/>
      <c r="L2203" s="42"/>
      <c r="M2203" s="42"/>
      <c r="N2203" s="42"/>
      <c r="O2203" s="42"/>
      <c r="R2203" s="37"/>
      <c r="S2203" s="37"/>
      <c r="T2203" s="91"/>
      <c r="U2203" s="91"/>
      <c r="V2203" s="41"/>
      <c r="W2203" s="37"/>
      <c r="X2203" s="37"/>
      <c r="Y2203" s="43"/>
      <c r="Z2203" s="37"/>
      <c r="AA2203" s="37"/>
      <c r="AD2203" s="37"/>
      <c r="AE2203" s="37"/>
      <c r="AF2203" s="37"/>
    </row>
    <row r="2204" spans="1:32" x14ac:dyDescent="0.25">
      <c r="A2204" s="37"/>
      <c r="B2204" s="37"/>
      <c r="C2204" s="37"/>
      <c r="F2204" s="38"/>
      <c r="G2204" s="38"/>
      <c r="H2204" s="38"/>
      <c r="I2204" s="37"/>
      <c r="J2204" s="38"/>
      <c r="K2204" s="38"/>
      <c r="L2204" s="42"/>
      <c r="M2204" s="42"/>
      <c r="N2204" s="42"/>
      <c r="O2204" s="42"/>
      <c r="R2204" s="37"/>
      <c r="S2204" s="37"/>
      <c r="T2204" s="91"/>
      <c r="U2204" s="91"/>
      <c r="V2204" s="41"/>
      <c r="W2204" s="37"/>
      <c r="X2204" s="37"/>
      <c r="Y2204" s="43"/>
      <c r="Z2204" s="37"/>
      <c r="AA2204" s="37"/>
      <c r="AD2204" s="37"/>
      <c r="AE2204" s="37"/>
      <c r="AF2204" s="37"/>
    </row>
    <row r="2205" spans="1:32" x14ac:dyDescent="0.25">
      <c r="A2205" s="37"/>
      <c r="B2205" s="37"/>
      <c r="C2205" s="37"/>
      <c r="F2205" s="38"/>
      <c r="G2205" s="38"/>
      <c r="H2205" s="38"/>
      <c r="I2205" s="37"/>
      <c r="J2205" s="38"/>
      <c r="K2205" s="38"/>
      <c r="L2205" s="42"/>
      <c r="M2205" s="42"/>
      <c r="N2205" s="42"/>
      <c r="O2205" s="42"/>
      <c r="R2205" s="37"/>
      <c r="S2205" s="37"/>
      <c r="T2205" s="91"/>
      <c r="U2205" s="91"/>
      <c r="V2205" s="41"/>
      <c r="W2205" s="37"/>
      <c r="X2205" s="37"/>
      <c r="Y2205" s="43"/>
      <c r="Z2205" s="37"/>
      <c r="AA2205" s="37"/>
      <c r="AD2205" s="37"/>
      <c r="AE2205" s="37"/>
      <c r="AF2205" s="37"/>
    </row>
    <row r="2206" spans="1:32" x14ac:dyDescent="0.25">
      <c r="A2206" s="37"/>
      <c r="B2206" s="37"/>
      <c r="C2206" s="37"/>
      <c r="F2206" s="38"/>
      <c r="G2206" s="38"/>
      <c r="H2206" s="38"/>
      <c r="I2206" s="37"/>
      <c r="J2206" s="38"/>
      <c r="K2206" s="38"/>
      <c r="L2206" s="42"/>
      <c r="M2206" s="42"/>
      <c r="N2206" s="42"/>
      <c r="O2206" s="42"/>
      <c r="R2206" s="37"/>
      <c r="S2206" s="37"/>
      <c r="T2206" s="91"/>
      <c r="U2206" s="91"/>
      <c r="V2206" s="41"/>
      <c r="W2206" s="37"/>
      <c r="X2206" s="37"/>
      <c r="Y2206" s="43"/>
      <c r="Z2206" s="37"/>
      <c r="AA2206" s="37"/>
      <c r="AD2206" s="37"/>
      <c r="AE2206" s="37"/>
      <c r="AF2206" s="37"/>
    </row>
    <row r="2207" spans="1:32" x14ac:dyDescent="0.25">
      <c r="A2207" s="37"/>
      <c r="B2207" s="37"/>
      <c r="C2207" s="37"/>
      <c r="F2207" s="38"/>
      <c r="G2207" s="38"/>
      <c r="H2207" s="38"/>
      <c r="I2207" s="37"/>
      <c r="J2207" s="38"/>
      <c r="K2207" s="38"/>
      <c r="L2207" s="42"/>
      <c r="M2207" s="42"/>
      <c r="N2207" s="42"/>
      <c r="O2207" s="42"/>
      <c r="R2207" s="37"/>
      <c r="S2207" s="37"/>
      <c r="T2207" s="91"/>
      <c r="U2207" s="91"/>
      <c r="V2207" s="41"/>
      <c r="W2207" s="37"/>
      <c r="X2207" s="37"/>
      <c r="Y2207" s="43"/>
      <c r="Z2207" s="37"/>
      <c r="AA2207" s="37"/>
      <c r="AD2207" s="37"/>
      <c r="AE2207" s="37"/>
      <c r="AF2207" s="37"/>
    </row>
    <row r="2208" spans="1:32" x14ac:dyDescent="0.25">
      <c r="A2208" s="37"/>
      <c r="B2208" s="37"/>
      <c r="C2208" s="37"/>
      <c r="F2208" s="38"/>
      <c r="G2208" s="38"/>
      <c r="H2208" s="38"/>
      <c r="I2208" s="37"/>
      <c r="J2208" s="38"/>
      <c r="K2208" s="38"/>
      <c r="L2208" s="42"/>
      <c r="M2208" s="42"/>
      <c r="N2208" s="42"/>
      <c r="O2208" s="42"/>
      <c r="R2208" s="37"/>
      <c r="S2208" s="37"/>
      <c r="T2208" s="91"/>
      <c r="U2208" s="91"/>
      <c r="V2208" s="41"/>
      <c r="W2208" s="37"/>
      <c r="X2208" s="37"/>
      <c r="Y2208" s="43"/>
      <c r="Z2208" s="37"/>
      <c r="AA2208" s="37"/>
      <c r="AD2208" s="37"/>
      <c r="AE2208" s="37"/>
      <c r="AF2208" s="37"/>
    </row>
    <row r="2209" spans="1:32" x14ac:dyDescent="0.25">
      <c r="A2209" s="37"/>
      <c r="B2209" s="37"/>
      <c r="C2209" s="37"/>
      <c r="F2209" s="38"/>
      <c r="G2209" s="38"/>
      <c r="H2209" s="38"/>
      <c r="I2209" s="37"/>
      <c r="J2209" s="38"/>
      <c r="K2209" s="38"/>
      <c r="L2209" s="42"/>
      <c r="M2209" s="42"/>
      <c r="N2209" s="42"/>
      <c r="O2209" s="42"/>
      <c r="R2209" s="37"/>
      <c r="S2209" s="37"/>
      <c r="T2209" s="91"/>
      <c r="U2209" s="91"/>
      <c r="V2209" s="41"/>
      <c r="W2209" s="37"/>
      <c r="X2209" s="37"/>
      <c r="Y2209" s="43"/>
      <c r="Z2209" s="37"/>
      <c r="AA2209" s="37"/>
      <c r="AD2209" s="37"/>
      <c r="AE2209" s="37"/>
      <c r="AF2209" s="37"/>
    </row>
    <row r="2210" spans="1:32" x14ac:dyDescent="0.25">
      <c r="A2210" s="37"/>
      <c r="B2210" s="37"/>
      <c r="C2210" s="37"/>
      <c r="F2210" s="38"/>
      <c r="G2210" s="38"/>
      <c r="H2210" s="38"/>
      <c r="I2210" s="37"/>
      <c r="J2210" s="38"/>
      <c r="K2210" s="38"/>
      <c r="L2210" s="42"/>
      <c r="M2210" s="42"/>
      <c r="N2210" s="42"/>
      <c r="O2210" s="42"/>
      <c r="R2210" s="37"/>
      <c r="S2210" s="37"/>
      <c r="T2210" s="91"/>
      <c r="U2210" s="91"/>
      <c r="V2210" s="41"/>
      <c r="W2210" s="37"/>
      <c r="X2210" s="37"/>
      <c r="Y2210" s="43"/>
      <c r="Z2210" s="37"/>
      <c r="AA2210" s="37"/>
      <c r="AD2210" s="37"/>
      <c r="AE2210" s="37"/>
      <c r="AF2210" s="37"/>
    </row>
    <row r="2211" spans="1:32" x14ac:dyDescent="0.25">
      <c r="A2211" s="37"/>
      <c r="B2211" s="37"/>
      <c r="C2211" s="37"/>
      <c r="F2211" s="38"/>
      <c r="G2211" s="38"/>
      <c r="H2211" s="38"/>
      <c r="I2211" s="37"/>
      <c r="J2211" s="38"/>
      <c r="K2211" s="38"/>
      <c r="L2211" s="42"/>
      <c r="M2211" s="42"/>
      <c r="N2211" s="42"/>
      <c r="O2211" s="42"/>
      <c r="R2211" s="37"/>
      <c r="S2211" s="37"/>
      <c r="T2211" s="91"/>
      <c r="U2211" s="91"/>
      <c r="V2211" s="41"/>
      <c r="W2211" s="37"/>
      <c r="X2211" s="37"/>
      <c r="Y2211" s="43"/>
      <c r="Z2211" s="37"/>
      <c r="AA2211" s="37"/>
      <c r="AD2211" s="37"/>
      <c r="AE2211" s="37"/>
      <c r="AF2211" s="37"/>
    </row>
    <row r="2212" spans="1:32" x14ac:dyDescent="0.25">
      <c r="A2212" s="37"/>
      <c r="B2212" s="37"/>
      <c r="C2212" s="37"/>
      <c r="F2212" s="38"/>
      <c r="G2212" s="38"/>
      <c r="H2212" s="38"/>
      <c r="I2212" s="37"/>
      <c r="J2212" s="38"/>
      <c r="K2212" s="38"/>
      <c r="L2212" s="42"/>
      <c r="M2212" s="42"/>
      <c r="N2212" s="42"/>
      <c r="O2212" s="42"/>
      <c r="R2212" s="37"/>
      <c r="S2212" s="37"/>
      <c r="T2212" s="91"/>
      <c r="U2212" s="91"/>
      <c r="V2212" s="41"/>
      <c r="W2212" s="37"/>
      <c r="X2212" s="37"/>
      <c r="Y2212" s="43"/>
      <c r="Z2212" s="37"/>
      <c r="AA2212" s="37"/>
      <c r="AD2212" s="37"/>
      <c r="AE2212" s="37"/>
      <c r="AF2212" s="37"/>
    </row>
    <row r="2213" spans="1:32" x14ac:dyDescent="0.25">
      <c r="A2213" s="37"/>
      <c r="B2213" s="37"/>
      <c r="C2213" s="37"/>
      <c r="F2213" s="38"/>
      <c r="G2213" s="38"/>
      <c r="H2213" s="38"/>
      <c r="I2213" s="37"/>
      <c r="J2213" s="38"/>
      <c r="K2213" s="38"/>
      <c r="L2213" s="42"/>
      <c r="M2213" s="42"/>
      <c r="N2213" s="42"/>
      <c r="O2213" s="42"/>
      <c r="R2213" s="37"/>
      <c r="S2213" s="37"/>
      <c r="T2213" s="91"/>
      <c r="U2213" s="91"/>
      <c r="V2213" s="41"/>
      <c r="W2213" s="37"/>
      <c r="X2213" s="37"/>
      <c r="Y2213" s="43"/>
      <c r="Z2213" s="37"/>
      <c r="AA2213" s="37"/>
      <c r="AD2213" s="37"/>
      <c r="AE2213" s="37"/>
      <c r="AF2213" s="37"/>
    </row>
    <row r="2214" spans="1:32" x14ac:dyDescent="0.25">
      <c r="A2214" s="37"/>
      <c r="B2214" s="37"/>
      <c r="C2214" s="37"/>
      <c r="F2214" s="38"/>
      <c r="G2214" s="38"/>
      <c r="H2214" s="38"/>
      <c r="I2214" s="37"/>
      <c r="J2214" s="38"/>
      <c r="K2214" s="38"/>
      <c r="L2214" s="42"/>
      <c r="M2214" s="42"/>
      <c r="N2214" s="42"/>
      <c r="O2214" s="42"/>
      <c r="R2214" s="37"/>
      <c r="S2214" s="37"/>
      <c r="T2214" s="91"/>
      <c r="U2214" s="91"/>
      <c r="V2214" s="41"/>
      <c r="W2214" s="37"/>
      <c r="X2214" s="37"/>
      <c r="Y2214" s="43"/>
      <c r="Z2214" s="37"/>
      <c r="AA2214" s="37"/>
      <c r="AD2214" s="37"/>
      <c r="AE2214" s="37"/>
      <c r="AF2214" s="37"/>
    </row>
    <row r="2215" spans="1:32" x14ac:dyDescent="0.25">
      <c r="A2215" s="37"/>
      <c r="B2215" s="37"/>
      <c r="C2215" s="37"/>
      <c r="F2215" s="38"/>
      <c r="G2215" s="38"/>
      <c r="H2215" s="38"/>
      <c r="I2215" s="37"/>
      <c r="J2215" s="38"/>
      <c r="K2215" s="38"/>
      <c r="L2215" s="42"/>
      <c r="M2215" s="42"/>
      <c r="N2215" s="42"/>
      <c r="O2215" s="42"/>
      <c r="R2215" s="37"/>
      <c r="S2215" s="37"/>
      <c r="T2215" s="91"/>
      <c r="U2215" s="91"/>
      <c r="V2215" s="41"/>
      <c r="W2215" s="37"/>
      <c r="X2215" s="37"/>
      <c r="Y2215" s="43"/>
      <c r="Z2215" s="37"/>
      <c r="AA2215" s="37"/>
      <c r="AD2215" s="37"/>
      <c r="AE2215" s="37"/>
      <c r="AF2215" s="37"/>
    </row>
    <row r="2216" spans="1:32" x14ac:dyDescent="0.25">
      <c r="A2216" s="37"/>
      <c r="B2216" s="37"/>
      <c r="C2216" s="37"/>
      <c r="F2216" s="38"/>
      <c r="G2216" s="38"/>
      <c r="H2216" s="38"/>
      <c r="I2216" s="37"/>
      <c r="J2216" s="38"/>
      <c r="K2216" s="38"/>
      <c r="L2216" s="42"/>
      <c r="M2216" s="42"/>
      <c r="N2216" s="42"/>
      <c r="O2216" s="42"/>
      <c r="R2216" s="37"/>
      <c r="S2216" s="37"/>
      <c r="T2216" s="91"/>
      <c r="U2216" s="91"/>
      <c r="V2216" s="41"/>
      <c r="W2216" s="37"/>
      <c r="X2216" s="37"/>
      <c r="Y2216" s="43"/>
      <c r="Z2216" s="37"/>
      <c r="AA2216" s="37"/>
      <c r="AD2216" s="37"/>
      <c r="AE2216" s="37"/>
      <c r="AF2216" s="37"/>
    </row>
    <row r="2217" spans="1:32" x14ac:dyDescent="0.25">
      <c r="A2217" s="37"/>
      <c r="B2217" s="37"/>
      <c r="C2217" s="37"/>
      <c r="F2217" s="38"/>
      <c r="G2217" s="38"/>
      <c r="H2217" s="38"/>
      <c r="I2217" s="37"/>
      <c r="J2217" s="38"/>
      <c r="K2217" s="38"/>
      <c r="L2217" s="42"/>
      <c r="M2217" s="42"/>
      <c r="N2217" s="42"/>
      <c r="O2217" s="42"/>
      <c r="R2217" s="37"/>
      <c r="S2217" s="37"/>
      <c r="T2217" s="91"/>
      <c r="U2217" s="91"/>
      <c r="V2217" s="41"/>
      <c r="W2217" s="37"/>
      <c r="X2217" s="37"/>
      <c r="Y2217" s="43"/>
      <c r="Z2217" s="37"/>
      <c r="AA2217" s="37"/>
      <c r="AD2217" s="37"/>
      <c r="AE2217" s="37"/>
      <c r="AF2217" s="37"/>
    </row>
    <row r="2218" spans="1:32" x14ac:dyDescent="0.25">
      <c r="A2218" s="37"/>
      <c r="B2218" s="37"/>
      <c r="C2218" s="37"/>
      <c r="F2218" s="38"/>
      <c r="G2218" s="38"/>
      <c r="H2218" s="38"/>
      <c r="I2218" s="37"/>
      <c r="J2218" s="38"/>
      <c r="K2218" s="38"/>
      <c r="L2218" s="42"/>
      <c r="M2218" s="42"/>
      <c r="N2218" s="42"/>
      <c r="O2218" s="42"/>
      <c r="R2218" s="37"/>
      <c r="S2218" s="37"/>
      <c r="T2218" s="91"/>
      <c r="U2218" s="91"/>
      <c r="V2218" s="41"/>
      <c r="W2218" s="37"/>
      <c r="X2218" s="37"/>
      <c r="Y2218" s="43"/>
      <c r="Z2218" s="37"/>
      <c r="AA2218" s="37"/>
      <c r="AD2218" s="37"/>
      <c r="AE2218" s="37"/>
      <c r="AF2218" s="37"/>
    </row>
    <row r="2219" spans="1:32" x14ac:dyDescent="0.25">
      <c r="A2219" s="37"/>
      <c r="B2219" s="37"/>
      <c r="C2219" s="37"/>
      <c r="F2219" s="38"/>
      <c r="G2219" s="38"/>
      <c r="H2219" s="38"/>
      <c r="I2219" s="37"/>
      <c r="J2219" s="38"/>
      <c r="K2219" s="38"/>
      <c r="L2219" s="42"/>
      <c r="M2219" s="42"/>
      <c r="N2219" s="42"/>
      <c r="O2219" s="42"/>
      <c r="R2219" s="37"/>
      <c r="S2219" s="37"/>
      <c r="T2219" s="91"/>
      <c r="U2219" s="91"/>
      <c r="V2219" s="41"/>
      <c r="W2219" s="37"/>
      <c r="X2219" s="37"/>
      <c r="Y2219" s="43"/>
      <c r="Z2219" s="37"/>
      <c r="AA2219" s="37"/>
      <c r="AD2219" s="37"/>
      <c r="AE2219" s="37"/>
      <c r="AF2219" s="37"/>
    </row>
    <row r="2220" spans="1:32" x14ac:dyDescent="0.25">
      <c r="A2220" s="37"/>
      <c r="B2220" s="37"/>
      <c r="C2220" s="37"/>
      <c r="F2220" s="38"/>
      <c r="G2220" s="38"/>
      <c r="H2220" s="38"/>
      <c r="I2220" s="37"/>
      <c r="J2220" s="38"/>
      <c r="K2220" s="38"/>
      <c r="L2220" s="42"/>
      <c r="M2220" s="42"/>
      <c r="N2220" s="42"/>
      <c r="O2220" s="42"/>
      <c r="R2220" s="37"/>
      <c r="S2220" s="37"/>
      <c r="T2220" s="91"/>
      <c r="U2220" s="91"/>
      <c r="V2220" s="41"/>
      <c r="W2220" s="37"/>
      <c r="X2220" s="37"/>
      <c r="Y2220" s="43"/>
      <c r="Z2220" s="37"/>
      <c r="AA2220" s="37"/>
      <c r="AD2220" s="37"/>
      <c r="AE2220" s="37"/>
      <c r="AF2220" s="37"/>
    </row>
    <row r="2221" spans="1:32" x14ac:dyDescent="0.25">
      <c r="A2221" s="37"/>
      <c r="B2221" s="37"/>
      <c r="C2221" s="37"/>
      <c r="F2221" s="38"/>
      <c r="G2221" s="38"/>
      <c r="H2221" s="38"/>
      <c r="I2221" s="37"/>
      <c r="J2221" s="38"/>
      <c r="K2221" s="38"/>
      <c r="L2221" s="42"/>
      <c r="M2221" s="42"/>
      <c r="N2221" s="42"/>
      <c r="O2221" s="42"/>
      <c r="R2221" s="37"/>
      <c r="S2221" s="37"/>
      <c r="T2221" s="91"/>
      <c r="U2221" s="91"/>
      <c r="V2221" s="41"/>
      <c r="W2221" s="37"/>
      <c r="X2221" s="37"/>
      <c r="Y2221" s="43"/>
      <c r="Z2221" s="37"/>
      <c r="AA2221" s="37"/>
      <c r="AD2221" s="37"/>
      <c r="AE2221" s="37"/>
      <c r="AF2221" s="37"/>
    </row>
    <row r="2222" spans="1:32" x14ac:dyDescent="0.25">
      <c r="A2222" s="37"/>
      <c r="B2222" s="37"/>
      <c r="C2222" s="37"/>
      <c r="F2222" s="38"/>
      <c r="G2222" s="38"/>
      <c r="H2222" s="38"/>
      <c r="I2222" s="37"/>
      <c r="J2222" s="38"/>
      <c r="K2222" s="38"/>
      <c r="L2222" s="42"/>
      <c r="M2222" s="42"/>
      <c r="N2222" s="42"/>
      <c r="O2222" s="42"/>
      <c r="R2222" s="37"/>
      <c r="S2222" s="37"/>
      <c r="T2222" s="91"/>
      <c r="U2222" s="91"/>
      <c r="V2222" s="41"/>
      <c r="W2222" s="37"/>
      <c r="X2222" s="37"/>
      <c r="Y2222" s="43"/>
      <c r="Z2222" s="37"/>
      <c r="AA2222" s="37"/>
      <c r="AD2222" s="37"/>
      <c r="AE2222" s="37"/>
      <c r="AF2222" s="37"/>
    </row>
    <row r="2223" spans="1:32" x14ac:dyDescent="0.25">
      <c r="A2223" s="37"/>
      <c r="B2223" s="37"/>
      <c r="C2223" s="37"/>
      <c r="F2223" s="38"/>
      <c r="G2223" s="38"/>
      <c r="H2223" s="38"/>
      <c r="I2223" s="37"/>
      <c r="J2223" s="38"/>
      <c r="K2223" s="38"/>
      <c r="L2223" s="42"/>
      <c r="M2223" s="42"/>
      <c r="N2223" s="42"/>
      <c r="O2223" s="42"/>
      <c r="R2223" s="37"/>
      <c r="S2223" s="37"/>
      <c r="T2223" s="91"/>
      <c r="U2223" s="91"/>
      <c r="V2223" s="41"/>
      <c r="W2223" s="37"/>
      <c r="X2223" s="37"/>
      <c r="Y2223" s="43"/>
      <c r="Z2223" s="37"/>
      <c r="AA2223" s="37"/>
      <c r="AD2223" s="37"/>
      <c r="AE2223" s="37"/>
      <c r="AF2223" s="37"/>
    </row>
    <row r="2224" spans="1:32" x14ac:dyDescent="0.25">
      <c r="A2224" s="37"/>
      <c r="B2224" s="37"/>
      <c r="C2224" s="37"/>
      <c r="F2224" s="38"/>
      <c r="G2224" s="38"/>
      <c r="H2224" s="38"/>
      <c r="I2224" s="37"/>
      <c r="J2224" s="38"/>
      <c r="K2224" s="38"/>
      <c r="L2224" s="42"/>
      <c r="M2224" s="42"/>
      <c r="N2224" s="42"/>
      <c r="O2224" s="42"/>
      <c r="R2224" s="37"/>
      <c r="S2224" s="37"/>
      <c r="T2224" s="91"/>
      <c r="U2224" s="91"/>
      <c r="V2224" s="41"/>
      <c r="W2224" s="37"/>
      <c r="X2224" s="37"/>
      <c r="Y2224" s="43"/>
      <c r="Z2224" s="37"/>
      <c r="AA2224" s="37"/>
      <c r="AD2224" s="37"/>
      <c r="AE2224" s="37"/>
      <c r="AF2224" s="37"/>
    </row>
    <row r="2225" spans="1:32" x14ac:dyDescent="0.25">
      <c r="A2225" s="37"/>
      <c r="B2225" s="37"/>
      <c r="C2225" s="37"/>
      <c r="F2225" s="38"/>
      <c r="G2225" s="38"/>
      <c r="H2225" s="38"/>
      <c r="I2225" s="37"/>
      <c r="J2225" s="38"/>
      <c r="K2225" s="38"/>
      <c r="L2225" s="42"/>
      <c r="M2225" s="42"/>
      <c r="N2225" s="42"/>
      <c r="O2225" s="42"/>
      <c r="R2225" s="37"/>
      <c r="S2225" s="37"/>
      <c r="T2225" s="91"/>
      <c r="U2225" s="91"/>
      <c r="V2225" s="41"/>
      <c r="W2225" s="37"/>
      <c r="X2225" s="37"/>
      <c r="Y2225" s="43"/>
      <c r="Z2225" s="37"/>
      <c r="AA2225" s="37"/>
      <c r="AD2225" s="37"/>
      <c r="AE2225" s="37"/>
      <c r="AF2225" s="37"/>
    </row>
    <row r="2226" spans="1:32" x14ac:dyDescent="0.25">
      <c r="A2226" s="37"/>
      <c r="B2226" s="37"/>
      <c r="C2226" s="37"/>
      <c r="F2226" s="38"/>
      <c r="G2226" s="38"/>
      <c r="H2226" s="38"/>
      <c r="I2226" s="37"/>
      <c r="J2226" s="38"/>
      <c r="K2226" s="38"/>
      <c r="L2226" s="42"/>
      <c r="M2226" s="42"/>
      <c r="N2226" s="42"/>
      <c r="O2226" s="42"/>
      <c r="R2226" s="37"/>
      <c r="S2226" s="37"/>
      <c r="T2226" s="91"/>
      <c r="U2226" s="91"/>
      <c r="V2226" s="41"/>
      <c r="W2226" s="37"/>
      <c r="X2226" s="37"/>
      <c r="Y2226" s="43"/>
      <c r="Z2226" s="37"/>
      <c r="AA2226" s="37"/>
      <c r="AD2226" s="37"/>
      <c r="AE2226" s="37"/>
      <c r="AF2226" s="37"/>
    </row>
    <row r="2227" spans="1:32" x14ac:dyDescent="0.25">
      <c r="A2227" s="37"/>
      <c r="B2227" s="37"/>
      <c r="C2227" s="37"/>
      <c r="F2227" s="38"/>
      <c r="G2227" s="38"/>
      <c r="H2227" s="38"/>
      <c r="I2227" s="37"/>
      <c r="J2227" s="38"/>
      <c r="K2227" s="38"/>
      <c r="L2227" s="42"/>
      <c r="M2227" s="42"/>
      <c r="N2227" s="42"/>
      <c r="O2227" s="42"/>
      <c r="R2227" s="37"/>
      <c r="S2227" s="37"/>
      <c r="T2227" s="91"/>
      <c r="U2227" s="91"/>
      <c r="V2227" s="41"/>
      <c r="W2227" s="37"/>
      <c r="X2227" s="37"/>
      <c r="Y2227" s="43"/>
      <c r="Z2227" s="37"/>
      <c r="AA2227" s="37"/>
      <c r="AD2227" s="37"/>
      <c r="AE2227" s="37"/>
      <c r="AF2227" s="37"/>
    </row>
    <row r="2228" spans="1:32" x14ac:dyDescent="0.25">
      <c r="A2228" s="37"/>
      <c r="B2228" s="37"/>
      <c r="C2228" s="37"/>
      <c r="F2228" s="38"/>
      <c r="G2228" s="38"/>
      <c r="H2228" s="38"/>
      <c r="I2228" s="37"/>
      <c r="J2228" s="38"/>
      <c r="K2228" s="38"/>
      <c r="L2228" s="42"/>
      <c r="M2228" s="42"/>
      <c r="N2228" s="42"/>
      <c r="O2228" s="42"/>
      <c r="R2228" s="37"/>
      <c r="S2228" s="37"/>
      <c r="T2228" s="91"/>
      <c r="U2228" s="91"/>
      <c r="V2228" s="41"/>
      <c r="W2228" s="37"/>
      <c r="X2228" s="37"/>
      <c r="Y2228" s="43"/>
      <c r="Z2228" s="37"/>
      <c r="AA2228" s="37"/>
      <c r="AD2228" s="37"/>
      <c r="AE2228" s="37"/>
      <c r="AF2228" s="37"/>
    </row>
    <row r="2229" spans="1:32" x14ac:dyDescent="0.25">
      <c r="A2229" s="37"/>
      <c r="B2229" s="37"/>
      <c r="C2229" s="37"/>
      <c r="F2229" s="38"/>
      <c r="G2229" s="38"/>
      <c r="H2229" s="38"/>
      <c r="I2229" s="37"/>
      <c r="J2229" s="38"/>
      <c r="K2229" s="38"/>
      <c r="L2229" s="42"/>
      <c r="M2229" s="42"/>
      <c r="N2229" s="42"/>
      <c r="O2229" s="42"/>
      <c r="R2229" s="37"/>
      <c r="S2229" s="37"/>
      <c r="T2229" s="91"/>
      <c r="U2229" s="91"/>
      <c r="V2229" s="41"/>
      <c r="W2229" s="37"/>
      <c r="X2229" s="37"/>
      <c r="Y2229" s="43"/>
      <c r="Z2229" s="37"/>
      <c r="AA2229" s="37"/>
      <c r="AD2229" s="37"/>
      <c r="AE2229" s="37"/>
      <c r="AF2229" s="37"/>
    </row>
    <row r="2230" spans="1:32" x14ac:dyDescent="0.25">
      <c r="A2230" s="37"/>
      <c r="B2230" s="37"/>
      <c r="C2230" s="37"/>
      <c r="F2230" s="38"/>
      <c r="G2230" s="38"/>
      <c r="H2230" s="38"/>
      <c r="I2230" s="37"/>
      <c r="J2230" s="38"/>
      <c r="K2230" s="38"/>
      <c r="L2230" s="42"/>
      <c r="M2230" s="42"/>
      <c r="N2230" s="42"/>
      <c r="O2230" s="42"/>
      <c r="R2230" s="37"/>
      <c r="S2230" s="37"/>
      <c r="T2230" s="91"/>
      <c r="U2230" s="91"/>
      <c r="V2230" s="41"/>
      <c r="W2230" s="37"/>
      <c r="X2230" s="37"/>
      <c r="Y2230" s="43"/>
      <c r="Z2230" s="37"/>
      <c r="AA2230" s="37"/>
      <c r="AD2230" s="37"/>
      <c r="AE2230" s="37"/>
      <c r="AF2230" s="37"/>
    </row>
    <row r="2231" spans="1:32" x14ac:dyDescent="0.25">
      <c r="A2231" s="37"/>
      <c r="B2231" s="37"/>
      <c r="C2231" s="37"/>
      <c r="F2231" s="38"/>
      <c r="G2231" s="38"/>
      <c r="H2231" s="38"/>
      <c r="I2231" s="37"/>
      <c r="J2231" s="38"/>
      <c r="K2231" s="38"/>
      <c r="L2231" s="42"/>
      <c r="M2231" s="42"/>
      <c r="N2231" s="42"/>
      <c r="O2231" s="42"/>
      <c r="R2231" s="37"/>
      <c r="S2231" s="37"/>
      <c r="T2231" s="91"/>
      <c r="U2231" s="91"/>
      <c r="V2231" s="41"/>
      <c r="W2231" s="37"/>
      <c r="X2231" s="37"/>
      <c r="Y2231" s="43"/>
      <c r="Z2231" s="37"/>
      <c r="AA2231" s="37"/>
      <c r="AD2231" s="37"/>
      <c r="AE2231" s="37"/>
      <c r="AF2231" s="37"/>
    </row>
    <row r="2232" spans="1:32" x14ac:dyDescent="0.25">
      <c r="A2232" s="37"/>
      <c r="B2232" s="37"/>
      <c r="C2232" s="37"/>
      <c r="F2232" s="38"/>
      <c r="G2232" s="38"/>
      <c r="H2232" s="38"/>
      <c r="I2232" s="37"/>
      <c r="J2232" s="38"/>
      <c r="K2232" s="38"/>
      <c r="L2232" s="42"/>
      <c r="M2232" s="42"/>
      <c r="N2232" s="42"/>
      <c r="O2232" s="42"/>
      <c r="R2232" s="37"/>
      <c r="S2232" s="37"/>
      <c r="T2232" s="91"/>
      <c r="U2232" s="91"/>
      <c r="V2232" s="41"/>
      <c r="W2232" s="37"/>
      <c r="X2232" s="37"/>
      <c r="Y2232" s="43"/>
      <c r="Z2232" s="37"/>
      <c r="AA2232" s="37"/>
      <c r="AD2232" s="37"/>
      <c r="AE2232" s="37"/>
      <c r="AF2232" s="37"/>
    </row>
    <row r="2233" spans="1:32" x14ac:dyDescent="0.25">
      <c r="A2233" s="37"/>
      <c r="B2233" s="37"/>
      <c r="C2233" s="37"/>
      <c r="F2233" s="38"/>
      <c r="G2233" s="38"/>
      <c r="H2233" s="38"/>
      <c r="I2233" s="37"/>
      <c r="J2233" s="38"/>
      <c r="K2233" s="38"/>
      <c r="L2233" s="42"/>
      <c r="M2233" s="42"/>
      <c r="N2233" s="42"/>
      <c r="O2233" s="42"/>
      <c r="R2233" s="37"/>
      <c r="S2233" s="37"/>
      <c r="T2233" s="91"/>
      <c r="U2233" s="91"/>
      <c r="V2233" s="41"/>
      <c r="W2233" s="37"/>
      <c r="X2233" s="37"/>
      <c r="Y2233" s="43"/>
      <c r="Z2233" s="37"/>
      <c r="AA2233" s="37"/>
      <c r="AD2233" s="37"/>
      <c r="AE2233" s="37"/>
      <c r="AF2233" s="37"/>
    </row>
    <row r="2234" spans="1:32" x14ac:dyDescent="0.25">
      <c r="A2234" s="37"/>
      <c r="B2234" s="37"/>
      <c r="C2234" s="37"/>
      <c r="F2234" s="38"/>
      <c r="G2234" s="38"/>
      <c r="H2234" s="38"/>
      <c r="I2234" s="37"/>
      <c r="J2234" s="38"/>
      <c r="K2234" s="38"/>
      <c r="L2234" s="42"/>
      <c r="M2234" s="42"/>
      <c r="N2234" s="42"/>
      <c r="O2234" s="42"/>
      <c r="R2234" s="37"/>
      <c r="S2234" s="37"/>
      <c r="T2234" s="91"/>
      <c r="U2234" s="91"/>
      <c r="V2234" s="41"/>
      <c r="W2234" s="37"/>
      <c r="X2234" s="37"/>
      <c r="Y2234" s="43"/>
      <c r="Z2234" s="37"/>
      <c r="AA2234" s="37"/>
      <c r="AD2234" s="37"/>
      <c r="AE2234" s="37"/>
      <c r="AF2234" s="37"/>
    </row>
    <row r="2235" spans="1:32" x14ac:dyDescent="0.25">
      <c r="A2235" s="37"/>
      <c r="B2235" s="37"/>
      <c r="C2235" s="37"/>
      <c r="F2235" s="38"/>
      <c r="G2235" s="38"/>
      <c r="H2235" s="38"/>
      <c r="I2235" s="37"/>
      <c r="J2235" s="38"/>
      <c r="K2235" s="38"/>
      <c r="L2235" s="42"/>
      <c r="M2235" s="42"/>
      <c r="N2235" s="42"/>
      <c r="O2235" s="42"/>
      <c r="R2235" s="37"/>
      <c r="S2235" s="37"/>
      <c r="T2235" s="91"/>
      <c r="U2235" s="91"/>
      <c r="V2235" s="41"/>
      <c r="W2235" s="37"/>
      <c r="X2235" s="37"/>
      <c r="Y2235" s="43"/>
      <c r="Z2235" s="37"/>
      <c r="AA2235" s="37"/>
      <c r="AD2235" s="37"/>
      <c r="AE2235" s="37"/>
      <c r="AF2235" s="37"/>
    </row>
    <row r="2236" spans="1:32" x14ac:dyDescent="0.25">
      <c r="A2236" s="37"/>
      <c r="B2236" s="37"/>
      <c r="C2236" s="37"/>
      <c r="F2236" s="38"/>
      <c r="G2236" s="38"/>
      <c r="H2236" s="38"/>
      <c r="I2236" s="37"/>
      <c r="J2236" s="38"/>
      <c r="K2236" s="38"/>
      <c r="L2236" s="42"/>
      <c r="M2236" s="42"/>
      <c r="N2236" s="42"/>
      <c r="O2236" s="42"/>
      <c r="R2236" s="37"/>
      <c r="S2236" s="37"/>
      <c r="T2236" s="91"/>
      <c r="U2236" s="91"/>
      <c r="V2236" s="41"/>
      <c r="W2236" s="37"/>
      <c r="X2236" s="37"/>
      <c r="Y2236" s="43"/>
      <c r="Z2236" s="37"/>
      <c r="AA2236" s="37"/>
      <c r="AD2236" s="37"/>
      <c r="AE2236" s="37"/>
      <c r="AF2236" s="37"/>
    </row>
    <row r="2237" spans="1:32" x14ac:dyDescent="0.25">
      <c r="A2237" s="37"/>
      <c r="B2237" s="37"/>
      <c r="C2237" s="37"/>
      <c r="F2237" s="38"/>
      <c r="G2237" s="38"/>
      <c r="H2237" s="38"/>
      <c r="I2237" s="37"/>
      <c r="J2237" s="38"/>
      <c r="K2237" s="38"/>
      <c r="L2237" s="42"/>
      <c r="M2237" s="42"/>
      <c r="N2237" s="42"/>
      <c r="O2237" s="42"/>
      <c r="R2237" s="37"/>
      <c r="S2237" s="37"/>
      <c r="T2237" s="91"/>
      <c r="U2237" s="91"/>
      <c r="V2237" s="41"/>
      <c r="W2237" s="37"/>
      <c r="X2237" s="37"/>
      <c r="Y2237" s="43"/>
      <c r="Z2237" s="37"/>
      <c r="AA2237" s="37"/>
      <c r="AD2237" s="37"/>
      <c r="AE2237" s="37"/>
      <c r="AF2237" s="37"/>
    </row>
    <row r="2238" spans="1:32" x14ac:dyDescent="0.25">
      <c r="A2238" s="37"/>
      <c r="B2238" s="37"/>
      <c r="C2238" s="37"/>
      <c r="F2238" s="38"/>
      <c r="G2238" s="38"/>
      <c r="H2238" s="38"/>
      <c r="I2238" s="37"/>
      <c r="J2238" s="38"/>
      <c r="K2238" s="38"/>
      <c r="L2238" s="42"/>
      <c r="M2238" s="42"/>
      <c r="N2238" s="42"/>
      <c r="O2238" s="42"/>
      <c r="R2238" s="37"/>
      <c r="S2238" s="37"/>
      <c r="T2238" s="91"/>
      <c r="U2238" s="91"/>
      <c r="V2238" s="41"/>
      <c r="W2238" s="37"/>
      <c r="X2238" s="37"/>
      <c r="Y2238" s="43"/>
      <c r="Z2238" s="37"/>
      <c r="AA2238" s="37"/>
      <c r="AD2238" s="37"/>
      <c r="AE2238" s="37"/>
      <c r="AF2238" s="37"/>
    </row>
    <row r="2239" spans="1:32" x14ac:dyDescent="0.25">
      <c r="A2239" s="37"/>
      <c r="B2239" s="37"/>
      <c r="C2239" s="37"/>
      <c r="F2239" s="38"/>
      <c r="G2239" s="38"/>
      <c r="H2239" s="38"/>
      <c r="I2239" s="37"/>
      <c r="J2239" s="38"/>
      <c r="K2239" s="38"/>
      <c r="L2239" s="42"/>
      <c r="M2239" s="42"/>
      <c r="N2239" s="42"/>
      <c r="O2239" s="42"/>
      <c r="R2239" s="37"/>
      <c r="S2239" s="37"/>
      <c r="T2239" s="91"/>
      <c r="U2239" s="91"/>
      <c r="V2239" s="41"/>
      <c r="W2239" s="37"/>
      <c r="X2239" s="37"/>
      <c r="Y2239" s="43"/>
      <c r="Z2239" s="37"/>
      <c r="AA2239" s="37"/>
      <c r="AD2239" s="37"/>
      <c r="AE2239" s="37"/>
      <c r="AF2239" s="37"/>
    </row>
    <row r="2240" spans="1:32" x14ac:dyDescent="0.25">
      <c r="A2240" s="37"/>
      <c r="B2240" s="37"/>
      <c r="C2240" s="37"/>
      <c r="F2240" s="38"/>
      <c r="G2240" s="38"/>
      <c r="H2240" s="38"/>
      <c r="I2240" s="37"/>
      <c r="J2240" s="38"/>
      <c r="K2240" s="38"/>
      <c r="L2240" s="42"/>
      <c r="M2240" s="42"/>
      <c r="N2240" s="42"/>
      <c r="O2240" s="42"/>
      <c r="R2240" s="37"/>
      <c r="S2240" s="37"/>
      <c r="T2240" s="91"/>
      <c r="U2240" s="91"/>
      <c r="V2240" s="41"/>
      <c r="W2240" s="37"/>
      <c r="X2240" s="37"/>
      <c r="Y2240" s="43"/>
      <c r="Z2240" s="37"/>
      <c r="AA2240" s="37"/>
      <c r="AD2240" s="37"/>
      <c r="AE2240" s="37"/>
      <c r="AF2240" s="37"/>
    </row>
    <row r="2241" spans="1:32" x14ac:dyDescent="0.25">
      <c r="A2241" s="37"/>
      <c r="B2241" s="37"/>
      <c r="C2241" s="37"/>
      <c r="F2241" s="38"/>
      <c r="G2241" s="38"/>
      <c r="H2241" s="38"/>
      <c r="I2241" s="37"/>
      <c r="J2241" s="38"/>
      <c r="K2241" s="38"/>
      <c r="L2241" s="42"/>
      <c r="M2241" s="42"/>
      <c r="N2241" s="42"/>
      <c r="O2241" s="42"/>
      <c r="R2241" s="37"/>
      <c r="S2241" s="37"/>
      <c r="T2241" s="91"/>
      <c r="U2241" s="91"/>
      <c r="V2241" s="41"/>
      <c r="W2241" s="37"/>
      <c r="X2241" s="37"/>
      <c r="Y2241" s="43"/>
      <c r="Z2241" s="37"/>
      <c r="AA2241" s="37"/>
      <c r="AD2241" s="37"/>
      <c r="AE2241" s="37"/>
      <c r="AF2241" s="37"/>
    </row>
    <row r="2242" spans="1:32" x14ac:dyDescent="0.25">
      <c r="A2242" s="37"/>
      <c r="B2242" s="37"/>
      <c r="C2242" s="37"/>
      <c r="F2242" s="38"/>
      <c r="G2242" s="38"/>
      <c r="H2242" s="38"/>
      <c r="I2242" s="37"/>
      <c r="J2242" s="38"/>
      <c r="K2242" s="38"/>
      <c r="L2242" s="42"/>
      <c r="M2242" s="42"/>
      <c r="N2242" s="42"/>
      <c r="O2242" s="42"/>
      <c r="R2242" s="37"/>
      <c r="S2242" s="37"/>
      <c r="T2242" s="91"/>
      <c r="U2242" s="91"/>
      <c r="V2242" s="41"/>
      <c r="W2242" s="37"/>
      <c r="X2242" s="37"/>
      <c r="Y2242" s="43"/>
      <c r="Z2242" s="37"/>
      <c r="AA2242" s="37"/>
      <c r="AD2242" s="37"/>
      <c r="AE2242" s="37"/>
      <c r="AF2242" s="37"/>
    </row>
    <row r="2243" spans="1:32" x14ac:dyDescent="0.25">
      <c r="A2243" s="37"/>
      <c r="B2243" s="37"/>
      <c r="C2243" s="37"/>
      <c r="F2243" s="38"/>
      <c r="G2243" s="38"/>
      <c r="H2243" s="38"/>
      <c r="I2243" s="37"/>
      <c r="J2243" s="38"/>
      <c r="K2243" s="38"/>
      <c r="L2243" s="42"/>
      <c r="M2243" s="42"/>
      <c r="N2243" s="42"/>
      <c r="O2243" s="42"/>
      <c r="R2243" s="37"/>
      <c r="S2243" s="37"/>
      <c r="T2243" s="91"/>
      <c r="U2243" s="91"/>
      <c r="V2243" s="41"/>
      <c r="W2243" s="37"/>
      <c r="X2243" s="37"/>
      <c r="Y2243" s="43"/>
      <c r="Z2243" s="37"/>
      <c r="AA2243" s="37"/>
      <c r="AD2243" s="37"/>
      <c r="AE2243" s="37"/>
      <c r="AF2243" s="37"/>
    </row>
    <row r="2244" spans="1:32" x14ac:dyDescent="0.25">
      <c r="A2244" s="37"/>
      <c r="B2244" s="37"/>
      <c r="C2244" s="37"/>
      <c r="F2244" s="38"/>
      <c r="G2244" s="38"/>
      <c r="H2244" s="38"/>
      <c r="I2244" s="37"/>
      <c r="J2244" s="38"/>
      <c r="K2244" s="38"/>
      <c r="L2244" s="42"/>
      <c r="M2244" s="42"/>
      <c r="N2244" s="42"/>
      <c r="O2244" s="42"/>
      <c r="R2244" s="37"/>
      <c r="S2244" s="37"/>
      <c r="T2244" s="91"/>
      <c r="U2244" s="91"/>
      <c r="V2244" s="41"/>
      <c r="W2244" s="37"/>
      <c r="X2244" s="37"/>
      <c r="Y2244" s="43"/>
      <c r="Z2244" s="37"/>
      <c r="AA2244" s="37"/>
      <c r="AD2244" s="37"/>
      <c r="AE2244" s="37"/>
      <c r="AF2244" s="37"/>
    </row>
    <row r="2245" spans="1:32" x14ac:dyDescent="0.25">
      <c r="A2245" s="37"/>
      <c r="B2245" s="37"/>
      <c r="C2245" s="37"/>
      <c r="F2245" s="38"/>
      <c r="G2245" s="38"/>
      <c r="H2245" s="38"/>
      <c r="I2245" s="37"/>
      <c r="J2245" s="38"/>
      <c r="K2245" s="38"/>
      <c r="L2245" s="42"/>
      <c r="M2245" s="42"/>
      <c r="N2245" s="42"/>
      <c r="O2245" s="42"/>
      <c r="R2245" s="37"/>
      <c r="S2245" s="37"/>
      <c r="T2245" s="91"/>
      <c r="U2245" s="91"/>
      <c r="V2245" s="41"/>
      <c r="W2245" s="37"/>
      <c r="X2245" s="37"/>
      <c r="Y2245" s="43"/>
      <c r="Z2245" s="37"/>
      <c r="AA2245" s="37"/>
      <c r="AD2245" s="37"/>
      <c r="AE2245" s="37"/>
      <c r="AF2245" s="37"/>
    </row>
    <row r="2246" spans="1:32" x14ac:dyDescent="0.25">
      <c r="A2246" s="37"/>
      <c r="B2246" s="37"/>
      <c r="C2246" s="37"/>
      <c r="F2246" s="38"/>
      <c r="G2246" s="38"/>
      <c r="H2246" s="38"/>
      <c r="I2246" s="37"/>
      <c r="J2246" s="38"/>
      <c r="K2246" s="38"/>
      <c r="L2246" s="42"/>
      <c r="M2246" s="42"/>
      <c r="N2246" s="42"/>
      <c r="O2246" s="42"/>
      <c r="R2246" s="37"/>
      <c r="S2246" s="37"/>
      <c r="T2246" s="91"/>
      <c r="U2246" s="91"/>
      <c r="V2246" s="41"/>
      <c r="W2246" s="37"/>
      <c r="X2246" s="37"/>
      <c r="Y2246" s="43"/>
      <c r="Z2246" s="37"/>
      <c r="AA2246" s="37"/>
      <c r="AD2246" s="37"/>
      <c r="AE2246" s="37"/>
      <c r="AF2246" s="37"/>
    </row>
    <row r="2247" spans="1:32" x14ac:dyDescent="0.25">
      <c r="A2247" s="37"/>
      <c r="B2247" s="37"/>
      <c r="C2247" s="37"/>
      <c r="F2247" s="38"/>
      <c r="G2247" s="38"/>
      <c r="H2247" s="38"/>
      <c r="I2247" s="37"/>
      <c r="J2247" s="38"/>
      <c r="K2247" s="38"/>
      <c r="L2247" s="42"/>
      <c r="M2247" s="42"/>
      <c r="N2247" s="42"/>
      <c r="O2247" s="42"/>
      <c r="R2247" s="37"/>
      <c r="S2247" s="37"/>
      <c r="T2247" s="91"/>
      <c r="U2247" s="91"/>
      <c r="V2247" s="41"/>
      <c r="W2247" s="37"/>
      <c r="X2247" s="37"/>
      <c r="Y2247" s="43"/>
      <c r="Z2247" s="37"/>
      <c r="AA2247" s="37"/>
      <c r="AD2247" s="37"/>
      <c r="AE2247" s="37"/>
      <c r="AF2247" s="37"/>
    </row>
    <row r="2248" spans="1:32" x14ac:dyDescent="0.25">
      <c r="A2248" s="37"/>
      <c r="B2248" s="37"/>
      <c r="C2248" s="37"/>
      <c r="F2248" s="38"/>
      <c r="G2248" s="38"/>
      <c r="H2248" s="38"/>
      <c r="I2248" s="37"/>
      <c r="J2248" s="38"/>
      <c r="K2248" s="38"/>
      <c r="L2248" s="42"/>
      <c r="M2248" s="42"/>
      <c r="N2248" s="42"/>
      <c r="O2248" s="42"/>
      <c r="R2248" s="37"/>
      <c r="S2248" s="37"/>
      <c r="T2248" s="91"/>
      <c r="U2248" s="91"/>
      <c r="V2248" s="41"/>
      <c r="W2248" s="37"/>
      <c r="X2248" s="37"/>
      <c r="Y2248" s="43"/>
      <c r="Z2248" s="37"/>
      <c r="AA2248" s="37"/>
      <c r="AD2248" s="37"/>
      <c r="AE2248" s="37"/>
      <c r="AF2248" s="37"/>
    </row>
    <row r="2249" spans="1:32" x14ac:dyDescent="0.25">
      <c r="A2249" s="37"/>
      <c r="B2249" s="37"/>
      <c r="C2249" s="37"/>
      <c r="F2249" s="38"/>
      <c r="G2249" s="38"/>
      <c r="H2249" s="38"/>
      <c r="I2249" s="37"/>
      <c r="J2249" s="38"/>
      <c r="K2249" s="38"/>
      <c r="L2249" s="42"/>
      <c r="M2249" s="42"/>
      <c r="N2249" s="42"/>
      <c r="O2249" s="42"/>
      <c r="R2249" s="37"/>
      <c r="S2249" s="37"/>
      <c r="T2249" s="91"/>
      <c r="U2249" s="91"/>
      <c r="V2249" s="41"/>
      <c r="W2249" s="37"/>
      <c r="X2249" s="37"/>
      <c r="Y2249" s="43"/>
      <c r="Z2249" s="37"/>
      <c r="AA2249" s="37"/>
      <c r="AD2249" s="37"/>
      <c r="AE2249" s="37"/>
      <c r="AF2249" s="37"/>
    </row>
    <row r="2250" spans="1:32" x14ac:dyDescent="0.25">
      <c r="A2250" s="37"/>
      <c r="B2250" s="37"/>
      <c r="C2250" s="37"/>
      <c r="F2250" s="38"/>
      <c r="G2250" s="38"/>
      <c r="H2250" s="38"/>
      <c r="I2250" s="37"/>
      <c r="J2250" s="38"/>
      <c r="K2250" s="38"/>
      <c r="L2250" s="42"/>
      <c r="M2250" s="42"/>
      <c r="N2250" s="42"/>
      <c r="O2250" s="42"/>
      <c r="R2250" s="37"/>
      <c r="S2250" s="37"/>
      <c r="T2250" s="91"/>
      <c r="U2250" s="91"/>
      <c r="V2250" s="41"/>
      <c r="W2250" s="37"/>
      <c r="X2250" s="37"/>
      <c r="Y2250" s="43"/>
      <c r="Z2250" s="37"/>
      <c r="AA2250" s="37"/>
      <c r="AD2250" s="37"/>
      <c r="AE2250" s="37"/>
      <c r="AF2250" s="37"/>
    </row>
    <row r="2251" spans="1:32" x14ac:dyDescent="0.25">
      <c r="A2251" s="37"/>
      <c r="B2251" s="37"/>
      <c r="C2251" s="37"/>
      <c r="F2251" s="38"/>
      <c r="G2251" s="38"/>
      <c r="H2251" s="38"/>
      <c r="I2251" s="37"/>
      <c r="J2251" s="38"/>
      <c r="K2251" s="38"/>
      <c r="L2251" s="42"/>
      <c r="M2251" s="42"/>
      <c r="N2251" s="42"/>
      <c r="O2251" s="42"/>
      <c r="R2251" s="37"/>
      <c r="S2251" s="37"/>
      <c r="T2251" s="91"/>
      <c r="U2251" s="91"/>
      <c r="V2251" s="41"/>
      <c r="W2251" s="37"/>
      <c r="X2251" s="37"/>
      <c r="Y2251" s="43"/>
      <c r="Z2251" s="37"/>
      <c r="AA2251" s="37"/>
      <c r="AD2251" s="37"/>
      <c r="AE2251" s="37"/>
      <c r="AF2251" s="37"/>
    </row>
    <row r="2252" spans="1:32" x14ac:dyDescent="0.25">
      <c r="A2252" s="37"/>
      <c r="B2252" s="37"/>
      <c r="C2252" s="37"/>
      <c r="F2252" s="38"/>
      <c r="G2252" s="38"/>
      <c r="H2252" s="38"/>
      <c r="I2252" s="37"/>
      <c r="J2252" s="38"/>
      <c r="K2252" s="38"/>
      <c r="L2252" s="42"/>
      <c r="M2252" s="42"/>
      <c r="N2252" s="42"/>
      <c r="O2252" s="42"/>
      <c r="R2252" s="37"/>
      <c r="S2252" s="37"/>
      <c r="T2252" s="91"/>
      <c r="U2252" s="91"/>
      <c r="V2252" s="41"/>
      <c r="W2252" s="37"/>
      <c r="X2252" s="37"/>
      <c r="Y2252" s="43"/>
      <c r="Z2252" s="37"/>
      <c r="AA2252" s="37"/>
      <c r="AD2252" s="37"/>
      <c r="AE2252" s="37"/>
      <c r="AF2252" s="37"/>
    </row>
    <row r="2253" spans="1:32" x14ac:dyDescent="0.25">
      <c r="A2253" s="37"/>
      <c r="B2253" s="37"/>
      <c r="C2253" s="37"/>
      <c r="F2253" s="38"/>
      <c r="G2253" s="38"/>
      <c r="H2253" s="38"/>
      <c r="I2253" s="37"/>
      <c r="J2253" s="38"/>
      <c r="K2253" s="38"/>
      <c r="L2253" s="42"/>
      <c r="M2253" s="42"/>
      <c r="N2253" s="42"/>
      <c r="O2253" s="42"/>
      <c r="R2253" s="37"/>
      <c r="S2253" s="37"/>
      <c r="T2253" s="91"/>
      <c r="U2253" s="91"/>
      <c r="V2253" s="41"/>
      <c r="W2253" s="37"/>
      <c r="X2253" s="37"/>
      <c r="Y2253" s="43"/>
      <c r="Z2253" s="37"/>
      <c r="AA2253" s="37"/>
      <c r="AD2253" s="37"/>
      <c r="AE2253" s="37"/>
      <c r="AF2253" s="37"/>
    </row>
    <row r="2254" spans="1:32" x14ac:dyDescent="0.25">
      <c r="A2254" s="37"/>
      <c r="B2254" s="37"/>
      <c r="C2254" s="37"/>
      <c r="F2254" s="38"/>
      <c r="G2254" s="38"/>
      <c r="H2254" s="38"/>
      <c r="I2254" s="37"/>
      <c r="J2254" s="38"/>
      <c r="K2254" s="38"/>
      <c r="L2254" s="42"/>
      <c r="M2254" s="42"/>
      <c r="N2254" s="42"/>
      <c r="O2254" s="42"/>
      <c r="R2254" s="37"/>
      <c r="S2254" s="37"/>
      <c r="T2254" s="91"/>
      <c r="U2254" s="91"/>
      <c r="V2254" s="41"/>
      <c r="W2254" s="37"/>
      <c r="X2254" s="37"/>
      <c r="Y2254" s="43"/>
      <c r="Z2254" s="37"/>
      <c r="AA2254" s="37"/>
      <c r="AD2254" s="37"/>
      <c r="AE2254" s="37"/>
      <c r="AF2254" s="37"/>
    </row>
    <row r="2255" spans="1:32" x14ac:dyDescent="0.25">
      <c r="A2255" s="37"/>
      <c r="B2255" s="37"/>
      <c r="C2255" s="37"/>
      <c r="F2255" s="38"/>
      <c r="G2255" s="38"/>
      <c r="H2255" s="38"/>
      <c r="I2255" s="37"/>
      <c r="J2255" s="38"/>
      <c r="K2255" s="38"/>
      <c r="L2255" s="42"/>
      <c r="M2255" s="42"/>
      <c r="N2255" s="42"/>
      <c r="O2255" s="42"/>
      <c r="R2255" s="37"/>
      <c r="S2255" s="37"/>
      <c r="T2255" s="91"/>
      <c r="U2255" s="91"/>
      <c r="V2255" s="41"/>
      <c r="W2255" s="37"/>
      <c r="X2255" s="37"/>
      <c r="Y2255" s="43"/>
      <c r="Z2255" s="37"/>
      <c r="AA2255" s="37"/>
      <c r="AD2255" s="37"/>
      <c r="AE2255" s="37"/>
      <c r="AF2255" s="37"/>
    </row>
    <row r="2256" spans="1:32" x14ac:dyDescent="0.25">
      <c r="A2256" s="37"/>
      <c r="B2256" s="37"/>
      <c r="C2256" s="37"/>
      <c r="F2256" s="38"/>
      <c r="G2256" s="38"/>
      <c r="H2256" s="38"/>
      <c r="I2256" s="37"/>
      <c r="J2256" s="38"/>
      <c r="K2256" s="38"/>
      <c r="L2256" s="42"/>
      <c r="M2256" s="42"/>
      <c r="N2256" s="42"/>
      <c r="O2256" s="42"/>
      <c r="R2256" s="37"/>
      <c r="S2256" s="37"/>
      <c r="T2256" s="91"/>
      <c r="U2256" s="91"/>
      <c r="V2256" s="41"/>
      <c r="W2256" s="37"/>
      <c r="X2256" s="37"/>
      <c r="Y2256" s="43"/>
      <c r="Z2256" s="37"/>
      <c r="AA2256" s="37"/>
      <c r="AD2256" s="37"/>
      <c r="AE2256" s="37"/>
      <c r="AF2256" s="37"/>
    </row>
    <row r="2257" spans="1:32" x14ac:dyDescent="0.25">
      <c r="A2257" s="37"/>
      <c r="B2257" s="37"/>
      <c r="C2257" s="37"/>
      <c r="F2257" s="38"/>
      <c r="G2257" s="38"/>
      <c r="H2257" s="38"/>
      <c r="I2257" s="37"/>
      <c r="J2257" s="38"/>
      <c r="K2257" s="38"/>
      <c r="L2257" s="42"/>
      <c r="M2257" s="42"/>
      <c r="N2257" s="42"/>
      <c r="O2257" s="42"/>
      <c r="R2257" s="37"/>
      <c r="S2257" s="37"/>
      <c r="T2257" s="91"/>
      <c r="U2257" s="91"/>
      <c r="V2257" s="41"/>
      <c r="W2257" s="37"/>
      <c r="X2257" s="37"/>
      <c r="Y2257" s="43"/>
      <c r="Z2257" s="37"/>
      <c r="AA2257" s="37"/>
      <c r="AD2257" s="37"/>
      <c r="AE2257" s="37"/>
      <c r="AF2257" s="37"/>
    </row>
    <row r="2258" spans="1:32" x14ac:dyDescent="0.25">
      <c r="A2258" s="37"/>
      <c r="B2258" s="37"/>
      <c r="C2258" s="37"/>
      <c r="F2258" s="38"/>
      <c r="G2258" s="38"/>
      <c r="H2258" s="38"/>
      <c r="I2258" s="37"/>
      <c r="J2258" s="38"/>
      <c r="K2258" s="38"/>
      <c r="L2258" s="42"/>
      <c r="M2258" s="42"/>
      <c r="N2258" s="42"/>
      <c r="O2258" s="42"/>
      <c r="R2258" s="37"/>
      <c r="S2258" s="37"/>
      <c r="T2258" s="91"/>
      <c r="U2258" s="91"/>
      <c r="V2258" s="41"/>
      <c r="W2258" s="37"/>
      <c r="X2258" s="37"/>
      <c r="Y2258" s="43"/>
      <c r="Z2258" s="37"/>
      <c r="AA2258" s="37"/>
      <c r="AD2258" s="37"/>
      <c r="AE2258" s="37"/>
      <c r="AF2258" s="37"/>
    </row>
    <row r="2259" spans="1:32" x14ac:dyDescent="0.25">
      <c r="A2259" s="37"/>
      <c r="B2259" s="37"/>
      <c r="C2259" s="37"/>
      <c r="F2259" s="38"/>
      <c r="G2259" s="38"/>
      <c r="H2259" s="38"/>
      <c r="I2259" s="37"/>
      <c r="J2259" s="38"/>
      <c r="K2259" s="38"/>
      <c r="L2259" s="42"/>
      <c r="M2259" s="42"/>
      <c r="N2259" s="42"/>
      <c r="O2259" s="42"/>
      <c r="R2259" s="37"/>
      <c r="S2259" s="37"/>
      <c r="T2259" s="91"/>
      <c r="U2259" s="91"/>
      <c r="V2259" s="41"/>
      <c r="W2259" s="37"/>
      <c r="X2259" s="37"/>
      <c r="Y2259" s="43"/>
      <c r="Z2259" s="37"/>
      <c r="AA2259" s="37"/>
      <c r="AD2259" s="37"/>
      <c r="AE2259" s="37"/>
      <c r="AF2259" s="37"/>
    </row>
    <row r="2260" spans="1:32" x14ac:dyDescent="0.25">
      <c r="A2260" s="37"/>
      <c r="B2260" s="37"/>
      <c r="C2260" s="37"/>
      <c r="F2260" s="38"/>
      <c r="G2260" s="38"/>
      <c r="H2260" s="38"/>
      <c r="I2260" s="37"/>
      <c r="J2260" s="38"/>
      <c r="K2260" s="38"/>
      <c r="L2260" s="42"/>
      <c r="M2260" s="42"/>
      <c r="N2260" s="42"/>
      <c r="O2260" s="42"/>
      <c r="R2260" s="37"/>
      <c r="S2260" s="37"/>
      <c r="T2260" s="91"/>
      <c r="U2260" s="91"/>
      <c r="V2260" s="41"/>
      <c r="W2260" s="37"/>
      <c r="X2260" s="37"/>
      <c r="Y2260" s="43"/>
      <c r="Z2260" s="37"/>
      <c r="AA2260" s="37"/>
      <c r="AD2260" s="37"/>
      <c r="AE2260" s="37"/>
      <c r="AF2260" s="37"/>
    </row>
    <row r="2261" spans="1:32" x14ac:dyDescent="0.25">
      <c r="A2261" s="37"/>
      <c r="B2261" s="37"/>
      <c r="C2261" s="37"/>
      <c r="F2261" s="38"/>
      <c r="G2261" s="38"/>
      <c r="H2261" s="38"/>
      <c r="I2261" s="37"/>
      <c r="J2261" s="38"/>
      <c r="K2261" s="38"/>
      <c r="L2261" s="42"/>
      <c r="M2261" s="42"/>
      <c r="N2261" s="42"/>
      <c r="O2261" s="42"/>
      <c r="R2261" s="37"/>
      <c r="S2261" s="37"/>
      <c r="T2261" s="91"/>
      <c r="U2261" s="91"/>
      <c r="V2261" s="41"/>
      <c r="W2261" s="37"/>
      <c r="X2261" s="37"/>
      <c r="Y2261" s="43"/>
      <c r="Z2261" s="37"/>
      <c r="AA2261" s="37"/>
      <c r="AD2261" s="37"/>
      <c r="AE2261" s="37"/>
      <c r="AF2261" s="37"/>
    </row>
    <row r="2262" spans="1:32" x14ac:dyDescent="0.25">
      <c r="A2262" s="37"/>
      <c r="B2262" s="37"/>
      <c r="C2262" s="37"/>
      <c r="F2262" s="38"/>
      <c r="G2262" s="38"/>
      <c r="H2262" s="38"/>
      <c r="I2262" s="37"/>
      <c r="J2262" s="38"/>
      <c r="K2262" s="38"/>
      <c r="L2262" s="42"/>
      <c r="M2262" s="42"/>
      <c r="N2262" s="42"/>
      <c r="O2262" s="42"/>
      <c r="R2262" s="37"/>
      <c r="S2262" s="37"/>
      <c r="T2262" s="91"/>
      <c r="U2262" s="91"/>
      <c r="V2262" s="41"/>
      <c r="W2262" s="37"/>
      <c r="X2262" s="37"/>
      <c r="Y2262" s="43"/>
      <c r="Z2262" s="37"/>
      <c r="AA2262" s="37"/>
      <c r="AD2262" s="37"/>
      <c r="AE2262" s="37"/>
      <c r="AF2262" s="37"/>
    </row>
    <row r="2263" spans="1:32" x14ac:dyDescent="0.25">
      <c r="A2263" s="37"/>
      <c r="B2263" s="37"/>
      <c r="C2263" s="37"/>
      <c r="F2263" s="38"/>
      <c r="G2263" s="38"/>
      <c r="H2263" s="38"/>
      <c r="I2263" s="37"/>
      <c r="J2263" s="38"/>
      <c r="K2263" s="38"/>
      <c r="L2263" s="42"/>
      <c r="M2263" s="42"/>
      <c r="N2263" s="42"/>
      <c r="O2263" s="42"/>
      <c r="R2263" s="37"/>
      <c r="S2263" s="37"/>
      <c r="T2263" s="91"/>
      <c r="U2263" s="91"/>
      <c r="V2263" s="41"/>
      <c r="W2263" s="37"/>
      <c r="X2263" s="37"/>
      <c r="Y2263" s="43"/>
      <c r="Z2263" s="37"/>
      <c r="AA2263" s="37"/>
      <c r="AD2263" s="37"/>
      <c r="AE2263" s="37"/>
      <c r="AF2263" s="37"/>
    </row>
    <row r="2264" spans="1:32" x14ac:dyDescent="0.25">
      <c r="A2264" s="37"/>
      <c r="B2264" s="37"/>
      <c r="C2264" s="37"/>
      <c r="F2264" s="38"/>
      <c r="G2264" s="38"/>
      <c r="H2264" s="38"/>
      <c r="I2264" s="37"/>
      <c r="J2264" s="38"/>
      <c r="K2264" s="38"/>
      <c r="L2264" s="42"/>
      <c r="M2264" s="42"/>
      <c r="N2264" s="42"/>
      <c r="O2264" s="42"/>
      <c r="R2264" s="37"/>
      <c r="S2264" s="37"/>
      <c r="T2264" s="91"/>
      <c r="U2264" s="91"/>
      <c r="V2264" s="41"/>
      <c r="W2264" s="37"/>
      <c r="X2264" s="37"/>
      <c r="Y2264" s="43"/>
      <c r="Z2264" s="37"/>
      <c r="AA2264" s="37"/>
      <c r="AD2264" s="37"/>
      <c r="AE2264" s="37"/>
      <c r="AF2264" s="37"/>
    </row>
    <row r="2265" spans="1:32" x14ac:dyDescent="0.25">
      <c r="A2265" s="37"/>
      <c r="B2265" s="37"/>
      <c r="C2265" s="37"/>
      <c r="F2265" s="38"/>
      <c r="G2265" s="38"/>
      <c r="H2265" s="38"/>
      <c r="I2265" s="37"/>
      <c r="J2265" s="38"/>
      <c r="K2265" s="38"/>
      <c r="L2265" s="42"/>
      <c r="M2265" s="42"/>
      <c r="N2265" s="42"/>
      <c r="O2265" s="42"/>
      <c r="R2265" s="37"/>
      <c r="S2265" s="37"/>
      <c r="T2265" s="91"/>
      <c r="U2265" s="91"/>
      <c r="V2265" s="41"/>
      <c r="W2265" s="37"/>
      <c r="X2265" s="37"/>
      <c r="Y2265" s="43"/>
      <c r="Z2265" s="37"/>
      <c r="AA2265" s="37"/>
      <c r="AD2265" s="37"/>
      <c r="AE2265" s="37"/>
      <c r="AF2265" s="37"/>
    </row>
    <row r="2266" spans="1:32" x14ac:dyDescent="0.25">
      <c r="A2266" s="37"/>
      <c r="B2266" s="37"/>
      <c r="C2266" s="37"/>
      <c r="F2266" s="38"/>
      <c r="G2266" s="38"/>
      <c r="H2266" s="38"/>
      <c r="I2266" s="37"/>
      <c r="J2266" s="38"/>
      <c r="K2266" s="38"/>
      <c r="L2266" s="42"/>
      <c r="M2266" s="42"/>
      <c r="N2266" s="42"/>
      <c r="O2266" s="42"/>
      <c r="R2266" s="37"/>
      <c r="S2266" s="37"/>
      <c r="T2266" s="91"/>
      <c r="U2266" s="91"/>
      <c r="V2266" s="41"/>
      <c r="W2266" s="37"/>
      <c r="X2266" s="37"/>
      <c r="Y2266" s="43"/>
      <c r="Z2266" s="37"/>
      <c r="AA2266" s="37"/>
      <c r="AD2266" s="37"/>
      <c r="AE2266" s="37"/>
      <c r="AF2266" s="37"/>
    </row>
    <row r="2267" spans="1:32" x14ac:dyDescent="0.25">
      <c r="A2267" s="37"/>
      <c r="B2267" s="37"/>
      <c r="C2267" s="37"/>
      <c r="F2267" s="38"/>
      <c r="G2267" s="38"/>
      <c r="H2267" s="38"/>
      <c r="I2267" s="37"/>
      <c r="J2267" s="38"/>
      <c r="K2267" s="38"/>
      <c r="L2267" s="42"/>
      <c r="M2267" s="42"/>
      <c r="N2267" s="42"/>
      <c r="O2267" s="42"/>
      <c r="R2267" s="37"/>
      <c r="S2267" s="37"/>
      <c r="T2267" s="91"/>
      <c r="U2267" s="91"/>
      <c r="V2267" s="41"/>
      <c r="W2267" s="37"/>
      <c r="X2267" s="37"/>
      <c r="Y2267" s="43"/>
      <c r="Z2267" s="37"/>
      <c r="AA2267" s="37"/>
      <c r="AD2267" s="37"/>
      <c r="AE2267" s="37"/>
      <c r="AF2267" s="37"/>
    </row>
    <row r="2268" spans="1:32" x14ac:dyDescent="0.25">
      <c r="A2268" s="37"/>
      <c r="B2268" s="37"/>
      <c r="C2268" s="37"/>
      <c r="F2268" s="38"/>
      <c r="G2268" s="38"/>
      <c r="H2268" s="38"/>
      <c r="I2268" s="37"/>
      <c r="J2268" s="38"/>
      <c r="K2268" s="38"/>
      <c r="L2268" s="42"/>
      <c r="M2268" s="42"/>
      <c r="N2268" s="42"/>
      <c r="O2268" s="42"/>
      <c r="R2268" s="37"/>
      <c r="S2268" s="37"/>
      <c r="T2268" s="91"/>
      <c r="U2268" s="91"/>
      <c r="V2268" s="41"/>
      <c r="W2268" s="37"/>
      <c r="X2268" s="37"/>
      <c r="Y2268" s="43"/>
      <c r="Z2268" s="37"/>
      <c r="AA2268" s="37"/>
      <c r="AD2268" s="37"/>
      <c r="AE2268" s="37"/>
      <c r="AF2268" s="37"/>
    </row>
    <row r="2269" spans="1:32" x14ac:dyDescent="0.25">
      <c r="A2269" s="37"/>
      <c r="B2269" s="37"/>
      <c r="C2269" s="37"/>
      <c r="F2269" s="38"/>
      <c r="G2269" s="38"/>
      <c r="H2269" s="38"/>
      <c r="I2269" s="37"/>
      <c r="J2269" s="38"/>
      <c r="K2269" s="38"/>
      <c r="L2269" s="42"/>
      <c r="M2269" s="42"/>
      <c r="N2269" s="42"/>
      <c r="O2269" s="42"/>
      <c r="R2269" s="37"/>
      <c r="S2269" s="37"/>
      <c r="T2269" s="91"/>
      <c r="U2269" s="91"/>
      <c r="V2269" s="41"/>
      <c r="W2269" s="37"/>
      <c r="X2269" s="37"/>
      <c r="Y2269" s="43"/>
      <c r="Z2269" s="37"/>
      <c r="AA2269" s="37"/>
      <c r="AD2269" s="37"/>
      <c r="AE2269" s="37"/>
      <c r="AF2269" s="37"/>
    </row>
    <row r="2270" spans="1:32" x14ac:dyDescent="0.25">
      <c r="A2270" s="37"/>
      <c r="B2270" s="37"/>
      <c r="C2270" s="37"/>
      <c r="F2270" s="38"/>
      <c r="G2270" s="38"/>
      <c r="H2270" s="38"/>
      <c r="I2270" s="37"/>
      <c r="J2270" s="38"/>
      <c r="K2270" s="38"/>
      <c r="L2270" s="42"/>
      <c r="M2270" s="42"/>
      <c r="N2270" s="42"/>
      <c r="O2270" s="42"/>
      <c r="R2270" s="37"/>
      <c r="S2270" s="37"/>
      <c r="T2270" s="91"/>
      <c r="U2270" s="91"/>
      <c r="V2270" s="41"/>
      <c r="W2270" s="37"/>
      <c r="X2270" s="37"/>
      <c r="Y2270" s="43"/>
      <c r="Z2270" s="37"/>
      <c r="AA2270" s="37"/>
      <c r="AD2270" s="37"/>
      <c r="AE2270" s="37"/>
      <c r="AF2270" s="37"/>
    </row>
    <row r="2271" spans="1:32" x14ac:dyDescent="0.25">
      <c r="A2271" s="37"/>
      <c r="B2271" s="37"/>
      <c r="C2271" s="37"/>
      <c r="F2271" s="38"/>
      <c r="G2271" s="38"/>
      <c r="H2271" s="38"/>
      <c r="I2271" s="37"/>
      <c r="J2271" s="38"/>
      <c r="K2271" s="38"/>
      <c r="L2271" s="42"/>
      <c r="M2271" s="42"/>
      <c r="N2271" s="42"/>
      <c r="O2271" s="42"/>
      <c r="R2271" s="37"/>
      <c r="S2271" s="37"/>
      <c r="T2271" s="91"/>
      <c r="U2271" s="91"/>
      <c r="V2271" s="41"/>
      <c r="W2271" s="37"/>
      <c r="X2271" s="37"/>
      <c r="Y2271" s="43"/>
      <c r="Z2271" s="37"/>
      <c r="AA2271" s="37"/>
      <c r="AD2271" s="37"/>
      <c r="AE2271" s="37"/>
      <c r="AF2271" s="37"/>
    </row>
    <row r="2272" spans="1:32" x14ac:dyDescent="0.25">
      <c r="A2272" s="37"/>
      <c r="B2272" s="37"/>
      <c r="C2272" s="37"/>
      <c r="F2272" s="38"/>
      <c r="G2272" s="38"/>
      <c r="H2272" s="38"/>
      <c r="I2272" s="37"/>
      <c r="J2272" s="38"/>
      <c r="K2272" s="38"/>
      <c r="L2272" s="42"/>
      <c r="M2272" s="42"/>
      <c r="N2272" s="42"/>
      <c r="O2272" s="42"/>
      <c r="R2272" s="37"/>
      <c r="S2272" s="37"/>
      <c r="T2272" s="91"/>
      <c r="U2272" s="91"/>
      <c r="V2272" s="41"/>
      <c r="W2272" s="37"/>
      <c r="X2272" s="37"/>
      <c r="Y2272" s="43"/>
      <c r="Z2272" s="37"/>
      <c r="AA2272" s="37"/>
      <c r="AD2272" s="37"/>
      <c r="AE2272" s="37"/>
      <c r="AF2272" s="37"/>
    </row>
    <row r="2273" spans="1:32" x14ac:dyDescent="0.25">
      <c r="A2273" s="37"/>
      <c r="B2273" s="37"/>
      <c r="C2273" s="37"/>
      <c r="F2273" s="38"/>
      <c r="G2273" s="38"/>
      <c r="H2273" s="38"/>
      <c r="I2273" s="37"/>
      <c r="J2273" s="38"/>
      <c r="K2273" s="38"/>
      <c r="L2273" s="42"/>
      <c r="M2273" s="42"/>
      <c r="N2273" s="42"/>
      <c r="O2273" s="42"/>
      <c r="R2273" s="37"/>
      <c r="S2273" s="37"/>
      <c r="T2273" s="91"/>
      <c r="U2273" s="91"/>
      <c r="V2273" s="41"/>
      <c r="W2273" s="37"/>
      <c r="X2273" s="37"/>
      <c r="Y2273" s="43"/>
      <c r="Z2273" s="37"/>
      <c r="AA2273" s="37"/>
      <c r="AD2273" s="37"/>
      <c r="AE2273" s="37"/>
      <c r="AF2273" s="37"/>
    </row>
    <row r="2274" spans="1:32" x14ac:dyDescent="0.25">
      <c r="A2274" s="37"/>
      <c r="B2274" s="37"/>
      <c r="C2274" s="37"/>
      <c r="F2274" s="38"/>
      <c r="G2274" s="38"/>
      <c r="H2274" s="38"/>
      <c r="I2274" s="37"/>
      <c r="J2274" s="38"/>
      <c r="K2274" s="38"/>
      <c r="L2274" s="42"/>
      <c r="M2274" s="42"/>
      <c r="N2274" s="42"/>
      <c r="O2274" s="42"/>
      <c r="R2274" s="37"/>
      <c r="S2274" s="37"/>
      <c r="T2274" s="91"/>
      <c r="U2274" s="91"/>
      <c r="V2274" s="41"/>
      <c r="W2274" s="37"/>
      <c r="X2274" s="37"/>
      <c r="Y2274" s="43"/>
      <c r="Z2274" s="37"/>
      <c r="AA2274" s="37"/>
      <c r="AD2274" s="37"/>
      <c r="AE2274" s="37"/>
      <c r="AF2274" s="37"/>
    </row>
    <row r="2275" spans="1:32" x14ac:dyDescent="0.25">
      <c r="A2275" s="37"/>
      <c r="B2275" s="37"/>
      <c r="C2275" s="37"/>
      <c r="F2275" s="38"/>
      <c r="G2275" s="38"/>
      <c r="H2275" s="38"/>
      <c r="I2275" s="37"/>
      <c r="J2275" s="38"/>
      <c r="K2275" s="38"/>
      <c r="L2275" s="42"/>
      <c r="M2275" s="42"/>
      <c r="N2275" s="42"/>
      <c r="O2275" s="42"/>
      <c r="R2275" s="37"/>
      <c r="S2275" s="37"/>
      <c r="T2275" s="91"/>
      <c r="U2275" s="91"/>
      <c r="V2275" s="41"/>
      <c r="W2275" s="37"/>
      <c r="X2275" s="37"/>
      <c r="Y2275" s="43"/>
      <c r="Z2275" s="37"/>
      <c r="AA2275" s="37"/>
      <c r="AD2275" s="37"/>
      <c r="AE2275" s="37"/>
      <c r="AF2275" s="37"/>
    </row>
    <row r="2276" spans="1:32" x14ac:dyDescent="0.25">
      <c r="A2276" s="37"/>
      <c r="B2276" s="37"/>
      <c r="C2276" s="37"/>
      <c r="F2276" s="38"/>
      <c r="G2276" s="38"/>
      <c r="H2276" s="38"/>
      <c r="I2276" s="37"/>
      <c r="J2276" s="38"/>
      <c r="K2276" s="38"/>
      <c r="L2276" s="42"/>
      <c r="M2276" s="42"/>
      <c r="N2276" s="42"/>
      <c r="O2276" s="42"/>
      <c r="R2276" s="37"/>
      <c r="S2276" s="37"/>
      <c r="T2276" s="91"/>
      <c r="U2276" s="91"/>
      <c r="V2276" s="41"/>
      <c r="W2276" s="37"/>
      <c r="X2276" s="37"/>
      <c r="Y2276" s="43"/>
      <c r="Z2276" s="37"/>
      <c r="AA2276" s="37"/>
      <c r="AD2276" s="37"/>
      <c r="AE2276" s="37"/>
      <c r="AF2276" s="37"/>
    </row>
    <row r="2277" spans="1:32" x14ac:dyDescent="0.25">
      <c r="A2277" s="37"/>
      <c r="B2277" s="37"/>
      <c r="C2277" s="37"/>
      <c r="F2277" s="38"/>
      <c r="G2277" s="38"/>
      <c r="H2277" s="38"/>
      <c r="I2277" s="37"/>
      <c r="J2277" s="38"/>
      <c r="K2277" s="38"/>
      <c r="L2277" s="42"/>
      <c r="M2277" s="42"/>
      <c r="N2277" s="42"/>
      <c r="O2277" s="42"/>
      <c r="R2277" s="37"/>
      <c r="S2277" s="37"/>
      <c r="T2277" s="91"/>
      <c r="U2277" s="91"/>
      <c r="V2277" s="41"/>
      <c r="W2277" s="37"/>
      <c r="X2277" s="37"/>
      <c r="Y2277" s="43"/>
      <c r="Z2277" s="37"/>
      <c r="AA2277" s="37"/>
      <c r="AD2277" s="37"/>
      <c r="AE2277" s="37"/>
      <c r="AF2277" s="37"/>
    </row>
    <row r="2278" spans="1:32" x14ac:dyDescent="0.25">
      <c r="A2278" s="37"/>
      <c r="B2278" s="37"/>
      <c r="C2278" s="37"/>
      <c r="F2278" s="38"/>
      <c r="G2278" s="38"/>
      <c r="H2278" s="38"/>
      <c r="I2278" s="37"/>
      <c r="J2278" s="38"/>
      <c r="K2278" s="38"/>
      <c r="L2278" s="42"/>
      <c r="M2278" s="42"/>
      <c r="N2278" s="42"/>
      <c r="O2278" s="42"/>
      <c r="R2278" s="37"/>
      <c r="S2278" s="37"/>
      <c r="T2278" s="91"/>
      <c r="U2278" s="91"/>
      <c r="V2278" s="41"/>
      <c r="W2278" s="37"/>
      <c r="X2278" s="37"/>
      <c r="Y2278" s="43"/>
      <c r="Z2278" s="37"/>
      <c r="AA2278" s="37"/>
      <c r="AD2278" s="37"/>
      <c r="AE2278" s="37"/>
      <c r="AF2278" s="37"/>
    </row>
    <row r="2279" spans="1:32" x14ac:dyDescent="0.25">
      <c r="A2279" s="37"/>
      <c r="B2279" s="37"/>
      <c r="C2279" s="37"/>
      <c r="F2279" s="38"/>
      <c r="G2279" s="38"/>
      <c r="H2279" s="38"/>
      <c r="I2279" s="37"/>
      <c r="J2279" s="38"/>
      <c r="K2279" s="38"/>
      <c r="L2279" s="42"/>
      <c r="M2279" s="42"/>
      <c r="N2279" s="42"/>
      <c r="O2279" s="42"/>
      <c r="R2279" s="37"/>
      <c r="S2279" s="37"/>
      <c r="T2279" s="91"/>
      <c r="U2279" s="91"/>
      <c r="V2279" s="41"/>
      <c r="W2279" s="37"/>
      <c r="X2279" s="37"/>
      <c r="Y2279" s="43"/>
      <c r="Z2279" s="37"/>
      <c r="AA2279" s="37"/>
      <c r="AD2279" s="37"/>
      <c r="AE2279" s="37"/>
      <c r="AF2279" s="37"/>
    </row>
    <row r="2280" spans="1:32" x14ac:dyDescent="0.25">
      <c r="A2280" s="37"/>
      <c r="B2280" s="37"/>
      <c r="C2280" s="37"/>
      <c r="F2280" s="38"/>
      <c r="G2280" s="38"/>
      <c r="H2280" s="38"/>
      <c r="I2280" s="37"/>
      <c r="J2280" s="38"/>
      <c r="K2280" s="38"/>
      <c r="L2280" s="42"/>
      <c r="M2280" s="42"/>
      <c r="N2280" s="42"/>
      <c r="O2280" s="42"/>
      <c r="R2280" s="37"/>
      <c r="S2280" s="37"/>
      <c r="T2280" s="91"/>
      <c r="U2280" s="91"/>
      <c r="V2280" s="41"/>
      <c r="W2280" s="37"/>
      <c r="X2280" s="37"/>
      <c r="Y2280" s="43"/>
      <c r="Z2280" s="37"/>
      <c r="AA2280" s="37"/>
      <c r="AD2280" s="37"/>
      <c r="AE2280" s="37"/>
      <c r="AF2280" s="37"/>
    </row>
    <row r="2281" spans="1:32" x14ac:dyDescent="0.25">
      <c r="A2281" s="37"/>
      <c r="B2281" s="37"/>
      <c r="C2281" s="37"/>
      <c r="F2281" s="38"/>
      <c r="G2281" s="38"/>
      <c r="H2281" s="38"/>
      <c r="I2281" s="37"/>
      <c r="J2281" s="38"/>
      <c r="K2281" s="38"/>
      <c r="L2281" s="42"/>
      <c r="M2281" s="42"/>
      <c r="N2281" s="42"/>
      <c r="O2281" s="42"/>
      <c r="R2281" s="37"/>
      <c r="S2281" s="37"/>
      <c r="T2281" s="91"/>
      <c r="U2281" s="91"/>
      <c r="V2281" s="41"/>
      <c r="W2281" s="37"/>
      <c r="X2281" s="37"/>
      <c r="Y2281" s="43"/>
      <c r="Z2281" s="37"/>
      <c r="AA2281" s="37"/>
      <c r="AD2281" s="37"/>
      <c r="AE2281" s="37"/>
      <c r="AF2281" s="37"/>
    </row>
    <row r="2282" spans="1:32" x14ac:dyDescent="0.25">
      <c r="A2282" s="37"/>
      <c r="B2282" s="37"/>
      <c r="C2282" s="37"/>
      <c r="F2282" s="38"/>
      <c r="G2282" s="38"/>
      <c r="H2282" s="38"/>
      <c r="I2282" s="37"/>
      <c r="J2282" s="38"/>
      <c r="K2282" s="38"/>
      <c r="L2282" s="42"/>
      <c r="M2282" s="42"/>
      <c r="N2282" s="42"/>
      <c r="O2282" s="42"/>
      <c r="R2282" s="37"/>
      <c r="S2282" s="37"/>
      <c r="T2282" s="91"/>
      <c r="U2282" s="91"/>
      <c r="V2282" s="41"/>
      <c r="W2282" s="37"/>
      <c r="X2282" s="37"/>
      <c r="Y2282" s="43"/>
      <c r="Z2282" s="37"/>
      <c r="AA2282" s="37"/>
      <c r="AD2282" s="37"/>
      <c r="AE2282" s="37"/>
      <c r="AF2282" s="37"/>
    </row>
    <row r="2283" spans="1:32" x14ac:dyDescent="0.25">
      <c r="A2283" s="37"/>
      <c r="B2283" s="37"/>
      <c r="C2283" s="37"/>
      <c r="F2283" s="38"/>
      <c r="G2283" s="38"/>
      <c r="H2283" s="38"/>
      <c r="I2283" s="37"/>
      <c r="J2283" s="38"/>
      <c r="K2283" s="38"/>
      <c r="L2283" s="42"/>
      <c r="M2283" s="42"/>
      <c r="N2283" s="42"/>
      <c r="O2283" s="42"/>
      <c r="R2283" s="37"/>
      <c r="S2283" s="37"/>
      <c r="T2283" s="91"/>
      <c r="U2283" s="91"/>
      <c r="V2283" s="41"/>
      <c r="W2283" s="37"/>
      <c r="X2283" s="37"/>
      <c r="Y2283" s="43"/>
      <c r="Z2283" s="37"/>
      <c r="AA2283" s="37"/>
      <c r="AD2283" s="37"/>
      <c r="AE2283" s="37"/>
      <c r="AF2283" s="37"/>
    </row>
    <row r="2284" spans="1:32" x14ac:dyDescent="0.25">
      <c r="A2284" s="37"/>
      <c r="B2284" s="37"/>
      <c r="C2284" s="37"/>
      <c r="F2284" s="38"/>
      <c r="G2284" s="38"/>
      <c r="H2284" s="38"/>
      <c r="I2284" s="37"/>
      <c r="J2284" s="38"/>
      <c r="K2284" s="38"/>
      <c r="L2284" s="42"/>
      <c r="M2284" s="42"/>
      <c r="N2284" s="42"/>
      <c r="O2284" s="42"/>
      <c r="R2284" s="37"/>
      <c r="S2284" s="37"/>
      <c r="T2284" s="91"/>
      <c r="U2284" s="91"/>
      <c r="V2284" s="41"/>
      <c r="W2284" s="37"/>
      <c r="X2284" s="37"/>
      <c r="Y2284" s="43"/>
      <c r="Z2284" s="37"/>
      <c r="AA2284" s="37"/>
      <c r="AD2284" s="37"/>
      <c r="AE2284" s="37"/>
      <c r="AF2284" s="37"/>
    </row>
    <row r="2285" spans="1:32" x14ac:dyDescent="0.25">
      <c r="A2285" s="37"/>
      <c r="B2285" s="37"/>
      <c r="C2285" s="37"/>
      <c r="F2285" s="38"/>
      <c r="G2285" s="38"/>
      <c r="H2285" s="38"/>
      <c r="I2285" s="37"/>
      <c r="J2285" s="38"/>
      <c r="K2285" s="38"/>
      <c r="L2285" s="42"/>
      <c r="M2285" s="42"/>
      <c r="N2285" s="42"/>
      <c r="O2285" s="42"/>
      <c r="R2285" s="37"/>
      <c r="S2285" s="37"/>
      <c r="T2285" s="91"/>
      <c r="U2285" s="91"/>
      <c r="V2285" s="41"/>
      <c r="W2285" s="37"/>
      <c r="X2285" s="37"/>
      <c r="Y2285" s="43"/>
      <c r="Z2285" s="37"/>
      <c r="AA2285" s="37"/>
      <c r="AD2285" s="37"/>
      <c r="AE2285" s="37"/>
      <c r="AF2285" s="37"/>
    </row>
    <row r="2286" spans="1:32" x14ac:dyDescent="0.25">
      <c r="A2286" s="37"/>
      <c r="B2286" s="37"/>
      <c r="C2286" s="37"/>
      <c r="F2286" s="38"/>
      <c r="G2286" s="38"/>
      <c r="H2286" s="38"/>
      <c r="I2286" s="37"/>
      <c r="J2286" s="38"/>
      <c r="K2286" s="38"/>
      <c r="L2286" s="42"/>
      <c r="M2286" s="42"/>
      <c r="N2286" s="42"/>
      <c r="O2286" s="42"/>
      <c r="R2286" s="37"/>
      <c r="S2286" s="37"/>
      <c r="T2286" s="91"/>
      <c r="U2286" s="91"/>
      <c r="V2286" s="41"/>
      <c r="W2286" s="37"/>
      <c r="X2286" s="37"/>
      <c r="Y2286" s="43"/>
      <c r="Z2286" s="37"/>
      <c r="AA2286" s="37"/>
      <c r="AD2286" s="37"/>
      <c r="AE2286" s="37"/>
      <c r="AF2286" s="37"/>
    </row>
    <row r="2287" spans="1:32" x14ac:dyDescent="0.25">
      <c r="A2287" s="37"/>
      <c r="B2287" s="37"/>
      <c r="C2287" s="37"/>
      <c r="F2287" s="38"/>
      <c r="G2287" s="38"/>
      <c r="H2287" s="38"/>
      <c r="I2287" s="37"/>
      <c r="J2287" s="38"/>
      <c r="K2287" s="38"/>
      <c r="L2287" s="42"/>
      <c r="M2287" s="42"/>
      <c r="N2287" s="42"/>
      <c r="O2287" s="42"/>
      <c r="R2287" s="37"/>
      <c r="S2287" s="37"/>
      <c r="T2287" s="91"/>
      <c r="U2287" s="91"/>
      <c r="V2287" s="41"/>
      <c r="W2287" s="37"/>
      <c r="X2287" s="37"/>
      <c r="Y2287" s="43"/>
      <c r="Z2287" s="37"/>
      <c r="AA2287" s="37"/>
      <c r="AD2287" s="37"/>
      <c r="AE2287" s="37"/>
      <c r="AF2287" s="37"/>
    </row>
    <row r="2288" spans="1:32" x14ac:dyDescent="0.25">
      <c r="A2288" s="37"/>
      <c r="B2288" s="37"/>
      <c r="C2288" s="37"/>
      <c r="F2288" s="38"/>
      <c r="G2288" s="38"/>
      <c r="H2288" s="38"/>
      <c r="I2288" s="37"/>
      <c r="J2288" s="38"/>
      <c r="K2288" s="38"/>
      <c r="L2288" s="42"/>
      <c r="M2288" s="42"/>
      <c r="N2288" s="42"/>
      <c r="O2288" s="42"/>
      <c r="R2288" s="37"/>
      <c r="S2288" s="37"/>
      <c r="T2288" s="91"/>
      <c r="U2288" s="91"/>
      <c r="V2288" s="41"/>
      <c r="W2288" s="37"/>
      <c r="X2288" s="37"/>
      <c r="Y2288" s="43"/>
      <c r="Z2288" s="37"/>
      <c r="AA2288" s="37"/>
      <c r="AD2288" s="37"/>
      <c r="AE2288" s="37"/>
      <c r="AF2288" s="37"/>
    </row>
    <row r="2289" spans="1:32" x14ac:dyDescent="0.25">
      <c r="A2289" s="37"/>
      <c r="B2289" s="37"/>
      <c r="C2289" s="37"/>
      <c r="F2289" s="38"/>
      <c r="G2289" s="38"/>
      <c r="H2289" s="38"/>
      <c r="I2289" s="37"/>
      <c r="J2289" s="38"/>
      <c r="K2289" s="38"/>
      <c r="L2289" s="42"/>
      <c r="M2289" s="42"/>
      <c r="N2289" s="42"/>
      <c r="O2289" s="42"/>
      <c r="R2289" s="37"/>
      <c r="S2289" s="37"/>
      <c r="T2289" s="91"/>
      <c r="U2289" s="91"/>
      <c r="V2289" s="41"/>
      <c r="W2289" s="37"/>
      <c r="X2289" s="37"/>
      <c r="Y2289" s="43"/>
      <c r="Z2289" s="37"/>
      <c r="AA2289" s="37"/>
      <c r="AD2289" s="37"/>
      <c r="AE2289" s="37"/>
      <c r="AF2289" s="37"/>
    </row>
    <row r="2290" spans="1:32" x14ac:dyDescent="0.25">
      <c r="A2290" s="37"/>
      <c r="B2290" s="37"/>
      <c r="C2290" s="37"/>
      <c r="F2290" s="38"/>
      <c r="G2290" s="38"/>
      <c r="H2290" s="38"/>
      <c r="I2290" s="37"/>
      <c r="J2290" s="38"/>
      <c r="K2290" s="38"/>
      <c r="L2290" s="42"/>
      <c r="M2290" s="42"/>
      <c r="N2290" s="42"/>
      <c r="O2290" s="42"/>
      <c r="R2290" s="37"/>
      <c r="S2290" s="37"/>
      <c r="T2290" s="91"/>
      <c r="U2290" s="91"/>
      <c r="V2290" s="41"/>
      <c r="W2290" s="37"/>
      <c r="X2290" s="37"/>
      <c r="Y2290" s="43"/>
      <c r="Z2290" s="37"/>
      <c r="AA2290" s="37"/>
      <c r="AD2290" s="37"/>
      <c r="AE2290" s="37"/>
      <c r="AF2290" s="37"/>
    </row>
    <row r="2291" spans="1:32" x14ac:dyDescent="0.25">
      <c r="A2291" s="37"/>
      <c r="B2291" s="37"/>
      <c r="C2291" s="37"/>
      <c r="F2291" s="38"/>
      <c r="G2291" s="38"/>
      <c r="H2291" s="38"/>
      <c r="I2291" s="37"/>
      <c r="J2291" s="38"/>
      <c r="K2291" s="38"/>
      <c r="L2291" s="42"/>
      <c r="M2291" s="42"/>
      <c r="N2291" s="42"/>
      <c r="O2291" s="42"/>
      <c r="R2291" s="37"/>
      <c r="S2291" s="37"/>
      <c r="T2291" s="91"/>
      <c r="U2291" s="91"/>
      <c r="V2291" s="41"/>
      <c r="W2291" s="37"/>
      <c r="X2291" s="37"/>
      <c r="Y2291" s="43"/>
      <c r="Z2291" s="37"/>
      <c r="AA2291" s="37"/>
      <c r="AD2291" s="37"/>
      <c r="AE2291" s="37"/>
      <c r="AF2291" s="37"/>
    </row>
    <row r="2292" spans="1:32" x14ac:dyDescent="0.25">
      <c r="A2292" s="37"/>
      <c r="B2292" s="37"/>
      <c r="C2292" s="37"/>
      <c r="F2292" s="38"/>
      <c r="G2292" s="38"/>
      <c r="H2292" s="38"/>
      <c r="I2292" s="37"/>
      <c r="J2292" s="38"/>
      <c r="K2292" s="38"/>
      <c r="L2292" s="42"/>
      <c r="M2292" s="42"/>
      <c r="N2292" s="42"/>
      <c r="O2292" s="42"/>
      <c r="R2292" s="37"/>
      <c r="S2292" s="37"/>
      <c r="T2292" s="91"/>
      <c r="U2292" s="91"/>
      <c r="V2292" s="41"/>
      <c r="W2292" s="37"/>
      <c r="X2292" s="37"/>
      <c r="Y2292" s="43"/>
      <c r="Z2292" s="37"/>
      <c r="AA2292" s="37"/>
      <c r="AD2292" s="37"/>
      <c r="AE2292" s="37"/>
      <c r="AF2292" s="37"/>
    </row>
    <row r="2293" spans="1:32" x14ac:dyDescent="0.25">
      <c r="A2293" s="37"/>
      <c r="B2293" s="37"/>
      <c r="C2293" s="37"/>
      <c r="F2293" s="38"/>
      <c r="G2293" s="38"/>
      <c r="H2293" s="38"/>
      <c r="I2293" s="37"/>
      <c r="J2293" s="38"/>
      <c r="K2293" s="38"/>
      <c r="L2293" s="42"/>
      <c r="M2293" s="42"/>
      <c r="N2293" s="42"/>
      <c r="O2293" s="42"/>
      <c r="R2293" s="37"/>
      <c r="S2293" s="37"/>
      <c r="T2293" s="91"/>
      <c r="U2293" s="91"/>
      <c r="V2293" s="41"/>
      <c r="W2293" s="37"/>
      <c r="X2293" s="37"/>
      <c r="Y2293" s="43"/>
      <c r="Z2293" s="37"/>
      <c r="AA2293" s="37"/>
      <c r="AD2293" s="37"/>
      <c r="AE2293" s="37"/>
      <c r="AF2293" s="37"/>
    </row>
    <row r="2294" spans="1:32" x14ac:dyDescent="0.25">
      <c r="A2294" s="37"/>
      <c r="B2294" s="37"/>
      <c r="C2294" s="37"/>
      <c r="F2294" s="38"/>
      <c r="G2294" s="38"/>
      <c r="H2294" s="38"/>
      <c r="I2294" s="37"/>
      <c r="J2294" s="38"/>
      <c r="K2294" s="38"/>
      <c r="L2294" s="42"/>
      <c r="M2294" s="42"/>
      <c r="N2294" s="42"/>
      <c r="O2294" s="42"/>
      <c r="R2294" s="37"/>
      <c r="S2294" s="37"/>
      <c r="T2294" s="91"/>
      <c r="U2294" s="91"/>
      <c r="V2294" s="41"/>
      <c r="W2294" s="37"/>
      <c r="X2294" s="37"/>
      <c r="Y2294" s="43"/>
      <c r="Z2294" s="37"/>
      <c r="AA2294" s="37"/>
      <c r="AD2294" s="37"/>
      <c r="AE2294" s="37"/>
      <c r="AF2294" s="37"/>
    </row>
    <row r="2295" spans="1:32" x14ac:dyDescent="0.25">
      <c r="A2295" s="37"/>
      <c r="B2295" s="37"/>
      <c r="C2295" s="37"/>
      <c r="F2295" s="38"/>
      <c r="G2295" s="38"/>
      <c r="H2295" s="38"/>
      <c r="I2295" s="37"/>
      <c r="J2295" s="38"/>
      <c r="K2295" s="38"/>
      <c r="L2295" s="42"/>
      <c r="M2295" s="42"/>
      <c r="N2295" s="42"/>
      <c r="O2295" s="42"/>
      <c r="R2295" s="37"/>
      <c r="S2295" s="37"/>
      <c r="T2295" s="91"/>
      <c r="U2295" s="91"/>
      <c r="V2295" s="41"/>
      <c r="W2295" s="37"/>
      <c r="X2295" s="37"/>
      <c r="Y2295" s="43"/>
      <c r="Z2295" s="37"/>
      <c r="AA2295" s="37"/>
      <c r="AD2295" s="37"/>
      <c r="AE2295" s="37"/>
      <c r="AF2295" s="37"/>
    </row>
    <row r="2296" spans="1:32" x14ac:dyDescent="0.25">
      <c r="A2296" s="37"/>
      <c r="B2296" s="37"/>
      <c r="C2296" s="37"/>
      <c r="F2296" s="38"/>
      <c r="G2296" s="38"/>
      <c r="H2296" s="38"/>
      <c r="I2296" s="37"/>
      <c r="J2296" s="38"/>
      <c r="K2296" s="38"/>
      <c r="L2296" s="42"/>
      <c r="M2296" s="42"/>
      <c r="N2296" s="42"/>
      <c r="O2296" s="42"/>
      <c r="R2296" s="37"/>
      <c r="S2296" s="37"/>
      <c r="T2296" s="91"/>
      <c r="U2296" s="91"/>
      <c r="V2296" s="41"/>
      <c r="W2296" s="37"/>
      <c r="X2296" s="37"/>
      <c r="Y2296" s="43"/>
      <c r="Z2296" s="37"/>
      <c r="AA2296" s="37"/>
      <c r="AD2296" s="37"/>
      <c r="AE2296" s="37"/>
      <c r="AF2296" s="37"/>
    </row>
    <row r="2297" spans="1:32" x14ac:dyDescent="0.25">
      <c r="A2297" s="37"/>
      <c r="B2297" s="37"/>
      <c r="C2297" s="37"/>
      <c r="F2297" s="38"/>
      <c r="G2297" s="38"/>
      <c r="H2297" s="38"/>
      <c r="I2297" s="37"/>
      <c r="J2297" s="38"/>
      <c r="K2297" s="38"/>
      <c r="L2297" s="42"/>
      <c r="M2297" s="42"/>
      <c r="N2297" s="42"/>
      <c r="O2297" s="42"/>
      <c r="R2297" s="37"/>
      <c r="S2297" s="37"/>
      <c r="T2297" s="91"/>
      <c r="U2297" s="91"/>
      <c r="V2297" s="41"/>
      <c r="W2297" s="37"/>
      <c r="X2297" s="37"/>
      <c r="Y2297" s="43"/>
      <c r="Z2297" s="37"/>
      <c r="AA2297" s="37"/>
      <c r="AD2297" s="37"/>
      <c r="AE2297" s="37"/>
      <c r="AF2297" s="37"/>
    </row>
    <row r="2298" spans="1:32" x14ac:dyDescent="0.25">
      <c r="A2298" s="37"/>
      <c r="B2298" s="37"/>
      <c r="C2298" s="37"/>
      <c r="F2298" s="38"/>
      <c r="G2298" s="38"/>
      <c r="H2298" s="38"/>
      <c r="I2298" s="37"/>
      <c r="J2298" s="38"/>
      <c r="K2298" s="38"/>
      <c r="L2298" s="42"/>
      <c r="M2298" s="42"/>
      <c r="N2298" s="42"/>
      <c r="O2298" s="42"/>
      <c r="R2298" s="37"/>
      <c r="S2298" s="37"/>
      <c r="T2298" s="91"/>
      <c r="U2298" s="91"/>
      <c r="V2298" s="41"/>
      <c r="W2298" s="37"/>
      <c r="X2298" s="37"/>
      <c r="Y2298" s="43"/>
      <c r="Z2298" s="37"/>
      <c r="AA2298" s="37"/>
      <c r="AD2298" s="37"/>
      <c r="AE2298" s="37"/>
      <c r="AF2298" s="37"/>
    </row>
    <row r="2299" spans="1:32" x14ac:dyDescent="0.25">
      <c r="A2299" s="37"/>
      <c r="B2299" s="37"/>
      <c r="C2299" s="37"/>
      <c r="F2299" s="38"/>
      <c r="G2299" s="38"/>
      <c r="H2299" s="38"/>
      <c r="I2299" s="37"/>
      <c r="J2299" s="38"/>
      <c r="K2299" s="38"/>
      <c r="L2299" s="42"/>
      <c r="M2299" s="42"/>
      <c r="N2299" s="42"/>
      <c r="O2299" s="42"/>
      <c r="R2299" s="37"/>
      <c r="S2299" s="37"/>
      <c r="T2299" s="91"/>
      <c r="U2299" s="91"/>
      <c r="V2299" s="41"/>
      <c r="W2299" s="37"/>
      <c r="X2299" s="37"/>
      <c r="Y2299" s="43"/>
      <c r="Z2299" s="37"/>
      <c r="AA2299" s="37"/>
      <c r="AD2299" s="37"/>
      <c r="AE2299" s="37"/>
      <c r="AF2299" s="37"/>
    </row>
    <row r="2300" spans="1:32" x14ac:dyDescent="0.25">
      <c r="A2300" s="37"/>
      <c r="B2300" s="37"/>
      <c r="C2300" s="37"/>
      <c r="F2300" s="38"/>
      <c r="G2300" s="38"/>
      <c r="H2300" s="38"/>
      <c r="I2300" s="37"/>
      <c r="J2300" s="38"/>
      <c r="K2300" s="38"/>
      <c r="L2300" s="42"/>
      <c r="M2300" s="42"/>
      <c r="N2300" s="42"/>
      <c r="O2300" s="42"/>
      <c r="R2300" s="37"/>
      <c r="S2300" s="37"/>
      <c r="T2300" s="91"/>
      <c r="U2300" s="91"/>
      <c r="V2300" s="41"/>
      <c r="W2300" s="37"/>
      <c r="X2300" s="37"/>
      <c r="Y2300" s="43"/>
      <c r="Z2300" s="37"/>
      <c r="AA2300" s="37"/>
      <c r="AD2300" s="37"/>
      <c r="AE2300" s="37"/>
      <c r="AF2300" s="37"/>
    </row>
    <row r="2301" spans="1:32" x14ac:dyDescent="0.25">
      <c r="A2301" s="37"/>
      <c r="B2301" s="37"/>
      <c r="C2301" s="37"/>
      <c r="F2301" s="38"/>
      <c r="G2301" s="38"/>
      <c r="H2301" s="38"/>
      <c r="I2301" s="37"/>
      <c r="J2301" s="38"/>
      <c r="K2301" s="38"/>
      <c r="L2301" s="42"/>
      <c r="M2301" s="42"/>
      <c r="N2301" s="42"/>
      <c r="O2301" s="42"/>
      <c r="R2301" s="37"/>
      <c r="S2301" s="37"/>
      <c r="T2301" s="91"/>
      <c r="U2301" s="91"/>
      <c r="V2301" s="41"/>
      <c r="W2301" s="37"/>
      <c r="X2301" s="37"/>
      <c r="Y2301" s="43"/>
      <c r="Z2301" s="37"/>
      <c r="AA2301" s="37"/>
      <c r="AD2301" s="37"/>
      <c r="AE2301" s="37"/>
      <c r="AF2301" s="37"/>
    </row>
    <row r="2302" spans="1:32" x14ac:dyDescent="0.25">
      <c r="A2302" s="37"/>
      <c r="B2302" s="37"/>
      <c r="C2302" s="37"/>
      <c r="F2302" s="38"/>
      <c r="G2302" s="38"/>
      <c r="H2302" s="38"/>
      <c r="I2302" s="37"/>
      <c r="J2302" s="38"/>
      <c r="K2302" s="38"/>
      <c r="L2302" s="42"/>
      <c r="M2302" s="42"/>
      <c r="N2302" s="42"/>
      <c r="O2302" s="42"/>
      <c r="R2302" s="37"/>
      <c r="S2302" s="37"/>
      <c r="T2302" s="91"/>
      <c r="U2302" s="91"/>
      <c r="V2302" s="41"/>
      <c r="W2302" s="37"/>
      <c r="X2302" s="37"/>
      <c r="Y2302" s="43"/>
      <c r="Z2302" s="37"/>
      <c r="AA2302" s="37"/>
      <c r="AD2302" s="37"/>
      <c r="AE2302" s="37"/>
      <c r="AF2302" s="37"/>
    </row>
    <row r="2303" spans="1:32" x14ac:dyDescent="0.25">
      <c r="A2303" s="37"/>
      <c r="B2303" s="37"/>
      <c r="C2303" s="37"/>
      <c r="F2303" s="38"/>
      <c r="G2303" s="38"/>
      <c r="H2303" s="38"/>
      <c r="I2303" s="37"/>
      <c r="J2303" s="38"/>
      <c r="K2303" s="38"/>
      <c r="L2303" s="42"/>
      <c r="M2303" s="42"/>
      <c r="N2303" s="42"/>
      <c r="O2303" s="42"/>
      <c r="R2303" s="37"/>
      <c r="S2303" s="37"/>
      <c r="T2303" s="91"/>
      <c r="U2303" s="91"/>
      <c r="V2303" s="41"/>
      <c r="W2303" s="37"/>
      <c r="X2303" s="37"/>
      <c r="Y2303" s="43"/>
      <c r="Z2303" s="37"/>
      <c r="AA2303" s="37"/>
      <c r="AD2303" s="37"/>
      <c r="AE2303" s="37"/>
      <c r="AF2303" s="37"/>
    </row>
    <row r="2304" spans="1:32" x14ac:dyDescent="0.25">
      <c r="A2304" s="37"/>
      <c r="B2304" s="37"/>
      <c r="C2304" s="37"/>
      <c r="F2304" s="38"/>
      <c r="G2304" s="38"/>
      <c r="H2304" s="38"/>
      <c r="I2304" s="37"/>
      <c r="J2304" s="38"/>
      <c r="K2304" s="38"/>
      <c r="L2304" s="42"/>
      <c r="M2304" s="42"/>
      <c r="N2304" s="42"/>
      <c r="O2304" s="42"/>
      <c r="R2304" s="37"/>
      <c r="S2304" s="37"/>
      <c r="T2304" s="91"/>
      <c r="U2304" s="91"/>
      <c r="V2304" s="41"/>
      <c r="W2304" s="37"/>
      <c r="X2304" s="37"/>
      <c r="Y2304" s="43"/>
      <c r="Z2304" s="37"/>
      <c r="AA2304" s="37"/>
      <c r="AD2304" s="37"/>
      <c r="AE2304" s="37"/>
      <c r="AF2304" s="37"/>
    </row>
    <row r="2305" spans="1:32" x14ac:dyDescent="0.25">
      <c r="A2305" s="37"/>
      <c r="B2305" s="37"/>
      <c r="C2305" s="37"/>
      <c r="F2305" s="38"/>
      <c r="G2305" s="38"/>
      <c r="H2305" s="38"/>
      <c r="I2305" s="37"/>
      <c r="J2305" s="38"/>
      <c r="K2305" s="38"/>
      <c r="L2305" s="42"/>
      <c r="M2305" s="42"/>
      <c r="N2305" s="42"/>
      <c r="O2305" s="42"/>
      <c r="R2305" s="37"/>
      <c r="S2305" s="37"/>
      <c r="T2305" s="91"/>
      <c r="U2305" s="91"/>
      <c r="V2305" s="41"/>
      <c r="W2305" s="37"/>
      <c r="X2305" s="37"/>
      <c r="Y2305" s="43"/>
      <c r="Z2305" s="37"/>
      <c r="AA2305" s="37"/>
      <c r="AD2305" s="37"/>
      <c r="AE2305" s="37"/>
      <c r="AF2305" s="37"/>
    </row>
    <row r="2306" spans="1:32" x14ac:dyDescent="0.25">
      <c r="A2306" s="37"/>
      <c r="B2306" s="37"/>
      <c r="C2306" s="37"/>
      <c r="F2306" s="38"/>
      <c r="G2306" s="38"/>
      <c r="H2306" s="38"/>
      <c r="I2306" s="37"/>
      <c r="J2306" s="38"/>
      <c r="K2306" s="38"/>
      <c r="L2306" s="42"/>
      <c r="M2306" s="42"/>
      <c r="N2306" s="42"/>
      <c r="O2306" s="42"/>
      <c r="R2306" s="37"/>
      <c r="S2306" s="37"/>
      <c r="T2306" s="91"/>
      <c r="U2306" s="91"/>
      <c r="V2306" s="41"/>
      <c r="W2306" s="37"/>
      <c r="X2306" s="37"/>
      <c r="Y2306" s="43"/>
      <c r="Z2306" s="37"/>
      <c r="AA2306" s="37"/>
      <c r="AD2306" s="37"/>
      <c r="AE2306" s="37"/>
      <c r="AF2306" s="37"/>
    </row>
    <row r="2307" spans="1:32" x14ac:dyDescent="0.25">
      <c r="A2307" s="37"/>
      <c r="B2307" s="37"/>
      <c r="C2307" s="37"/>
      <c r="F2307" s="38"/>
      <c r="G2307" s="38"/>
      <c r="H2307" s="38"/>
      <c r="I2307" s="37"/>
      <c r="J2307" s="38"/>
      <c r="K2307" s="38"/>
      <c r="L2307" s="42"/>
      <c r="M2307" s="42"/>
      <c r="N2307" s="42"/>
      <c r="O2307" s="42"/>
      <c r="R2307" s="37"/>
      <c r="S2307" s="37"/>
      <c r="T2307" s="91"/>
      <c r="U2307" s="91"/>
      <c r="V2307" s="41"/>
      <c r="W2307" s="37"/>
      <c r="X2307" s="37"/>
      <c r="Y2307" s="43"/>
      <c r="Z2307" s="37"/>
      <c r="AA2307" s="37"/>
      <c r="AD2307" s="37"/>
      <c r="AE2307" s="37"/>
      <c r="AF2307" s="37"/>
    </row>
    <row r="2308" spans="1:32" x14ac:dyDescent="0.25">
      <c r="A2308" s="37"/>
      <c r="B2308" s="37"/>
      <c r="C2308" s="37"/>
      <c r="F2308" s="38"/>
      <c r="G2308" s="38"/>
      <c r="H2308" s="38"/>
      <c r="I2308" s="37"/>
      <c r="J2308" s="38"/>
      <c r="K2308" s="38"/>
      <c r="L2308" s="42"/>
      <c r="M2308" s="42"/>
      <c r="N2308" s="42"/>
      <c r="O2308" s="42"/>
      <c r="R2308" s="37"/>
      <c r="S2308" s="37"/>
      <c r="T2308" s="91"/>
      <c r="U2308" s="91"/>
      <c r="V2308" s="41"/>
      <c r="W2308" s="37"/>
      <c r="X2308" s="37"/>
      <c r="Y2308" s="43"/>
      <c r="Z2308" s="37"/>
      <c r="AA2308" s="37"/>
      <c r="AD2308" s="37"/>
      <c r="AE2308" s="37"/>
      <c r="AF2308" s="37"/>
    </row>
    <row r="2309" spans="1:32" x14ac:dyDescent="0.25">
      <c r="A2309" s="37"/>
      <c r="B2309" s="37"/>
      <c r="C2309" s="37"/>
      <c r="F2309" s="38"/>
      <c r="G2309" s="38"/>
      <c r="H2309" s="38"/>
      <c r="I2309" s="37"/>
      <c r="J2309" s="38"/>
      <c r="K2309" s="38"/>
      <c r="L2309" s="42"/>
      <c r="M2309" s="42"/>
      <c r="N2309" s="42"/>
      <c r="O2309" s="42"/>
      <c r="R2309" s="37"/>
      <c r="S2309" s="37"/>
      <c r="T2309" s="91"/>
      <c r="U2309" s="91"/>
      <c r="V2309" s="41"/>
      <c r="W2309" s="37"/>
      <c r="X2309" s="37"/>
      <c r="Y2309" s="43"/>
      <c r="Z2309" s="37"/>
      <c r="AA2309" s="37"/>
      <c r="AD2309" s="37"/>
      <c r="AE2309" s="37"/>
      <c r="AF2309" s="37"/>
    </row>
    <row r="2310" spans="1:32" x14ac:dyDescent="0.25">
      <c r="A2310" s="37"/>
      <c r="B2310" s="37"/>
      <c r="C2310" s="37"/>
      <c r="F2310" s="38"/>
      <c r="G2310" s="38"/>
      <c r="H2310" s="38"/>
      <c r="I2310" s="37"/>
      <c r="J2310" s="38"/>
      <c r="K2310" s="38"/>
      <c r="L2310" s="42"/>
      <c r="M2310" s="42"/>
      <c r="N2310" s="42"/>
      <c r="O2310" s="42"/>
      <c r="R2310" s="37"/>
      <c r="S2310" s="37"/>
      <c r="T2310" s="91"/>
      <c r="U2310" s="91"/>
      <c r="V2310" s="41"/>
      <c r="W2310" s="37"/>
      <c r="X2310" s="37"/>
      <c r="Y2310" s="43"/>
      <c r="Z2310" s="37"/>
      <c r="AA2310" s="37"/>
      <c r="AD2310" s="37"/>
      <c r="AE2310" s="37"/>
      <c r="AF2310" s="37"/>
    </row>
    <row r="2311" spans="1:32" x14ac:dyDescent="0.25">
      <c r="A2311" s="37"/>
      <c r="B2311" s="37"/>
      <c r="C2311" s="37"/>
      <c r="F2311" s="38"/>
      <c r="G2311" s="38"/>
      <c r="H2311" s="38"/>
      <c r="I2311" s="37"/>
      <c r="J2311" s="38"/>
      <c r="K2311" s="38"/>
      <c r="L2311" s="42"/>
      <c r="M2311" s="42"/>
      <c r="N2311" s="42"/>
      <c r="O2311" s="42"/>
      <c r="R2311" s="37"/>
      <c r="S2311" s="37"/>
      <c r="T2311" s="91"/>
      <c r="U2311" s="91"/>
      <c r="V2311" s="41"/>
      <c r="W2311" s="37"/>
      <c r="X2311" s="37"/>
      <c r="Y2311" s="43"/>
      <c r="Z2311" s="37"/>
      <c r="AA2311" s="37"/>
      <c r="AD2311" s="37"/>
      <c r="AE2311" s="37"/>
      <c r="AF2311" s="37"/>
    </row>
    <row r="2312" spans="1:32" x14ac:dyDescent="0.25">
      <c r="A2312" s="37"/>
      <c r="B2312" s="37"/>
      <c r="C2312" s="37"/>
      <c r="F2312" s="38"/>
      <c r="G2312" s="38"/>
      <c r="H2312" s="38"/>
      <c r="I2312" s="37"/>
      <c r="J2312" s="38"/>
      <c r="K2312" s="38"/>
      <c r="L2312" s="42"/>
      <c r="M2312" s="42"/>
      <c r="N2312" s="42"/>
      <c r="O2312" s="42"/>
      <c r="R2312" s="37"/>
      <c r="S2312" s="37"/>
      <c r="T2312" s="91"/>
      <c r="U2312" s="91"/>
      <c r="V2312" s="41"/>
      <c r="W2312" s="37"/>
      <c r="X2312" s="37"/>
      <c r="Y2312" s="43"/>
      <c r="Z2312" s="37"/>
      <c r="AA2312" s="37"/>
      <c r="AD2312" s="37"/>
      <c r="AE2312" s="37"/>
      <c r="AF2312" s="37"/>
    </row>
    <row r="2313" spans="1:32" x14ac:dyDescent="0.25">
      <c r="A2313" s="37"/>
      <c r="B2313" s="37"/>
      <c r="C2313" s="37"/>
      <c r="F2313" s="38"/>
      <c r="G2313" s="38"/>
      <c r="H2313" s="38"/>
      <c r="I2313" s="37"/>
      <c r="J2313" s="38"/>
      <c r="K2313" s="38"/>
      <c r="L2313" s="42"/>
      <c r="M2313" s="42"/>
      <c r="N2313" s="42"/>
      <c r="O2313" s="42"/>
      <c r="R2313" s="37"/>
      <c r="S2313" s="37"/>
      <c r="T2313" s="91"/>
      <c r="U2313" s="91"/>
      <c r="V2313" s="41"/>
      <c r="W2313" s="37"/>
      <c r="X2313" s="37"/>
      <c r="Y2313" s="43"/>
      <c r="Z2313" s="37"/>
      <c r="AA2313" s="37"/>
      <c r="AD2313" s="37"/>
      <c r="AE2313" s="37"/>
      <c r="AF2313" s="37"/>
    </row>
    <row r="2314" spans="1:32" x14ac:dyDescent="0.25">
      <c r="A2314" s="37"/>
      <c r="B2314" s="37"/>
      <c r="C2314" s="37"/>
      <c r="F2314" s="38"/>
      <c r="G2314" s="38"/>
      <c r="H2314" s="38"/>
      <c r="I2314" s="37"/>
      <c r="J2314" s="38"/>
      <c r="K2314" s="38"/>
      <c r="L2314" s="42"/>
      <c r="M2314" s="42"/>
      <c r="N2314" s="42"/>
      <c r="O2314" s="42"/>
      <c r="R2314" s="37"/>
      <c r="S2314" s="37"/>
      <c r="T2314" s="91"/>
      <c r="U2314" s="91"/>
      <c r="V2314" s="41"/>
      <c r="W2314" s="37"/>
      <c r="X2314" s="37"/>
      <c r="Y2314" s="43"/>
      <c r="Z2314" s="37"/>
      <c r="AA2314" s="37"/>
      <c r="AD2314" s="37"/>
      <c r="AE2314" s="37"/>
      <c r="AF2314" s="37"/>
    </row>
    <row r="2315" spans="1:32" x14ac:dyDescent="0.25">
      <c r="A2315" s="37"/>
      <c r="B2315" s="37"/>
      <c r="C2315" s="37"/>
      <c r="F2315" s="38"/>
      <c r="G2315" s="38"/>
      <c r="H2315" s="38"/>
      <c r="I2315" s="37"/>
      <c r="J2315" s="38"/>
      <c r="K2315" s="38"/>
      <c r="L2315" s="42"/>
      <c r="M2315" s="42"/>
      <c r="N2315" s="42"/>
      <c r="O2315" s="42"/>
      <c r="R2315" s="37"/>
      <c r="S2315" s="37"/>
      <c r="T2315" s="91"/>
      <c r="U2315" s="91"/>
      <c r="V2315" s="41"/>
      <c r="W2315" s="37"/>
      <c r="X2315" s="37"/>
      <c r="Y2315" s="43"/>
      <c r="Z2315" s="37"/>
      <c r="AA2315" s="37"/>
      <c r="AD2315" s="37"/>
      <c r="AE2315" s="37"/>
      <c r="AF2315" s="37"/>
    </row>
    <row r="2316" spans="1:32" x14ac:dyDescent="0.25">
      <c r="A2316" s="37"/>
      <c r="B2316" s="37"/>
      <c r="C2316" s="37"/>
      <c r="F2316" s="38"/>
      <c r="G2316" s="38"/>
      <c r="H2316" s="38"/>
      <c r="I2316" s="37"/>
      <c r="J2316" s="38"/>
      <c r="K2316" s="38"/>
      <c r="L2316" s="42"/>
      <c r="M2316" s="42"/>
      <c r="N2316" s="42"/>
      <c r="O2316" s="42"/>
      <c r="R2316" s="37"/>
      <c r="S2316" s="37"/>
      <c r="T2316" s="91"/>
      <c r="U2316" s="91"/>
      <c r="V2316" s="41"/>
      <c r="W2316" s="37"/>
      <c r="X2316" s="37"/>
      <c r="Y2316" s="43"/>
      <c r="Z2316" s="37"/>
      <c r="AA2316" s="37"/>
      <c r="AD2316" s="37"/>
      <c r="AE2316" s="37"/>
      <c r="AF2316" s="37"/>
    </row>
    <row r="2317" spans="1:32" x14ac:dyDescent="0.25">
      <c r="A2317" s="37"/>
      <c r="B2317" s="37"/>
      <c r="C2317" s="37"/>
      <c r="F2317" s="38"/>
      <c r="G2317" s="38"/>
      <c r="H2317" s="38"/>
      <c r="I2317" s="37"/>
      <c r="J2317" s="38"/>
      <c r="K2317" s="38"/>
      <c r="L2317" s="42"/>
      <c r="M2317" s="42"/>
      <c r="N2317" s="42"/>
      <c r="O2317" s="42"/>
      <c r="R2317" s="37"/>
      <c r="S2317" s="37"/>
      <c r="T2317" s="91"/>
      <c r="U2317" s="91"/>
      <c r="V2317" s="41"/>
      <c r="W2317" s="37"/>
      <c r="X2317" s="37"/>
      <c r="Y2317" s="43"/>
      <c r="Z2317" s="37"/>
      <c r="AA2317" s="37"/>
      <c r="AD2317" s="37"/>
      <c r="AE2317" s="37"/>
      <c r="AF2317" s="37"/>
    </row>
    <row r="2318" spans="1:32" x14ac:dyDescent="0.25">
      <c r="A2318" s="37"/>
      <c r="B2318" s="37"/>
      <c r="C2318" s="37"/>
      <c r="F2318" s="38"/>
      <c r="G2318" s="38"/>
      <c r="H2318" s="38"/>
      <c r="I2318" s="37"/>
      <c r="J2318" s="38"/>
      <c r="K2318" s="38"/>
      <c r="L2318" s="42"/>
      <c r="M2318" s="42"/>
      <c r="N2318" s="42"/>
      <c r="O2318" s="42"/>
      <c r="R2318" s="37"/>
      <c r="S2318" s="37"/>
      <c r="T2318" s="91"/>
      <c r="U2318" s="91"/>
      <c r="V2318" s="41"/>
      <c r="W2318" s="37"/>
      <c r="X2318" s="37"/>
      <c r="Y2318" s="43"/>
      <c r="Z2318" s="37"/>
      <c r="AA2318" s="37"/>
      <c r="AD2318" s="37"/>
      <c r="AE2318" s="37"/>
      <c r="AF2318" s="37"/>
    </row>
    <row r="2319" spans="1:32" x14ac:dyDescent="0.25">
      <c r="A2319" s="37"/>
      <c r="B2319" s="37"/>
      <c r="C2319" s="37"/>
      <c r="F2319" s="38"/>
      <c r="G2319" s="38"/>
      <c r="H2319" s="38"/>
      <c r="I2319" s="37"/>
      <c r="J2319" s="38"/>
      <c r="K2319" s="38"/>
      <c r="L2319" s="42"/>
      <c r="M2319" s="42"/>
      <c r="N2319" s="42"/>
      <c r="O2319" s="42"/>
      <c r="R2319" s="37"/>
      <c r="S2319" s="37"/>
      <c r="T2319" s="91"/>
      <c r="U2319" s="91"/>
      <c r="V2319" s="41"/>
      <c r="W2319" s="37"/>
      <c r="X2319" s="37"/>
      <c r="Y2319" s="43"/>
      <c r="Z2319" s="37"/>
      <c r="AA2319" s="37"/>
      <c r="AD2319" s="37"/>
      <c r="AE2319" s="37"/>
      <c r="AF2319" s="37"/>
    </row>
    <row r="2320" spans="1:32" x14ac:dyDescent="0.25">
      <c r="A2320" s="37"/>
      <c r="B2320" s="37"/>
      <c r="C2320" s="37"/>
      <c r="F2320" s="38"/>
      <c r="G2320" s="38"/>
      <c r="H2320" s="38"/>
      <c r="I2320" s="37"/>
      <c r="J2320" s="38"/>
      <c r="K2320" s="38"/>
      <c r="L2320" s="42"/>
      <c r="M2320" s="42"/>
      <c r="N2320" s="42"/>
      <c r="O2320" s="42"/>
      <c r="R2320" s="37"/>
      <c r="S2320" s="37"/>
      <c r="T2320" s="91"/>
      <c r="U2320" s="91"/>
      <c r="V2320" s="41"/>
      <c r="W2320" s="37"/>
      <c r="X2320" s="37"/>
      <c r="Y2320" s="43"/>
      <c r="Z2320" s="37"/>
      <c r="AA2320" s="37"/>
      <c r="AD2320" s="37"/>
      <c r="AE2320" s="37"/>
      <c r="AF2320" s="37"/>
    </row>
    <row r="2321" spans="1:32" x14ac:dyDescent="0.25">
      <c r="A2321" s="37"/>
      <c r="B2321" s="37"/>
      <c r="C2321" s="37"/>
      <c r="F2321" s="38"/>
      <c r="G2321" s="38"/>
      <c r="H2321" s="38"/>
      <c r="I2321" s="37"/>
      <c r="J2321" s="38"/>
      <c r="K2321" s="38"/>
      <c r="L2321" s="42"/>
      <c r="M2321" s="42"/>
      <c r="N2321" s="42"/>
      <c r="O2321" s="42"/>
      <c r="R2321" s="37"/>
      <c r="S2321" s="37"/>
      <c r="T2321" s="91"/>
      <c r="U2321" s="91"/>
      <c r="V2321" s="41"/>
      <c r="W2321" s="37"/>
      <c r="X2321" s="37"/>
      <c r="Y2321" s="43"/>
      <c r="Z2321" s="37"/>
      <c r="AA2321" s="37"/>
      <c r="AD2321" s="37"/>
      <c r="AE2321" s="37"/>
      <c r="AF2321" s="37"/>
    </row>
    <row r="2322" spans="1:32" x14ac:dyDescent="0.25">
      <c r="A2322" s="37"/>
      <c r="B2322" s="37"/>
      <c r="C2322" s="37"/>
      <c r="F2322" s="38"/>
      <c r="G2322" s="38"/>
      <c r="H2322" s="38"/>
      <c r="I2322" s="37"/>
      <c r="J2322" s="38"/>
      <c r="K2322" s="38"/>
      <c r="L2322" s="42"/>
      <c r="M2322" s="42"/>
      <c r="N2322" s="42"/>
      <c r="O2322" s="42"/>
      <c r="R2322" s="37"/>
      <c r="S2322" s="37"/>
      <c r="T2322" s="91"/>
      <c r="U2322" s="91"/>
      <c r="V2322" s="41"/>
      <c r="W2322" s="37"/>
      <c r="X2322" s="37"/>
      <c r="Y2322" s="43"/>
      <c r="Z2322" s="37"/>
      <c r="AA2322" s="37"/>
      <c r="AD2322" s="37"/>
      <c r="AE2322" s="37"/>
      <c r="AF2322" s="37"/>
    </row>
    <row r="2323" spans="1:32" x14ac:dyDescent="0.25">
      <c r="A2323" s="37"/>
      <c r="B2323" s="37"/>
      <c r="C2323" s="37"/>
      <c r="F2323" s="38"/>
      <c r="G2323" s="38"/>
      <c r="H2323" s="38"/>
      <c r="I2323" s="37"/>
      <c r="J2323" s="38"/>
      <c r="K2323" s="38"/>
      <c r="L2323" s="42"/>
      <c r="M2323" s="42"/>
      <c r="N2323" s="42"/>
      <c r="O2323" s="42"/>
      <c r="R2323" s="37"/>
      <c r="S2323" s="37"/>
      <c r="T2323" s="91"/>
      <c r="U2323" s="91"/>
      <c r="V2323" s="41"/>
      <c r="W2323" s="37"/>
      <c r="X2323" s="37"/>
      <c r="Y2323" s="43"/>
      <c r="Z2323" s="37"/>
      <c r="AA2323" s="37"/>
      <c r="AD2323" s="37"/>
      <c r="AE2323" s="37"/>
      <c r="AF2323" s="37"/>
    </row>
    <row r="2324" spans="1:32" x14ac:dyDescent="0.25">
      <c r="A2324" s="37"/>
      <c r="B2324" s="37"/>
      <c r="C2324" s="37"/>
      <c r="F2324" s="38"/>
      <c r="G2324" s="38"/>
      <c r="H2324" s="38"/>
      <c r="I2324" s="37"/>
      <c r="J2324" s="38"/>
      <c r="K2324" s="38"/>
      <c r="L2324" s="42"/>
      <c r="M2324" s="42"/>
      <c r="N2324" s="42"/>
      <c r="O2324" s="42"/>
      <c r="R2324" s="37"/>
      <c r="S2324" s="37"/>
      <c r="T2324" s="91"/>
      <c r="U2324" s="91"/>
      <c r="V2324" s="41"/>
      <c r="W2324" s="37"/>
      <c r="X2324" s="37"/>
      <c r="Y2324" s="43"/>
      <c r="Z2324" s="37"/>
      <c r="AA2324" s="37"/>
      <c r="AD2324" s="37"/>
      <c r="AE2324" s="37"/>
      <c r="AF2324" s="37"/>
    </row>
    <row r="2325" spans="1:32" x14ac:dyDescent="0.25">
      <c r="A2325" s="37"/>
      <c r="B2325" s="37"/>
      <c r="C2325" s="37"/>
      <c r="F2325" s="38"/>
      <c r="G2325" s="38"/>
      <c r="H2325" s="38"/>
      <c r="I2325" s="37"/>
      <c r="J2325" s="38"/>
      <c r="K2325" s="38"/>
      <c r="L2325" s="42"/>
      <c r="M2325" s="42"/>
      <c r="N2325" s="42"/>
      <c r="O2325" s="42"/>
      <c r="R2325" s="37"/>
      <c r="S2325" s="37"/>
      <c r="T2325" s="91"/>
      <c r="U2325" s="91"/>
      <c r="V2325" s="41"/>
      <c r="W2325" s="37"/>
      <c r="X2325" s="37"/>
      <c r="Y2325" s="43"/>
      <c r="Z2325" s="37"/>
      <c r="AA2325" s="37"/>
      <c r="AD2325" s="37"/>
      <c r="AE2325" s="37"/>
      <c r="AF2325" s="37"/>
    </row>
    <row r="2326" spans="1:32" x14ac:dyDescent="0.25">
      <c r="A2326" s="37"/>
      <c r="B2326" s="37"/>
      <c r="C2326" s="37"/>
      <c r="F2326" s="38"/>
      <c r="G2326" s="38"/>
      <c r="H2326" s="38"/>
      <c r="I2326" s="37"/>
      <c r="J2326" s="38"/>
      <c r="K2326" s="38"/>
      <c r="L2326" s="42"/>
      <c r="M2326" s="42"/>
      <c r="N2326" s="42"/>
      <c r="O2326" s="42"/>
      <c r="R2326" s="37"/>
      <c r="S2326" s="37"/>
      <c r="T2326" s="91"/>
      <c r="U2326" s="91"/>
      <c r="V2326" s="41"/>
      <c r="W2326" s="37"/>
      <c r="X2326" s="37"/>
      <c r="Y2326" s="43"/>
      <c r="Z2326" s="37"/>
      <c r="AA2326" s="37"/>
      <c r="AD2326" s="37"/>
      <c r="AE2326" s="37"/>
      <c r="AF2326" s="37"/>
    </row>
    <row r="2327" spans="1:32" x14ac:dyDescent="0.25">
      <c r="A2327" s="37"/>
      <c r="B2327" s="37"/>
      <c r="C2327" s="37"/>
      <c r="F2327" s="38"/>
      <c r="G2327" s="38"/>
      <c r="H2327" s="38"/>
      <c r="I2327" s="37"/>
      <c r="J2327" s="38"/>
      <c r="K2327" s="38"/>
      <c r="L2327" s="42"/>
      <c r="M2327" s="42"/>
      <c r="N2327" s="42"/>
      <c r="O2327" s="42"/>
      <c r="R2327" s="37"/>
      <c r="S2327" s="37"/>
      <c r="T2327" s="91"/>
      <c r="U2327" s="91"/>
      <c r="V2327" s="41"/>
      <c r="W2327" s="37"/>
      <c r="X2327" s="37"/>
      <c r="Y2327" s="43"/>
      <c r="Z2327" s="37"/>
      <c r="AA2327" s="37"/>
      <c r="AD2327" s="37"/>
      <c r="AE2327" s="37"/>
      <c r="AF2327" s="37"/>
    </row>
    <row r="2328" spans="1:32" x14ac:dyDescent="0.25">
      <c r="A2328" s="37"/>
      <c r="B2328" s="37"/>
      <c r="C2328" s="37"/>
      <c r="F2328" s="38"/>
      <c r="G2328" s="38"/>
      <c r="H2328" s="38"/>
      <c r="I2328" s="37"/>
      <c r="J2328" s="38"/>
      <c r="K2328" s="38"/>
      <c r="L2328" s="42"/>
      <c r="M2328" s="42"/>
      <c r="N2328" s="42"/>
      <c r="O2328" s="42"/>
      <c r="R2328" s="37"/>
      <c r="S2328" s="37"/>
      <c r="T2328" s="91"/>
      <c r="U2328" s="91"/>
      <c r="V2328" s="41"/>
      <c r="W2328" s="37"/>
      <c r="X2328" s="37"/>
      <c r="Y2328" s="43"/>
      <c r="Z2328" s="37"/>
      <c r="AA2328" s="37"/>
      <c r="AD2328" s="37"/>
      <c r="AE2328" s="37"/>
      <c r="AF2328" s="37"/>
    </row>
    <row r="2329" spans="1:32" x14ac:dyDescent="0.25">
      <c r="A2329" s="37"/>
      <c r="B2329" s="37"/>
      <c r="C2329" s="37"/>
      <c r="F2329" s="38"/>
      <c r="G2329" s="38"/>
      <c r="H2329" s="38"/>
      <c r="I2329" s="37"/>
      <c r="J2329" s="38"/>
      <c r="K2329" s="38"/>
      <c r="L2329" s="42"/>
      <c r="M2329" s="42"/>
      <c r="N2329" s="42"/>
      <c r="O2329" s="42"/>
      <c r="R2329" s="37"/>
      <c r="S2329" s="37"/>
      <c r="T2329" s="91"/>
      <c r="U2329" s="91"/>
      <c r="V2329" s="41"/>
      <c r="W2329" s="37"/>
      <c r="X2329" s="37"/>
      <c r="Y2329" s="43"/>
      <c r="Z2329" s="37"/>
      <c r="AA2329" s="37"/>
      <c r="AD2329" s="37"/>
      <c r="AE2329" s="37"/>
      <c r="AF2329" s="37"/>
    </row>
    <row r="2330" spans="1:32" x14ac:dyDescent="0.25">
      <c r="A2330" s="37"/>
      <c r="B2330" s="37"/>
      <c r="C2330" s="37"/>
      <c r="F2330" s="38"/>
      <c r="G2330" s="38"/>
      <c r="H2330" s="38"/>
      <c r="I2330" s="37"/>
      <c r="J2330" s="38"/>
      <c r="K2330" s="38"/>
      <c r="L2330" s="42"/>
      <c r="M2330" s="42"/>
      <c r="N2330" s="42"/>
      <c r="O2330" s="42"/>
      <c r="R2330" s="37"/>
      <c r="S2330" s="37"/>
      <c r="T2330" s="91"/>
      <c r="U2330" s="91"/>
      <c r="V2330" s="41"/>
      <c r="W2330" s="37"/>
      <c r="X2330" s="37"/>
      <c r="Y2330" s="43"/>
      <c r="Z2330" s="37"/>
      <c r="AA2330" s="37"/>
      <c r="AD2330" s="37"/>
      <c r="AE2330" s="37"/>
      <c r="AF2330" s="37"/>
    </row>
    <row r="2331" spans="1:32" x14ac:dyDescent="0.25">
      <c r="A2331" s="37"/>
      <c r="B2331" s="37"/>
      <c r="C2331" s="37"/>
      <c r="F2331" s="38"/>
      <c r="G2331" s="38"/>
      <c r="H2331" s="38"/>
      <c r="I2331" s="37"/>
      <c r="J2331" s="38"/>
      <c r="K2331" s="38"/>
      <c r="L2331" s="42"/>
      <c r="M2331" s="42"/>
      <c r="N2331" s="42"/>
      <c r="O2331" s="42"/>
      <c r="R2331" s="37"/>
      <c r="S2331" s="37"/>
      <c r="T2331" s="91"/>
      <c r="U2331" s="91"/>
      <c r="V2331" s="41"/>
      <c r="W2331" s="37"/>
      <c r="X2331" s="37"/>
      <c r="Y2331" s="43"/>
      <c r="Z2331" s="37"/>
      <c r="AA2331" s="37"/>
      <c r="AD2331" s="37"/>
      <c r="AE2331" s="37"/>
      <c r="AF2331" s="37"/>
    </row>
    <row r="2332" spans="1:32" x14ac:dyDescent="0.25">
      <c r="A2332" s="37"/>
      <c r="B2332" s="37"/>
      <c r="C2332" s="37"/>
      <c r="F2332" s="38"/>
      <c r="G2332" s="38"/>
      <c r="H2332" s="38"/>
      <c r="I2332" s="37"/>
      <c r="J2332" s="38"/>
      <c r="K2332" s="38"/>
      <c r="L2332" s="42"/>
      <c r="M2332" s="42"/>
      <c r="N2332" s="42"/>
      <c r="O2332" s="42"/>
      <c r="R2332" s="37"/>
      <c r="S2332" s="37"/>
      <c r="T2332" s="91"/>
      <c r="U2332" s="91"/>
      <c r="V2332" s="41"/>
      <c r="W2332" s="37"/>
      <c r="X2332" s="37"/>
      <c r="Y2332" s="43"/>
      <c r="Z2332" s="37"/>
      <c r="AA2332" s="37"/>
      <c r="AD2332" s="37"/>
      <c r="AE2332" s="37"/>
      <c r="AF2332" s="37"/>
    </row>
    <row r="2333" spans="1:32" x14ac:dyDescent="0.25">
      <c r="A2333" s="37"/>
      <c r="B2333" s="37"/>
      <c r="C2333" s="37"/>
      <c r="F2333" s="38"/>
      <c r="G2333" s="38"/>
      <c r="H2333" s="38"/>
      <c r="I2333" s="37"/>
      <c r="J2333" s="38"/>
      <c r="K2333" s="38"/>
      <c r="L2333" s="42"/>
      <c r="M2333" s="42"/>
      <c r="N2333" s="42"/>
      <c r="O2333" s="42"/>
      <c r="R2333" s="37"/>
      <c r="S2333" s="37"/>
      <c r="T2333" s="91"/>
      <c r="U2333" s="91"/>
      <c r="V2333" s="41"/>
      <c r="W2333" s="37"/>
      <c r="X2333" s="37"/>
      <c r="Y2333" s="43"/>
      <c r="Z2333" s="37"/>
      <c r="AA2333" s="37"/>
      <c r="AD2333" s="37"/>
      <c r="AE2333" s="37"/>
      <c r="AF2333" s="37"/>
    </row>
    <row r="2334" spans="1:32" x14ac:dyDescent="0.25">
      <c r="A2334" s="37"/>
      <c r="B2334" s="37"/>
      <c r="C2334" s="37"/>
      <c r="F2334" s="38"/>
      <c r="G2334" s="38"/>
      <c r="H2334" s="38"/>
      <c r="I2334" s="37"/>
      <c r="J2334" s="38"/>
      <c r="K2334" s="38"/>
      <c r="L2334" s="42"/>
      <c r="M2334" s="42"/>
      <c r="N2334" s="42"/>
      <c r="O2334" s="42"/>
      <c r="R2334" s="37"/>
      <c r="S2334" s="37"/>
      <c r="T2334" s="91"/>
      <c r="U2334" s="91"/>
      <c r="V2334" s="41"/>
      <c r="W2334" s="37"/>
      <c r="X2334" s="37"/>
      <c r="Y2334" s="43"/>
      <c r="Z2334" s="37"/>
      <c r="AA2334" s="37"/>
      <c r="AD2334" s="37"/>
      <c r="AE2334" s="37"/>
      <c r="AF2334" s="37"/>
    </row>
    <row r="2335" spans="1:32" x14ac:dyDescent="0.25">
      <c r="A2335" s="37"/>
      <c r="B2335" s="37"/>
      <c r="C2335" s="37"/>
      <c r="F2335" s="38"/>
      <c r="G2335" s="38"/>
      <c r="H2335" s="38"/>
      <c r="I2335" s="37"/>
      <c r="J2335" s="38"/>
      <c r="K2335" s="38"/>
      <c r="L2335" s="42"/>
      <c r="M2335" s="42"/>
      <c r="N2335" s="42"/>
      <c r="O2335" s="42"/>
      <c r="R2335" s="37"/>
      <c r="S2335" s="37"/>
      <c r="T2335" s="91"/>
      <c r="U2335" s="91"/>
      <c r="V2335" s="41"/>
      <c r="W2335" s="37"/>
      <c r="X2335" s="37"/>
      <c r="Y2335" s="43"/>
      <c r="Z2335" s="37"/>
      <c r="AA2335" s="37"/>
      <c r="AD2335" s="37"/>
      <c r="AE2335" s="37"/>
      <c r="AF2335" s="37"/>
    </row>
    <row r="2336" spans="1:32" x14ac:dyDescent="0.25">
      <c r="A2336" s="37"/>
      <c r="B2336" s="37"/>
      <c r="C2336" s="37"/>
      <c r="F2336" s="38"/>
      <c r="G2336" s="38"/>
      <c r="H2336" s="38"/>
      <c r="I2336" s="37"/>
      <c r="J2336" s="38"/>
      <c r="K2336" s="38"/>
      <c r="L2336" s="42"/>
      <c r="M2336" s="42"/>
      <c r="N2336" s="42"/>
      <c r="O2336" s="42"/>
      <c r="R2336" s="37"/>
      <c r="S2336" s="37"/>
      <c r="T2336" s="91"/>
      <c r="U2336" s="91"/>
      <c r="V2336" s="41"/>
      <c r="W2336" s="37"/>
      <c r="X2336" s="37"/>
      <c r="Y2336" s="43"/>
      <c r="Z2336" s="37"/>
      <c r="AA2336" s="37"/>
      <c r="AD2336" s="37"/>
      <c r="AE2336" s="37"/>
      <c r="AF2336" s="37"/>
    </row>
    <row r="2337" spans="1:32" x14ac:dyDescent="0.25">
      <c r="A2337" s="37"/>
      <c r="B2337" s="37"/>
      <c r="C2337" s="37"/>
      <c r="F2337" s="38"/>
      <c r="G2337" s="38"/>
      <c r="H2337" s="38"/>
      <c r="I2337" s="37"/>
      <c r="J2337" s="38"/>
      <c r="K2337" s="38"/>
      <c r="L2337" s="42"/>
      <c r="M2337" s="42"/>
      <c r="N2337" s="42"/>
      <c r="O2337" s="42"/>
      <c r="R2337" s="37"/>
      <c r="S2337" s="37"/>
      <c r="T2337" s="91"/>
      <c r="U2337" s="91"/>
      <c r="V2337" s="41"/>
      <c r="W2337" s="37"/>
      <c r="X2337" s="37"/>
      <c r="Y2337" s="43"/>
      <c r="Z2337" s="37"/>
      <c r="AA2337" s="37"/>
      <c r="AD2337" s="37"/>
      <c r="AE2337" s="37"/>
      <c r="AF2337" s="37"/>
    </row>
    <row r="2338" spans="1:32" x14ac:dyDescent="0.25">
      <c r="A2338" s="37"/>
      <c r="B2338" s="37"/>
      <c r="C2338" s="37"/>
      <c r="F2338" s="38"/>
      <c r="G2338" s="38"/>
      <c r="H2338" s="38"/>
      <c r="I2338" s="37"/>
      <c r="J2338" s="38"/>
      <c r="K2338" s="38"/>
      <c r="L2338" s="42"/>
      <c r="M2338" s="42"/>
      <c r="N2338" s="42"/>
      <c r="O2338" s="42"/>
      <c r="R2338" s="37"/>
      <c r="S2338" s="37"/>
      <c r="T2338" s="91"/>
      <c r="U2338" s="91"/>
      <c r="V2338" s="41"/>
      <c r="W2338" s="37"/>
      <c r="X2338" s="37"/>
      <c r="Y2338" s="43"/>
      <c r="Z2338" s="37"/>
      <c r="AA2338" s="37"/>
      <c r="AD2338" s="37"/>
      <c r="AE2338" s="37"/>
      <c r="AF2338" s="37"/>
    </row>
    <row r="2339" spans="1:32" x14ac:dyDescent="0.25">
      <c r="A2339" s="37"/>
      <c r="B2339" s="37"/>
      <c r="C2339" s="37"/>
      <c r="F2339" s="38"/>
      <c r="G2339" s="38"/>
      <c r="H2339" s="38"/>
      <c r="I2339" s="37"/>
      <c r="J2339" s="38"/>
      <c r="K2339" s="38"/>
      <c r="L2339" s="42"/>
      <c r="M2339" s="42"/>
      <c r="N2339" s="42"/>
      <c r="O2339" s="42"/>
      <c r="R2339" s="37"/>
      <c r="S2339" s="37"/>
      <c r="T2339" s="91"/>
      <c r="U2339" s="91"/>
      <c r="V2339" s="41"/>
      <c r="W2339" s="37"/>
      <c r="X2339" s="37"/>
      <c r="Y2339" s="43"/>
      <c r="Z2339" s="37"/>
      <c r="AA2339" s="37"/>
      <c r="AD2339" s="37"/>
      <c r="AE2339" s="37"/>
      <c r="AF2339" s="37"/>
    </row>
    <row r="2340" spans="1:32" x14ac:dyDescent="0.25">
      <c r="A2340" s="37"/>
      <c r="B2340" s="37"/>
      <c r="C2340" s="37"/>
      <c r="F2340" s="38"/>
      <c r="G2340" s="38"/>
      <c r="H2340" s="38"/>
      <c r="I2340" s="37"/>
      <c r="J2340" s="38"/>
      <c r="K2340" s="38"/>
      <c r="L2340" s="42"/>
      <c r="M2340" s="42"/>
      <c r="N2340" s="42"/>
      <c r="O2340" s="42"/>
      <c r="R2340" s="37"/>
      <c r="S2340" s="37"/>
      <c r="T2340" s="91"/>
      <c r="U2340" s="91"/>
      <c r="V2340" s="41"/>
      <c r="W2340" s="37"/>
      <c r="X2340" s="37"/>
      <c r="Y2340" s="43"/>
      <c r="Z2340" s="37"/>
      <c r="AA2340" s="37"/>
      <c r="AD2340" s="37"/>
      <c r="AE2340" s="37"/>
      <c r="AF2340" s="37"/>
    </row>
    <row r="2341" spans="1:32" x14ac:dyDescent="0.25">
      <c r="A2341" s="37"/>
      <c r="B2341" s="37"/>
      <c r="C2341" s="37"/>
      <c r="F2341" s="38"/>
      <c r="G2341" s="38"/>
      <c r="H2341" s="38"/>
      <c r="I2341" s="37"/>
      <c r="J2341" s="38"/>
      <c r="K2341" s="38"/>
      <c r="L2341" s="42"/>
      <c r="M2341" s="42"/>
      <c r="N2341" s="42"/>
      <c r="O2341" s="42"/>
      <c r="R2341" s="37"/>
      <c r="S2341" s="37"/>
      <c r="T2341" s="91"/>
      <c r="U2341" s="91"/>
      <c r="V2341" s="41"/>
      <c r="W2341" s="37"/>
      <c r="X2341" s="37"/>
      <c r="Y2341" s="43"/>
      <c r="Z2341" s="37"/>
      <c r="AA2341" s="37"/>
      <c r="AD2341" s="37"/>
      <c r="AE2341" s="37"/>
      <c r="AF2341" s="37"/>
    </row>
    <row r="2342" spans="1:32" x14ac:dyDescent="0.25">
      <c r="A2342" s="37"/>
      <c r="B2342" s="37"/>
      <c r="C2342" s="37"/>
      <c r="F2342" s="38"/>
      <c r="G2342" s="38"/>
      <c r="H2342" s="38"/>
      <c r="I2342" s="37"/>
      <c r="J2342" s="38"/>
      <c r="K2342" s="38"/>
      <c r="L2342" s="42"/>
      <c r="M2342" s="42"/>
      <c r="N2342" s="42"/>
      <c r="O2342" s="42"/>
      <c r="R2342" s="37"/>
      <c r="S2342" s="37"/>
      <c r="T2342" s="91"/>
      <c r="U2342" s="91"/>
      <c r="V2342" s="41"/>
      <c r="W2342" s="37"/>
      <c r="X2342" s="37"/>
      <c r="Y2342" s="43"/>
      <c r="Z2342" s="37"/>
      <c r="AA2342" s="37"/>
      <c r="AD2342" s="37"/>
      <c r="AE2342" s="37"/>
      <c r="AF2342" s="37"/>
    </row>
    <row r="2343" spans="1:32" x14ac:dyDescent="0.25">
      <c r="A2343" s="37"/>
      <c r="B2343" s="37"/>
      <c r="C2343" s="37"/>
      <c r="F2343" s="38"/>
      <c r="G2343" s="38"/>
      <c r="H2343" s="38"/>
      <c r="I2343" s="37"/>
      <c r="J2343" s="38"/>
      <c r="K2343" s="38"/>
      <c r="L2343" s="42"/>
      <c r="M2343" s="42"/>
      <c r="N2343" s="42"/>
      <c r="O2343" s="42"/>
      <c r="R2343" s="37"/>
      <c r="S2343" s="37"/>
      <c r="T2343" s="91"/>
      <c r="U2343" s="91"/>
      <c r="V2343" s="41"/>
      <c r="W2343" s="37"/>
      <c r="X2343" s="37"/>
      <c r="Y2343" s="43"/>
      <c r="Z2343" s="37"/>
      <c r="AA2343" s="37"/>
      <c r="AD2343" s="37"/>
      <c r="AE2343" s="37"/>
      <c r="AF2343" s="37"/>
    </row>
    <row r="2344" spans="1:32" x14ac:dyDescent="0.25">
      <c r="A2344" s="37"/>
      <c r="B2344" s="37"/>
      <c r="C2344" s="37"/>
      <c r="F2344" s="38"/>
      <c r="G2344" s="38"/>
      <c r="H2344" s="38"/>
      <c r="I2344" s="37"/>
      <c r="J2344" s="38"/>
      <c r="K2344" s="38"/>
      <c r="L2344" s="42"/>
      <c r="M2344" s="42"/>
      <c r="N2344" s="42"/>
      <c r="O2344" s="42"/>
      <c r="R2344" s="37"/>
      <c r="S2344" s="37"/>
      <c r="T2344" s="91"/>
      <c r="U2344" s="91"/>
      <c r="V2344" s="41"/>
      <c r="W2344" s="37"/>
      <c r="X2344" s="37"/>
      <c r="Y2344" s="43"/>
      <c r="Z2344" s="37"/>
      <c r="AA2344" s="37"/>
      <c r="AD2344" s="37"/>
      <c r="AE2344" s="37"/>
      <c r="AF2344" s="37"/>
    </row>
    <row r="2345" spans="1:32" x14ac:dyDescent="0.25">
      <c r="A2345" s="37"/>
      <c r="B2345" s="37"/>
      <c r="C2345" s="37"/>
      <c r="F2345" s="38"/>
      <c r="G2345" s="38"/>
      <c r="H2345" s="38"/>
      <c r="I2345" s="37"/>
      <c r="J2345" s="38"/>
      <c r="K2345" s="38"/>
      <c r="L2345" s="42"/>
      <c r="M2345" s="42"/>
      <c r="N2345" s="42"/>
      <c r="O2345" s="42"/>
      <c r="R2345" s="37"/>
      <c r="S2345" s="37"/>
      <c r="T2345" s="91"/>
      <c r="U2345" s="91"/>
      <c r="V2345" s="41"/>
      <c r="W2345" s="37"/>
      <c r="X2345" s="37"/>
      <c r="Y2345" s="43"/>
      <c r="Z2345" s="37"/>
      <c r="AA2345" s="37"/>
      <c r="AD2345" s="37"/>
      <c r="AE2345" s="37"/>
      <c r="AF2345" s="37"/>
    </row>
    <row r="2346" spans="1:32" x14ac:dyDescent="0.25">
      <c r="A2346" s="37"/>
      <c r="B2346" s="37"/>
      <c r="C2346" s="37"/>
      <c r="F2346" s="38"/>
      <c r="G2346" s="38"/>
      <c r="H2346" s="38"/>
      <c r="I2346" s="37"/>
      <c r="J2346" s="38"/>
      <c r="K2346" s="38"/>
      <c r="L2346" s="42"/>
      <c r="M2346" s="42"/>
      <c r="N2346" s="42"/>
      <c r="O2346" s="42"/>
      <c r="R2346" s="37"/>
      <c r="S2346" s="37"/>
      <c r="T2346" s="91"/>
      <c r="U2346" s="91"/>
      <c r="V2346" s="41"/>
      <c r="W2346" s="37"/>
      <c r="X2346" s="37"/>
      <c r="Y2346" s="43"/>
      <c r="Z2346" s="37"/>
      <c r="AA2346" s="37"/>
      <c r="AD2346" s="37"/>
      <c r="AE2346" s="37"/>
      <c r="AF2346" s="37"/>
    </row>
    <row r="2347" spans="1:32" x14ac:dyDescent="0.25">
      <c r="A2347" s="37"/>
      <c r="B2347" s="37"/>
      <c r="C2347" s="37"/>
      <c r="F2347" s="38"/>
      <c r="G2347" s="38"/>
      <c r="H2347" s="38"/>
      <c r="I2347" s="37"/>
      <c r="J2347" s="38"/>
      <c r="K2347" s="38"/>
      <c r="L2347" s="42"/>
      <c r="M2347" s="42"/>
      <c r="N2347" s="42"/>
      <c r="O2347" s="42"/>
      <c r="R2347" s="37"/>
      <c r="S2347" s="37"/>
      <c r="T2347" s="91"/>
      <c r="U2347" s="91"/>
      <c r="V2347" s="41"/>
      <c r="W2347" s="37"/>
      <c r="X2347" s="37"/>
      <c r="Y2347" s="43"/>
      <c r="Z2347" s="37"/>
      <c r="AA2347" s="37"/>
      <c r="AD2347" s="37"/>
      <c r="AE2347" s="37"/>
      <c r="AF2347" s="37"/>
    </row>
    <row r="2348" spans="1:32" x14ac:dyDescent="0.25">
      <c r="A2348" s="37"/>
      <c r="B2348" s="37"/>
      <c r="C2348" s="37"/>
      <c r="F2348" s="38"/>
      <c r="G2348" s="38"/>
      <c r="H2348" s="38"/>
      <c r="I2348" s="37"/>
      <c r="J2348" s="38"/>
      <c r="K2348" s="38"/>
      <c r="L2348" s="42"/>
      <c r="M2348" s="42"/>
      <c r="N2348" s="42"/>
      <c r="O2348" s="42"/>
      <c r="R2348" s="37"/>
      <c r="S2348" s="37"/>
      <c r="T2348" s="91"/>
      <c r="U2348" s="91"/>
      <c r="V2348" s="41"/>
      <c r="W2348" s="37"/>
      <c r="X2348" s="37"/>
      <c r="Y2348" s="43"/>
      <c r="Z2348" s="37"/>
      <c r="AA2348" s="37"/>
      <c r="AD2348" s="37"/>
      <c r="AE2348" s="37"/>
      <c r="AF2348" s="37"/>
    </row>
    <row r="2349" spans="1:32" x14ac:dyDescent="0.25">
      <c r="A2349" s="37"/>
      <c r="B2349" s="37"/>
      <c r="C2349" s="37"/>
      <c r="F2349" s="38"/>
      <c r="G2349" s="38"/>
      <c r="H2349" s="38"/>
      <c r="I2349" s="37"/>
      <c r="J2349" s="38"/>
      <c r="K2349" s="38"/>
      <c r="L2349" s="42"/>
      <c r="M2349" s="42"/>
      <c r="N2349" s="42"/>
      <c r="O2349" s="42"/>
      <c r="R2349" s="37"/>
      <c r="S2349" s="37"/>
      <c r="T2349" s="91"/>
      <c r="U2349" s="91"/>
      <c r="V2349" s="41"/>
      <c r="W2349" s="37"/>
      <c r="X2349" s="37"/>
      <c r="Y2349" s="43"/>
      <c r="Z2349" s="37"/>
      <c r="AA2349" s="37"/>
      <c r="AD2349" s="37"/>
      <c r="AE2349" s="37"/>
      <c r="AF2349" s="37"/>
    </row>
    <row r="2350" spans="1:32" x14ac:dyDescent="0.25">
      <c r="A2350" s="37"/>
      <c r="B2350" s="37"/>
      <c r="C2350" s="37"/>
      <c r="F2350" s="38"/>
      <c r="G2350" s="38"/>
      <c r="H2350" s="38"/>
      <c r="I2350" s="37"/>
      <c r="J2350" s="38"/>
      <c r="K2350" s="38"/>
      <c r="L2350" s="42"/>
      <c r="M2350" s="42"/>
      <c r="N2350" s="42"/>
      <c r="O2350" s="42"/>
      <c r="R2350" s="37"/>
      <c r="S2350" s="37"/>
      <c r="T2350" s="91"/>
      <c r="U2350" s="91"/>
      <c r="V2350" s="41"/>
      <c r="W2350" s="37"/>
      <c r="X2350" s="37"/>
      <c r="Y2350" s="43"/>
      <c r="Z2350" s="37"/>
      <c r="AA2350" s="37"/>
      <c r="AD2350" s="37"/>
      <c r="AE2350" s="37"/>
      <c r="AF2350" s="37"/>
    </row>
    <row r="2351" spans="1:32" x14ac:dyDescent="0.25">
      <c r="A2351" s="37"/>
      <c r="B2351" s="37"/>
      <c r="C2351" s="37"/>
      <c r="F2351" s="38"/>
      <c r="G2351" s="38"/>
      <c r="H2351" s="38"/>
      <c r="I2351" s="37"/>
      <c r="J2351" s="38"/>
      <c r="K2351" s="38"/>
      <c r="L2351" s="42"/>
      <c r="M2351" s="42"/>
      <c r="N2351" s="42"/>
      <c r="O2351" s="42"/>
      <c r="R2351" s="37"/>
      <c r="S2351" s="37"/>
      <c r="T2351" s="91"/>
      <c r="U2351" s="91"/>
      <c r="V2351" s="41"/>
      <c r="W2351" s="37"/>
      <c r="X2351" s="37"/>
      <c r="Y2351" s="43"/>
      <c r="Z2351" s="37"/>
      <c r="AA2351" s="37"/>
      <c r="AD2351" s="37"/>
      <c r="AE2351" s="37"/>
      <c r="AF2351" s="37"/>
    </row>
    <row r="2352" spans="1:32" x14ac:dyDescent="0.25">
      <c r="A2352" s="37"/>
      <c r="B2352" s="37"/>
      <c r="C2352" s="37"/>
      <c r="F2352" s="38"/>
      <c r="G2352" s="38"/>
      <c r="H2352" s="38"/>
      <c r="I2352" s="37"/>
      <c r="J2352" s="38"/>
      <c r="K2352" s="38"/>
      <c r="L2352" s="42"/>
      <c r="M2352" s="42"/>
      <c r="N2352" s="42"/>
      <c r="O2352" s="42"/>
      <c r="R2352" s="37"/>
      <c r="S2352" s="37"/>
      <c r="T2352" s="91"/>
      <c r="U2352" s="91"/>
      <c r="V2352" s="41"/>
      <c r="W2352" s="37"/>
      <c r="X2352" s="37"/>
      <c r="Y2352" s="43"/>
      <c r="Z2352" s="37"/>
      <c r="AA2352" s="37"/>
      <c r="AD2352" s="37"/>
      <c r="AE2352" s="37"/>
      <c r="AF2352" s="37"/>
    </row>
    <row r="2353" spans="1:32" x14ac:dyDescent="0.25">
      <c r="A2353" s="37"/>
      <c r="B2353" s="37"/>
      <c r="C2353" s="37"/>
      <c r="F2353" s="38"/>
      <c r="G2353" s="38"/>
      <c r="H2353" s="38"/>
      <c r="I2353" s="37"/>
      <c r="J2353" s="38"/>
      <c r="K2353" s="38"/>
      <c r="L2353" s="42"/>
      <c r="M2353" s="42"/>
      <c r="N2353" s="42"/>
      <c r="O2353" s="42"/>
      <c r="R2353" s="37"/>
      <c r="S2353" s="37"/>
      <c r="T2353" s="91"/>
      <c r="U2353" s="91"/>
      <c r="V2353" s="41"/>
      <c r="W2353" s="37"/>
      <c r="X2353" s="37"/>
      <c r="Y2353" s="43"/>
      <c r="Z2353" s="37"/>
      <c r="AA2353" s="37"/>
      <c r="AD2353" s="37"/>
      <c r="AE2353" s="37"/>
      <c r="AF2353" s="37"/>
    </row>
    <row r="2354" spans="1:32" x14ac:dyDescent="0.25">
      <c r="A2354" s="37"/>
      <c r="B2354" s="37"/>
      <c r="C2354" s="37"/>
      <c r="F2354" s="38"/>
      <c r="G2354" s="38"/>
      <c r="H2354" s="38"/>
      <c r="I2354" s="37"/>
      <c r="J2354" s="38"/>
      <c r="K2354" s="38"/>
      <c r="L2354" s="42"/>
      <c r="M2354" s="42"/>
      <c r="N2354" s="42"/>
      <c r="O2354" s="42"/>
      <c r="R2354" s="37"/>
      <c r="S2354" s="37"/>
      <c r="T2354" s="91"/>
      <c r="U2354" s="91"/>
      <c r="V2354" s="41"/>
      <c r="W2354" s="37"/>
      <c r="X2354" s="37"/>
      <c r="Y2354" s="43"/>
      <c r="Z2354" s="37"/>
      <c r="AA2354" s="37"/>
      <c r="AD2354" s="37"/>
      <c r="AE2354" s="37"/>
      <c r="AF2354" s="37"/>
    </row>
    <row r="2355" spans="1:32" x14ac:dyDescent="0.25">
      <c r="A2355" s="37"/>
      <c r="B2355" s="37"/>
      <c r="C2355" s="37"/>
      <c r="F2355" s="38"/>
      <c r="G2355" s="38"/>
      <c r="H2355" s="38"/>
      <c r="I2355" s="37"/>
      <c r="J2355" s="38"/>
      <c r="K2355" s="38"/>
      <c r="L2355" s="42"/>
      <c r="M2355" s="42"/>
      <c r="N2355" s="42"/>
      <c r="O2355" s="42"/>
      <c r="R2355" s="37"/>
      <c r="S2355" s="37"/>
      <c r="T2355" s="91"/>
      <c r="U2355" s="91"/>
      <c r="V2355" s="41"/>
      <c r="W2355" s="37"/>
      <c r="X2355" s="37"/>
      <c r="Y2355" s="43"/>
      <c r="Z2355" s="37"/>
      <c r="AA2355" s="37"/>
      <c r="AD2355" s="37"/>
      <c r="AE2355" s="37"/>
      <c r="AF2355" s="37"/>
    </row>
    <row r="2356" spans="1:32" x14ac:dyDescent="0.25">
      <c r="A2356" s="37"/>
      <c r="B2356" s="37"/>
      <c r="C2356" s="37"/>
      <c r="F2356" s="38"/>
      <c r="G2356" s="38"/>
      <c r="H2356" s="38"/>
      <c r="I2356" s="37"/>
      <c r="J2356" s="38"/>
      <c r="K2356" s="38"/>
      <c r="L2356" s="42"/>
      <c r="M2356" s="42"/>
      <c r="N2356" s="42"/>
      <c r="O2356" s="42"/>
      <c r="R2356" s="37"/>
      <c r="S2356" s="37"/>
      <c r="T2356" s="91"/>
      <c r="U2356" s="91"/>
      <c r="V2356" s="41"/>
      <c r="W2356" s="37"/>
      <c r="X2356" s="37"/>
      <c r="Y2356" s="43"/>
      <c r="Z2356" s="37"/>
      <c r="AA2356" s="37"/>
      <c r="AD2356" s="37"/>
      <c r="AE2356" s="37"/>
      <c r="AF2356" s="37"/>
    </row>
    <row r="2357" spans="1:32" x14ac:dyDescent="0.25">
      <c r="A2357" s="37"/>
      <c r="B2357" s="37"/>
      <c r="C2357" s="37"/>
      <c r="F2357" s="38"/>
      <c r="G2357" s="38"/>
      <c r="H2357" s="38"/>
      <c r="I2357" s="37"/>
      <c r="J2357" s="38"/>
      <c r="K2357" s="38"/>
      <c r="L2357" s="42"/>
      <c r="M2357" s="42"/>
      <c r="N2357" s="42"/>
      <c r="O2357" s="42"/>
      <c r="R2357" s="37"/>
      <c r="S2357" s="37"/>
      <c r="T2357" s="91"/>
      <c r="U2357" s="91"/>
      <c r="V2357" s="41"/>
      <c r="W2357" s="37"/>
      <c r="X2357" s="37"/>
      <c r="Y2357" s="43"/>
      <c r="Z2357" s="37"/>
      <c r="AA2357" s="37"/>
      <c r="AD2357" s="37"/>
      <c r="AE2357" s="37"/>
      <c r="AF2357" s="37"/>
    </row>
    <row r="2358" spans="1:32" x14ac:dyDescent="0.25">
      <c r="A2358" s="37"/>
      <c r="B2358" s="37"/>
      <c r="C2358" s="37"/>
      <c r="F2358" s="38"/>
      <c r="G2358" s="38"/>
      <c r="H2358" s="38"/>
      <c r="I2358" s="37"/>
      <c r="J2358" s="38"/>
      <c r="K2358" s="38"/>
      <c r="L2358" s="42"/>
      <c r="M2358" s="42"/>
      <c r="N2358" s="42"/>
      <c r="O2358" s="42"/>
      <c r="R2358" s="37"/>
      <c r="S2358" s="37"/>
      <c r="T2358" s="91"/>
      <c r="U2358" s="91"/>
      <c r="V2358" s="41"/>
      <c r="W2358" s="37"/>
      <c r="X2358" s="37"/>
      <c r="Y2358" s="43"/>
      <c r="Z2358" s="37"/>
      <c r="AA2358" s="37"/>
      <c r="AD2358" s="37"/>
      <c r="AE2358" s="37"/>
      <c r="AF2358" s="37"/>
    </row>
    <row r="2359" spans="1:32" x14ac:dyDescent="0.25">
      <c r="A2359" s="37"/>
      <c r="B2359" s="37"/>
      <c r="C2359" s="37"/>
      <c r="F2359" s="38"/>
      <c r="G2359" s="38"/>
      <c r="H2359" s="38"/>
      <c r="I2359" s="37"/>
      <c r="J2359" s="38"/>
      <c r="K2359" s="38"/>
      <c r="L2359" s="42"/>
      <c r="M2359" s="42"/>
      <c r="N2359" s="42"/>
      <c r="O2359" s="42"/>
      <c r="R2359" s="37"/>
      <c r="S2359" s="37"/>
      <c r="T2359" s="91"/>
      <c r="U2359" s="91"/>
      <c r="V2359" s="41"/>
      <c r="W2359" s="37"/>
      <c r="X2359" s="37"/>
      <c r="Y2359" s="43"/>
      <c r="Z2359" s="37"/>
      <c r="AA2359" s="37"/>
      <c r="AD2359" s="37"/>
      <c r="AE2359" s="37"/>
      <c r="AF2359" s="37"/>
    </row>
    <row r="2360" spans="1:32" x14ac:dyDescent="0.25">
      <c r="A2360" s="37"/>
      <c r="B2360" s="37"/>
      <c r="C2360" s="37"/>
      <c r="F2360" s="38"/>
      <c r="G2360" s="38"/>
      <c r="H2360" s="38"/>
      <c r="I2360" s="37"/>
      <c r="J2360" s="38"/>
      <c r="K2360" s="38"/>
      <c r="L2360" s="42"/>
      <c r="M2360" s="42"/>
      <c r="N2360" s="42"/>
      <c r="O2360" s="42"/>
      <c r="R2360" s="37"/>
      <c r="S2360" s="37"/>
      <c r="T2360" s="91"/>
      <c r="U2360" s="91"/>
      <c r="V2360" s="41"/>
      <c r="W2360" s="37"/>
      <c r="X2360" s="37"/>
      <c r="Y2360" s="43"/>
      <c r="Z2360" s="37"/>
      <c r="AA2360" s="37"/>
      <c r="AD2360" s="37"/>
      <c r="AE2360" s="37"/>
      <c r="AF2360" s="37"/>
    </row>
    <row r="2361" spans="1:32" x14ac:dyDescent="0.25">
      <c r="A2361" s="37"/>
      <c r="B2361" s="37"/>
      <c r="C2361" s="37"/>
      <c r="F2361" s="38"/>
      <c r="G2361" s="38"/>
      <c r="H2361" s="38"/>
      <c r="I2361" s="37"/>
      <c r="J2361" s="38"/>
      <c r="K2361" s="38"/>
      <c r="L2361" s="42"/>
      <c r="M2361" s="42"/>
      <c r="N2361" s="42"/>
      <c r="O2361" s="42"/>
      <c r="R2361" s="37"/>
      <c r="S2361" s="37"/>
      <c r="T2361" s="91"/>
      <c r="U2361" s="91"/>
      <c r="V2361" s="41"/>
      <c r="W2361" s="37"/>
      <c r="X2361" s="37"/>
      <c r="Y2361" s="43"/>
      <c r="Z2361" s="37"/>
      <c r="AA2361" s="37"/>
      <c r="AD2361" s="37"/>
      <c r="AE2361" s="37"/>
      <c r="AF2361" s="37"/>
    </row>
    <row r="2362" spans="1:32" x14ac:dyDescent="0.25">
      <c r="A2362" s="37"/>
      <c r="B2362" s="37"/>
      <c r="C2362" s="37"/>
      <c r="F2362" s="38"/>
      <c r="G2362" s="38"/>
      <c r="H2362" s="38"/>
      <c r="I2362" s="37"/>
      <c r="J2362" s="38"/>
      <c r="K2362" s="38"/>
      <c r="L2362" s="42"/>
      <c r="M2362" s="42"/>
      <c r="N2362" s="42"/>
      <c r="O2362" s="42"/>
      <c r="R2362" s="37"/>
      <c r="S2362" s="37"/>
      <c r="T2362" s="91"/>
      <c r="U2362" s="91"/>
      <c r="V2362" s="41"/>
      <c r="W2362" s="37"/>
      <c r="X2362" s="37"/>
      <c r="Y2362" s="43"/>
      <c r="Z2362" s="37"/>
      <c r="AA2362" s="37"/>
      <c r="AD2362" s="37"/>
      <c r="AE2362" s="37"/>
      <c r="AF2362" s="37"/>
    </row>
    <row r="2363" spans="1:32" x14ac:dyDescent="0.25">
      <c r="A2363" s="37"/>
      <c r="B2363" s="37"/>
      <c r="C2363" s="37"/>
      <c r="F2363" s="38"/>
      <c r="G2363" s="38"/>
      <c r="H2363" s="38"/>
      <c r="I2363" s="37"/>
      <c r="J2363" s="38"/>
      <c r="K2363" s="38"/>
      <c r="L2363" s="42"/>
      <c r="M2363" s="42"/>
      <c r="N2363" s="42"/>
      <c r="O2363" s="42"/>
      <c r="R2363" s="37"/>
      <c r="S2363" s="37"/>
      <c r="T2363" s="91"/>
      <c r="U2363" s="91"/>
      <c r="V2363" s="41"/>
      <c r="W2363" s="37"/>
      <c r="X2363" s="37"/>
      <c r="Y2363" s="43"/>
      <c r="Z2363" s="37"/>
      <c r="AA2363" s="37"/>
      <c r="AD2363" s="37"/>
      <c r="AE2363" s="37"/>
      <c r="AF2363" s="37"/>
    </row>
    <row r="2364" spans="1:32" x14ac:dyDescent="0.25">
      <c r="A2364" s="37"/>
      <c r="B2364" s="37"/>
      <c r="C2364" s="37"/>
      <c r="F2364" s="38"/>
      <c r="G2364" s="38"/>
      <c r="H2364" s="38"/>
      <c r="I2364" s="37"/>
      <c r="J2364" s="38"/>
      <c r="K2364" s="38"/>
      <c r="L2364" s="42"/>
      <c r="M2364" s="42"/>
      <c r="N2364" s="42"/>
      <c r="O2364" s="42"/>
      <c r="R2364" s="37"/>
      <c r="S2364" s="37"/>
      <c r="T2364" s="91"/>
      <c r="U2364" s="91"/>
      <c r="V2364" s="41"/>
      <c r="W2364" s="37"/>
      <c r="X2364" s="37"/>
      <c r="Y2364" s="43"/>
      <c r="Z2364" s="37"/>
      <c r="AA2364" s="37"/>
      <c r="AD2364" s="37"/>
      <c r="AE2364" s="37"/>
      <c r="AF2364" s="37"/>
    </row>
    <row r="2365" spans="1:32" x14ac:dyDescent="0.25">
      <c r="A2365" s="37"/>
      <c r="B2365" s="37"/>
      <c r="C2365" s="37"/>
      <c r="F2365" s="38"/>
      <c r="G2365" s="38"/>
      <c r="H2365" s="38"/>
      <c r="I2365" s="37"/>
      <c r="J2365" s="38"/>
      <c r="K2365" s="38"/>
      <c r="L2365" s="42"/>
      <c r="M2365" s="42"/>
      <c r="N2365" s="42"/>
      <c r="O2365" s="42"/>
      <c r="R2365" s="37"/>
      <c r="S2365" s="37"/>
      <c r="T2365" s="91"/>
      <c r="U2365" s="91"/>
      <c r="V2365" s="41"/>
      <c r="W2365" s="37"/>
      <c r="X2365" s="37"/>
      <c r="Y2365" s="43"/>
      <c r="Z2365" s="37"/>
      <c r="AA2365" s="37"/>
      <c r="AD2365" s="37"/>
      <c r="AE2365" s="37"/>
      <c r="AF2365" s="37"/>
    </row>
    <row r="2366" spans="1:32" x14ac:dyDescent="0.25">
      <c r="A2366" s="37"/>
      <c r="B2366" s="37"/>
      <c r="C2366" s="37"/>
      <c r="F2366" s="38"/>
      <c r="G2366" s="38"/>
      <c r="H2366" s="38"/>
      <c r="I2366" s="37"/>
      <c r="J2366" s="38"/>
      <c r="K2366" s="38"/>
      <c r="L2366" s="42"/>
      <c r="M2366" s="42"/>
      <c r="N2366" s="42"/>
      <c r="O2366" s="42"/>
      <c r="R2366" s="37"/>
      <c r="S2366" s="37"/>
      <c r="T2366" s="91"/>
      <c r="U2366" s="91"/>
      <c r="V2366" s="41"/>
      <c r="W2366" s="37"/>
      <c r="X2366" s="37"/>
      <c r="Y2366" s="43"/>
      <c r="Z2366" s="37"/>
      <c r="AA2366" s="37"/>
      <c r="AD2366" s="37"/>
      <c r="AE2366" s="37"/>
      <c r="AF2366" s="37"/>
    </row>
    <row r="2367" spans="1:32" x14ac:dyDescent="0.25">
      <c r="A2367" s="37"/>
      <c r="B2367" s="37"/>
      <c r="C2367" s="37"/>
      <c r="F2367" s="38"/>
      <c r="G2367" s="38"/>
      <c r="H2367" s="38"/>
      <c r="I2367" s="37"/>
      <c r="J2367" s="38"/>
      <c r="K2367" s="38"/>
      <c r="L2367" s="42"/>
      <c r="M2367" s="42"/>
      <c r="N2367" s="42"/>
      <c r="O2367" s="42"/>
      <c r="R2367" s="37"/>
      <c r="S2367" s="37"/>
      <c r="T2367" s="91"/>
      <c r="U2367" s="91"/>
      <c r="V2367" s="41"/>
      <c r="W2367" s="37"/>
      <c r="X2367" s="37"/>
      <c r="Y2367" s="43"/>
      <c r="Z2367" s="37"/>
      <c r="AA2367" s="37"/>
      <c r="AD2367" s="37"/>
      <c r="AE2367" s="37"/>
      <c r="AF2367" s="37"/>
    </row>
    <row r="2368" spans="1:32" x14ac:dyDescent="0.25">
      <c r="A2368" s="37"/>
      <c r="B2368" s="37"/>
      <c r="C2368" s="37"/>
      <c r="F2368" s="38"/>
      <c r="G2368" s="38"/>
      <c r="H2368" s="38"/>
      <c r="I2368" s="37"/>
      <c r="J2368" s="38"/>
      <c r="K2368" s="38"/>
      <c r="L2368" s="42"/>
      <c r="M2368" s="42"/>
      <c r="N2368" s="42"/>
      <c r="O2368" s="42"/>
      <c r="R2368" s="37"/>
      <c r="S2368" s="37"/>
      <c r="T2368" s="91"/>
      <c r="U2368" s="91"/>
      <c r="V2368" s="41"/>
      <c r="W2368" s="37"/>
      <c r="X2368" s="37"/>
      <c r="Y2368" s="43"/>
      <c r="Z2368" s="37"/>
      <c r="AA2368" s="37"/>
      <c r="AD2368" s="37"/>
      <c r="AE2368" s="37"/>
      <c r="AF2368" s="37"/>
    </row>
    <row r="2369" spans="1:32" x14ac:dyDescent="0.25">
      <c r="A2369" s="37"/>
      <c r="B2369" s="37"/>
      <c r="C2369" s="37"/>
      <c r="F2369" s="38"/>
      <c r="G2369" s="38"/>
      <c r="H2369" s="38"/>
      <c r="I2369" s="37"/>
      <c r="J2369" s="38"/>
      <c r="K2369" s="38"/>
      <c r="L2369" s="42"/>
      <c r="M2369" s="42"/>
      <c r="N2369" s="42"/>
      <c r="O2369" s="42"/>
      <c r="R2369" s="37"/>
      <c r="S2369" s="37"/>
      <c r="T2369" s="91"/>
      <c r="U2369" s="91"/>
      <c r="V2369" s="41"/>
      <c r="W2369" s="37"/>
      <c r="X2369" s="37"/>
      <c r="Y2369" s="43"/>
      <c r="Z2369" s="37"/>
      <c r="AA2369" s="37"/>
      <c r="AD2369" s="37"/>
      <c r="AE2369" s="37"/>
      <c r="AF2369" s="37"/>
    </row>
    <row r="2370" spans="1:32" x14ac:dyDescent="0.25">
      <c r="A2370" s="37"/>
      <c r="B2370" s="37"/>
      <c r="C2370" s="37"/>
      <c r="F2370" s="38"/>
      <c r="G2370" s="38"/>
      <c r="H2370" s="38"/>
      <c r="I2370" s="37"/>
      <c r="J2370" s="38"/>
      <c r="K2370" s="38"/>
      <c r="L2370" s="42"/>
      <c r="M2370" s="42"/>
      <c r="N2370" s="42"/>
      <c r="O2370" s="42"/>
      <c r="R2370" s="37"/>
      <c r="S2370" s="37"/>
      <c r="T2370" s="91"/>
      <c r="U2370" s="91"/>
      <c r="V2370" s="41"/>
      <c r="W2370" s="37"/>
      <c r="X2370" s="37"/>
      <c r="Y2370" s="43"/>
      <c r="Z2370" s="37"/>
      <c r="AA2370" s="37"/>
      <c r="AD2370" s="37"/>
      <c r="AE2370" s="37"/>
      <c r="AF2370" s="37"/>
    </row>
    <row r="2371" spans="1:32" x14ac:dyDescent="0.25">
      <c r="A2371" s="37"/>
      <c r="B2371" s="37"/>
      <c r="C2371" s="37"/>
      <c r="F2371" s="38"/>
      <c r="G2371" s="38"/>
      <c r="H2371" s="38"/>
      <c r="I2371" s="37"/>
      <c r="J2371" s="38"/>
      <c r="K2371" s="38"/>
      <c r="L2371" s="42"/>
      <c r="M2371" s="42"/>
      <c r="N2371" s="42"/>
      <c r="O2371" s="42"/>
      <c r="R2371" s="37"/>
      <c r="S2371" s="37"/>
      <c r="T2371" s="91"/>
      <c r="U2371" s="91"/>
      <c r="V2371" s="41"/>
      <c r="W2371" s="37"/>
      <c r="X2371" s="37"/>
      <c r="Y2371" s="43"/>
      <c r="Z2371" s="37"/>
      <c r="AA2371" s="37"/>
      <c r="AD2371" s="37"/>
      <c r="AE2371" s="37"/>
      <c r="AF2371" s="37"/>
    </row>
    <row r="2372" spans="1:32" x14ac:dyDescent="0.25">
      <c r="A2372" s="37"/>
      <c r="B2372" s="37"/>
      <c r="C2372" s="37"/>
      <c r="F2372" s="38"/>
      <c r="G2372" s="38"/>
      <c r="H2372" s="38"/>
      <c r="I2372" s="37"/>
      <c r="J2372" s="38"/>
      <c r="K2372" s="38"/>
      <c r="L2372" s="42"/>
      <c r="M2372" s="42"/>
      <c r="N2372" s="42"/>
      <c r="O2372" s="42"/>
      <c r="R2372" s="37"/>
      <c r="S2372" s="37"/>
      <c r="T2372" s="91"/>
      <c r="U2372" s="91"/>
      <c r="V2372" s="41"/>
      <c r="W2372" s="37"/>
      <c r="X2372" s="37"/>
      <c r="Y2372" s="43"/>
      <c r="Z2372" s="37"/>
      <c r="AA2372" s="37"/>
      <c r="AD2372" s="37"/>
      <c r="AE2372" s="37"/>
      <c r="AF2372" s="37"/>
    </row>
    <row r="2373" spans="1:32" x14ac:dyDescent="0.25">
      <c r="A2373" s="37"/>
      <c r="B2373" s="37"/>
      <c r="C2373" s="37"/>
      <c r="F2373" s="38"/>
      <c r="G2373" s="38"/>
      <c r="H2373" s="38"/>
      <c r="I2373" s="37"/>
      <c r="J2373" s="38"/>
      <c r="K2373" s="38"/>
      <c r="L2373" s="42"/>
      <c r="M2373" s="42"/>
      <c r="N2373" s="42"/>
      <c r="O2373" s="42"/>
      <c r="R2373" s="37"/>
      <c r="S2373" s="37"/>
      <c r="T2373" s="91"/>
      <c r="U2373" s="91"/>
      <c r="V2373" s="41"/>
      <c r="W2373" s="37"/>
      <c r="X2373" s="37"/>
      <c r="Y2373" s="43"/>
      <c r="Z2373" s="37"/>
      <c r="AA2373" s="37"/>
      <c r="AD2373" s="37"/>
      <c r="AE2373" s="37"/>
      <c r="AF2373" s="37"/>
    </row>
    <row r="2374" spans="1:32" x14ac:dyDescent="0.25">
      <c r="A2374" s="37"/>
      <c r="B2374" s="37"/>
      <c r="C2374" s="37"/>
      <c r="F2374" s="38"/>
      <c r="G2374" s="38"/>
      <c r="H2374" s="38"/>
      <c r="I2374" s="37"/>
      <c r="J2374" s="38"/>
      <c r="K2374" s="38"/>
      <c r="L2374" s="42"/>
      <c r="M2374" s="42"/>
      <c r="N2374" s="42"/>
      <c r="O2374" s="42"/>
      <c r="R2374" s="37"/>
      <c r="S2374" s="37"/>
      <c r="T2374" s="91"/>
      <c r="U2374" s="91"/>
      <c r="V2374" s="41"/>
      <c r="W2374" s="37"/>
      <c r="X2374" s="37"/>
      <c r="Y2374" s="43"/>
      <c r="Z2374" s="37"/>
      <c r="AA2374" s="37"/>
      <c r="AD2374" s="37"/>
      <c r="AE2374" s="37"/>
      <c r="AF2374" s="37"/>
    </row>
    <row r="2375" spans="1:32" x14ac:dyDescent="0.25">
      <c r="A2375" s="37"/>
      <c r="B2375" s="37"/>
      <c r="C2375" s="37"/>
      <c r="F2375" s="38"/>
      <c r="G2375" s="38"/>
      <c r="H2375" s="38"/>
      <c r="I2375" s="37"/>
      <c r="J2375" s="38"/>
      <c r="K2375" s="38"/>
      <c r="L2375" s="42"/>
      <c r="M2375" s="42"/>
      <c r="N2375" s="42"/>
      <c r="O2375" s="42"/>
      <c r="R2375" s="37"/>
      <c r="S2375" s="37"/>
      <c r="T2375" s="91"/>
      <c r="U2375" s="91"/>
      <c r="V2375" s="41"/>
      <c r="W2375" s="37"/>
      <c r="X2375" s="37"/>
      <c r="Y2375" s="43"/>
      <c r="Z2375" s="37"/>
      <c r="AA2375" s="37"/>
      <c r="AD2375" s="37"/>
      <c r="AE2375" s="37"/>
      <c r="AF2375" s="37"/>
    </row>
    <row r="2376" spans="1:32" x14ac:dyDescent="0.25">
      <c r="A2376" s="37"/>
      <c r="B2376" s="37"/>
      <c r="C2376" s="37"/>
      <c r="F2376" s="38"/>
      <c r="G2376" s="38"/>
      <c r="H2376" s="38"/>
      <c r="I2376" s="37"/>
      <c r="J2376" s="38"/>
      <c r="K2376" s="38"/>
      <c r="L2376" s="42"/>
      <c r="M2376" s="42"/>
      <c r="N2376" s="42"/>
      <c r="O2376" s="42"/>
      <c r="R2376" s="37"/>
      <c r="S2376" s="37"/>
      <c r="T2376" s="91"/>
      <c r="U2376" s="91"/>
      <c r="V2376" s="41"/>
      <c r="W2376" s="37"/>
      <c r="X2376" s="37"/>
      <c r="Y2376" s="43"/>
      <c r="Z2376" s="37"/>
      <c r="AA2376" s="37"/>
      <c r="AD2376" s="37"/>
      <c r="AE2376" s="37"/>
      <c r="AF2376" s="37"/>
    </row>
    <row r="2377" spans="1:32" x14ac:dyDescent="0.25">
      <c r="A2377" s="37"/>
      <c r="B2377" s="37"/>
      <c r="C2377" s="37"/>
      <c r="F2377" s="38"/>
      <c r="G2377" s="38"/>
      <c r="H2377" s="38"/>
      <c r="I2377" s="37"/>
      <c r="J2377" s="38"/>
      <c r="K2377" s="38"/>
      <c r="L2377" s="42"/>
      <c r="M2377" s="42"/>
      <c r="N2377" s="42"/>
      <c r="O2377" s="42"/>
      <c r="R2377" s="37"/>
      <c r="S2377" s="37"/>
      <c r="T2377" s="91"/>
      <c r="U2377" s="91"/>
      <c r="V2377" s="41"/>
      <c r="W2377" s="37"/>
      <c r="X2377" s="37"/>
      <c r="Y2377" s="43"/>
      <c r="Z2377" s="37"/>
      <c r="AA2377" s="37"/>
      <c r="AD2377" s="37"/>
      <c r="AE2377" s="37"/>
      <c r="AF2377" s="37"/>
    </row>
    <row r="2378" spans="1:32" x14ac:dyDescent="0.25">
      <c r="A2378" s="37"/>
      <c r="B2378" s="37"/>
      <c r="C2378" s="37"/>
      <c r="F2378" s="38"/>
      <c r="G2378" s="38"/>
      <c r="H2378" s="38"/>
      <c r="I2378" s="37"/>
      <c r="J2378" s="38"/>
      <c r="K2378" s="38"/>
      <c r="L2378" s="42"/>
      <c r="M2378" s="42"/>
      <c r="N2378" s="42"/>
      <c r="O2378" s="42"/>
      <c r="R2378" s="37"/>
      <c r="S2378" s="37"/>
      <c r="T2378" s="91"/>
      <c r="U2378" s="91"/>
      <c r="V2378" s="41"/>
      <c r="W2378" s="37"/>
      <c r="X2378" s="37"/>
      <c r="Y2378" s="43"/>
      <c r="Z2378" s="37"/>
      <c r="AA2378" s="37"/>
      <c r="AD2378" s="37"/>
      <c r="AE2378" s="37"/>
      <c r="AF2378" s="37"/>
    </row>
    <row r="2379" spans="1:32" x14ac:dyDescent="0.25">
      <c r="A2379" s="37"/>
      <c r="B2379" s="37"/>
      <c r="C2379" s="37"/>
      <c r="F2379" s="38"/>
      <c r="G2379" s="38"/>
      <c r="H2379" s="38"/>
      <c r="I2379" s="37"/>
      <c r="J2379" s="38"/>
      <c r="K2379" s="38"/>
      <c r="L2379" s="42"/>
      <c r="M2379" s="42"/>
      <c r="N2379" s="42"/>
      <c r="O2379" s="42"/>
      <c r="R2379" s="37"/>
      <c r="S2379" s="37"/>
      <c r="T2379" s="91"/>
      <c r="U2379" s="91"/>
      <c r="V2379" s="41"/>
      <c r="W2379" s="37"/>
      <c r="X2379" s="37"/>
      <c r="Y2379" s="43"/>
      <c r="Z2379" s="37"/>
      <c r="AA2379" s="37"/>
      <c r="AD2379" s="37"/>
      <c r="AE2379" s="37"/>
      <c r="AF2379" s="37"/>
    </row>
    <row r="2380" spans="1:32" x14ac:dyDescent="0.25">
      <c r="A2380" s="37"/>
      <c r="B2380" s="37"/>
      <c r="C2380" s="37"/>
      <c r="F2380" s="38"/>
      <c r="G2380" s="38"/>
      <c r="H2380" s="38"/>
      <c r="I2380" s="37"/>
      <c r="J2380" s="38"/>
      <c r="K2380" s="38"/>
      <c r="L2380" s="42"/>
      <c r="M2380" s="42"/>
      <c r="N2380" s="42"/>
      <c r="O2380" s="42"/>
      <c r="R2380" s="37"/>
      <c r="S2380" s="37"/>
      <c r="T2380" s="91"/>
      <c r="U2380" s="91"/>
      <c r="V2380" s="41"/>
      <c r="W2380" s="37"/>
      <c r="X2380" s="37"/>
      <c r="Y2380" s="43"/>
      <c r="Z2380" s="37"/>
      <c r="AA2380" s="37"/>
      <c r="AD2380" s="37"/>
      <c r="AE2380" s="37"/>
      <c r="AF2380" s="37"/>
    </row>
    <row r="2381" spans="1:32" x14ac:dyDescent="0.25">
      <c r="A2381" s="37"/>
      <c r="B2381" s="37"/>
      <c r="C2381" s="37"/>
      <c r="F2381" s="38"/>
      <c r="G2381" s="38"/>
      <c r="H2381" s="38"/>
      <c r="I2381" s="37"/>
      <c r="J2381" s="38"/>
      <c r="K2381" s="38"/>
      <c r="L2381" s="42"/>
      <c r="M2381" s="42"/>
      <c r="N2381" s="42"/>
      <c r="O2381" s="42"/>
      <c r="R2381" s="37"/>
      <c r="S2381" s="37"/>
      <c r="T2381" s="91"/>
      <c r="U2381" s="91"/>
      <c r="V2381" s="41"/>
      <c r="W2381" s="37"/>
      <c r="X2381" s="37"/>
      <c r="Y2381" s="43"/>
      <c r="Z2381" s="37"/>
      <c r="AA2381" s="37"/>
      <c r="AD2381" s="37"/>
      <c r="AE2381" s="37"/>
      <c r="AF2381" s="37"/>
    </row>
    <row r="2382" spans="1:32" x14ac:dyDescent="0.25">
      <c r="A2382" s="37"/>
      <c r="B2382" s="37"/>
      <c r="C2382" s="37"/>
      <c r="F2382" s="38"/>
      <c r="G2382" s="38"/>
      <c r="H2382" s="38"/>
      <c r="I2382" s="37"/>
      <c r="J2382" s="38"/>
      <c r="K2382" s="38"/>
      <c r="L2382" s="42"/>
      <c r="M2382" s="42"/>
      <c r="N2382" s="42"/>
      <c r="O2382" s="42"/>
      <c r="R2382" s="37"/>
      <c r="S2382" s="37"/>
      <c r="T2382" s="91"/>
      <c r="U2382" s="91"/>
      <c r="V2382" s="41"/>
      <c r="W2382" s="37"/>
      <c r="X2382" s="37"/>
      <c r="Y2382" s="43"/>
      <c r="Z2382" s="37"/>
      <c r="AA2382" s="37"/>
      <c r="AD2382" s="37"/>
      <c r="AE2382" s="37"/>
      <c r="AF2382" s="37"/>
    </row>
    <row r="2383" spans="1:32" x14ac:dyDescent="0.25">
      <c r="A2383" s="37"/>
      <c r="B2383" s="37"/>
      <c r="C2383" s="37"/>
      <c r="F2383" s="38"/>
      <c r="G2383" s="38"/>
      <c r="H2383" s="38"/>
      <c r="I2383" s="37"/>
      <c r="J2383" s="38"/>
      <c r="K2383" s="38"/>
      <c r="L2383" s="42"/>
      <c r="M2383" s="42"/>
      <c r="N2383" s="42"/>
      <c r="O2383" s="42"/>
      <c r="R2383" s="37"/>
      <c r="S2383" s="37"/>
      <c r="T2383" s="91"/>
      <c r="U2383" s="91"/>
      <c r="V2383" s="41"/>
      <c r="W2383" s="37"/>
      <c r="X2383" s="37"/>
      <c r="Y2383" s="43"/>
      <c r="Z2383" s="37"/>
      <c r="AA2383" s="37"/>
      <c r="AD2383" s="37"/>
      <c r="AE2383" s="37"/>
      <c r="AF2383" s="37"/>
    </row>
    <row r="2384" spans="1:32" x14ac:dyDescent="0.25">
      <c r="A2384" s="37"/>
      <c r="B2384" s="37"/>
      <c r="C2384" s="37"/>
      <c r="F2384" s="38"/>
      <c r="G2384" s="38"/>
      <c r="H2384" s="38"/>
      <c r="I2384" s="37"/>
      <c r="J2384" s="38"/>
      <c r="K2384" s="38"/>
      <c r="L2384" s="42"/>
      <c r="M2384" s="42"/>
      <c r="N2384" s="42"/>
      <c r="O2384" s="42"/>
      <c r="R2384" s="37"/>
      <c r="S2384" s="37"/>
      <c r="T2384" s="91"/>
      <c r="U2384" s="91"/>
      <c r="V2384" s="41"/>
      <c r="W2384" s="37"/>
      <c r="X2384" s="37"/>
      <c r="Y2384" s="43"/>
      <c r="Z2384" s="37"/>
      <c r="AA2384" s="37"/>
      <c r="AD2384" s="37"/>
      <c r="AE2384" s="37"/>
      <c r="AF2384" s="37"/>
    </row>
    <row r="2385" spans="1:32" x14ac:dyDescent="0.25">
      <c r="A2385" s="37"/>
      <c r="B2385" s="37"/>
      <c r="C2385" s="37"/>
      <c r="F2385" s="38"/>
      <c r="G2385" s="38"/>
      <c r="H2385" s="38"/>
      <c r="I2385" s="37"/>
      <c r="J2385" s="38"/>
      <c r="K2385" s="38"/>
      <c r="L2385" s="42"/>
      <c r="M2385" s="42"/>
      <c r="N2385" s="42"/>
      <c r="O2385" s="42"/>
      <c r="R2385" s="37"/>
      <c r="S2385" s="37"/>
      <c r="T2385" s="91"/>
      <c r="U2385" s="91"/>
      <c r="V2385" s="41"/>
      <c r="W2385" s="37"/>
      <c r="X2385" s="37"/>
      <c r="Y2385" s="43"/>
      <c r="Z2385" s="37"/>
      <c r="AA2385" s="37"/>
      <c r="AD2385" s="37"/>
      <c r="AE2385" s="37"/>
      <c r="AF2385" s="37"/>
    </row>
    <row r="2386" spans="1:32" x14ac:dyDescent="0.25">
      <c r="A2386" s="37"/>
      <c r="B2386" s="37"/>
      <c r="C2386" s="37"/>
      <c r="F2386" s="38"/>
      <c r="G2386" s="38"/>
      <c r="H2386" s="38"/>
      <c r="I2386" s="37"/>
      <c r="J2386" s="38"/>
      <c r="K2386" s="38"/>
      <c r="L2386" s="42"/>
      <c r="M2386" s="42"/>
      <c r="N2386" s="42"/>
      <c r="O2386" s="42"/>
      <c r="R2386" s="37"/>
      <c r="S2386" s="37"/>
      <c r="T2386" s="91"/>
      <c r="U2386" s="91"/>
      <c r="V2386" s="41"/>
      <c r="W2386" s="37"/>
      <c r="X2386" s="37"/>
      <c r="Y2386" s="43"/>
      <c r="Z2386" s="37"/>
      <c r="AA2386" s="37"/>
      <c r="AD2386" s="37"/>
      <c r="AE2386" s="37"/>
      <c r="AF2386" s="37"/>
    </row>
    <row r="2387" spans="1:32" x14ac:dyDescent="0.25">
      <c r="A2387" s="37"/>
      <c r="B2387" s="37"/>
      <c r="C2387" s="37"/>
      <c r="F2387" s="38"/>
      <c r="G2387" s="38"/>
      <c r="H2387" s="38"/>
      <c r="I2387" s="37"/>
      <c r="J2387" s="38"/>
      <c r="K2387" s="38"/>
      <c r="L2387" s="42"/>
      <c r="M2387" s="42"/>
      <c r="N2387" s="42"/>
      <c r="O2387" s="42"/>
      <c r="R2387" s="37"/>
      <c r="S2387" s="37"/>
      <c r="T2387" s="91"/>
      <c r="U2387" s="91"/>
      <c r="V2387" s="41"/>
      <c r="W2387" s="37"/>
      <c r="X2387" s="37"/>
      <c r="Y2387" s="43"/>
      <c r="Z2387" s="37"/>
      <c r="AA2387" s="37"/>
      <c r="AD2387" s="37"/>
      <c r="AE2387" s="37"/>
      <c r="AF2387" s="37"/>
    </row>
    <row r="2388" spans="1:32" x14ac:dyDescent="0.25">
      <c r="A2388" s="37"/>
      <c r="B2388" s="37"/>
      <c r="C2388" s="37"/>
      <c r="F2388" s="38"/>
      <c r="G2388" s="38"/>
      <c r="H2388" s="38"/>
      <c r="I2388" s="37"/>
      <c r="J2388" s="38"/>
      <c r="K2388" s="38"/>
      <c r="L2388" s="42"/>
      <c r="M2388" s="42"/>
      <c r="N2388" s="42"/>
      <c r="O2388" s="42"/>
      <c r="R2388" s="37"/>
      <c r="S2388" s="37"/>
      <c r="T2388" s="91"/>
      <c r="U2388" s="91"/>
      <c r="V2388" s="41"/>
      <c r="W2388" s="37"/>
      <c r="X2388" s="37"/>
      <c r="Y2388" s="43"/>
      <c r="Z2388" s="37"/>
      <c r="AA2388" s="37"/>
      <c r="AD2388" s="37"/>
      <c r="AE2388" s="37"/>
      <c r="AF2388" s="37"/>
    </row>
    <row r="2389" spans="1:32" x14ac:dyDescent="0.25">
      <c r="A2389" s="37"/>
      <c r="B2389" s="37"/>
      <c r="C2389" s="37"/>
      <c r="F2389" s="38"/>
      <c r="G2389" s="38"/>
      <c r="H2389" s="38"/>
      <c r="I2389" s="37"/>
      <c r="J2389" s="38"/>
      <c r="K2389" s="38"/>
      <c r="L2389" s="42"/>
      <c r="M2389" s="42"/>
      <c r="N2389" s="42"/>
      <c r="O2389" s="42"/>
      <c r="R2389" s="37"/>
      <c r="S2389" s="37"/>
      <c r="T2389" s="91"/>
      <c r="U2389" s="91"/>
      <c r="V2389" s="41"/>
      <c r="W2389" s="37"/>
      <c r="X2389" s="37"/>
      <c r="Y2389" s="43"/>
      <c r="Z2389" s="37"/>
      <c r="AA2389" s="37"/>
      <c r="AD2389" s="37"/>
      <c r="AE2389" s="37"/>
      <c r="AF2389" s="37"/>
    </row>
    <row r="2390" spans="1:32" x14ac:dyDescent="0.25">
      <c r="A2390" s="37"/>
      <c r="B2390" s="37"/>
      <c r="C2390" s="37"/>
      <c r="F2390" s="38"/>
      <c r="G2390" s="38"/>
      <c r="H2390" s="38"/>
      <c r="I2390" s="37"/>
      <c r="J2390" s="38"/>
      <c r="K2390" s="38"/>
      <c r="L2390" s="42"/>
      <c r="M2390" s="42"/>
      <c r="N2390" s="42"/>
      <c r="O2390" s="42"/>
      <c r="R2390" s="37"/>
      <c r="S2390" s="37"/>
      <c r="T2390" s="91"/>
      <c r="U2390" s="91"/>
      <c r="V2390" s="41"/>
      <c r="W2390" s="37"/>
      <c r="X2390" s="37"/>
      <c r="Y2390" s="43"/>
      <c r="Z2390" s="37"/>
      <c r="AA2390" s="37"/>
      <c r="AD2390" s="37"/>
      <c r="AE2390" s="37"/>
      <c r="AF2390" s="37"/>
    </row>
    <row r="2391" spans="1:32" x14ac:dyDescent="0.25">
      <c r="A2391" s="37"/>
      <c r="B2391" s="37"/>
      <c r="C2391" s="37"/>
      <c r="F2391" s="38"/>
      <c r="G2391" s="38"/>
      <c r="H2391" s="38"/>
      <c r="I2391" s="37"/>
      <c r="J2391" s="38"/>
      <c r="K2391" s="38"/>
      <c r="L2391" s="42"/>
      <c r="M2391" s="42"/>
      <c r="N2391" s="42"/>
      <c r="O2391" s="42"/>
      <c r="R2391" s="37"/>
      <c r="S2391" s="37"/>
      <c r="T2391" s="91"/>
      <c r="U2391" s="91"/>
      <c r="V2391" s="41"/>
      <c r="W2391" s="37"/>
      <c r="X2391" s="37"/>
      <c r="Y2391" s="43"/>
      <c r="Z2391" s="37"/>
      <c r="AA2391" s="37"/>
      <c r="AD2391" s="37"/>
      <c r="AE2391" s="37"/>
      <c r="AF2391" s="37"/>
    </row>
    <row r="2392" spans="1:32" x14ac:dyDescent="0.25">
      <c r="A2392" s="37"/>
      <c r="B2392" s="37"/>
      <c r="C2392" s="37"/>
      <c r="F2392" s="38"/>
      <c r="G2392" s="38"/>
      <c r="H2392" s="38"/>
      <c r="I2392" s="37"/>
      <c r="J2392" s="38"/>
      <c r="K2392" s="38"/>
      <c r="L2392" s="42"/>
      <c r="M2392" s="42"/>
      <c r="N2392" s="42"/>
      <c r="O2392" s="42"/>
      <c r="R2392" s="37"/>
      <c r="S2392" s="37"/>
      <c r="T2392" s="91"/>
      <c r="U2392" s="91"/>
      <c r="V2392" s="41"/>
      <c r="W2392" s="37"/>
      <c r="X2392" s="37"/>
      <c r="Y2392" s="43"/>
      <c r="Z2392" s="37"/>
      <c r="AA2392" s="37"/>
      <c r="AD2392" s="37"/>
      <c r="AE2392" s="37"/>
      <c r="AF2392" s="37"/>
    </row>
    <row r="2393" spans="1:32" x14ac:dyDescent="0.25">
      <c r="A2393" s="37"/>
      <c r="B2393" s="37"/>
      <c r="C2393" s="37"/>
      <c r="F2393" s="38"/>
      <c r="G2393" s="38"/>
      <c r="H2393" s="38"/>
      <c r="I2393" s="37"/>
      <c r="J2393" s="38"/>
      <c r="K2393" s="38"/>
      <c r="L2393" s="42"/>
      <c r="M2393" s="42"/>
      <c r="N2393" s="42"/>
      <c r="O2393" s="42"/>
      <c r="R2393" s="37"/>
      <c r="S2393" s="37"/>
      <c r="T2393" s="91"/>
      <c r="U2393" s="91"/>
      <c r="V2393" s="41"/>
      <c r="W2393" s="37"/>
      <c r="X2393" s="37"/>
      <c r="Y2393" s="43"/>
      <c r="Z2393" s="37"/>
      <c r="AA2393" s="37"/>
      <c r="AD2393" s="37"/>
      <c r="AE2393" s="37"/>
      <c r="AF2393" s="37"/>
    </row>
    <row r="2394" spans="1:32" x14ac:dyDescent="0.25">
      <c r="A2394" s="37"/>
      <c r="B2394" s="37"/>
      <c r="C2394" s="37"/>
      <c r="F2394" s="38"/>
      <c r="G2394" s="38"/>
      <c r="H2394" s="38"/>
      <c r="I2394" s="37"/>
      <c r="J2394" s="38"/>
      <c r="K2394" s="38"/>
      <c r="L2394" s="42"/>
      <c r="M2394" s="42"/>
      <c r="N2394" s="42"/>
      <c r="O2394" s="42"/>
      <c r="R2394" s="37"/>
      <c r="S2394" s="37"/>
      <c r="T2394" s="91"/>
      <c r="U2394" s="91"/>
      <c r="V2394" s="41"/>
      <c r="W2394" s="37"/>
      <c r="X2394" s="37"/>
      <c r="Y2394" s="43"/>
      <c r="Z2394" s="37"/>
      <c r="AA2394" s="37"/>
      <c r="AD2394" s="37"/>
      <c r="AE2394" s="37"/>
      <c r="AF2394" s="37"/>
    </row>
    <row r="2395" spans="1:32" x14ac:dyDescent="0.25">
      <c r="A2395" s="37"/>
      <c r="B2395" s="37"/>
      <c r="C2395" s="37"/>
      <c r="F2395" s="38"/>
      <c r="G2395" s="38"/>
      <c r="H2395" s="38"/>
      <c r="I2395" s="37"/>
      <c r="J2395" s="38"/>
      <c r="K2395" s="38"/>
      <c r="L2395" s="42"/>
      <c r="M2395" s="42"/>
      <c r="N2395" s="42"/>
      <c r="O2395" s="42"/>
      <c r="R2395" s="37"/>
      <c r="S2395" s="37"/>
      <c r="T2395" s="91"/>
      <c r="U2395" s="91"/>
      <c r="V2395" s="41"/>
      <c r="W2395" s="37"/>
      <c r="X2395" s="37"/>
      <c r="Y2395" s="43"/>
      <c r="Z2395" s="37"/>
      <c r="AA2395" s="37"/>
      <c r="AD2395" s="37"/>
      <c r="AE2395" s="37"/>
      <c r="AF2395" s="37"/>
    </row>
    <row r="2396" spans="1:32" x14ac:dyDescent="0.25">
      <c r="A2396" s="37"/>
      <c r="B2396" s="37"/>
      <c r="C2396" s="37"/>
      <c r="F2396" s="38"/>
      <c r="G2396" s="38"/>
      <c r="H2396" s="38"/>
      <c r="I2396" s="37"/>
      <c r="J2396" s="38"/>
      <c r="K2396" s="38"/>
      <c r="L2396" s="42"/>
      <c r="M2396" s="42"/>
      <c r="N2396" s="42"/>
      <c r="O2396" s="42"/>
      <c r="R2396" s="37"/>
      <c r="S2396" s="37"/>
      <c r="T2396" s="91"/>
      <c r="U2396" s="91"/>
      <c r="V2396" s="41"/>
      <c r="W2396" s="37"/>
      <c r="X2396" s="37"/>
      <c r="Y2396" s="43"/>
      <c r="Z2396" s="37"/>
      <c r="AA2396" s="37"/>
      <c r="AD2396" s="37"/>
      <c r="AE2396" s="37"/>
      <c r="AF2396" s="37"/>
    </row>
    <row r="2397" spans="1:32" x14ac:dyDescent="0.25">
      <c r="A2397" s="37"/>
      <c r="B2397" s="37"/>
      <c r="C2397" s="37"/>
      <c r="F2397" s="38"/>
      <c r="G2397" s="38"/>
      <c r="H2397" s="38"/>
      <c r="I2397" s="37"/>
      <c r="J2397" s="38"/>
      <c r="K2397" s="38"/>
      <c r="L2397" s="42"/>
      <c r="M2397" s="42"/>
      <c r="N2397" s="42"/>
      <c r="O2397" s="42"/>
      <c r="R2397" s="37"/>
      <c r="S2397" s="37"/>
      <c r="T2397" s="91"/>
      <c r="U2397" s="91"/>
      <c r="V2397" s="41"/>
      <c r="W2397" s="37"/>
      <c r="X2397" s="37"/>
      <c r="Y2397" s="43"/>
      <c r="Z2397" s="37"/>
      <c r="AA2397" s="37"/>
      <c r="AD2397" s="37"/>
      <c r="AE2397" s="37"/>
      <c r="AF2397" s="37"/>
    </row>
    <row r="2398" spans="1:32" x14ac:dyDescent="0.25">
      <c r="A2398" s="37"/>
      <c r="B2398" s="37"/>
      <c r="C2398" s="37"/>
      <c r="F2398" s="38"/>
      <c r="G2398" s="38"/>
      <c r="H2398" s="38"/>
      <c r="I2398" s="37"/>
      <c r="J2398" s="38"/>
      <c r="K2398" s="38"/>
      <c r="L2398" s="42"/>
      <c r="M2398" s="42"/>
      <c r="N2398" s="42"/>
      <c r="O2398" s="42"/>
      <c r="R2398" s="37"/>
      <c r="S2398" s="37"/>
      <c r="T2398" s="91"/>
      <c r="U2398" s="91"/>
      <c r="V2398" s="41"/>
      <c r="W2398" s="37"/>
      <c r="X2398" s="37"/>
      <c r="Y2398" s="43"/>
      <c r="Z2398" s="37"/>
      <c r="AA2398" s="37"/>
      <c r="AD2398" s="37"/>
      <c r="AE2398" s="37"/>
      <c r="AF2398" s="37"/>
    </row>
    <row r="2399" spans="1:32" x14ac:dyDescent="0.25">
      <c r="A2399" s="37"/>
      <c r="B2399" s="37"/>
      <c r="C2399" s="37"/>
      <c r="F2399" s="38"/>
      <c r="G2399" s="38"/>
      <c r="H2399" s="38"/>
      <c r="I2399" s="37"/>
      <c r="J2399" s="38"/>
      <c r="K2399" s="38"/>
      <c r="L2399" s="42"/>
      <c r="M2399" s="42"/>
      <c r="N2399" s="42"/>
      <c r="O2399" s="42"/>
      <c r="R2399" s="37"/>
      <c r="S2399" s="37"/>
      <c r="T2399" s="91"/>
      <c r="U2399" s="91"/>
      <c r="V2399" s="41"/>
      <c r="W2399" s="37"/>
      <c r="X2399" s="37"/>
      <c r="Y2399" s="43"/>
      <c r="Z2399" s="37"/>
      <c r="AA2399" s="37"/>
      <c r="AD2399" s="37"/>
      <c r="AE2399" s="37"/>
      <c r="AF2399" s="37"/>
    </row>
    <row r="2400" spans="1:32" x14ac:dyDescent="0.25">
      <c r="A2400" s="37"/>
      <c r="B2400" s="37"/>
      <c r="C2400" s="37"/>
      <c r="F2400" s="38"/>
      <c r="G2400" s="38"/>
      <c r="H2400" s="38"/>
      <c r="I2400" s="37"/>
      <c r="J2400" s="38"/>
      <c r="K2400" s="38"/>
      <c r="L2400" s="42"/>
      <c r="M2400" s="42"/>
      <c r="N2400" s="42"/>
      <c r="O2400" s="42"/>
      <c r="R2400" s="37"/>
      <c r="S2400" s="37"/>
      <c r="T2400" s="91"/>
      <c r="U2400" s="91"/>
      <c r="V2400" s="41"/>
      <c r="W2400" s="37"/>
      <c r="X2400" s="37"/>
      <c r="Y2400" s="43"/>
      <c r="Z2400" s="37"/>
      <c r="AA2400" s="37"/>
      <c r="AD2400" s="37"/>
      <c r="AE2400" s="37"/>
      <c r="AF2400" s="37"/>
    </row>
    <row r="2401" spans="1:32" x14ac:dyDescent="0.25">
      <c r="A2401" s="37"/>
      <c r="B2401" s="37"/>
      <c r="C2401" s="37"/>
      <c r="F2401" s="38"/>
      <c r="G2401" s="38"/>
      <c r="H2401" s="38"/>
      <c r="I2401" s="37"/>
      <c r="J2401" s="38"/>
      <c r="K2401" s="38"/>
      <c r="L2401" s="42"/>
      <c r="M2401" s="42"/>
      <c r="N2401" s="42"/>
      <c r="O2401" s="42"/>
      <c r="R2401" s="37"/>
      <c r="S2401" s="37"/>
      <c r="T2401" s="91"/>
      <c r="U2401" s="91"/>
      <c r="V2401" s="41"/>
      <c r="W2401" s="37"/>
      <c r="X2401" s="37"/>
      <c r="Y2401" s="43"/>
      <c r="Z2401" s="37"/>
      <c r="AA2401" s="37"/>
      <c r="AD2401" s="37"/>
      <c r="AE2401" s="37"/>
      <c r="AF2401" s="37"/>
    </row>
    <row r="2402" spans="1:32" x14ac:dyDescent="0.25">
      <c r="A2402" s="37"/>
      <c r="B2402" s="37"/>
      <c r="C2402" s="37"/>
      <c r="F2402" s="38"/>
      <c r="G2402" s="38"/>
      <c r="H2402" s="38"/>
      <c r="I2402" s="37"/>
      <c r="J2402" s="38"/>
      <c r="K2402" s="38"/>
      <c r="L2402" s="42"/>
      <c r="M2402" s="42"/>
      <c r="N2402" s="42"/>
      <c r="O2402" s="42"/>
      <c r="R2402" s="37"/>
      <c r="S2402" s="37"/>
      <c r="T2402" s="91"/>
      <c r="U2402" s="91"/>
      <c r="V2402" s="41"/>
      <c r="W2402" s="37"/>
      <c r="X2402" s="37"/>
      <c r="Y2402" s="43"/>
      <c r="Z2402" s="37"/>
      <c r="AA2402" s="37"/>
      <c r="AD2402" s="37"/>
      <c r="AE2402" s="37"/>
      <c r="AF2402" s="37"/>
    </row>
    <row r="2403" spans="1:32" x14ac:dyDescent="0.25">
      <c r="A2403" s="37"/>
      <c r="B2403" s="37"/>
      <c r="C2403" s="37"/>
      <c r="F2403" s="38"/>
      <c r="G2403" s="38"/>
      <c r="H2403" s="38"/>
      <c r="I2403" s="37"/>
      <c r="J2403" s="38"/>
      <c r="K2403" s="38"/>
      <c r="L2403" s="42"/>
      <c r="M2403" s="42"/>
      <c r="N2403" s="42"/>
      <c r="O2403" s="42"/>
      <c r="R2403" s="37"/>
      <c r="S2403" s="37"/>
      <c r="T2403" s="91"/>
      <c r="U2403" s="91"/>
      <c r="V2403" s="41"/>
      <c r="W2403" s="37"/>
      <c r="X2403" s="37"/>
      <c r="Y2403" s="43"/>
      <c r="Z2403" s="37"/>
      <c r="AA2403" s="37"/>
      <c r="AD2403" s="37"/>
      <c r="AE2403" s="37"/>
      <c r="AF2403" s="37"/>
    </row>
    <row r="2404" spans="1:32" x14ac:dyDescent="0.25">
      <c r="A2404" s="37"/>
      <c r="B2404" s="37"/>
      <c r="C2404" s="37"/>
      <c r="F2404" s="38"/>
      <c r="G2404" s="38"/>
      <c r="H2404" s="38"/>
      <c r="I2404" s="37"/>
      <c r="J2404" s="38"/>
      <c r="K2404" s="38"/>
      <c r="L2404" s="42"/>
      <c r="M2404" s="42"/>
      <c r="N2404" s="42"/>
      <c r="O2404" s="42"/>
      <c r="R2404" s="37"/>
      <c r="S2404" s="37"/>
      <c r="T2404" s="91"/>
      <c r="U2404" s="91"/>
      <c r="V2404" s="41"/>
      <c r="W2404" s="37"/>
      <c r="X2404" s="37"/>
      <c r="Y2404" s="43"/>
      <c r="Z2404" s="37"/>
      <c r="AA2404" s="37"/>
      <c r="AD2404" s="37"/>
      <c r="AE2404" s="37"/>
      <c r="AF2404" s="37"/>
    </row>
    <row r="2405" spans="1:32" x14ac:dyDescent="0.25">
      <c r="A2405" s="37"/>
      <c r="B2405" s="37"/>
      <c r="C2405" s="37"/>
      <c r="F2405" s="38"/>
      <c r="G2405" s="38"/>
      <c r="H2405" s="38"/>
      <c r="I2405" s="37"/>
      <c r="J2405" s="38"/>
      <c r="K2405" s="38"/>
      <c r="L2405" s="42"/>
      <c r="M2405" s="42"/>
      <c r="N2405" s="42"/>
      <c r="O2405" s="42"/>
      <c r="R2405" s="37"/>
      <c r="S2405" s="37"/>
      <c r="T2405" s="91"/>
      <c r="U2405" s="91"/>
      <c r="V2405" s="41"/>
      <c r="W2405" s="37"/>
      <c r="X2405" s="37"/>
      <c r="Y2405" s="43"/>
      <c r="Z2405" s="37"/>
      <c r="AA2405" s="37"/>
      <c r="AD2405" s="37"/>
      <c r="AE2405" s="37"/>
      <c r="AF2405" s="37"/>
    </row>
    <row r="2406" spans="1:32" x14ac:dyDescent="0.25">
      <c r="A2406" s="37"/>
      <c r="B2406" s="37"/>
      <c r="C2406" s="37"/>
      <c r="F2406" s="38"/>
      <c r="G2406" s="38"/>
      <c r="H2406" s="38"/>
      <c r="I2406" s="37"/>
      <c r="J2406" s="38"/>
      <c r="K2406" s="38"/>
      <c r="L2406" s="42"/>
      <c r="M2406" s="42"/>
      <c r="N2406" s="42"/>
      <c r="O2406" s="42"/>
      <c r="R2406" s="37"/>
      <c r="S2406" s="37"/>
      <c r="T2406" s="91"/>
      <c r="U2406" s="91"/>
      <c r="V2406" s="41"/>
      <c r="W2406" s="37"/>
      <c r="X2406" s="37"/>
      <c r="Y2406" s="43"/>
      <c r="Z2406" s="37"/>
      <c r="AA2406" s="37"/>
      <c r="AD2406" s="37"/>
      <c r="AE2406" s="37"/>
      <c r="AF2406" s="37"/>
    </row>
    <row r="2407" spans="1:32" x14ac:dyDescent="0.25">
      <c r="A2407" s="37"/>
      <c r="B2407" s="37"/>
      <c r="C2407" s="37"/>
      <c r="F2407" s="38"/>
      <c r="G2407" s="38"/>
      <c r="H2407" s="38"/>
      <c r="I2407" s="37"/>
      <c r="J2407" s="38"/>
      <c r="K2407" s="38"/>
      <c r="L2407" s="42"/>
      <c r="M2407" s="42"/>
      <c r="N2407" s="42"/>
      <c r="O2407" s="42"/>
      <c r="R2407" s="37"/>
      <c r="S2407" s="37"/>
      <c r="T2407" s="91"/>
      <c r="U2407" s="91"/>
      <c r="V2407" s="41"/>
      <c r="W2407" s="37"/>
      <c r="X2407" s="37"/>
      <c r="Y2407" s="43"/>
      <c r="Z2407" s="37"/>
      <c r="AA2407" s="37"/>
      <c r="AD2407" s="37"/>
      <c r="AE2407" s="37"/>
      <c r="AF2407" s="37"/>
    </row>
    <row r="2408" spans="1:32" x14ac:dyDescent="0.25">
      <c r="A2408" s="37"/>
      <c r="B2408" s="37"/>
      <c r="C2408" s="37"/>
      <c r="F2408" s="38"/>
      <c r="G2408" s="38"/>
      <c r="H2408" s="38"/>
      <c r="I2408" s="37"/>
      <c r="J2408" s="38"/>
      <c r="K2408" s="38"/>
      <c r="L2408" s="42"/>
      <c r="M2408" s="42"/>
      <c r="N2408" s="42"/>
      <c r="O2408" s="42"/>
      <c r="R2408" s="37"/>
      <c r="S2408" s="37"/>
      <c r="T2408" s="91"/>
      <c r="U2408" s="91"/>
      <c r="V2408" s="41"/>
      <c r="W2408" s="37"/>
      <c r="X2408" s="37"/>
      <c r="Y2408" s="43"/>
      <c r="Z2408" s="37"/>
      <c r="AA2408" s="37"/>
      <c r="AD2408" s="37"/>
      <c r="AE2408" s="37"/>
      <c r="AF2408" s="37"/>
    </row>
    <row r="2409" spans="1:32" x14ac:dyDescent="0.25">
      <c r="A2409" s="37"/>
      <c r="B2409" s="37"/>
      <c r="C2409" s="37"/>
      <c r="F2409" s="38"/>
      <c r="G2409" s="38"/>
      <c r="H2409" s="38"/>
      <c r="I2409" s="37"/>
      <c r="J2409" s="38"/>
      <c r="K2409" s="38"/>
      <c r="L2409" s="42"/>
      <c r="M2409" s="42"/>
      <c r="N2409" s="42"/>
      <c r="O2409" s="42"/>
      <c r="R2409" s="37"/>
      <c r="S2409" s="37"/>
      <c r="T2409" s="91"/>
      <c r="U2409" s="91"/>
      <c r="V2409" s="41"/>
      <c r="W2409" s="37"/>
      <c r="X2409" s="37"/>
      <c r="Y2409" s="43"/>
      <c r="Z2409" s="37"/>
      <c r="AA2409" s="37"/>
      <c r="AD2409" s="37"/>
      <c r="AE2409" s="37"/>
      <c r="AF2409" s="37"/>
    </row>
    <row r="2410" spans="1:32" x14ac:dyDescent="0.25">
      <c r="A2410" s="37"/>
      <c r="B2410" s="37"/>
      <c r="C2410" s="37"/>
      <c r="F2410" s="38"/>
      <c r="G2410" s="38"/>
      <c r="H2410" s="38"/>
      <c r="I2410" s="37"/>
      <c r="J2410" s="38"/>
      <c r="K2410" s="38"/>
      <c r="L2410" s="42"/>
      <c r="M2410" s="42"/>
      <c r="N2410" s="42"/>
      <c r="O2410" s="42"/>
      <c r="R2410" s="37"/>
      <c r="S2410" s="37"/>
      <c r="T2410" s="91"/>
      <c r="U2410" s="91"/>
      <c r="V2410" s="41"/>
      <c r="W2410" s="37"/>
      <c r="X2410" s="37"/>
      <c r="Y2410" s="43"/>
      <c r="Z2410" s="37"/>
      <c r="AA2410" s="37"/>
      <c r="AD2410" s="37"/>
      <c r="AE2410" s="37"/>
      <c r="AF2410" s="37"/>
    </row>
    <row r="2411" spans="1:32" x14ac:dyDescent="0.25">
      <c r="A2411" s="37"/>
      <c r="B2411" s="37"/>
      <c r="C2411" s="37"/>
      <c r="F2411" s="38"/>
      <c r="G2411" s="38"/>
      <c r="H2411" s="38"/>
      <c r="I2411" s="37"/>
      <c r="J2411" s="38"/>
      <c r="K2411" s="38"/>
      <c r="L2411" s="42"/>
      <c r="M2411" s="42"/>
      <c r="N2411" s="42"/>
      <c r="O2411" s="42"/>
      <c r="R2411" s="37"/>
      <c r="S2411" s="37"/>
      <c r="T2411" s="91"/>
      <c r="U2411" s="91"/>
      <c r="V2411" s="41"/>
      <c r="W2411" s="37"/>
      <c r="X2411" s="37"/>
      <c r="Y2411" s="43"/>
      <c r="Z2411" s="37"/>
      <c r="AA2411" s="37"/>
      <c r="AD2411" s="37"/>
      <c r="AE2411" s="37"/>
      <c r="AF2411" s="37"/>
    </row>
    <row r="2412" spans="1:32" x14ac:dyDescent="0.25">
      <c r="A2412" s="37"/>
      <c r="B2412" s="37"/>
      <c r="C2412" s="37"/>
      <c r="F2412" s="38"/>
      <c r="G2412" s="38"/>
      <c r="H2412" s="38"/>
      <c r="I2412" s="37"/>
      <c r="J2412" s="38"/>
      <c r="K2412" s="38"/>
      <c r="L2412" s="42"/>
      <c r="M2412" s="42"/>
      <c r="N2412" s="42"/>
      <c r="O2412" s="42"/>
      <c r="R2412" s="37"/>
      <c r="S2412" s="37"/>
      <c r="T2412" s="91"/>
      <c r="U2412" s="91"/>
      <c r="V2412" s="41"/>
      <c r="W2412" s="37"/>
      <c r="X2412" s="37"/>
      <c r="Y2412" s="43"/>
      <c r="Z2412" s="37"/>
      <c r="AA2412" s="37"/>
      <c r="AD2412" s="37"/>
      <c r="AE2412" s="37"/>
      <c r="AF2412" s="37"/>
    </row>
    <row r="2413" spans="1:32" x14ac:dyDescent="0.25">
      <c r="A2413" s="37"/>
      <c r="B2413" s="37"/>
      <c r="C2413" s="37"/>
      <c r="F2413" s="38"/>
      <c r="G2413" s="38"/>
      <c r="H2413" s="38"/>
      <c r="I2413" s="37"/>
      <c r="J2413" s="38"/>
      <c r="K2413" s="38"/>
      <c r="L2413" s="42"/>
      <c r="M2413" s="42"/>
      <c r="N2413" s="42"/>
      <c r="O2413" s="42"/>
      <c r="R2413" s="37"/>
      <c r="S2413" s="37"/>
      <c r="T2413" s="91"/>
      <c r="U2413" s="91"/>
      <c r="V2413" s="41"/>
      <c r="W2413" s="37"/>
      <c r="X2413" s="37"/>
      <c r="Y2413" s="43"/>
      <c r="Z2413" s="37"/>
      <c r="AA2413" s="37"/>
      <c r="AD2413" s="37"/>
      <c r="AE2413" s="37"/>
      <c r="AF2413" s="37"/>
    </row>
    <row r="2414" spans="1:32" x14ac:dyDescent="0.25">
      <c r="A2414" s="37"/>
      <c r="B2414" s="37"/>
      <c r="C2414" s="37"/>
      <c r="F2414" s="38"/>
      <c r="G2414" s="38"/>
      <c r="H2414" s="38"/>
      <c r="I2414" s="37"/>
      <c r="J2414" s="38"/>
      <c r="K2414" s="38"/>
      <c r="L2414" s="42"/>
      <c r="M2414" s="42"/>
      <c r="N2414" s="42"/>
      <c r="O2414" s="42"/>
      <c r="R2414" s="37"/>
      <c r="S2414" s="37"/>
      <c r="T2414" s="91"/>
      <c r="U2414" s="91"/>
      <c r="V2414" s="41"/>
      <c r="W2414" s="37"/>
      <c r="X2414" s="37"/>
      <c r="Y2414" s="43"/>
      <c r="Z2414" s="37"/>
      <c r="AA2414" s="37"/>
      <c r="AD2414" s="37"/>
      <c r="AE2414" s="37"/>
      <c r="AF2414" s="37"/>
    </row>
    <row r="2415" spans="1:32" x14ac:dyDescent="0.25">
      <c r="A2415" s="37"/>
      <c r="B2415" s="37"/>
      <c r="C2415" s="37"/>
      <c r="F2415" s="38"/>
      <c r="G2415" s="38"/>
      <c r="H2415" s="38"/>
      <c r="I2415" s="37"/>
      <c r="J2415" s="38"/>
      <c r="K2415" s="38"/>
      <c r="L2415" s="42"/>
      <c r="M2415" s="42"/>
      <c r="N2415" s="42"/>
      <c r="O2415" s="42"/>
      <c r="R2415" s="37"/>
      <c r="S2415" s="37"/>
      <c r="T2415" s="91"/>
      <c r="U2415" s="91"/>
      <c r="V2415" s="41"/>
      <c r="W2415" s="37"/>
      <c r="X2415" s="37"/>
      <c r="Y2415" s="43"/>
      <c r="Z2415" s="37"/>
      <c r="AA2415" s="37"/>
      <c r="AD2415" s="37"/>
      <c r="AE2415" s="37"/>
      <c r="AF2415" s="37"/>
    </row>
    <row r="2416" spans="1:32" x14ac:dyDescent="0.25">
      <c r="A2416" s="37"/>
      <c r="B2416" s="37"/>
      <c r="C2416" s="37"/>
      <c r="F2416" s="38"/>
      <c r="G2416" s="38"/>
      <c r="H2416" s="38"/>
      <c r="I2416" s="37"/>
      <c r="J2416" s="38"/>
      <c r="K2416" s="38"/>
      <c r="L2416" s="42"/>
      <c r="M2416" s="42"/>
      <c r="N2416" s="42"/>
      <c r="O2416" s="42"/>
      <c r="R2416" s="37"/>
      <c r="S2416" s="37"/>
      <c r="T2416" s="91"/>
      <c r="U2416" s="91"/>
      <c r="V2416" s="41"/>
      <c r="W2416" s="37"/>
      <c r="X2416" s="37"/>
      <c r="Y2416" s="43"/>
      <c r="Z2416" s="37"/>
      <c r="AA2416" s="37"/>
      <c r="AD2416" s="37"/>
      <c r="AE2416" s="37"/>
      <c r="AF2416" s="37"/>
    </row>
    <row r="2417" spans="1:32" x14ac:dyDescent="0.25">
      <c r="A2417" s="37"/>
      <c r="B2417" s="37"/>
      <c r="C2417" s="37"/>
      <c r="F2417" s="38"/>
      <c r="G2417" s="38"/>
      <c r="H2417" s="38"/>
      <c r="I2417" s="37"/>
      <c r="J2417" s="38"/>
      <c r="K2417" s="38"/>
      <c r="L2417" s="42"/>
      <c r="M2417" s="42"/>
      <c r="N2417" s="42"/>
      <c r="O2417" s="42"/>
      <c r="R2417" s="37"/>
      <c r="S2417" s="37"/>
      <c r="T2417" s="91"/>
      <c r="U2417" s="91"/>
      <c r="V2417" s="41"/>
      <c r="W2417" s="37"/>
      <c r="X2417" s="37"/>
      <c r="Y2417" s="43"/>
      <c r="Z2417" s="37"/>
      <c r="AA2417" s="37"/>
      <c r="AD2417" s="37"/>
      <c r="AE2417" s="37"/>
      <c r="AF2417" s="37"/>
    </row>
    <row r="2418" spans="1:32" x14ac:dyDescent="0.25">
      <c r="A2418" s="37"/>
      <c r="B2418" s="37"/>
      <c r="C2418" s="37"/>
      <c r="F2418" s="38"/>
      <c r="G2418" s="38"/>
      <c r="H2418" s="38"/>
      <c r="I2418" s="37"/>
      <c r="J2418" s="38"/>
      <c r="K2418" s="38"/>
      <c r="L2418" s="42"/>
      <c r="M2418" s="42"/>
      <c r="N2418" s="42"/>
      <c r="O2418" s="42"/>
      <c r="R2418" s="37"/>
      <c r="S2418" s="37"/>
      <c r="T2418" s="91"/>
      <c r="U2418" s="91"/>
      <c r="V2418" s="41"/>
      <c r="W2418" s="37"/>
      <c r="X2418" s="37"/>
      <c r="Y2418" s="43"/>
      <c r="Z2418" s="37"/>
      <c r="AA2418" s="37"/>
      <c r="AD2418" s="37"/>
      <c r="AE2418" s="37"/>
      <c r="AF2418" s="37"/>
    </row>
    <row r="2419" spans="1:32" x14ac:dyDescent="0.25">
      <c r="A2419" s="37"/>
      <c r="B2419" s="37"/>
      <c r="C2419" s="37"/>
      <c r="F2419" s="38"/>
      <c r="G2419" s="38"/>
      <c r="H2419" s="38"/>
      <c r="I2419" s="37"/>
      <c r="J2419" s="38"/>
      <c r="K2419" s="38"/>
      <c r="L2419" s="42"/>
      <c r="M2419" s="42"/>
      <c r="N2419" s="42"/>
      <c r="O2419" s="42"/>
      <c r="R2419" s="37"/>
      <c r="S2419" s="37"/>
      <c r="T2419" s="91"/>
      <c r="U2419" s="91"/>
      <c r="V2419" s="41"/>
      <c r="W2419" s="37"/>
      <c r="X2419" s="37"/>
      <c r="Y2419" s="43"/>
      <c r="Z2419" s="37"/>
      <c r="AA2419" s="37"/>
      <c r="AD2419" s="37"/>
      <c r="AE2419" s="37"/>
      <c r="AF2419" s="37"/>
    </row>
    <row r="2420" spans="1:32" x14ac:dyDescent="0.25">
      <c r="A2420" s="37"/>
      <c r="B2420" s="37"/>
      <c r="C2420" s="37"/>
      <c r="F2420" s="38"/>
      <c r="G2420" s="38"/>
      <c r="H2420" s="38"/>
      <c r="I2420" s="37"/>
      <c r="J2420" s="38"/>
      <c r="K2420" s="38"/>
      <c r="L2420" s="42"/>
      <c r="M2420" s="42"/>
      <c r="N2420" s="42"/>
      <c r="O2420" s="42"/>
      <c r="R2420" s="37"/>
      <c r="S2420" s="37"/>
      <c r="T2420" s="91"/>
      <c r="U2420" s="91"/>
      <c r="V2420" s="41"/>
      <c r="W2420" s="37"/>
      <c r="X2420" s="37"/>
      <c r="Y2420" s="43"/>
      <c r="Z2420" s="37"/>
      <c r="AA2420" s="37"/>
      <c r="AD2420" s="37"/>
      <c r="AE2420" s="37"/>
      <c r="AF2420" s="37"/>
    </row>
    <row r="2421" spans="1:32" x14ac:dyDescent="0.25">
      <c r="A2421" s="37"/>
      <c r="B2421" s="37"/>
      <c r="C2421" s="37"/>
      <c r="F2421" s="38"/>
      <c r="G2421" s="38"/>
      <c r="H2421" s="38"/>
      <c r="I2421" s="37"/>
      <c r="J2421" s="38"/>
      <c r="K2421" s="38"/>
      <c r="L2421" s="42"/>
      <c r="M2421" s="42"/>
      <c r="N2421" s="42"/>
      <c r="O2421" s="42"/>
      <c r="R2421" s="37"/>
      <c r="S2421" s="37"/>
      <c r="T2421" s="91"/>
      <c r="U2421" s="91"/>
      <c r="V2421" s="41"/>
      <c r="W2421" s="37"/>
      <c r="X2421" s="37"/>
      <c r="Y2421" s="43"/>
      <c r="Z2421" s="37"/>
      <c r="AA2421" s="37"/>
      <c r="AD2421" s="37"/>
      <c r="AE2421" s="37"/>
      <c r="AF2421" s="37"/>
    </row>
    <row r="2422" spans="1:32" x14ac:dyDescent="0.25">
      <c r="A2422" s="37"/>
      <c r="B2422" s="37"/>
      <c r="C2422" s="37"/>
      <c r="F2422" s="38"/>
      <c r="G2422" s="38"/>
      <c r="H2422" s="38"/>
      <c r="I2422" s="37"/>
      <c r="J2422" s="38"/>
      <c r="K2422" s="38"/>
      <c r="L2422" s="42"/>
      <c r="M2422" s="42"/>
      <c r="N2422" s="42"/>
      <c r="O2422" s="42"/>
      <c r="R2422" s="37"/>
      <c r="S2422" s="37"/>
      <c r="T2422" s="91"/>
      <c r="U2422" s="91"/>
      <c r="V2422" s="41"/>
      <c r="W2422" s="37"/>
      <c r="X2422" s="37"/>
      <c r="Y2422" s="43"/>
      <c r="Z2422" s="37"/>
      <c r="AA2422" s="37"/>
      <c r="AD2422" s="37"/>
      <c r="AE2422" s="37"/>
      <c r="AF2422" s="37"/>
    </row>
    <row r="2423" spans="1:32" x14ac:dyDescent="0.25">
      <c r="A2423" s="37"/>
      <c r="B2423" s="37"/>
      <c r="C2423" s="37"/>
      <c r="F2423" s="38"/>
      <c r="G2423" s="38"/>
      <c r="H2423" s="38"/>
      <c r="I2423" s="37"/>
      <c r="J2423" s="38"/>
      <c r="K2423" s="38"/>
      <c r="L2423" s="42"/>
      <c r="M2423" s="42"/>
      <c r="N2423" s="42"/>
      <c r="O2423" s="42"/>
      <c r="R2423" s="37"/>
      <c r="S2423" s="37"/>
      <c r="T2423" s="91"/>
      <c r="U2423" s="91"/>
      <c r="V2423" s="41"/>
      <c r="W2423" s="37"/>
      <c r="X2423" s="37"/>
      <c r="Y2423" s="43"/>
      <c r="Z2423" s="37"/>
      <c r="AA2423" s="37"/>
      <c r="AD2423" s="37"/>
      <c r="AE2423" s="37"/>
      <c r="AF2423" s="37"/>
    </row>
    <row r="2424" spans="1:32" x14ac:dyDescent="0.25">
      <c r="A2424" s="37"/>
      <c r="B2424" s="37"/>
      <c r="C2424" s="37"/>
      <c r="F2424" s="38"/>
      <c r="G2424" s="38"/>
      <c r="H2424" s="38"/>
      <c r="I2424" s="37"/>
      <c r="J2424" s="38"/>
      <c r="K2424" s="38"/>
      <c r="L2424" s="42"/>
      <c r="M2424" s="42"/>
      <c r="N2424" s="42"/>
      <c r="O2424" s="42"/>
      <c r="R2424" s="37"/>
      <c r="S2424" s="37"/>
      <c r="T2424" s="91"/>
      <c r="U2424" s="91"/>
      <c r="V2424" s="41"/>
      <c r="W2424" s="37"/>
      <c r="X2424" s="37"/>
      <c r="Y2424" s="43"/>
      <c r="Z2424" s="37"/>
      <c r="AA2424" s="37"/>
      <c r="AD2424" s="37"/>
      <c r="AE2424" s="37"/>
      <c r="AF2424" s="37"/>
    </row>
    <row r="2425" spans="1:32" x14ac:dyDescent="0.25">
      <c r="A2425" s="37"/>
      <c r="B2425" s="37"/>
      <c r="C2425" s="37"/>
      <c r="F2425" s="38"/>
      <c r="G2425" s="38"/>
      <c r="H2425" s="38"/>
      <c r="I2425" s="37"/>
      <c r="J2425" s="38"/>
      <c r="K2425" s="38"/>
      <c r="L2425" s="42"/>
      <c r="M2425" s="42"/>
      <c r="N2425" s="42"/>
      <c r="O2425" s="42"/>
      <c r="R2425" s="37"/>
      <c r="S2425" s="37"/>
      <c r="T2425" s="91"/>
      <c r="U2425" s="91"/>
      <c r="V2425" s="41"/>
      <c r="W2425" s="37"/>
      <c r="X2425" s="37"/>
      <c r="Y2425" s="43"/>
      <c r="Z2425" s="37"/>
      <c r="AA2425" s="37"/>
      <c r="AD2425" s="37"/>
      <c r="AE2425" s="37"/>
      <c r="AF2425" s="37"/>
    </row>
    <row r="2426" spans="1:32" x14ac:dyDescent="0.25">
      <c r="A2426" s="37"/>
      <c r="B2426" s="37"/>
      <c r="C2426" s="37"/>
      <c r="F2426" s="38"/>
      <c r="G2426" s="38"/>
      <c r="H2426" s="38"/>
      <c r="I2426" s="37"/>
      <c r="J2426" s="38"/>
      <c r="K2426" s="38"/>
      <c r="L2426" s="42"/>
      <c r="M2426" s="42"/>
      <c r="N2426" s="42"/>
      <c r="O2426" s="42"/>
      <c r="R2426" s="37"/>
      <c r="S2426" s="37"/>
      <c r="T2426" s="91"/>
      <c r="U2426" s="91"/>
      <c r="V2426" s="41"/>
      <c r="W2426" s="37"/>
      <c r="X2426" s="37"/>
      <c r="Y2426" s="43"/>
      <c r="Z2426" s="37"/>
      <c r="AA2426" s="37"/>
      <c r="AD2426" s="37"/>
      <c r="AE2426" s="37"/>
      <c r="AF2426" s="37"/>
    </row>
    <row r="2427" spans="1:32" x14ac:dyDescent="0.25">
      <c r="A2427" s="37"/>
      <c r="B2427" s="37"/>
      <c r="C2427" s="37"/>
      <c r="F2427" s="38"/>
      <c r="G2427" s="38"/>
      <c r="H2427" s="38"/>
      <c r="I2427" s="37"/>
      <c r="J2427" s="38"/>
      <c r="K2427" s="38"/>
      <c r="L2427" s="42"/>
      <c r="M2427" s="42"/>
      <c r="N2427" s="42"/>
      <c r="O2427" s="42"/>
      <c r="R2427" s="37"/>
      <c r="S2427" s="37"/>
      <c r="T2427" s="91"/>
      <c r="U2427" s="91"/>
      <c r="V2427" s="41"/>
      <c r="W2427" s="37"/>
      <c r="X2427" s="37"/>
      <c r="Y2427" s="43"/>
      <c r="Z2427" s="37"/>
      <c r="AA2427" s="37"/>
      <c r="AD2427" s="37"/>
      <c r="AE2427" s="37"/>
      <c r="AF2427" s="37"/>
    </row>
    <row r="2428" spans="1:32" x14ac:dyDescent="0.25">
      <c r="A2428" s="37"/>
      <c r="B2428" s="37"/>
      <c r="C2428" s="37"/>
      <c r="F2428" s="38"/>
      <c r="G2428" s="38"/>
      <c r="H2428" s="38"/>
      <c r="I2428" s="37"/>
      <c r="J2428" s="38"/>
      <c r="K2428" s="38"/>
      <c r="L2428" s="42"/>
      <c r="M2428" s="42"/>
      <c r="N2428" s="42"/>
      <c r="O2428" s="42"/>
      <c r="R2428" s="37"/>
      <c r="S2428" s="37"/>
      <c r="T2428" s="91"/>
      <c r="U2428" s="91"/>
      <c r="V2428" s="41"/>
      <c r="W2428" s="37"/>
      <c r="X2428" s="37"/>
      <c r="Y2428" s="43"/>
      <c r="Z2428" s="37"/>
      <c r="AA2428" s="37"/>
      <c r="AD2428" s="37"/>
      <c r="AE2428" s="37"/>
      <c r="AF2428" s="37"/>
    </row>
    <row r="2429" spans="1:32" x14ac:dyDescent="0.25">
      <c r="A2429" s="37"/>
      <c r="B2429" s="37"/>
      <c r="C2429" s="37"/>
      <c r="F2429" s="38"/>
      <c r="G2429" s="38"/>
      <c r="H2429" s="38"/>
      <c r="I2429" s="37"/>
      <c r="J2429" s="38"/>
      <c r="K2429" s="38"/>
      <c r="L2429" s="42"/>
      <c r="M2429" s="42"/>
      <c r="N2429" s="42"/>
      <c r="O2429" s="42"/>
      <c r="R2429" s="37"/>
      <c r="S2429" s="37"/>
      <c r="T2429" s="91"/>
      <c r="U2429" s="91"/>
      <c r="V2429" s="41"/>
      <c r="W2429" s="37"/>
      <c r="X2429" s="37"/>
      <c r="Y2429" s="43"/>
      <c r="Z2429" s="37"/>
      <c r="AA2429" s="37"/>
      <c r="AD2429" s="37"/>
      <c r="AE2429" s="37"/>
      <c r="AF2429" s="37"/>
    </row>
    <row r="2430" spans="1:32" x14ac:dyDescent="0.25">
      <c r="A2430" s="37"/>
      <c r="B2430" s="37"/>
      <c r="C2430" s="37"/>
      <c r="F2430" s="38"/>
      <c r="G2430" s="38"/>
      <c r="H2430" s="38"/>
      <c r="I2430" s="37"/>
      <c r="J2430" s="38"/>
      <c r="K2430" s="38"/>
      <c r="L2430" s="42"/>
      <c r="M2430" s="42"/>
      <c r="N2430" s="42"/>
      <c r="O2430" s="42"/>
      <c r="R2430" s="37"/>
      <c r="S2430" s="37"/>
      <c r="T2430" s="91"/>
      <c r="U2430" s="91"/>
      <c r="V2430" s="41"/>
      <c r="W2430" s="37"/>
      <c r="X2430" s="37"/>
      <c r="Y2430" s="43"/>
      <c r="Z2430" s="37"/>
      <c r="AA2430" s="37"/>
      <c r="AD2430" s="37"/>
      <c r="AE2430" s="37"/>
      <c r="AF2430" s="37"/>
    </row>
    <row r="2431" spans="1:32" x14ac:dyDescent="0.25">
      <c r="A2431" s="37"/>
      <c r="B2431" s="37"/>
      <c r="C2431" s="37"/>
      <c r="F2431" s="38"/>
      <c r="G2431" s="38"/>
      <c r="H2431" s="38"/>
      <c r="I2431" s="37"/>
      <c r="J2431" s="38"/>
      <c r="K2431" s="38"/>
      <c r="L2431" s="42"/>
      <c r="M2431" s="42"/>
      <c r="N2431" s="42"/>
      <c r="O2431" s="42"/>
      <c r="R2431" s="37"/>
      <c r="S2431" s="37"/>
      <c r="T2431" s="91"/>
      <c r="U2431" s="91"/>
      <c r="V2431" s="41"/>
      <c r="W2431" s="37"/>
      <c r="X2431" s="37"/>
      <c r="Y2431" s="43"/>
      <c r="Z2431" s="37"/>
      <c r="AA2431" s="37"/>
      <c r="AD2431" s="37"/>
      <c r="AE2431" s="37"/>
      <c r="AF2431" s="37"/>
    </row>
    <row r="2432" spans="1:32" x14ac:dyDescent="0.25">
      <c r="A2432" s="37"/>
      <c r="B2432" s="37"/>
      <c r="C2432" s="37"/>
      <c r="F2432" s="38"/>
      <c r="G2432" s="38"/>
      <c r="H2432" s="38"/>
      <c r="I2432" s="37"/>
      <c r="J2432" s="38"/>
      <c r="K2432" s="38"/>
      <c r="L2432" s="42"/>
      <c r="M2432" s="42"/>
      <c r="N2432" s="42"/>
      <c r="O2432" s="42"/>
      <c r="R2432" s="37"/>
      <c r="S2432" s="37"/>
      <c r="T2432" s="91"/>
      <c r="U2432" s="91"/>
      <c r="V2432" s="41"/>
      <c r="W2432" s="37"/>
      <c r="X2432" s="37"/>
      <c r="Y2432" s="43"/>
      <c r="Z2432" s="37"/>
      <c r="AA2432" s="37"/>
      <c r="AD2432" s="37"/>
      <c r="AE2432" s="37"/>
      <c r="AF2432" s="37"/>
    </row>
    <row r="2433" spans="1:32" x14ac:dyDescent="0.25">
      <c r="A2433" s="37"/>
      <c r="B2433" s="37"/>
      <c r="C2433" s="37"/>
      <c r="F2433" s="38"/>
      <c r="G2433" s="38"/>
      <c r="H2433" s="38"/>
      <c r="I2433" s="37"/>
      <c r="J2433" s="38"/>
      <c r="K2433" s="38"/>
      <c r="L2433" s="42"/>
      <c r="M2433" s="42"/>
      <c r="N2433" s="42"/>
      <c r="O2433" s="42"/>
      <c r="R2433" s="37"/>
      <c r="S2433" s="37"/>
      <c r="T2433" s="91"/>
      <c r="U2433" s="91"/>
      <c r="V2433" s="41"/>
      <c r="W2433" s="37"/>
      <c r="X2433" s="37"/>
      <c r="Y2433" s="43"/>
      <c r="Z2433" s="37"/>
      <c r="AA2433" s="37"/>
      <c r="AD2433" s="37"/>
      <c r="AE2433" s="37"/>
      <c r="AF2433" s="37"/>
    </row>
    <row r="2434" spans="1:32" x14ac:dyDescent="0.25">
      <c r="A2434" s="37"/>
      <c r="B2434" s="37"/>
      <c r="C2434" s="37"/>
      <c r="F2434" s="38"/>
      <c r="G2434" s="38"/>
      <c r="H2434" s="38"/>
      <c r="I2434" s="37"/>
      <c r="J2434" s="38"/>
      <c r="K2434" s="38"/>
      <c r="L2434" s="42"/>
      <c r="M2434" s="42"/>
      <c r="N2434" s="42"/>
      <c r="O2434" s="42"/>
      <c r="R2434" s="37"/>
      <c r="S2434" s="37"/>
      <c r="T2434" s="91"/>
      <c r="U2434" s="91"/>
      <c r="V2434" s="41"/>
      <c r="W2434" s="37"/>
      <c r="X2434" s="37"/>
      <c r="Y2434" s="43"/>
      <c r="Z2434" s="37"/>
      <c r="AA2434" s="37"/>
      <c r="AD2434" s="37"/>
      <c r="AE2434" s="37"/>
      <c r="AF2434" s="37"/>
    </row>
    <row r="2435" spans="1:32" x14ac:dyDescent="0.25">
      <c r="A2435" s="37"/>
      <c r="B2435" s="37"/>
      <c r="C2435" s="37"/>
      <c r="F2435" s="38"/>
      <c r="G2435" s="38"/>
      <c r="H2435" s="38"/>
      <c r="I2435" s="37"/>
      <c r="J2435" s="38"/>
      <c r="K2435" s="38"/>
      <c r="L2435" s="42"/>
      <c r="M2435" s="42"/>
      <c r="N2435" s="42"/>
      <c r="O2435" s="42"/>
      <c r="R2435" s="37"/>
      <c r="S2435" s="37"/>
      <c r="T2435" s="91"/>
      <c r="U2435" s="91"/>
      <c r="V2435" s="41"/>
      <c r="W2435" s="37"/>
      <c r="X2435" s="37"/>
      <c r="Y2435" s="43"/>
      <c r="Z2435" s="37"/>
      <c r="AA2435" s="37"/>
      <c r="AD2435" s="37"/>
      <c r="AE2435" s="37"/>
      <c r="AF2435" s="37"/>
    </row>
    <row r="2436" spans="1:32" x14ac:dyDescent="0.25">
      <c r="A2436" s="37"/>
      <c r="B2436" s="37"/>
      <c r="C2436" s="37"/>
      <c r="F2436" s="38"/>
      <c r="G2436" s="38"/>
      <c r="H2436" s="38"/>
      <c r="I2436" s="37"/>
      <c r="J2436" s="38"/>
      <c r="K2436" s="38"/>
      <c r="L2436" s="42"/>
      <c r="M2436" s="42"/>
      <c r="N2436" s="42"/>
      <c r="O2436" s="42"/>
      <c r="R2436" s="37"/>
      <c r="S2436" s="37"/>
      <c r="T2436" s="91"/>
      <c r="U2436" s="91"/>
      <c r="V2436" s="41"/>
      <c r="W2436" s="37"/>
      <c r="X2436" s="37"/>
      <c r="Y2436" s="43"/>
      <c r="Z2436" s="37"/>
      <c r="AA2436" s="37"/>
      <c r="AD2436" s="37"/>
      <c r="AE2436" s="37"/>
      <c r="AF2436" s="37"/>
    </row>
    <row r="2437" spans="1:32" x14ac:dyDescent="0.25">
      <c r="A2437" s="37"/>
      <c r="B2437" s="37"/>
      <c r="C2437" s="37"/>
      <c r="F2437" s="38"/>
      <c r="G2437" s="38"/>
      <c r="H2437" s="38"/>
      <c r="I2437" s="37"/>
      <c r="J2437" s="38"/>
      <c r="K2437" s="38"/>
      <c r="L2437" s="42"/>
      <c r="M2437" s="42"/>
      <c r="N2437" s="42"/>
      <c r="O2437" s="42"/>
      <c r="R2437" s="37"/>
      <c r="S2437" s="37"/>
      <c r="T2437" s="91"/>
      <c r="U2437" s="91"/>
      <c r="V2437" s="41"/>
      <c r="W2437" s="37"/>
      <c r="X2437" s="37"/>
      <c r="Y2437" s="43"/>
      <c r="Z2437" s="37"/>
      <c r="AA2437" s="37"/>
      <c r="AD2437" s="37"/>
      <c r="AE2437" s="37"/>
      <c r="AF2437" s="37"/>
    </row>
    <row r="2438" spans="1:32" x14ac:dyDescent="0.25">
      <c r="A2438" s="37"/>
      <c r="B2438" s="37"/>
      <c r="C2438" s="37"/>
      <c r="F2438" s="38"/>
      <c r="G2438" s="38"/>
      <c r="H2438" s="38"/>
      <c r="I2438" s="37"/>
      <c r="J2438" s="38"/>
      <c r="K2438" s="38"/>
      <c r="L2438" s="42"/>
      <c r="M2438" s="42"/>
      <c r="N2438" s="42"/>
      <c r="O2438" s="42"/>
      <c r="R2438" s="37"/>
      <c r="S2438" s="37"/>
      <c r="T2438" s="91"/>
      <c r="U2438" s="91"/>
      <c r="V2438" s="41"/>
      <c r="W2438" s="37"/>
      <c r="X2438" s="37"/>
      <c r="Y2438" s="43"/>
      <c r="Z2438" s="37"/>
      <c r="AA2438" s="37"/>
      <c r="AD2438" s="37"/>
      <c r="AE2438" s="37"/>
      <c r="AF2438" s="37"/>
    </row>
    <row r="2439" spans="1:32" x14ac:dyDescent="0.25">
      <c r="A2439" s="37"/>
      <c r="B2439" s="37"/>
      <c r="C2439" s="37"/>
      <c r="F2439" s="38"/>
      <c r="G2439" s="38"/>
      <c r="H2439" s="38"/>
      <c r="I2439" s="37"/>
      <c r="J2439" s="38"/>
      <c r="K2439" s="38"/>
      <c r="L2439" s="42"/>
      <c r="M2439" s="42"/>
      <c r="N2439" s="42"/>
      <c r="O2439" s="42"/>
      <c r="R2439" s="37"/>
      <c r="S2439" s="37"/>
      <c r="T2439" s="91"/>
      <c r="U2439" s="91"/>
      <c r="V2439" s="41"/>
      <c r="W2439" s="37"/>
      <c r="X2439" s="37"/>
      <c r="Y2439" s="43"/>
      <c r="Z2439" s="37"/>
      <c r="AA2439" s="37"/>
      <c r="AD2439" s="37"/>
      <c r="AE2439" s="37"/>
      <c r="AF2439" s="37"/>
    </row>
    <row r="2440" spans="1:32" x14ac:dyDescent="0.25">
      <c r="A2440" s="37"/>
      <c r="B2440" s="37"/>
      <c r="C2440" s="37"/>
      <c r="F2440" s="38"/>
      <c r="G2440" s="38"/>
      <c r="H2440" s="38"/>
      <c r="I2440" s="37"/>
      <c r="J2440" s="38"/>
      <c r="K2440" s="38"/>
      <c r="L2440" s="42"/>
      <c r="M2440" s="42"/>
      <c r="N2440" s="42"/>
      <c r="O2440" s="42"/>
      <c r="R2440" s="37"/>
      <c r="S2440" s="37"/>
      <c r="T2440" s="91"/>
      <c r="U2440" s="91"/>
      <c r="V2440" s="41"/>
      <c r="W2440" s="37"/>
      <c r="X2440" s="37"/>
      <c r="Y2440" s="43"/>
      <c r="Z2440" s="37"/>
      <c r="AA2440" s="37"/>
      <c r="AD2440" s="37"/>
      <c r="AE2440" s="37"/>
      <c r="AF2440" s="37"/>
    </row>
    <row r="2441" spans="1:32" x14ac:dyDescent="0.25">
      <c r="A2441" s="37"/>
      <c r="B2441" s="37"/>
      <c r="C2441" s="37"/>
      <c r="F2441" s="38"/>
      <c r="G2441" s="38"/>
      <c r="H2441" s="38"/>
      <c r="I2441" s="37"/>
      <c r="J2441" s="38"/>
      <c r="K2441" s="38"/>
      <c r="L2441" s="42"/>
      <c r="M2441" s="42"/>
      <c r="N2441" s="42"/>
      <c r="O2441" s="42"/>
      <c r="R2441" s="37"/>
      <c r="S2441" s="37"/>
      <c r="T2441" s="91"/>
      <c r="U2441" s="91"/>
      <c r="V2441" s="41"/>
      <c r="W2441" s="37"/>
      <c r="X2441" s="37"/>
      <c r="Y2441" s="43"/>
      <c r="Z2441" s="37"/>
      <c r="AA2441" s="37"/>
      <c r="AD2441" s="37"/>
      <c r="AE2441" s="37"/>
      <c r="AF2441" s="37"/>
    </row>
    <row r="2442" spans="1:32" x14ac:dyDescent="0.25">
      <c r="A2442" s="37"/>
      <c r="B2442" s="37"/>
      <c r="C2442" s="37"/>
      <c r="F2442" s="38"/>
      <c r="G2442" s="38"/>
      <c r="H2442" s="38"/>
      <c r="I2442" s="37"/>
      <c r="J2442" s="38"/>
      <c r="K2442" s="38"/>
      <c r="L2442" s="42"/>
      <c r="M2442" s="42"/>
      <c r="N2442" s="42"/>
      <c r="O2442" s="42"/>
      <c r="R2442" s="37"/>
      <c r="S2442" s="37"/>
      <c r="T2442" s="91"/>
      <c r="U2442" s="91"/>
      <c r="V2442" s="41"/>
      <c r="W2442" s="37"/>
      <c r="X2442" s="37"/>
      <c r="Y2442" s="43"/>
      <c r="Z2442" s="37"/>
      <c r="AA2442" s="37"/>
      <c r="AD2442" s="37"/>
      <c r="AE2442" s="37"/>
      <c r="AF2442" s="37"/>
    </row>
    <row r="2443" spans="1:32" x14ac:dyDescent="0.25">
      <c r="A2443" s="37"/>
      <c r="B2443" s="37"/>
      <c r="C2443" s="37"/>
      <c r="F2443" s="38"/>
      <c r="G2443" s="38"/>
      <c r="H2443" s="38"/>
      <c r="I2443" s="37"/>
      <c r="J2443" s="38"/>
      <c r="K2443" s="38"/>
      <c r="L2443" s="42"/>
      <c r="M2443" s="42"/>
      <c r="N2443" s="42"/>
      <c r="O2443" s="42"/>
      <c r="R2443" s="37"/>
      <c r="S2443" s="37"/>
      <c r="T2443" s="91"/>
      <c r="U2443" s="91"/>
      <c r="V2443" s="41"/>
      <c r="W2443" s="37"/>
      <c r="X2443" s="37"/>
      <c r="Y2443" s="43"/>
      <c r="Z2443" s="37"/>
      <c r="AA2443" s="37"/>
      <c r="AD2443" s="37"/>
      <c r="AE2443" s="37"/>
      <c r="AF2443" s="37"/>
    </row>
    <row r="2444" spans="1:32" x14ac:dyDescent="0.25">
      <c r="A2444" s="37"/>
      <c r="B2444" s="37"/>
      <c r="C2444" s="37"/>
      <c r="F2444" s="38"/>
      <c r="G2444" s="38"/>
      <c r="H2444" s="38"/>
      <c r="I2444" s="37"/>
      <c r="J2444" s="38"/>
      <c r="K2444" s="38"/>
      <c r="L2444" s="42"/>
      <c r="M2444" s="42"/>
      <c r="N2444" s="42"/>
      <c r="O2444" s="42"/>
      <c r="R2444" s="37"/>
      <c r="S2444" s="37"/>
      <c r="T2444" s="91"/>
      <c r="U2444" s="91"/>
      <c r="V2444" s="41"/>
      <c r="W2444" s="37"/>
      <c r="X2444" s="37"/>
      <c r="Y2444" s="43"/>
      <c r="Z2444" s="37"/>
      <c r="AA2444" s="37"/>
      <c r="AD2444" s="37"/>
      <c r="AE2444" s="37"/>
      <c r="AF2444" s="37"/>
    </row>
    <row r="2445" spans="1:32" x14ac:dyDescent="0.25">
      <c r="A2445" s="37"/>
      <c r="B2445" s="37"/>
      <c r="C2445" s="37"/>
      <c r="F2445" s="38"/>
      <c r="G2445" s="38"/>
      <c r="H2445" s="38"/>
      <c r="I2445" s="37"/>
      <c r="J2445" s="38"/>
      <c r="K2445" s="38"/>
      <c r="L2445" s="42"/>
      <c r="M2445" s="42"/>
      <c r="N2445" s="42"/>
      <c r="O2445" s="42"/>
      <c r="R2445" s="37"/>
      <c r="S2445" s="37"/>
      <c r="T2445" s="91"/>
      <c r="U2445" s="91"/>
      <c r="V2445" s="41"/>
      <c r="W2445" s="37"/>
      <c r="X2445" s="37"/>
      <c r="Y2445" s="43"/>
      <c r="Z2445" s="37"/>
      <c r="AA2445" s="37"/>
      <c r="AD2445" s="37"/>
      <c r="AE2445" s="37"/>
      <c r="AF2445" s="37"/>
    </row>
    <row r="2446" spans="1:32" x14ac:dyDescent="0.25">
      <c r="A2446" s="37"/>
      <c r="B2446" s="37"/>
      <c r="C2446" s="37"/>
      <c r="F2446" s="38"/>
      <c r="G2446" s="38"/>
      <c r="H2446" s="38"/>
      <c r="I2446" s="37"/>
      <c r="J2446" s="38"/>
      <c r="K2446" s="38"/>
      <c r="L2446" s="42"/>
      <c r="M2446" s="42"/>
      <c r="N2446" s="42"/>
      <c r="O2446" s="42"/>
      <c r="R2446" s="37"/>
      <c r="S2446" s="37"/>
      <c r="T2446" s="91"/>
      <c r="U2446" s="91"/>
      <c r="V2446" s="41"/>
      <c r="W2446" s="37"/>
      <c r="X2446" s="37"/>
      <c r="Y2446" s="43"/>
      <c r="Z2446" s="37"/>
      <c r="AA2446" s="37"/>
      <c r="AD2446" s="37"/>
      <c r="AE2446" s="37"/>
      <c r="AF2446" s="37"/>
    </row>
    <row r="2447" spans="1:32" x14ac:dyDescent="0.25">
      <c r="A2447" s="37"/>
      <c r="B2447" s="37"/>
      <c r="C2447" s="37"/>
      <c r="F2447" s="38"/>
      <c r="G2447" s="38"/>
      <c r="H2447" s="38"/>
      <c r="I2447" s="37"/>
      <c r="J2447" s="38"/>
      <c r="K2447" s="38"/>
      <c r="L2447" s="42"/>
      <c r="M2447" s="42"/>
      <c r="N2447" s="42"/>
      <c r="O2447" s="42"/>
      <c r="R2447" s="37"/>
      <c r="S2447" s="37"/>
      <c r="T2447" s="91"/>
      <c r="U2447" s="91"/>
      <c r="V2447" s="41"/>
      <c r="W2447" s="37"/>
      <c r="X2447" s="37"/>
      <c r="Y2447" s="43"/>
      <c r="Z2447" s="37"/>
      <c r="AA2447" s="37"/>
      <c r="AD2447" s="37"/>
      <c r="AE2447" s="37"/>
      <c r="AF2447" s="37"/>
    </row>
    <row r="2448" spans="1:32" x14ac:dyDescent="0.25">
      <c r="A2448" s="37"/>
      <c r="B2448" s="37"/>
      <c r="C2448" s="37"/>
      <c r="F2448" s="38"/>
      <c r="G2448" s="38"/>
      <c r="H2448" s="38"/>
      <c r="I2448" s="37"/>
      <c r="J2448" s="38"/>
      <c r="K2448" s="38"/>
      <c r="L2448" s="42"/>
      <c r="M2448" s="42"/>
      <c r="N2448" s="42"/>
      <c r="O2448" s="42"/>
      <c r="R2448" s="37"/>
      <c r="S2448" s="37"/>
      <c r="T2448" s="91"/>
      <c r="U2448" s="91"/>
      <c r="V2448" s="41"/>
      <c r="W2448" s="37"/>
      <c r="X2448" s="37"/>
      <c r="Y2448" s="43"/>
      <c r="Z2448" s="37"/>
      <c r="AA2448" s="37"/>
      <c r="AD2448" s="37"/>
      <c r="AE2448" s="37"/>
      <c r="AF2448" s="37"/>
    </row>
    <row r="2449" spans="1:32" x14ac:dyDescent="0.25">
      <c r="A2449" s="37"/>
      <c r="B2449" s="37"/>
      <c r="C2449" s="37"/>
      <c r="F2449" s="38"/>
      <c r="G2449" s="38"/>
      <c r="H2449" s="38"/>
      <c r="I2449" s="37"/>
      <c r="J2449" s="38"/>
      <c r="K2449" s="38"/>
      <c r="L2449" s="42"/>
      <c r="M2449" s="42"/>
      <c r="N2449" s="42"/>
      <c r="O2449" s="42"/>
      <c r="R2449" s="37"/>
      <c r="S2449" s="37"/>
      <c r="T2449" s="91"/>
      <c r="U2449" s="91"/>
      <c r="V2449" s="41"/>
      <c r="W2449" s="37"/>
      <c r="X2449" s="37"/>
      <c r="Y2449" s="43"/>
      <c r="Z2449" s="37"/>
      <c r="AA2449" s="37"/>
      <c r="AD2449" s="37"/>
      <c r="AE2449" s="37"/>
      <c r="AF2449" s="37"/>
    </row>
    <row r="2450" spans="1:32" x14ac:dyDescent="0.25">
      <c r="A2450" s="37"/>
      <c r="B2450" s="37"/>
      <c r="C2450" s="37"/>
      <c r="F2450" s="38"/>
      <c r="G2450" s="38"/>
      <c r="H2450" s="38"/>
      <c r="I2450" s="37"/>
      <c r="J2450" s="38"/>
      <c r="K2450" s="38"/>
      <c r="L2450" s="42"/>
      <c r="M2450" s="42"/>
      <c r="N2450" s="42"/>
      <c r="O2450" s="42"/>
      <c r="R2450" s="37"/>
      <c r="S2450" s="37"/>
      <c r="T2450" s="91"/>
      <c r="U2450" s="91"/>
      <c r="V2450" s="41"/>
      <c r="W2450" s="37"/>
      <c r="X2450" s="37"/>
      <c r="Y2450" s="43"/>
      <c r="Z2450" s="37"/>
      <c r="AA2450" s="37"/>
      <c r="AD2450" s="37"/>
      <c r="AE2450" s="37"/>
      <c r="AF2450" s="37"/>
    </row>
    <row r="2451" spans="1:32" x14ac:dyDescent="0.25">
      <c r="A2451" s="37"/>
      <c r="B2451" s="37"/>
      <c r="C2451" s="37"/>
      <c r="F2451" s="38"/>
      <c r="G2451" s="38"/>
      <c r="H2451" s="38"/>
      <c r="I2451" s="37"/>
      <c r="J2451" s="38"/>
      <c r="K2451" s="38"/>
      <c r="L2451" s="42"/>
      <c r="M2451" s="42"/>
      <c r="N2451" s="42"/>
      <c r="O2451" s="42"/>
      <c r="R2451" s="37"/>
      <c r="S2451" s="37"/>
      <c r="T2451" s="91"/>
      <c r="U2451" s="91"/>
      <c r="V2451" s="41"/>
      <c r="W2451" s="37"/>
      <c r="X2451" s="37"/>
      <c r="Y2451" s="43"/>
      <c r="Z2451" s="37"/>
      <c r="AA2451" s="37"/>
      <c r="AD2451" s="37"/>
      <c r="AE2451" s="37"/>
      <c r="AF2451" s="37"/>
    </row>
    <row r="2452" spans="1:32" x14ac:dyDescent="0.25">
      <c r="A2452" s="37"/>
      <c r="B2452" s="37"/>
      <c r="C2452" s="37"/>
      <c r="F2452" s="38"/>
      <c r="G2452" s="38"/>
      <c r="H2452" s="38"/>
      <c r="I2452" s="37"/>
      <c r="J2452" s="38"/>
      <c r="K2452" s="38"/>
      <c r="L2452" s="42"/>
      <c r="M2452" s="42"/>
      <c r="N2452" s="42"/>
      <c r="O2452" s="42"/>
      <c r="R2452" s="37"/>
      <c r="S2452" s="37"/>
      <c r="T2452" s="91"/>
      <c r="U2452" s="91"/>
      <c r="V2452" s="41"/>
      <c r="W2452" s="37"/>
      <c r="X2452" s="37"/>
      <c r="Y2452" s="43"/>
      <c r="Z2452" s="37"/>
      <c r="AA2452" s="37"/>
      <c r="AD2452" s="37"/>
      <c r="AE2452" s="37"/>
      <c r="AF2452" s="37"/>
    </row>
    <row r="2453" spans="1:32" x14ac:dyDescent="0.25">
      <c r="A2453" s="37"/>
      <c r="B2453" s="37"/>
      <c r="C2453" s="37"/>
      <c r="F2453" s="38"/>
      <c r="G2453" s="38"/>
      <c r="H2453" s="38"/>
      <c r="I2453" s="37"/>
      <c r="J2453" s="38"/>
      <c r="K2453" s="38"/>
      <c r="L2453" s="42"/>
      <c r="M2453" s="42"/>
      <c r="N2453" s="42"/>
      <c r="O2453" s="42"/>
      <c r="R2453" s="37"/>
      <c r="S2453" s="37"/>
      <c r="T2453" s="91"/>
      <c r="U2453" s="91"/>
      <c r="V2453" s="41"/>
      <c r="W2453" s="37"/>
      <c r="X2453" s="37"/>
      <c r="Y2453" s="43"/>
      <c r="Z2453" s="37"/>
      <c r="AA2453" s="37"/>
      <c r="AD2453" s="37"/>
      <c r="AE2453" s="37"/>
      <c r="AF2453" s="37"/>
    </row>
    <row r="2454" spans="1:32" x14ac:dyDescent="0.25">
      <c r="A2454" s="37"/>
      <c r="B2454" s="37"/>
      <c r="C2454" s="37"/>
      <c r="F2454" s="38"/>
      <c r="G2454" s="38"/>
      <c r="H2454" s="38"/>
      <c r="I2454" s="37"/>
      <c r="J2454" s="38"/>
      <c r="K2454" s="38"/>
      <c r="L2454" s="42"/>
      <c r="M2454" s="42"/>
      <c r="N2454" s="42"/>
      <c r="O2454" s="42"/>
      <c r="R2454" s="37"/>
      <c r="S2454" s="37"/>
      <c r="T2454" s="91"/>
      <c r="U2454" s="91"/>
      <c r="V2454" s="41"/>
      <c r="W2454" s="37"/>
      <c r="X2454" s="37"/>
      <c r="Y2454" s="43"/>
      <c r="Z2454" s="37"/>
      <c r="AA2454" s="37"/>
      <c r="AD2454" s="37"/>
      <c r="AE2454" s="37"/>
      <c r="AF2454" s="37"/>
    </row>
    <row r="2455" spans="1:32" x14ac:dyDescent="0.25">
      <c r="A2455" s="37"/>
      <c r="B2455" s="37"/>
      <c r="C2455" s="37"/>
      <c r="F2455" s="38"/>
      <c r="G2455" s="38"/>
      <c r="H2455" s="38"/>
      <c r="I2455" s="37"/>
      <c r="J2455" s="38"/>
      <c r="K2455" s="38"/>
      <c r="L2455" s="42"/>
      <c r="M2455" s="42"/>
      <c r="N2455" s="42"/>
      <c r="O2455" s="42"/>
      <c r="R2455" s="37"/>
      <c r="S2455" s="37"/>
      <c r="T2455" s="91"/>
      <c r="U2455" s="91"/>
      <c r="V2455" s="41"/>
      <c r="W2455" s="37"/>
      <c r="X2455" s="37"/>
      <c r="Y2455" s="43"/>
      <c r="Z2455" s="37"/>
      <c r="AA2455" s="37"/>
      <c r="AD2455" s="37"/>
      <c r="AE2455" s="37"/>
      <c r="AF2455" s="37"/>
    </row>
    <row r="2456" spans="1:32" x14ac:dyDescent="0.25">
      <c r="A2456" s="37"/>
      <c r="B2456" s="37"/>
      <c r="C2456" s="37"/>
      <c r="F2456" s="38"/>
      <c r="G2456" s="38"/>
      <c r="H2456" s="38"/>
      <c r="I2456" s="37"/>
      <c r="J2456" s="38"/>
      <c r="K2456" s="38"/>
      <c r="L2456" s="42"/>
      <c r="M2456" s="42"/>
      <c r="N2456" s="42"/>
      <c r="O2456" s="42"/>
      <c r="R2456" s="37"/>
      <c r="S2456" s="37"/>
      <c r="T2456" s="91"/>
      <c r="U2456" s="91"/>
      <c r="V2456" s="41"/>
      <c r="W2456" s="37"/>
      <c r="X2456" s="37"/>
      <c r="Y2456" s="43"/>
      <c r="Z2456" s="37"/>
      <c r="AA2456" s="37"/>
      <c r="AD2456" s="37"/>
      <c r="AE2456" s="37"/>
      <c r="AF2456" s="37"/>
    </row>
    <row r="2457" spans="1:32" x14ac:dyDescent="0.25">
      <c r="A2457" s="37"/>
      <c r="B2457" s="37"/>
      <c r="C2457" s="37"/>
      <c r="F2457" s="38"/>
      <c r="G2457" s="38"/>
      <c r="H2457" s="38"/>
      <c r="I2457" s="37"/>
      <c r="J2457" s="38"/>
      <c r="K2457" s="38"/>
      <c r="L2457" s="42"/>
      <c r="M2457" s="42"/>
      <c r="N2457" s="42"/>
      <c r="O2457" s="42"/>
      <c r="R2457" s="37"/>
      <c r="S2457" s="37"/>
      <c r="T2457" s="91"/>
      <c r="U2457" s="91"/>
      <c r="V2457" s="41"/>
      <c r="W2457" s="37"/>
      <c r="X2457" s="37"/>
      <c r="Y2457" s="43"/>
      <c r="Z2457" s="37"/>
      <c r="AA2457" s="37"/>
      <c r="AD2457" s="37"/>
      <c r="AE2457" s="37"/>
      <c r="AF2457" s="37"/>
    </row>
    <row r="2458" spans="1:32" x14ac:dyDescent="0.25">
      <c r="A2458" s="37"/>
      <c r="B2458" s="37"/>
      <c r="C2458" s="37"/>
      <c r="F2458" s="38"/>
      <c r="G2458" s="38"/>
      <c r="H2458" s="38"/>
      <c r="I2458" s="37"/>
      <c r="J2458" s="38"/>
      <c r="K2458" s="38"/>
      <c r="L2458" s="42"/>
      <c r="M2458" s="42"/>
      <c r="N2458" s="42"/>
      <c r="O2458" s="42"/>
      <c r="R2458" s="37"/>
      <c r="S2458" s="37"/>
      <c r="T2458" s="91"/>
      <c r="U2458" s="91"/>
      <c r="V2458" s="41"/>
      <c r="W2458" s="37"/>
      <c r="X2458" s="37"/>
      <c r="Y2458" s="43"/>
      <c r="Z2458" s="37"/>
      <c r="AA2458" s="37"/>
      <c r="AD2458" s="37"/>
      <c r="AE2458" s="37"/>
      <c r="AF2458" s="37"/>
    </row>
    <row r="2459" spans="1:32" x14ac:dyDescent="0.25">
      <c r="A2459" s="37"/>
      <c r="B2459" s="37"/>
      <c r="C2459" s="37"/>
      <c r="F2459" s="38"/>
      <c r="G2459" s="38"/>
      <c r="H2459" s="38"/>
      <c r="I2459" s="37"/>
      <c r="J2459" s="38"/>
      <c r="K2459" s="38"/>
      <c r="L2459" s="42"/>
      <c r="M2459" s="42"/>
      <c r="N2459" s="42"/>
      <c r="O2459" s="42"/>
      <c r="R2459" s="37"/>
      <c r="S2459" s="37"/>
      <c r="T2459" s="91"/>
      <c r="U2459" s="91"/>
      <c r="V2459" s="41"/>
      <c r="W2459" s="37"/>
      <c r="X2459" s="37"/>
      <c r="Y2459" s="43"/>
      <c r="Z2459" s="37"/>
      <c r="AA2459" s="37"/>
      <c r="AD2459" s="37"/>
      <c r="AE2459" s="37"/>
      <c r="AF2459" s="37"/>
    </row>
    <row r="2460" spans="1:32" x14ac:dyDescent="0.25">
      <c r="A2460" s="37"/>
      <c r="B2460" s="37"/>
      <c r="C2460" s="37"/>
      <c r="F2460" s="38"/>
      <c r="G2460" s="38"/>
      <c r="H2460" s="38"/>
      <c r="I2460" s="37"/>
      <c r="J2460" s="38"/>
      <c r="K2460" s="38"/>
      <c r="L2460" s="42"/>
      <c r="M2460" s="42"/>
      <c r="N2460" s="42"/>
      <c r="O2460" s="42"/>
      <c r="R2460" s="37"/>
      <c r="S2460" s="37"/>
      <c r="T2460" s="91"/>
      <c r="U2460" s="91"/>
      <c r="V2460" s="41"/>
      <c r="W2460" s="37"/>
      <c r="X2460" s="37"/>
      <c r="Y2460" s="43"/>
      <c r="Z2460" s="37"/>
      <c r="AA2460" s="37"/>
      <c r="AD2460" s="37"/>
      <c r="AE2460" s="37"/>
      <c r="AF2460" s="37"/>
    </row>
    <row r="2461" spans="1:32" x14ac:dyDescent="0.25">
      <c r="A2461" s="37"/>
      <c r="B2461" s="37"/>
      <c r="C2461" s="37"/>
      <c r="F2461" s="38"/>
      <c r="G2461" s="38"/>
      <c r="H2461" s="38"/>
      <c r="I2461" s="37"/>
      <c r="J2461" s="38"/>
      <c r="K2461" s="38"/>
      <c r="L2461" s="42"/>
      <c r="M2461" s="42"/>
      <c r="N2461" s="42"/>
      <c r="O2461" s="42"/>
      <c r="R2461" s="37"/>
      <c r="S2461" s="37"/>
      <c r="T2461" s="91"/>
      <c r="U2461" s="91"/>
      <c r="V2461" s="41"/>
      <c r="W2461" s="37"/>
      <c r="X2461" s="37"/>
      <c r="Y2461" s="43"/>
      <c r="Z2461" s="37"/>
      <c r="AA2461" s="37"/>
      <c r="AD2461" s="37"/>
      <c r="AE2461" s="37"/>
      <c r="AF2461" s="37"/>
    </row>
    <row r="2462" spans="1:32" x14ac:dyDescent="0.25">
      <c r="A2462" s="37"/>
      <c r="B2462" s="37"/>
      <c r="C2462" s="37"/>
      <c r="F2462" s="38"/>
      <c r="G2462" s="38"/>
      <c r="H2462" s="38"/>
      <c r="I2462" s="37"/>
      <c r="J2462" s="38"/>
      <c r="K2462" s="38"/>
      <c r="L2462" s="42"/>
      <c r="M2462" s="42"/>
      <c r="N2462" s="42"/>
      <c r="O2462" s="42"/>
      <c r="R2462" s="37"/>
      <c r="S2462" s="37"/>
      <c r="T2462" s="91"/>
      <c r="U2462" s="91"/>
      <c r="V2462" s="41"/>
      <c r="W2462" s="37"/>
      <c r="X2462" s="37"/>
      <c r="Y2462" s="43"/>
      <c r="Z2462" s="37"/>
      <c r="AA2462" s="37"/>
      <c r="AD2462" s="37"/>
      <c r="AE2462" s="37"/>
      <c r="AF2462" s="37"/>
    </row>
    <row r="2463" spans="1:32" x14ac:dyDescent="0.25">
      <c r="A2463" s="37"/>
      <c r="B2463" s="37"/>
      <c r="C2463" s="37"/>
      <c r="F2463" s="38"/>
      <c r="G2463" s="38"/>
      <c r="H2463" s="38"/>
      <c r="I2463" s="37"/>
      <c r="J2463" s="38"/>
      <c r="K2463" s="38"/>
      <c r="L2463" s="42"/>
      <c r="M2463" s="42"/>
      <c r="N2463" s="42"/>
      <c r="O2463" s="42"/>
      <c r="R2463" s="37"/>
      <c r="S2463" s="37"/>
      <c r="T2463" s="91"/>
      <c r="U2463" s="91"/>
      <c r="V2463" s="41"/>
      <c r="W2463" s="37"/>
      <c r="X2463" s="37"/>
      <c r="Y2463" s="43"/>
      <c r="Z2463" s="37"/>
      <c r="AA2463" s="37"/>
      <c r="AD2463" s="37"/>
      <c r="AE2463" s="37"/>
      <c r="AF2463" s="37"/>
    </row>
    <row r="2464" spans="1:32" x14ac:dyDescent="0.25">
      <c r="A2464" s="37"/>
      <c r="B2464" s="37"/>
      <c r="C2464" s="37"/>
      <c r="F2464" s="38"/>
      <c r="G2464" s="38"/>
      <c r="H2464" s="38"/>
      <c r="I2464" s="37"/>
      <c r="J2464" s="38"/>
      <c r="K2464" s="38"/>
      <c r="L2464" s="42"/>
      <c r="M2464" s="42"/>
      <c r="N2464" s="42"/>
      <c r="O2464" s="42"/>
      <c r="R2464" s="37"/>
      <c r="S2464" s="37"/>
      <c r="T2464" s="91"/>
      <c r="U2464" s="91"/>
      <c r="V2464" s="41"/>
      <c r="W2464" s="37"/>
      <c r="X2464" s="37"/>
      <c r="Y2464" s="43"/>
      <c r="Z2464" s="37"/>
      <c r="AA2464" s="37"/>
      <c r="AD2464" s="37"/>
      <c r="AE2464" s="37"/>
      <c r="AF2464" s="37"/>
    </row>
    <row r="2465" spans="1:32" x14ac:dyDescent="0.25">
      <c r="A2465" s="37"/>
      <c r="B2465" s="37"/>
      <c r="C2465" s="37"/>
      <c r="F2465" s="38"/>
      <c r="G2465" s="38"/>
      <c r="H2465" s="38"/>
      <c r="I2465" s="37"/>
      <c r="J2465" s="38"/>
      <c r="K2465" s="38"/>
      <c r="L2465" s="42"/>
      <c r="M2465" s="42"/>
      <c r="N2465" s="42"/>
      <c r="O2465" s="42"/>
      <c r="R2465" s="37"/>
      <c r="S2465" s="37"/>
      <c r="T2465" s="91"/>
      <c r="U2465" s="91"/>
      <c r="V2465" s="41"/>
      <c r="W2465" s="37"/>
      <c r="X2465" s="37"/>
      <c r="Y2465" s="43"/>
      <c r="Z2465" s="37"/>
      <c r="AA2465" s="37"/>
      <c r="AD2465" s="37"/>
      <c r="AE2465" s="37"/>
      <c r="AF2465" s="37"/>
    </row>
    <row r="2466" spans="1:32" x14ac:dyDescent="0.25">
      <c r="A2466" s="37"/>
      <c r="B2466" s="37"/>
      <c r="C2466" s="37"/>
      <c r="F2466" s="38"/>
      <c r="G2466" s="38"/>
      <c r="H2466" s="38"/>
      <c r="I2466" s="37"/>
      <c r="J2466" s="38"/>
      <c r="K2466" s="38"/>
      <c r="L2466" s="42"/>
      <c r="M2466" s="42"/>
      <c r="N2466" s="42"/>
      <c r="O2466" s="42"/>
      <c r="R2466" s="37"/>
      <c r="S2466" s="37"/>
      <c r="T2466" s="91"/>
      <c r="U2466" s="91"/>
      <c r="V2466" s="41"/>
      <c r="W2466" s="37"/>
      <c r="X2466" s="37"/>
      <c r="Y2466" s="43"/>
      <c r="Z2466" s="37"/>
      <c r="AA2466" s="37"/>
      <c r="AD2466" s="37"/>
      <c r="AE2466" s="37"/>
      <c r="AF2466" s="37"/>
    </row>
    <row r="2467" spans="1:32" x14ac:dyDescent="0.25">
      <c r="A2467" s="37"/>
      <c r="B2467" s="37"/>
      <c r="C2467" s="37"/>
      <c r="F2467" s="38"/>
      <c r="G2467" s="38"/>
      <c r="H2467" s="38"/>
      <c r="I2467" s="37"/>
      <c r="J2467" s="38"/>
      <c r="K2467" s="38"/>
      <c r="L2467" s="42"/>
      <c r="M2467" s="42"/>
      <c r="N2467" s="42"/>
      <c r="O2467" s="42"/>
      <c r="R2467" s="37"/>
      <c r="S2467" s="37"/>
      <c r="T2467" s="91"/>
      <c r="U2467" s="91"/>
      <c r="V2467" s="41"/>
      <c r="W2467" s="37"/>
      <c r="X2467" s="37"/>
      <c r="Y2467" s="43"/>
      <c r="Z2467" s="37"/>
      <c r="AA2467" s="37"/>
      <c r="AD2467" s="37"/>
      <c r="AE2467" s="37"/>
      <c r="AF2467" s="37"/>
    </row>
    <row r="2468" spans="1:32" x14ac:dyDescent="0.25">
      <c r="A2468" s="37"/>
      <c r="B2468" s="37"/>
      <c r="C2468" s="37"/>
      <c r="F2468" s="38"/>
      <c r="G2468" s="38"/>
      <c r="H2468" s="38"/>
      <c r="I2468" s="37"/>
      <c r="J2468" s="38"/>
      <c r="K2468" s="38"/>
      <c r="L2468" s="42"/>
      <c r="M2468" s="42"/>
      <c r="N2468" s="42"/>
      <c r="O2468" s="42"/>
      <c r="R2468" s="37"/>
      <c r="S2468" s="37"/>
      <c r="T2468" s="91"/>
      <c r="U2468" s="91"/>
      <c r="V2468" s="41"/>
      <c r="W2468" s="37"/>
      <c r="X2468" s="37"/>
      <c r="Y2468" s="43"/>
      <c r="Z2468" s="37"/>
      <c r="AA2468" s="37"/>
      <c r="AD2468" s="37"/>
      <c r="AE2468" s="37"/>
      <c r="AF2468" s="37"/>
    </row>
    <row r="2469" spans="1:32" x14ac:dyDescent="0.25">
      <c r="A2469" s="37"/>
      <c r="B2469" s="37"/>
      <c r="C2469" s="37"/>
      <c r="F2469" s="38"/>
      <c r="G2469" s="38"/>
      <c r="H2469" s="38"/>
      <c r="I2469" s="37"/>
      <c r="J2469" s="38"/>
      <c r="K2469" s="38"/>
      <c r="L2469" s="42"/>
      <c r="M2469" s="42"/>
      <c r="N2469" s="42"/>
      <c r="O2469" s="42"/>
      <c r="R2469" s="37"/>
      <c r="S2469" s="37"/>
      <c r="T2469" s="91"/>
      <c r="U2469" s="91"/>
      <c r="V2469" s="41"/>
      <c r="W2469" s="37"/>
      <c r="X2469" s="37"/>
      <c r="Y2469" s="43"/>
      <c r="Z2469" s="37"/>
      <c r="AA2469" s="37"/>
      <c r="AD2469" s="37"/>
      <c r="AE2469" s="37"/>
      <c r="AF2469" s="37"/>
    </row>
    <row r="2470" spans="1:32" x14ac:dyDescent="0.25">
      <c r="A2470" s="37"/>
      <c r="B2470" s="37"/>
      <c r="C2470" s="37"/>
      <c r="F2470" s="38"/>
      <c r="G2470" s="38"/>
      <c r="H2470" s="38"/>
      <c r="I2470" s="37"/>
      <c r="J2470" s="38"/>
      <c r="K2470" s="38"/>
      <c r="L2470" s="42"/>
      <c r="M2470" s="42"/>
      <c r="N2470" s="42"/>
      <c r="O2470" s="42"/>
      <c r="R2470" s="37"/>
      <c r="S2470" s="37"/>
      <c r="T2470" s="91"/>
      <c r="U2470" s="91"/>
      <c r="V2470" s="41"/>
      <c r="W2470" s="37"/>
      <c r="X2470" s="37"/>
      <c r="Y2470" s="43"/>
      <c r="Z2470" s="37"/>
      <c r="AA2470" s="37"/>
      <c r="AD2470" s="37"/>
      <c r="AE2470" s="37"/>
      <c r="AF2470" s="37"/>
    </row>
    <row r="2471" spans="1:32" x14ac:dyDescent="0.25">
      <c r="A2471" s="37"/>
      <c r="B2471" s="37"/>
      <c r="C2471" s="37"/>
      <c r="F2471" s="38"/>
      <c r="G2471" s="38"/>
      <c r="H2471" s="38"/>
      <c r="I2471" s="37"/>
      <c r="J2471" s="38"/>
      <c r="K2471" s="38"/>
      <c r="L2471" s="42"/>
      <c r="M2471" s="42"/>
      <c r="N2471" s="42"/>
      <c r="O2471" s="42"/>
      <c r="R2471" s="37"/>
      <c r="S2471" s="37"/>
      <c r="T2471" s="91"/>
      <c r="U2471" s="91"/>
      <c r="V2471" s="41"/>
      <c r="W2471" s="37"/>
      <c r="X2471" s="37"/>
      <c r="Y2471" s="43"/>
      <c r="Z2471" s="37"/>
      <c r="AA2471" s="37"/>
      <c r="AD2471" s="37"/>
      <c r="AE2471" s="37"/>
      <c r="AF2471" s="37"/>
    </row>
    <row r="2472" spans="1:32" x14ac:dyDescent="0.25">
      <c r="A2472" s="37"/>
      <c r="B2472" s="37"/>
      <c r="C2472" s="37"/>
      <c r="F2472" s="38"/>
      <c r="G2472" s="38"/>
      <c r="H2472" s="38"/>
      <c r="I2472" s="37"/>
      <c r="J2472" s="38"/>
      <c r="K2472" s="38"/>
      <c r="L2472" s="42"/>
      <c r="M2472" s="42"/>
      <c r="N2472" s="42"/>
      <c r="O2472" s="42"/>
      <c r="R2472" s="37"/>
      <c r="S2472" s="37"/>
      <c r="T2472" s="91"/>
      <c r="U2472" s="91"/>
      <c r="V2472" s="41"/>
      <c r="W2472" s="37"/>
      <c r="X2472" s="37"/>
      <c r="Y2472" s="43"/>
      <c r="Z2472" s="37"/>
      <c r="AA2472" s="37"/>
      <c r="AD2472" s="37"/>
      <c r="AE2472" s="37"/>
      <c r="AF2472" s="37"/>
    </row>
    <row r="2473" spans="1:32" x14ac:dyDescent="0.25">
      <c r="A2473" s="37"/>
      <c r="B2473" s="37"/>
      <c r="C2473" s="37"/>
      <c r="F2473" s="38"/>
      <c r="G2473" s="38"/>
      <c r="H2473" s="38"/>
      <c r="I2473" s="37"/>
      <c r="J2473" s="38"/>
      <c r="K2473" s="38"/>
      <c r="L2473" s="42"/>
      <c r="M2473" s="42"/>
      <c r="N2473" s="42"/>
      <c r="O2473" s="42"/>
      <c r="R2473" s="37"/>
      <c r="S2473" s="37"/>
      <c r="T2473" s="91"/>
      <c r="U2473" s="91"/>
      <c r="V2473" s="41"/>
      <c r="W2473" s="37"/>
      <c r="X2473" s="37"/>
      <c r="Y2473" s="43"/>
      <c r="Z2473" s="37"/>
      <c r="AA2473" s="37"/>
      <c r="AD2473" s="37"/>
      <c r="AE2473" s="37"/>
      <c r="AF2473" s="37"/>
    </row>
    <row r="2474" spans="1:32" x14ac:dyDescent="0.25">
      <c r="A2474" s="37"/>
      <c r="B2474" s="37"/>
      <c r="C2474" s="37"/>
      <c r="F2474" s="38"/>
      <c r="G2474" s="38"/>
      <c r="H2474" s="38"/>
      <c r="I2474" s="37"/>
      <c r="J2474" s="38"/>
      <c r="K2474" s="38"/>
      <c r="L2474" s="42"/>
      <c r="M2474" s="42"/>
      <c r="N2474" s="42"/>
      <c r="O2474" s="42"/>
      <c r="R2474" s="37"/>
      <c r="S2474" s="37"/>
      <c r="T2474" s="91"/>
      <c r="U2474" s="91"/>
      <c r="V2474" s="41"/>
      <c r="W2474" s="37"/>
      <c r="X2474" s="37"/>
      <c r="Y2474" s="43"/>
      <c r="Z2474" s="37"/>
      <c r="AA2474" s="37"/>
      <c r="AD2474" s="37"/>
      <c r="AE2474" s="37"/>
      <c r="AF2474" s="37"/>
    </row>
    <row r="2475" spans="1:32" x14ac:dyDescent="0.25">
      <c r="A2475" s="37"/>
      <c r="B2475" s="37"/>
      <c r="C2475" s="37"/>
      <c r="F2475" s="38"/>
      <c r="G2475" s="38"/>
      <c r="H2475" s="38"/>
      <c r="I2475" s="37"/>
      <c r="J2475" s="38"/>
      <c r="K2475" s="38"/>
      <c r="L2475" s="42"/>
      <c r="M2475" s="42"/>
      <c r="N2475" s="42"/>
      <c r="O2475" s="42"/>
      <c r="R2475" s="37"/>
      <c r="S2475" s="37"/>
      <c r="T2475" s="91"/>
      <c r="U2475" s="91"/>
      <c r="V2475" s="41"/>
      <c r="W2475" s="37"/>
      <c r="X2475" s="37"/>
      <c r="Y2475" s="43"/>
      <c r="Z2475" s="37"/>
      <c r="AA2475" s="37"/>
      <c r="AD2475" s="37"/>
      <c r="AE2475" s="37"/>
      <c r="AF2475" s="37"/>
    </row>
    <row r="2476" spans="1:32" x14ac:dyDescent="0.25">
      <c r="A2476" s="37"/>
      <c r="B2476" s="37"/>
      <c r="C2476" s="37"/>
      <c r="F2476" s="38"/>
      <c r="G2476" s="38"/>
      <c r="H2476" s="38"/>
      <c r="I2476" s="37"/>
      <c r="J2476" s="38"/>
      <c r="K2476" s="38"/>
      <c r="L2476" s="42"/>
      <c r="M2476" s="42"/>
      <c r="N2476" s="42"/>
      <c r="O2476" s="42"/>
      <c r="R2476" s="37"/>
      <c r="S2476" s="37"/>
      <c r="T2476" s="91"/>
      <c r="U2476" s="91"/>
      <c r="V2476" s="41"/>
      <c r="W2476" s="37"/>
      <c r="X2476" s="37"/>
      <c r="Y2476" s="43"/>
      <c r="Z2476" s="37"/>
      <c r="AA2476" s="37"/>
      <c r="AD2476" s="37"/>
      <c r="AE2476" s="37"/>
      <c r="AF2476" s="37"/>
    </row>
    <row r="2477" spans="1:32" x14ac:dyDescent="0.25">
      <c r="A2477" s="37"/>
      <c r="B2477" s="37"/>
      <c r="C2477" s="37"/>
      <c r="F2477" s="38"/>
      <c r="G2477" s="38"/>
      <c r="H2477" s="38"/>
      <c r="I2477" s="37"/>
      <c r="J2477" s="38"/>
      <c r="K2477" s="38"/>
      <c r="L2477" s="42"/>
      <c r="M2477" s="42"/>
      <c r="N2477" s="42"/>
      <c r="O2477" s="42"/>
      <c r="R2477" s="37"/>
      <c r="S2477" s="37"/>
      <c r="T2477" s="91"/>
      <c r="U2477" s="91"/>
      <c r="V2477" s="41"/>
      <c r="W2477" s="37"/>
      <c r="X2477" s="37"/>
      <c r="Y2477" s="43"/>
      <c r="Z2477" s="37"/>
      <c r="AA2477" s="37"/>
      <c r="AD2477" s="37"/>
      <c r="AE2477" s="37"/>
      <c r="AF2477" s="37"/>
    </row>
    <row r="2478" spans="1:32" x14ac:dyDescent="0.25">
      <c r="A2478" s="37"/>
      <c r="B2478" s="37"/>
      <c r="C2478" s="37"/>
      <c r="F2478" s="38"/>
      <c r="G2478" s="38"/>
      <c r="H2478" s="38"/>
      <c r="I2478" s="37"/>
      <c r="J2478" s="38"/>
      <c r="K2478" s="38"/>
      <c r="L2478" s="42"/>
      <c r="M2478" s="42"/>
      <c r="N2478" s="42"/>
      <c r="O2478" s="42"/>
      <c r="R2478" s="37"/>
      <c r="S2478" s="37"/>
      <c r="T2478" s="91"/>
      <c r="U2478" s="91"/>
      <c r="V2478" s="41"/>
      <c r="W2478" s="37"/>
      <c r="X2478" s="37"/>
      <c r="Y2478" s="43"/>
      <c r="Z2478" s="37"/>
      <c r="AA2478" s="37"/>
      <c r="AD2478" s="37"/>
      <c r="AE2478" s="37"/>
      <c r="AF2478" s="37"/>
    </row>
    <row r="2479" spans="1:32" x14ac:dyDescent="0.25">
      <c r="A2479" s="37"/>
      <c r="B2479" s="37"/>
      <c r="C2479" s="37"/>
      <c r="F2479" s="38"/>
      <c r="G2479" s="38"/>
      <c r="H2479" s="38"/>
      <c r="I2479" s="37"/>
      <c r="J2479" s="38"/>
      <c r="K2479" s="38"/>
      <c r="L2479" s="42"/>
      <c r="M2479" s="42"/>
      <c r="N2479" s="42"/>
      <c r="O2479" s="42"/>
      <c r="R2479" s="37"/>
      <c r="S2479" s="37"/>
      <c r="T2479" s="91"/>
      <c r="U2479" s="91"/>
      <c r="V2479" s="41"/>
      <c r="W2479" s="37"/>
      <c r="X2479" s="37"/>
      <c r="Y2479" s="43"/>
      <c r="Z2479" s="37"/>
      <c r="AA2479" s="37"/>
      <c r="AD2479" s="37"/>
      <c r="AE2479" s="37"/>
      <c r="AF2479" s="37"/>
    </row>
    <row r="2480" spans="1:32" x14ac:dyDescent="0.25">
      <c r="A2480" s="37"/>
      <c r="B2480" s="37"/>
      <c r="C2480" s="37"/>
      <c r="F2480" s="38"/>
      <c r="G2480" s="38"/>
      <c r="H2480" s="38"/>
      <c r="I2480" s="37"/>
      <c r="J2480" s="38"/>
      <c r="K2480" s="38"/>
      <c r="L2480" s="42"/>
      <c r="M2480" s="42"/>
      <c r="N2480" s="42"/>
      <c r="O2480" s="42"/>
      <c r="R2480" s="37"/>
      <c r="S2480" s="37"/>
      <c r="T2480" s="91"/>
      <c r="U2480" s="91"/>
      <c r="V2480" s="41"/>
      <c r="W2480" s="37"/>
      <c r="X2480" s="37"/>
      <c r="Y2480" s="43"/>
      <c r="Z2480" s="37"/>
      <c r="AA2480" s="37"/>
      <c r="AD2480" s="37"/>
      <c r="AE2480" s="37"/>
      <c r="AF2480" s="37"/>
    </row>
    <row r="2481" spans="1:32" x14ac:dyDescent="0.25">
      <c r="A2481" s="37"/>
      <c r="B2481" s="37"/>
      <c r="C2481" s="37"/>
      <c r="F2481" s="38"/>
      <c r="G2481" s="38"/>
      <c r="H2481" s="38"/>
      <c r="I2481" s="37"/>
      <c r="J2481" s="38"/>
      <c r="K2481" s="38"/>
      <c r="L2481" s="42"/>
      <c r="M2481" s="42"/>
      <c r="N2481" s="42"/>
      <c r="O2481" s="42"/>
      <c r="R2481" s="37"/>
      <c r="S2481" s="37"/>
      <c r="T2481" s="91"/>
      <c r="U2481" s="91"/>
      <c r="V2481" s="41"/>
      <c r="W2481" s="37"/>
      <c r="X2481" s="37"/>
      <c r="Y2481" s="43"/>
      <c r="Z2481" s="37"/>
      <c r="AA2481" s="37"/>
      <c r="AD2481" s="37"/>
      <c r="AE2481" s="37"/>
      <c r="AF2481" s="37"/>
    </row>
    <row r="2482" spans="1:32" x14ac:dyDescent="0.25">
      <c r="A2482" s="37"/>
      <c r="B2482" s="37"/>
      <c r="C2482" s="37"/>
      <c r="F2482" s="38"/>
      <c r="G2482" s="38"/>
      <c r="H2482" s="38"/>
      <c r="I2482" s="37"/>
      <c r="J2482" s="38"/>
      <c r="K2482" s="38"/>
      <c r="L2482" s="42"/>
      <c r="M2482" s="42"/>
      <c r="N2482" s="42"/>
      <c r="O2482" s="42"/>
      <c r="R2482" s="37"/>
      <c r="S2482" s="37"/>
      <c r="T2482" s="91"/>
      <c r="U2482" s="91"/>
      <c r="V2482" s="41"/>
      <c r="W2482" s="37"/>
      <c r="X2482" s="37"/>
      <c r="Y2482" s="43"/>
      <c r="Z2482" s="37"/>
      <c r="AA2482" s="37"/>
      <c r="AD2482" s="37"/>
      <c r="AE2482" s="37"/>
      <c r="AF2482" s="37"/>
    </row>
    <row r="2483" spans="1:32" x14ac:dyDescent="0.25">
      <c r="A2483" s="37"/>
      <c r="B2483" s="37"/>
      <c r="C2483" s="37"/>
      <c r="F2483" s="38"/>
      <c r="G2483" s="38"/>
      <c r="H2483" s="38"/>
      <c r="I2483" s="37"/>
      <c r="J2483" s="38"/>
      <c r="K2483" s="38"/>
      <c r="L2483" s="42"/>
      <c r="M2483" s="42"/>
      <c r="N2483" s="42"/>
      <c r="O2483" s="42"/>
      <c r="R2483" s="37"/>
      <c r="S2483" s="37"/>
      <c r="T2483" s="91"/>
      <c r="U2483" s="91"/>
      <c r="V2483" s="41"/>
      <c r="W2483" s="37"/>
      <c r="X2483" s="37"/>
      <c r="Y2483" s="43"/>
      <c r="Z2483" s="37"/>
      <c r="AA2483" s="37"/>
      <c r="AD2483" s="37"/>
      <c r="AE2483" s="37"/>
      <c r="AF2483" s="37"/>
    </row>
    <row r="2484" spans="1:32" x14ac:dyDescent="0.25">
      <c r="A2484" s="37"/>
      <c r="B2484" s="37"/>
      <c r="C2484" s="37"/>
      <c r="F2484" s="38"/>
      <c r="G2484" s="38"/>
      <c r="H2484" s="38"/>
      <c r="I2484" s="37"/>
      <c r="J2484" s="38"/>
      <c r="K2484" s="38"/>
      <c r="L2484" s="42"/>
      <c r="M2484" s="42"/>
      <c r="N2484" s="42"/>
      <c r="O2484" s="42"/>
      <c r="R2484" s="37"/>
      <c r="S2484" s="37"/>
      <c r="T2484" s="91"/>
      <c r="U2484" s="91"/>
      <c r="V2484" s="41"/>
      <c r="W2484" s="37"/>
      <c r="X2484" s="37"/>
      <c r="Y2484" s="43"/>
      <c r="Z2484" s="37"/>
      <c r="AA2484" s="37"/>
      <c r="AD2484" s="37"/>
      <c r="AE2484" s="37"/>
      <c r="AF2484" s="37"/>
    </row>
    <row r="2485" spans="1:32" x14ac:dyDescent="0.25">
      <c r="A2485" s="37"/>
      <c r="B2485" s="37"/>
      <c r="C2485" s="37"/>
      <c r="F2485" s="38"/>
      <c r="G2485" s="38"/>
      <c r="H2485" s="38"/>
      <c r="I2485" s="37"/>
      <c r="J2485" s="38"/>
      <c r="K2485" s="38"/>
      <c r="L2485" s="42"/>
      <c r="M2485" s="42"/>
      <c r="N2485" s="42"/>
      <c r="O2485" s="42"/>
      <c r="R2485" s="37"/>
      <c r="S2485" s="37"/>
      <c r="T2485" s="91"/>
      <c r="U2485" s="91"/>
      <c r="V2485" s="41"/>
      <c r="W2485" s="37"/>
      <c r="X2485" s="37"/>
      <c r="Y2485" s="43"/>
      <c r="Z2485" s="37"/>
      <c r="AA2485" s="37"/>
      <c r="AD2485" s="37"/>
      <c r="AE2485" s="37"/>
      <c r="AF2485" s="37"/>
    </row>
    <row r="2486" spans="1:32" x14ac:dyDescent="0.25">
      <c r="A2486" s="37"/>
      <c r="B2486" s="37"/>
      <c r="C2486" s="37"/>
      <c r="F2486" s="38"/>
      <c r="G2486" s="38"/>
      <c r="H2486" s="38"/>
      <c r="I2486" s="37"/>
      <c r="J2486" s="38"/>
      <c r="K2486" s="38"/>
      <c r="L2486" s="42"/>
      <c r="M2486" s="42"/>
      <c r="N2486" s="42"/>
      <c r="O2486" s="42"/>
      <c r="R2486" s="37"/>
      <c r="S2486" s="37"/>
      <c r="T2486" s="91"/>
      <c r="U2486" s="91"/>
      <c r="V2486" s="41"/>
      <c r="W2486" s="37"/>
      <c r="X2486" s="37"/>
      <c r="Y2486" s="43"/>
      <c r="Z2486" s="37"/>
      <c r="AA2486" s="37"/>
      <c r="AD2486" s="37"/>
      <c r="AE2486" s="37"/>
      <c r="AF2486" s="37"/>
    </row>
    <row r="2487" spans="1:32" x14ac:dyDescent="0.25">
      <c r="A2487" s="37"/>
      <c r="B2487" s="37"/>
      <c r="C2487" s="37"/>
      <c r="F2487" s="38"/>
      <c r="G2487" s="38"/>
      <c r="H2487" s="38"/>
      <c r="I2487" s="37"/>
      <c r="J2487" s="38"/>
      <c r="K2487" s="38"/>
      <c r="L2487" s="42"/>
      <c r="M2487" s="42"/>
      <c r="N2487" s="42"/>
      <c r="O2487" s="42"/>
      <c r="R2487" s="37"/>
      <c r="S2487" s="37"/>
      <c r="T2487" s="91"/>
      <c r="U2487" s="91"/>
      <c r="V2487" s="41"/>
      <c r="W2487" s="37"/>
      <c r="X2487" s="37"/>
      <c r="Y2487" s="43"/>
      <c r="Z2487" s="37"/>
      <c r="AA2487" s="37"/>
      <c r="AD2487" s="37"/>
      <c r="AE2487" s="37"/>
      <c r="AF2487" s="37"/>
    </row>
    <row r="2488" spans="1:32" x14ac:dyDescent="0.25">
      <c r="A2488" s="37"/>
      <c r="B2488" s="37"/>
      <c r="C2488" s="37"/>
      <c r="F2488" s="38"/>
      <c r="G2488" s="38"/>
      <c r="H2488" s="38"/>
      <c r="I2488" s="37"/>
      <c r="J2488" s="38"/>
      <c r="K2488" s="38"/>
      <c r="L2488" s="42"/>
      <c r="M2488" s="42"/>
      <c r="N2488" s="42"/>
      <c r="O2488" s="42"/>
      <c r="R2488" s="37"/>
      <c r="S2488" s="37"/>
      <c r="T2488" s="91"/>
      <c r="U2488" s="91"/>
      <c r="V2488" s="41"/>
      <c r="W2488" s="37"/>
      <c r="X2488" s="37"/>
      <c r="Y2488" s="43"/>
      <c r="Z2488" s="37"/>
      <c r="AA2488" s="37"/>
      <c r="AD2488" s="37"/>
      <c r="AE2488" s="37"/>
      <c r="AF2488" s="37"/>
    </row>
    <row r="2489" spans="1:32" x14ac:dyDescent="0.25">
      <c r="A2489" s="37"/>
      <c r="B2489" s="37"/>
      <c r="C2489" s="37"/>
      <c r="F2489" s="38"/>
      <c r="G2489" s="38"/>
      <c r="H2489" s="38"/>
      <c r="I2489" s="37"/>
      <c r="J2489" s="38"/>
      <c r="K2489" s="38"/>
      <c r="L2489" s="42"/>
      <c r="M2489" s="42"/>
      <c r="N2489" s="42"/>
      <c r="O2489" s="42"/>
      <c r="R2489" s="37"/>
      <c r="S2489" s="37"/>
      <c r="T2489" s="91"/>
      <c r="U2489" s="91"/>
      <c r="V2489" s="41"/>
      <c r="W2489" s="37"/>
      <c r="X2489" s="37"/>
      <c r="Y2489" s="43"/>
      <c r="Z2489" s="37"/>
      <c r="AA2489" s="37"/>
      <c r="AD2489" s="37"/>
      <c r="AE2489" s="37"/>
      <c r="AF2489" s="37"/>
    </row>
    <row r="2490" spans="1:32" x14ac:dyDescent="0.25">
      <c r="A2490" s="37"/>
      <c r="B2490" s="37"/>
      <c r="C2490" s="37"/>
      <c r="F2490" s="38"/>
      <c r="G2490" s="38"/>
      <c r="H2490" s="38"/>
      <c r="I2490" s="37"/>
      <c r="J2490" s="38"/>
      <c r="K2490" s="38"/>
      <c r="L2490" s="42"/>
      <c r="M2490" s="42"/>
      <c r="N2490" s="42"/>
      <c r="O2490" s="42"/>
      <c r="R2490" s="37"/>
      <c r="S2490" s="37"/>
      <c r="T2490" s="91"/>
      <c r="U2490" s="91"/>
      <c r="V2490" s="41"/>
      <c r="W2490" s="37"/>
      <c r="X2490" s="37"/>
      <c r="Y2490" s="43"/>
      <c r="Z2490" s="37"/>
      <c r="AA2490" s="37"/>
      <c r="AD2490" s="37"/>
      <c r="AE2490" s="37"/>
      <c r="AF2490" s="37"/>
    </row>
    <row r="2491" spans="1:32" x14ac:dyDescent="0.25">
      <c r="A2491" s="37"/>
      <c r="B2491" s="37"/>
      <c r="C2491" s="37"/>
      <c r="F2491" s="38"/>
      <c r="G2491" s="38"/>
      <c r="H2491" s="38"/>
      <c r="I2491" s="37"/>
      <c r="J2491" s="38"/>
      <c r="K2491" s="38"/>
      <c r="L2491" s="42"/>
      <c r="M2491" s="42"/>
      <c r="N2491" s="42"/>
      <c r="O2491" s="42"/>
      <c r="R2491" s="37"/>
      <c r="S2491" s="37"/>
      <c r="T2491" s="91"/>
      <c r="U2491" s="91"/>
      <c r="V2491" s="41"/>
      <c r="W2491" s="37"/>
      <c r="X2491" s="37"/>
      <c r="Y2491" s="43"/>
      <c r="Z2491" s="37"/>
      <c r="AA2491" s="37"/>
      <c r="AD2491" s="37"/>
      <c r="AE2491" s="37"/>
      <c r="AF2491" s="37"/>
    </row>
    <row r="2492" spans="1:32" x14ac:dyDescent="0.25">
      <c r="A2492" s="37"/>
      <c r="B2492" s="37"/>
      <c r="C2492" s="37"/>
      <c r="F2492" s="38"/>
      <c r="G2492" s="38"/>
      <c r="H2492" s="38"/>
      <c r="I2492" s="37"/>
      <c r="J2492" s="38"/>
      <c r="K2492" s="38"/>
      <c r="L2492" s="42"/>
      <c r="M2492" s="42"/>
      <c r="N2492" s="42"/>
      <c r="O2492" s="42"/>
      <c r="R2492" s="37"/>
      <c r="S2492" s="37"/>
      <c r="T2492" s="91"/>
      <c r="U2492" s="91"/>
      <c r="V2492" s="41"/>
      <c r="W2492" s="37"/>
      <c r="X2492" s="37"/>
      <c r="Y2492" s="43"/>
      <c r="Z2492" s="37"/>
      <c r="AA2492" s="37"/>
      <c r="AD2492" s="37"/>
      <c r="AE2492" s="37"/>
      <c r="AF2492" s="37"/>
    </row>
    <row r="2493" spans="1:32" x14ac:dyDescent="0.25">
      <c r="A2493" s="37"/>
      <c r="B2493" s="37"/>
      <c r="C2493" s="37"/>
      <c r="F2493" s="38"/>
      <c r="G2493" s="38"/>
      <c r="H2493" s="38"/>
      <c r="I2493" s="37"/>
      <c r="J2493" s="38"/>
      <c r="K2493" s="38"/>
      <c r="L2493" s="42"/>
      <c r="M2493" s="42"/>
      <c r="N2493" s="42"/>
      <c r="O2493" s="42"/>
      <c r="R2493" s="37"/>
      <c r="S2493" s="37"/>
      <c r="T2493" s="91"/>
      <c r="U2493" s="91"/>
      <c r="V2493" s="41"/>
      <c r="W2493" s="37"/>
      <c r="X2493" s="37"/>
      <c r="Y2493" s="43"/>
      <c r="Z2493" s="37"/>
      <c r="AA2493" s="37"/>
      <c r="AD2493" s="37"/>
      <c r="AE2493" s="37"/>
      <c r="AF2493" s="37"/>
    </row>
    <row r="2494" spans="1:32" x14ac:dyDescent="0.25">
      <c r="A2494" s="37"/>
      <c r="B2494" s="37"/>
      <c r="C2494" s="37"/>
      <c r="F2494" s="38"/>
      <c r="G2494" s="38"/>
      <c r="H2494" s="38"/>
      <c r="I2494" s="37"/>
      <c r="J2494" s="38"/>
      <c r="K2494" s="38"/>
      <c r="L2494" s="42"/>
      <c r="M2494" s="42"/>
      <c r="N2494" s="42"/>
      <c r="O2494" s="42"/>
      <c r="R2494" s="37"/>
      <c r="S2494" s="37"/>
      <c r="T2494" s="91"/>
      <c r="U2494" s="91"/>
      <c r="V2494" s="41"/>
      <c r="W2494" s="37"/>
      <c r="X2494" s="37"/>
      <c r="Y2494" s="43"/>
      <c r="Z2494" s="37"/>
      <c r="AA2494" s="37"/>
      <c r="AD2494" s="37"/>
      <c r="AE2494" s="37"/>
      <c r="AF2494" s="37"/>
    </row>
    <row r="2495" spans="1:32" x14ac:dyDescent="0.25">
      <c r="A2495" s="37"/>
      <c r="B2495" s="37"/>
      <c r="C2495" s="37"/>
      <c r="F2495" s="38"/>
      <c r="G2495" s="38"/>
      <c r="H2495" s="38"/>
      <c r="I2495" s="37"/>
      <c r="J2495" s="38"/>
      <c r="K2495" s="38"/>
      <c r="L2495" s="42"/>
      <c r="M2495" s="42"/>
      <c r="N2495" s="42"/>
      <c r="O2495" s="42"/>
      <c r="R2495" s="37"/>
      <c r="S2495" s="37"/>
      <c r="T2495" s="91"/>
      <c r="U2495" s="91"/>
      <c r="V2495" s="41"/>
      <c r="W2495" s="37"/>
      <c r="X2495" s="37"/>
      <c r="Y2495" s="43"/>
      <c r="Z2495" s="37"/>
      <c r="AA2495" s="37"/>
      <c r="AD2495" s="37"/>
      <c r="AE2495" s="37"/>
      <c r="AF2495" s="37"/>
    </row>
    <row r="2496" spans="1:32" x14ac:dyDescent="0.25">
      <c r="A2496" s="37"/>
      <c r="B2496" s="37"/>
      <c r="C2496" s="37"/>
      <c r="F2496" s="38"/>
      <c r="G2496" s="38"/>
      <c r="H2496" s="38"/>
      <c r="I2496" s="37"/>
      <c r="J2496" s="38"/>
      <c r="K2496" s="38"/>
      <c r="L2496" s="42"/>
      <c r="M2496" s="42"/>
      <c r="N2496" s="42"/>
      <c r="O2496" s="42"/>
      <c r="R2496" s="37"/>
      <c r="S2496" s="37"/>
      <c r="T2496" s="91"/>
      <c r="U2496" s="91"/>
      <c r="V2496" s="41"/>
      <c r="W2496" s="37"/>
      <c r="X2496" s="37"/>
      <c r="Y2496" s="43"/>
      <c r="Z2496" s="37"/>
      <c r="AA2496" s="37"/>
      <c r="AD2496" s="37"/>
      <c r="AE2496" s="37"/>
      <c r="AF2496" s="37"/>
    </row>
    <row r="2497" spans="1:32" x14ac:dyDescent="0.25">
      <c r="A2497" s="37"/>
      <c r="B2497" s="37"/>
      <c r="C2497" s="37"/>
      <c r="F2497" s="38"/>
      <c r="G2497" s="38"/>
      <c r="H2497" s="38"/>
      <c r="I2497" s="37"/>
      <c r="J2497" s="38"/>
      <c r="K2497" s="38"/>
      <c r="L2497" s="42"/>
      <c r="M2497" s="42"/>
      <c r="N2497" s="42"/>
      <c r="O2497" s="42"/>
      <c r="R2497" s="37"/>
      <c r="S2497" s="37"/>
      <c r="T2497" s="91"/>
      <c r="U2497" s="91"/>
      <c r="V2497" s="41"/>
      <c r="W2497" s="37"/>
      <c r="X2497" s="37"/>
      <c r="Y2497" s="43"/>
      <c r="Z2497" s="37"/>
      <c r="AA2497" s="37"/>
      <c r="AD2497" s="37"/>
      <c r="AE2497" s="37"/>
      <c r="AF2497" s="37"/>
    </row>
    <row r="2498" spans="1:32" x14ac:dyDescent="0.25">
      <c r="A2498" s="37"/>
      <c r="B2498" s="37"/>
      <c r="C2498" s="37"/>
      <c r="F2498" s="38"/>
      <c r="G2498" s="38"/>
      <c r="H2498" s="38"/>
      <c r="I2498" s="37"/>
      <c r="J2498" s="38"/>
      <c r="K2498" s="38"/>
      <c r="L2498" s="42"/>
      <c r="M2498" s="42"/>
      <c r="N2498" s="42"/>
      <c r="O2498" s="42"/>
      <c r="R2498" s="37"/>
      <c r="S2498" s="37"/>
      <c r="T2498" s="91"/>
      <c r="U2498" s="91"/>
      <c r="V2498" s="41"/>
      <c r="W2498" s="37"/>
      <c r="X2498" s="37"/>
      <c r="Y2498" s="43"/>
      <c r="Z2498" s="37"/>
      <c r="AA2498" s="37"/>
      <c r="AD2498" s="37"/>
      <c r="AE2498" s="37"/>
      <c r="AF2498" s="37"/>
    </row>
    <row r="2499" spans="1:32" x14ac:dyDescent="0.25">
      <c r="A2499" s="37"/>
      <c r="B2499" s="37"/>
      <c r="C2499" s="37"/>
      <c r="F2499" s="38"/>
      <c r="G2499" s="38"/>
      <c r="H2499" s="38"/>
      <c r="I2499" s="37"/>
      <c r="J2499" s="38"/>
      <c r="K2499" s="38"/>
      <c r="L2499" s="42"/>
      <c r="M2499" s="42"/>
      <c r="N2499" s="42"/>
      <c r="O2499" s="42"/>
      <c r="R2499" s="37"/>
      <c r="S2499" s="37"/>
      <c r="T2499" s="91"/>
      <c r="U2499" s="91"/>
      <c r="V2499" s="41"/>
      <c r="W2499" s="37"/>
      <c r="X2499" s="37"/>
      <c r="Y2499" s="43"/>
      <c r="Z2499" s="37"/>
      <c r="AA2499" s="37"/>
      <c r="AD2499" s="37"/>
      <c r="AE2499" s="37"/>
      <c r="AF2499" s="37"/>
    </row>
    <row r="2500" spans="1:32" x14ac:dyDescent="0.25">
      <c r="A2500" s="37"/>
      <c r="B2500" s="37"/>
      <c r="C2500" s="37"/>
      <c r="F2500" s="38"/>
      <c r="G2500" s="38"/>
      <c r="H2500" s="38"/>
      <c r="I2500" s="37"/>
      <c r="J2500" s="38"/>
      <c r="K2500" s="38"/>
      <c r="L2500" s="42"/>
      <c r="M2500" s="42"/>
      <c r="N2500" s="42"/>
      <c r="O2500" s="42"/>
      <c r="R2500" s="37"/>
      <c r="S2500" s="37"/>
      <c r="T2500" s="91"/>
      <c r="U2500" s="91"/>
      <c r="V2500" s="41"/>
      <c r="W2500" s="37"/>
      <c r="X2500" s="37"/>
      <c r="Y2500" s="43"/>
      <c r="Z2500" s="37"/>
      <c r="AA2500" s="37"/>
      <c r="AD2500" s="37"/>
      <c r="AE2500" s="37"/>
      <c r="AF2500" s="37"/>
    </row>
    <row r="2501" spans="1:32" x14ac:dyDescent="0.25">
      <c r="A2501" s="37"/>
      <c r="B2501" s="37"/>
      <c r="C2501" s="37"/>
      <c r="F2501" s="38"/>
      <c r="G2501" s="38"/>
      <c r="H2501" s="38"/>
      <c r="I2501" s="37"/>
      <c r="J2501" s="38"/>
      <c r="K2501" s="38"/>
      <c r="L2501" s="42"/>
      <c r="M2501" s="42"/>
      <c r="N2501" s="42"/>
      <c r="O2501" s="42"/>
      <c r="R2501" s="37"/>
      <c r="S2501" s="37"/>
      <c r="T2501" s="91"/>
      <c r="U2501" s="91"/>
      <c r="V2501" s="41"/>
      <c r="W2501" s="37"/>
      <c r="X2501" s="37"/>
      <c r="Y2501" s="43"/>
      <c r="Z2501" s="37"/>
      <c r="AA2501" s="37"/>
      <c r="AD2501" s="37"/>
      <c r="AE2501" s="37"/>
      <c r="AF2501" s="37"/>
    </row>
    <row r="2502" spans="1:32" x14ac:dyDescent="0.25">
      <c r="A2502" s="37"/>
      <c r="B2502" s="37"/>
      <c r="C2502" s="37"/>
      <c r="F2502" s="38"/>
      <c r="G2502" s="38"/>
      <c r="H2502" s="38"/>
      <c r="I2502" s="37"/>
      <c r="J2502" s="38"/>
      <c r="K2502" s="38"/>
      <c r="L2502" s="42"/>
      <c r="M2502" s="42"/>
      <c r="N2502" s="42"/>
      <c r="O2502" s="42"/>
      <c r="R2502" s="37"/>
      <c r="S2502" s="37"/>
      <c r="T2502" s="91"/>
      <c r="U2502" s="91"/>
      <c r="V2502" s="41"/>
      <c r="W2502" s="37"/>
      <c r="X2502" s="37"/>
      <c r="Y2502" s="43"/>
      <c r="Z2502" s="37"/>
      <c r="AA2502" s="37"/>
      <c r="AD2502" s="37"/>
      <c r="AE2502" s="37"/>
      <c r="AF2502" s="37"/>
    </row>
    <row r="2503" spans="1:32" x14ac:dyDescent="0.25">
      <c r="A2503" s="37"/>
      <c r="B2503" s="37"/>
      <c r="C2503" s="37"/>
      <c r="F2503" s="38"/>
      <c r="G2503" s="38"/>
      <c r="H2503" s="38"/>
      <c r="I2503" s="37"/>
      <c r="J2503" s="38"/>
      <c r="K2503" s="38"/>
      <c r="L2503" s="42"/>
      <c r="M2503" s="42"/>
      <c r="N2503" s="42"/>
      <c r="O2503" s="42"/>
      <c r="R2503" s="37"/>
      <c r="S2503" s="37"/>
      <c r="T2503" s="91"/>
      <c r="U2503" s="91"/>
      <c r="V2503" s="41"/>
      <c r="W2503" s="37"/>
      <c r="X2503" s="37"/>
      <c r="Y2503" s="43"/>
      <c r="Z2503" s="37"/>
      <c r="AA2503" s="37"/>
      <c r="AD2503" s="37"/>
      <c r="AE2503" s="37"/>
      <c r="AF2503" s="37"/>
    </row>
    <row r="2504" spans="1:32" x14ac:dyDescent="0.25">
      <c r="A2504" s="37"/>
      <c r="B2504" s="37"/>
      <c r="C2504" s="37"/>
      <c r="F2504" s="38"/>
      <c r="G2504" s="38"/>
      <c r="H2504" s="38"/>
      <c r="I2504" s="37"/>
      <c r="J2504" s="38"/>
      <c r="K2504" s="38"/>
      <c r="L2504" s="42"/>
      <c r="M2504" s="42"/>
      <c r="N2504" s="42"/>
      <c r="O2504" s="42"/>
      <c r="R2504" s="37"/>
      <c r="S2504" s="37"/>
      <c r="T2504" s="91"/>
      <c r="U2504" s="91"/>
      <c r="V2504" s="41"/>
      <c r="W2504" s="37"/>
      <c r="X2504" s="37"/>
      <c r="Y2504" s="43"/>
      <c r="Z2504" s="37"/>
      <c r="AA2504" s="37"/>
      <c r="AD2504" s="37"/>
      <c r="AE2504" s="37"/>
      <c r="AF2504" s="37"/>
    </row>
    <row r="2505" spans="1:32" x14ac:dyDescent="0.25">
      <c r="A2505" s="37"/>
      <c r="B2505" s="37"/>
      <c r="C2505" s="37"/>
      <c r="F2505" s="38"/>
      <c r="G2505" s="38"/>
      <c r="H2505" s="38"/>
      <c r="I2505" s="37"/>
      <c r="J2505" s="38"/>
      <c r="K2505" s="38"/>
      <c r="L2505" s="42"/>
      <c r="M2505" s="42"/>
      <c r="N2505" s="42"/>
      <c r="O2505" s="42"/>
      <c r="R2505" s="37"/>
      <c r="S2505" s="37"/>
      <c r="T2505" s="91"/>
      <c r="U2505" s="91"/>
      <c r="V2505" s="41"/>
      <c r="W2505" s="37"/>
      <c r="X2505" s="37"/>
      <c r="Y2505" s="43"/>
      <c r="Z2505" s="37"/>
      <c r="AA2505" s="37"/>
      <c r="AD2505" s="37"/>
      <c r="AE2505" s="37"/>
      <c r="AF2505" s="37"/>
    </row>
    <row r="2506" spans="1:32" x14ac:dyDescent="0.25">
      <c r="A2506" s="37"/>
      <c r="B2506" s="37"/>
      <c r="C2506" s="37"/>
      <c r="F2506" s="38"/>
      <c r="G2506" s="38"/>
      <c r="H2506" s="38"/>
      <c r="I2506" s="37"/>
      <c r="J2506" s="38"/>
      <c r="K2506" s="38"/>
      <c r="L2506" s="42"/>
      <c r="M2506" s="42"/>
      <c r="N2506" s="42"/>
      <c r="O2506" s="42"/>
      <c r="R2506" s="37"/>
      <c r="S2506" s="37"/>
      <c r="T2506" s="91"/>
      <c r="U2506" s="91"/>
      <c r="V2506" s="41"/>
      <c r="W2506" s="37"/>
      <c r="X2506" s="37"/>
      <c r="Y2506" s="43"/>
      <c r="Z2506" s="37"/>
      <c r="AA2506" s="37"/>
      <c r="AD2506" s="37"/>
      <c r="AE2506" s="37"/>
      <c r="AF2506" s="37"/>
    </row>
    <row r="2507" spans="1:32" x14ac:dyDescent="0.25">
      <c r="A2507" s="37"/>
      <c r="B2507" s="37"/>
      <c r="C2507" s="37"/>
      <c r="F2507" s="38"/>
      <c r="G2507" s="38"/>
      <c r="H2507" s="38"/>
      <c r="I2507" s="37"/>
      <c r="J2507" s="38"/>
      <c r="K2507" s="38"/>
      <c r="L2507" s="42"/>
      <c r="M2507" s="42"/>
      <c r="N2507" s="42"/>
      <c r="O2507" s="42"/>
      <c r="R2507" s="37"/>
      <c r="S2507" s="37"/>
      <c r="T2507" s="91"/>
      <c r="U2507" s="91"/>
      <c r="V2507" s="41"/>
      <c r="W2507" s="37"/>
      <c r="X2507" s="37"/>
      <c r="Y2507" s="43"/>
      <c r="Z2507" s="37"/>
      <c r="AA2507" s="37"/>
      <c r="AD2507" s="37"/>
      <c r="AE2507" s="37"/>
      <c r="AF2507" s="37"/>
    </row>
    <row r="2508" spans="1:32" x14ac:dyDescent="0.25">
      <c r="A2508" s="37"/>
      <c r="B2508" s="37"/>
      <c r="C2508" s="37"/>
      <c r="F2508" s="38"/>
      <c r="G2508" s="38"/>
      <c r="H2508" s="38"/>
      <c r="I2508" s="37"/>
      <c r="J2508" s="38"/>
      <c r="K2508" s="38"/>
      <c r="L2508" s="42"/>
      <c r="M2508" s="42"/>
      <c r="N2508" s="42"/>
      <c r="O2508" s="42"/>
      <c r="R2508" s="37"/>
      <c r="S2508" s="37"/>
      <c r="T2508" s="91"/>
      <c r="U2508" s="91"/>
      <c r="V2508" s="41"/>
      <c r="W2508" s="37"/>
      <c r="X2508" s="37"/>
      <c r="Y2508" s="43"/>
      <c r="Z2508" s="37"/>
      <c r="AA2508" s="37"/>
      <c r="AD2508" s="37"/>
      <c r="AE2508" s="37"/>
      <c r="AF2508" s="37"/>
    </row>
    <row r="2509" spans="1:32" x14ac:dyDescent="0.25">
      <c r="A2509" s="37"/>
      <c r="B2509" s="37"/>
      <c r="C2509" s="37"/>
      <c r="F2509" s="38"/>
      <c r="G2509" s="38"/>
      <c r="H2509" s="38"/>
      <c r="I2509" s="37"/>
      <c r="J2509" s="38"/>
      <c r="K2509" s="38"/>
      <c r="L2509" s="42"/>
      <c r="M2509" s="42"/>
      <c r="N2509" s="42"/>
      <c r="O2509" s="42"/>
      <c r="R2509" s="37"/>
      <c r="S2509" s="37"/>
      <c r="T2509" s="91"/>
      <c r="U2509" s="91"/>
      <c r="V2509" s="41"/>
      <c r="W2509" s="37"/>
      <c r="X2509" s="37"/>
      <c r="Y2509" s="43"/>
      <c r="Z2509" s="37"/>
      <c r="AA2509" s="37"/>
      <c r="AD2509" s="37"/>
      <c r="AE2509" s="37"/>
      <c r="AF2509" s="37"/>
    </row>
    <row r="2510" spans="1:32" x14ac:dyDescent="0.25">
      <c r="A2510" s="37"/>
      <c r="B2510" s="37"/>
      <c r="C2510" s="37"/>
      <c r="F2510" s="38"/>
      <c r="G2510" s="38"/>
      <c r="H2510" s="38"/>
      <c r="I2510" s="37"/>
      <c r="J2510" s="38"/>
      <c r="K2510" s="38"/>
      <c r="L2510" s="42"/>
      <c r="M2510" s="42"/>
      <c r="N2510" s="42"/>
      <c r="O2510" s="42"/>
      <c r="R2510" s="37"/>
      <c r="S2510" s="37"/>
      <c r="T2510" s="91"/>
      <c r="U2510" s="91"/>
      <c r="V2510" s="41"/>
      <c r="W2510" s="37"/>
      <c r="X2510" s="37"/>
      <c r="Y2510" s="43"/>
      <c r="Z2510" s="37"/>
      <c r="AA2510" s="37"/>
      <c r="AD2510" s="37"/>
      <c r="AE2510" s="37"/>
      <c r="AF2510" s="37"/>
    </row>
    <row r="2511" spans="1:32" x14ac:dyDescent="0.25">
      <c r="A2511" s="37"/>
      <c r="B2511" s="37"/>
      <c r="C2511" s="37"/>
      <c r="F2511" s="38"/>
      <c r="G2511" s="38"/>
      <c r="H2511" s="38"/>
      <c r="I2511" s="37"/>
      <c r="J2511" s="38"/>
      <c r="K2511" s="38"/>
      <c r="L2511" s="42"/>
      <c r="M2511" s="42"/>
      <c r="N2511" s="42"/>
      <c r="O2511" s="42"/>
      <c r="R2511" s="37"/>
      <c r="S2511" s="37"/>
      <c r="T2511" s="91"/>
      <c r="U2511" s="91"/>
      <c r="V2511" s="41"/>
      <c r="W2511" s="37"/>
      <c r="X2511" s="37"/>
      <c r="Y2511" s="43"/>
      <c r="Z2511" s="37"/>
      <c r="AA2511" s="37"/>
      <c r="AD2511" s="37"/>
      <c r="AE2511" s="37"/>
      <c r="AF2511" s="37"/>
    </row>
    <row r="2512" spans="1:32" x14ac:dyDescent="0.25">
      <c r="A2512" s="37"/>
      <c r="B2512" s="37"/>
      <c r="C2512" s="37"/>
      <c r="F2512" s="38"/>
      <c r="G2512" s="38"/>
      <c r="H2512" s="38"/>
      <c r="I2512" s="37"/>
      <c r="J2512" s="38"/>
      <c r="K2512" s="38"/>
      <c r="L2512" s="42"/>
      <c r="M2512" s="42"/>
      <c r="N2512" s="42"/>
      <c r="O2512" s="42"/>
      <c r="R2512" s="37"/>
      <c r="S2512" s="37"/>
      <c r="T2512" s="91"/>
      <c r="U2512" s="91"/>
      <c r="V2512" s="41"/>
      <c r="W2512" s="37"/>
      <c r="X2512" s="37"/>
      <c r="Y2512" s="43"/>
      <c r="Z2512" s="37"/>
      <c r="AA2512" s="37"/>
      <c r="AD2512" s="37"/>
      <c r="AE2512" s="37"/>
      <c r="AF2512" s="37"/>
    </row>
    <row r="2513" spans="1:32" x14ac:dyDescent="0.25">
      <c r="A2513" s="37"/>
      <c r="B2513" s="37"/>
      <c r="C2513" s="37"/>
      <c r="F2513" s="38"/>
      <c r="G2513" s="38"/>
      <c r="H2513" s="38"/>
      <c r="I2513" s="37"/>
      <c r="J2513" s="38"/>
      <c r="K2513" s="38"/>
      <c r="L2513" s="42"/>
      <c r="M2513" s="42"/>
      <c r="N2513" s="42"/>
      <c r="O2513" s="42"/>
      <c r="R2513" s="37"/>
      <c r="S2513" s="37"/>
      <c r="T2513" s="91"/>
      <c r="U2513" s="91"/>
      <c r="V2513" s="41"/>
      <c r="W2513" s="37"/>
      <c r="X2513" s="37"/>
      <c r="Y2513" s="43"/>
      <c r="Z2513" s="37"/>
      <c r="AA2513" s="37"/>
      <c r="AD2513" s="37"/>
      <c r="AE2513" s="37"/>
      <c r="AF2513" s="37"/>
    </row>
    <row r="2514" spans="1:32" x14ac:dyDescent="0.25">
      <c r="A2514" s="37"/>
      <c r="B2514" s="37"/>
      <c r="C2514" s="37"/>
      <c r="F2514" s="38"/>
      <c r="G2514" s="38"/>
      <c r="H2514" s="38"/>
      <c r="I2514" s="37"/>
      <c r="J2514" s="38"/>
      <c r="K2514" s="38"/>
      <c r="L2514" s="42"/>
      <c r="M2514" s="42"/>
      <c r="N2514" s="42"/>
      <c r="O2514" s="42"/>
      <c r="R2514" s="37"/>
      <c r="S2514" s="37"/>
      <c r="T2514" s="91"/>
      <c r="U2514" s="91"/>
      <c r="V2514" s="41"/>
      <c r="W2514" s="37"/>
      <c r="X2514" s="37"/>
      <c r="Y2514" s="43"/>
      <c r="Z2514" s="37"/>
      <c r="AA2514" s="37"/>
      <c r="AD2514" s="37"/>
      <c r="AE2514" s="37"/>
      <c r="AF2514" s="37"/>
    </row>
    <row r="2515" spans="1:32" x14ac:dyDescent="0.25">
      <c r="A2515" s="37"/>
      <c r="B2515" s="37"/>
      <c r="C2515" s="37"/>
      <c r="F2515" s="38"/>
      <c r="G2515" s="38"/>
      <c r="H2515" s="38"/>
      <c r="I2515" s="37"/>
      <c r="J2515" s="38"/>
      <c r="K2515" s="38"/>
      <c r="L2515" s="42"/>
      <c r="M2515" s="42"/>
      <c r="N2515" s="42"/>
      <c r="O2515" s="42"/>
      <c r="R2515" s="37"/>
      <c r="S2515" s="37"/>
      <c r="T2515" s="91"/>
      <c r="U2515" s="91"/>
      <c r="V2515" s="41"/>
      <c r="W2515" s="37"/>
      <c r="X2515" s="37"/>
      <c r="Y2515" s="43"/>
      <c r="Z2515" s="37"/>
      <c r="AA2515" s="37"/>
      <c r="AD2515" s="37"/>
      <c r="AE2515" s="37"/>
      <c r="AF2515" s="37"/>
    </row>
    <row r="2516" spans="1:32" x14ac:dyDescent="0.25">
      <c r="A2516" s="37"/>
      <c r="B2516" s="37"/>
      <c r="C2516" s="37"/>
      <c r="F2516" s="38"/>
      <c r="G2516" s="38"/>
      <c r="H2516" s="38"/>
      <c r="I2516" s="37"/>
      <c r="J2516" s="38"/>
      <c r="K2516" s="38"/>
      <c r="L2516" s="42"/>
      <c r="M2516" s="42"/>
      <c r="N2516" s="42"/>
      <c r="O2516" s="42"/>
      <c r="R2516" s="37"/>
      <c r="S2516" s="37"/>
      <c r="T2516" s="91"/>
      <c r="U2516" s="91"/>
      <c r="V2516" s="41"/>
      <c r="W2516" s="37"/>
      <c r="X2516" s="37"/>
      <c r="Y2516" s="43"/>
      <c r="Z2516" s="37"/>
      <c r="AA2516" s="37"/>
      <c r="AD2516" s="37"/>
      <c r="AE2516" s="37"/>
      <c r="AF2516" s="37"/>
    </row>
    <row r="2517" spans="1:32" x14ac:dyDescent="0.25">
      <c r="A2517" s="37"/>
      <c r="B2517" s="37"/>
      <c r="C2517" s="37"/>
      <c r="F2517" s="38"/>
      <c r="G2517" s="38"/>
      <c r="H2517" s="38"/>
      <c r="I2517" s="37"/>
      <c r="J2517" s="38"/>
      <c r="K2517" s="38"/>
      <c r="L2517" s="42"/>
      <c r="M2517" s="42"/>
      <c r="N2517" s="42"/>
      <c r="O2517" s="42"/>
      <c r="R2517" s="37"/>
      <c r="S2517" s="37"/>
      <c r="T2517" s="91"/>
      <c r="U2517" s="91"/>
      <c r="V2517" s="41"/>
      <c r="W2517" s="37"/>
      <c r="X2517" s="37"/>
      <c r="Y2517" s="43"/>
      <c r="Z2517" s="37"/>
      <c r="AA2517" s="37"/>
      <c r="AD2517" s="37"/>
      <c r="AE2517" s="37"/>
      <c r="AF2517" s="37"/>
    </row>
    <row r="2518" spans="1:32" x14ac:dyDescent="0.25">
      <c r="A2518" s="37"/>
      <c r="B2518" s="37"/>
      <c r="C2518" s="37"/>
      <c r="F2518" s="38"/>
      <c r="G2518" s="38"/>
      <c r="H2518" s="38"/>
      <c r="I2518" s="37"/>
      <c r="J2518" s="38"/>
      <c r="K2518" s="38"/>
      <c r="L2518" s="42"/>
      <c r="M2518" s="42"/>
      <c r="N2518" s="42"/>
      <c r="O2518" s="42"/>
      <c r="R2518" s="37"/>
      <c r="S2518" s="37"/>
      <c r="T2518" s="91"/>
      <c r="U2518" s="91"/>
      <c r="V2518" s="41"/>
      <c r="W2518" s="37"/>
      <c r="X2518" s="37"/>
      <c r="Y2518" s="43"/>
      <c r="Z2518" s="37"/>
      <c r="AA2518" s="37"/>
      <c r="AD2518" s="37"/>
      <c r="AE2518" s="37"/>
      <c r="AF2518" s="37"/>
    </row>
    <row r="2519" spans="1:32" x14ac:dyDescent="0.25">
      <c r="A2519" s="37"/>
      <c r="B2519" s="37"/>
      <c r="C2519" s="37"/>
      <c r="F2519" s="38"/>
      <c r="G2519" s="38"/>
      <c r="H2519" s="38"/>
      <c r="I2519" s="37"/>
      <c r="J2519" s="38"/>
      <c r="K2519" s="38"/>
      <c r="L2519" s="42"/>
      <c r="M2519" s="42"/>
      <c r="N2519" s="42"/>
      <c r="O2519" s="42"/>
      <c r="R2519" s="37"/>
      <c r="S2519" s="37"/>
      <c r="T2519" s="91"/>
      <c r="U2519" s="91"/>
      <c r="V2519" s="41"/>
      <c r="W2519" s="37"/>
      <c r="X2519" s="37"/>
      <c r="Y2519" s="43"/>
      <c r="Z2519" s="37"/>
      <c r="AA2519" s="37"/>
      <c r="AD2519" s="37"/>
      <c r="AE2519" s="37"/>
      <c r="AF2519" s="37"/>
    </row>
    <row r="2520" spans="1:32" x14ac:dyDescent="0.25">
      <c r="A2520" s="37"/>
      <c r="B2520" s="37"/>
      <c r="C2520" s="37"/>
      <c r="F2520" s="38"/>
      <c r="G2520" s="38"/>
      <c r="H2520" s="38"/>
      <c r="I2520" s="37"/>
      <c r="J2520" s="38"/>
      <c r="K2520" s="38"/>
      <c r="L2520" s="42"/>
      <c r="M2520" s="42"/>
      <c r="N2520" s="42"/>
      <c r="O2520" s="42"/>
      <c r="R2520" s="37"/>
      <c r="S2520" s="37"/>
      <c r="T2520" s="91"/>
      <c r="U2520" s="91"/>
      <c r="V2520" s="41"/>
      <c r="W2520" s="37"/>
      <c r="X2520" s="37"/>
      <c r="Y2520" s="43"/>
      <c r="Z2520" s="37"/>
      <c r="AA2520" s="37"/>
      <c r="AD2520" s="37"/>
      <c r="AE2520" s="37"/>
      <c r="AF2520" s="37"/>
    </row>
    <row r="2521" spans="1:32" x14ac:dyDescent="0.25">
      <c r="A2521" s="37"/>
      <c r="B2521" s="37"/>
      <c r="C2521" s="37"/>
      <c r="F2521" s="38"/>
      <c r="G2521" s="38"/>
      <c r="H2521" s="38"/>
      <c r="I2521" s="37"/>
      <c r="J2521" s="38"/>
      <c r="K2521" s="38"/>
      <c r="L2521" s="42"/>
      <c r="M2521" s="42"/>
      <c r="N2521" s="42"/>
      <c r="O2521" s="42"/>
      <c r="R2521" s="37"/>
      <c r="S2521" s="37"/>
      <c r="T2521" s="91"/>
      <c r="U2521" s="91"/>
      <c r="V2521" s="41"/>
      <c r="W2521" s="37"/>
      <c r="X2521" s="37"/>
      <c r="Y2521" s="43"/>
      <c r="Z2521" s="37"/>
      <c r="AA2521" s="37"/>
      <c r="AD2521" s="37"/>
      <c r="AE2521" s="37"/>
      <c r="AF2521" s="37"/>
    </row>
    <row r="2522" spans="1:32" x14ac:dyDescent="0.25">
      <c r="A2522" s="37"/>
      <c r="B2522" s="37"/>
      <c r="C2522" s="37"/>
      <c r="F2522" s="38"/>
      <c r="G2522" s="38"/>
      <c r="H2522" s="38"/>
      <c r="I2522" s="37"/>
      <c r="J2522" s="38"/>
      <c r="K2522" s="38"/>
      <c r="L2522" s="42"/>
      <c r="M2522" s="42"/>
      <c r="N2522" s="42"/>
      <c r="O2522" s="42"/>
      <c r="R2522" s="37"/>
      <c r="S2522" s="37"/>
      <c r="T2522" s="91"/>
      <c r="U2522" s="91"/>
      <c r="V2522" s="41"/>
      <c r="W2522" s="37"/>
      <c r="X2522" s="37"/>
      <c r="Y2522" s="43"/>
      <c r="Z2522" s="37"/>
      <c r="AA2522" s="37"/>
      <c r="AD2522" s="37"/>
      <c r="AE2522" s="37"/>
      <c r="AF2522" s="37"/>
    </row>
    <row r="2523" spans="1:32" x14ac:dyDescent="0.25">
      <c r="A2523" s="37"/>
      <c r="B2523" s="37"/>
      <c r="C2523" s="37"/>
      <c r="F2523" s="38"/>
      <c r="G2523" s="38"/>
      <c r="H2523" s="38"/>
      <c r="I2523" s="37"/>
      <c r="J2523" s="38"/>
      <c r="K2523" s="38"/>
      <c r="L2523" s="42"/>
      <c r="M2523" s="42"/>
      <c r="N2523" s="42"/>
      <c r="O2523" s="42"/>
      <c r="R2523" s="37"/>
      <c r="S2523" s="37"/>
      <c r="T2523" s="91"/>
      <c r="U2523" s="91"/>
      <c r="V2523" s="41"/>
      <c r="W2523" s="37"/>
      <c r="X2523" s="37"/>
      <c r="Y2523" s="43"/>
      <c r="Z2523" s="37"/>
      <c r="AA2523" s="37"/>
      <c r="AD2523" s="37"/>
      <c r="AE2523" s="37"/>
      <c r="AF2523" s="37"/>
    </row>
    <row r="2524" spans="1:32" x14ac:dyDescent="0.25">
      <c r="A2524" s="37"/>
      <c r="B2524" s="37"/>
      <c r="C2524" s="37"/>
      <c r="F2524" s="38"/>
      <c r="G2524" s="38"/>
      <c r="H2524" s="38"/>
      <c r="I2524" s="37"/>
      <c r="J2524" s="38"/>
      <c r="K2524" s="38"/>
      <c r="L2524" s="42"/>
      <c r="M2524" s="42"/>
      <c r="N2524" s="42"/>
      <c r="O2524" s="42"/>
      <c r="R2524" s="37"/>
      <c r="S2524" s="37"/>
      <c r="T2524" s="91"/>
      <c r="U2524" s="91"/>
      <c r="V2524" s="41"/>
      <c r="W2524" s="37"/>
      <c r="X2524" s="37"/>
      <c r="Y2524" s="43"/>
      <c r="Z2524" s="37"/>
      <c r="AA2524" s="37"/>
      <c r="AD2524" s="37"/>
      <c r="AE2524" s="37"/>
      <c r="AF2524" s="37"/>
    </row>
    <row r="2525" spans="1:32" x14ac:dyDescent="0.25">
      <c r="A2525" s="37"/>
      <c r="B2525" s="37"/>
      <c r="C2525" s="37"/>
      <c r="F2525" s="38"/>
      <c r="G2525" s="38"/>
      <c r="H2525" s="38"/>
      <c r="I2525" s="37"/>
      <c r="J2525" s="38"/>
      <c r="K2525" s="38"/>
      <c r="L2525" s="42"/>
      <c r="M2525" s="42"/>
      <c r="N2525" s="42"/>
      <c r="O2525" s="42"/>
      <c r="R2525" s="37"/>
      <c r="S2525" s="37"/>
      <c r="T2525" s="91"/>
      <c r="U2525" s="91"/>
      <c r="V2525" s="41"/>
      <c r="W2525" s="37"/>
      <c r="X2525" s="37"/>
      <c r="Y2525" s="43"/>
      <c r="Z2525" s="37"/>
      <c r="AA2525" s="37"/>
      <c r="AD2525" s="37"/>
      <c r="AE2525" s="37"/>
      <c r="AF2525" s="37"/>
    </row>
    <row r="2526" spans="1:32" x14ac:dyDescent="0.25">
      <c r="A2526" s="37"/>
      <c r="B2526" s="37"/>
      <c r="C2526" s="37"/>
      <c r="F2526" s="38"/>
      <c r="G2526" s="38"/>
      <c r="H2526" s="38"/>
      <c r="I2526" s="37"/>
      <c r="J2526" s="38"/>
      <c r="K2526" s="38"/>
      <c r="L2526" s="42"/>
      <c r="M2526" s="42"/>
      <c r="N2526" s="42"/>
      <c r="O2526" s="42"/>
      <c r="R2526" s="37"/>
      <c r="S2526" s="37"/>
      <c r="T2526" s="91"/>
      <c r="U2526" s="91"/>
      <c r="V2526" s="41"/>
      <c r="W2526" s="37"/>
      <c r="X2526" s="37"/>
      <c r="Y2526" s="43"/>
      <c r="Z2526" s="37"/>
      <c r="AA2526" s="37"/>
      <c r="AD2526" s="37"/>
      <c r="AE2526" s="37"/>
      <c r="AF2526" s="37"/>
    </row>
    <row r="2527" spans="1:32" x14ac:dyDescent="0.25">
      <c r="A2527" s="37"/>
      <c r="B2527" s="37"/>
      <c r="C2527" s="37"/>
      <c r="F2527" s="38"/>
      <c r="G2527" s="38"/>
      <c r="H2527" s="38"/>
      <c r="I2527" s="37"/>
      <c r="J2527" s="38"/>
      <c r="K2527" s="38"/>
      <c r="L2527" s="42"/>
      <c r="M2527" s="42"/>
      <c r="N2527" s="42"/>
      <c r="O2527" s="42"/>
      <c r="R2527" s="37"/>
      <c r="S2527" s="37"/>
      <c r="T2527" s="91"/>
      <c r="U2527" s="91"/>
      <c r="V2527" s="41"/>
      <c r="W2527" s="37"/>
      <c r="X2527" s="37"/>
      <c r="Y2527" s="43"/>
      <c r="Z2527" s="37"/>
      <c r="AA2527" s="37"/>
      <c r="AD2527" s="37"/>
      <c r="AE2527" s="37"/>
      <c r="AF2527" s="37"/>
    </row>
    <row r="2528" spans="1:32" x14ac:dyDescent="0.25">
      <c r="A2528" s="37"/>
      <c r="B2528" s="37"/>
      <c r="C2528" s="37"/>
      <c r="F2528" s="38"/>
      <c r="G2528" s="38"/>
      <c r="H2528" s="38"/>
      <c r="I2528" s="37"/>
      <c r="J2528" s="38"/>
      <c r="K2528" s="38"/>
      <c r="L2528" s="42"/>
      <c r="M2528" s="42"/>
      <c r="N2528" s="42"/>
      <c r="O2528" s="42"/>
      <c r="R2528" s="37"/>
      <c r="S2528" s="37"/>
      <c r="T2528" s="91"/>
      <c r="U2528" s="91"/>
      <c r="V2528" s="41"/>
      <c r="W2528" s="37"/>
      <c r="X2528" s="37"/>
      <c r="Y2528" s="43"/>
      <c r="Z2528" s="37"/>
      <c r="AA2528" s="37"/>
      <c r="AD2528" s="37"/>
      <c r="AE2528" s="37"/>
      <c r="AF2528" s="37"/>
    </row>
    <row r="2529" spans="1:32" x14ac:dyDescent="0.25">
      <c r="A2529" s="37"/>
      <c r="B2529" s="37"/>
      <c r="C2529" s="37"/>
      <c r="F2529" s="38"/>
      <c r="G2529" s="38"/>
      <c r="H2529" s="38"/>
      <c r="I2529" s="37"/>
      <c r="J2529" s="38"/>
      <c r="K2529" s="38"/>
      <c r="L2529" s="42"/>
      <c r="M2529" s="42"/>
      <c r="N2529" s="42"/>
      <c r="O2529" s="42"/>
      <c r="R2529" s="37"/>
      <c r="S2529" s="37"/>
      <c r="T2529" s="91"/>
      <c r="U2529" s="91"/>
      <c r="V2529" s="41"/>
      <c r="W2529" s="37"/>
      <c r="X2529" s="37"/>
      <c r="Y2529" s="43"/>
      <c r="Z2529" s="37"/>
      <c r="AA2529" s="37"/>
      <c r="AD2529" s="37"/>
      <c r="AE2529" s="37"/>
      <c r="AF2529" s="37"/>
    </row>
    <row r="2530" spans="1:32" x14ac:dyDescent="0.25">
      <c r="A2530" s="37"/>
      <c r="B2530" s="37"/>
      <c r="C2530" s="37"/>
      <c r="F2530" s="38"/>
      <c r="G2530" s="38"/>
      <c r="H2530" s="38"/>
      <c r="I2530" s="37"/>
      <c r="J2530" s="38"/>
      <c r="K2530" s="38"/>
      <c r="L2530" s="42"/>
      <c r="M2530" s="42"/>
      <c r="N2530" s="42"/>
      <c r="O2530" s="42"/>
      <c r="R2530" s="37"/>
      <c r="S2530" s="37"/>
      <c r="T2530" s="91"/>
      <c r="U2530" s="91"/>
      <c r="V2530" s="41"/>
      <c r="W2530" s="37"/>
      <c r="X2530" s="37"/>
      <c r="Y2530" s="43"/>
      <c r="Z2530" s="37"/>
      <c r="AA2530" s="37"/>
      <c r="AD2530" s="37"/>
      <c r="AE2530" s="37"/>
      <c r="AF2530" s="37"/>
    </row>
    <row r="2531" spans="1:32" x14ac:dyDescent="0.25">
      <c r="A2531" s="37"/>
      <c r="B2531" s="37"/>
      <c r="C2531" s="37"/>
      <c r="F2531" s="38"/>
      <c r="G2531" s="38"/>
      <c r="H2531" s="38"/>
      <c r="I2531" s="37"/>
      <c r="J2531" s="38"/>
      <c r="K2531" s="38"/>
      <c r="L2531" s="42"/>
      <c r="M2531" s="42"/>
      <c r="N2531" s="42"/>
      <c r="O2531" s="42"/>
      <c r="R2531" s="37"/>
      <c r="S2531" s="37"/>
      <c r="T2531" s="91"/>
      <c r="U2531" s="91"/>
      <c r="V2531" s="41"/>
      <c r="W2531" s="37"/>
      <c r="X2531" s="37"/>
      <c r="Y2531" s="43"/>
      <c r="Z2531" s="37"/>
      <c r="AA2531" s="37"/>
      <c r="AD2531" s="37"/>
      <c r="AE2531" s="37"/>
      <c r="AF2531" s="37"/>
    </row>
    <row r="2532" spans="1:32" x14ac:dyDescent="0.25">
      <c r="A2532" s="37"/>
      <c r="B2532" s="37"/>
      <c r="C2532" s="37"/>
      <c r="F2532" s="38"/>
      <c r="G2532" s="38"/>
      <c r="H2532" s="38"/>
      <c r="I2532" s="37"/>
      <c r="J2532" s="38"/>
      <c r="K2532" s="38"/>
      <c r="L2532" s="42"/>
      <c r="M2532" s="42"/>
      <c r="N2532" s="42"/>
      <c r="O2532" s="42"/>
      <c r="R2532" s="37"/>
      <c r="S2532" s="37"/>
      <c r="T2532" s="91"/>
      <c r="U2532" s="91"/>
      <c r="V2532" s="41"/>
      <c r="W2532" s="37"/>
      <c r="X2532" s="37"/>
      <c r="Y2532" s="43"/>
      <c r="Z2532" s="37"/>
      <c r="AA2532" s="37"/>
      <c r="AD2532" s="37"/>
      <c r="AE2532" s="37"/>
      <c r="AF2532" s="37"/>
    </row>
    <row r="2533" spans="1:32" x14ac:dyDescent="0.25">
      <c r="A2533" s="37"/>
      <c r="B2533" s="37"/>
      <c r="C2533" s="37"/>
      <c r="F2533" s="38"/>
      <c r="G2533" s="38"/>
      <c r="H2533" s="38"/>
      <c r="I2533" s="37"/>
      <c r="J2533" s="38"/>
      <c r="K2533" s="38"/>
      <c r="L2533" s="42"/>
      <c r="M2533" s="42"/>
      <c r="N2533" s="42"/>
      <c r="O2533" s="42"/>
      <c r="R2533" s="37"/>
      <c r="S2533" s="37"/>
      <c r="T2533" s="91"/>
      <c r="U2533" s="91"/>
      <c r="V2533" s="41"/>
      <c r="W2533" s="37"/>
      <c r="X2533" s="37"/>
      <c r="Y2533" s="43"/>
      <c r="Z2533" s="37"/>
      <c r="AA2533" s="37"/>
      <c r="AD2533" s="37"/>
      <c r="AE2533" s="37"/>
      <c r="AF2533" s="37"/>
    </row>
    <row r="2534" spans="1:32" x14ac:dyDescent="0.25">
      <c r="A2534" s="37"/>
      <c r="B2534" s="37"/>
      <c r="C2534" s="37"/>
      <c r="F2534" s="38"/>
      <c r="G2534" s="38"/>
      <c r="H2534" s="38"/>
      <c r="I2534" s="37"/>
      <c r="J2534" s="38"/>
      <c r="K2534" s="38"/>
      <c r="L2534" s="42"/>
      <c r="M2534" s="42"/>
      <c r="N2534" s="42"/>
      <c r="O2534" s="42"/>
      <c r="R2534" s="37"/>
      <c r="S2534" s="37"/>
      <c r="T2534" s="91"/>
      <c r="U2534" s="91"/>
      <c r="V2534" s="41"/>
      <c r="W2534" s="37"/>
      <c r="X2534" s="37"/>
      <c r="Y2534" s="43"/>
      <c r="Z2534" s="37"/>
      <c r="AA2534" s="37"/>
      <c r="AD2534" s="37"/>
      <c r="AE2534" s="37"/>
      <c r="AF2534" s="37"/>
    </row>
    <row r="2535" spans="1:32" x14ac:dyDescent="0.25">
      <c r="A2535" s="37"/>
      <c r="B2535" s="37"/>
      <c r="C2535" s="37"/>
      <c r="F2535" s="38"/>
      <c r="G2535" s="38"/>
      <c r="H2535" s="38"/>
      <c r="I2535" s="37"/>
      <c r="J2535" s="38"/>
      <c r="K2535" s="38"/>
      <c r="L2535" s="42"/>
      <c r="M2535" s="42"/>
      <c r="N2535" s="42"/>
      <c r="O2535" s="42"/>
      <c r="R2535" s="37"/>
      <c r="S2535" s="37"/>
      <c r="T2535" s="91"/>
      <c r="U2535" s="91"/>
      <c r="V2535" s="41"/>
      <c r="W2535" s="37"/>
      <c r="X2535" s="37"/>
      <c r="Y2535" s="43"/>
      <c r="Z2535" s="37"/>
      <c r="AA2535" s="37"/>
      <c r="AD2535" s="37"/>
      <c r="AE2535" s="37"/>
      <c r="AF2535" s="37"/>
    </row>
    <row r="2536" spans="1:32" x14ac:dyDescent="0.25">
      <c r="A2536" s="37"/>
      <c r="B2536" s="37"/>
      <c r="C2536" s="37"/>
      <c r="F2536" s="38"/>
      <c r="G2536" s="38"/>
      <c r="H2536" s="38"/>
      <c r="I2536" s="37"/>
      <c r="J2536" s="38"/>
      <c r="K2536" s="38"/>
      <c r="L2536" s="42"/>
      <c r="M2536" s="42"/>
      <c r="N2536" s="42"/>
      <c r="O2536" s="42"/>
      <c r="R2536" s="37"/>
      <c r="S2536" s="37"/>
      <c r="T2536" s="91"/>
      <c r="U2536" s="91"/>
      <c r="V2536" s="41"/>
      <c r="W2536" s="37"/>
      <c r="X2536" s="37"/>
      <c r="Y2536" s="43"/>
      <c r="Z2536" s="37"/>
      <c r="AA2536" s="37"/>
      <c r="AD2536" s="37"/>
      <c r="AE2536" s="37"/>
      <c r="AF2536" s="37"/>
    </row>
    <row r="2537" spans="1:32" x14ac:dyDescent="0.25">
      <c r="A2537" s="37"/>
      <c r="B2537" s="37"/>
      <c r="C2537" s="37"/>
      <c r="F2537" s="38"/>
      <c r="G2537" s="38"/>
      <c r="H2537" s="38"/>
      <c r="I2537" s="37"/>
      <c r="J2537" s="38"/>
      <c r="K2537" s="38"/>
      <c r="L2537" s="42"/>
      <c r="M2537" s="42"/>
      <c r="N2537" s="42"/>
      <c r="O2537" s="42"/>
      <c r="R2537" s="37"/>
      <c r="S2537" s="37"/>
      <c r="T2537" s="91"/>
      <c r="U2537" s="91"/>
      <c r="V2537" s="41"/>
      <c r="W2537" s="37"/>
      <c r="X2537" s="37"/>
      <c r="Y2537" s="43"/>
      <c r="Z2537" s="37"/>
      <c r="AA2537" s="37"/>
      <c r="AD2537" s="37"/>
      <c r="AE2537" s="37"/>
      <c r="AF2537" s="37"/>
    </row>
    <row r="2538" spans="1:32" x14ac:dyDescent="0.25">
      <c r="A2538" s="37"/>
      <c r="B2538" s="37"/>
      <c r="C2538" s="37"/>
      <c r="F2538" s="38"/>
      <c r="G2538" s="38"/>
      <c r="H2538" s="38"/>
      <c r="I2538" s="37"/>
      <c r="J2538" s="38"/>
      <c r="K2538" s="38"/>
      <c r="L2538" s="42"/>
      <c r="M2538" s="42"/>
      <c r="N2538" s="42"/>
      <c r="O2538" s="42"/>
      <c r="R2538" s="37"/>
      <c r="S2538" s="37"/>
      <c r="T2538" s="91"/>
      <c r="U2538" s="91"/>
      <c r="V2538" s="41"/>
      <c r="W2538" s="37"/>
      <c r="X2538" s="37"/>
      <c r="Y2538" s="43"/>
      <c r="Z2538" s="37"/>
      <c r="AA2538" s="37"/>
      <c r="AD2538" s="37"/>
      <c r="AE2538" s="37"/>
      <c r="AF2538" s="37"/>
    </row>
    <row r="2539" spans="1:32" x14ac:dyDescent="0.25">
      <c r="A2539" s="37"/>
      <c r="B2539" s="37"/>
      <c r="C2539" s="37"/>
      <c r="F2539" s="38"/>
      <c r="G2539" s="38"/>
      <c r="H2539" s="38"/>
      <c r="I2539" s="37"/>
      <c r="J2539" s="38"/>
      <c r="K2539" s="38"/>
      <c r="L2539" s="42"/>
      <c r="M2539" s="42"/>
      <c r="N2539" s="42"/>
      <c r="O2539" s="42"/>
      <c r="R2539" s="37"/>
      <c r="S2539" s="37"/>
      <c r="T2539" s="91"/>
      <c r="U2539" s="91"/>
      <c r="V2539" s="41"/>
      <c r="W2539" s="37"/>
      <c r="X2539" s="37"/>
      <c r="Y2539" s="43"/>
      <c r="Z2539" s="37"/>
      <c r="AA2539" s="37"/>
      <c r="AD2539" s="37"/>
      <c r="AE2539" s="37"/>
      <c r="AF2539" s="37"/>
    </row>
    <row r="2540" spans="1:32" x14ac:dyDescent="0.25">
      <c r="A2540" s="37"/>
      <c r="B2540" s="37"/>
      <c r="C2540" s="37"/>
      <c r="F2540" s="38"/>
      <c r="G2540" s="38"/>
      <c r="H2540" s="38"/>
      <c r="I2540" s="37"/>
      <c r="J2540" s="38"/>
      <c r="K2540" s="38"/>
      <c r="L2540" s="42"/>
      <c r="M2540" s="42"/>
      <c r="N2540" s="42"/>
      <c r="O2540" s="42"/>
      <c r="R2540" s="37"/>
      <c r="S2540" s="37"/>
      <c r="T2540" s="91"/>
      <c r="U2540" s="91"/>
      <c r="V2540" s="41"/>
      <c r="W2540" s="37"/>
      <c r="X2540" s="37"/>
      <c r="Y2540" s="43"/>
      <c r="Z2540" s="37"/>
      <c r="AA2540" s="37"/>
      <c r="AD2540" s="37"/>
      <c r="AE2540" s="37"/>
      <c r="AF2540" s="37"/>
    </row>
    <row r="2541" spans="1:32" x14ac:dyDescent="0.25">
      <c r="A2541" s="37"/>
      <c r="B2541" s="37"/>
      <c r="C2541" s="37"/>
      <c r="F2541" s="38"/>
      <c r="G2541" s="38"/>
      <c r="H2541" s="38"/>
      <c r="I2541" s="37"/>
      <c r="J2541" s="38"/>
      <c r="K2541" s="38"/>
      <c r="L2541" s="42"/>
      <c r="M2541" s="42"/>
      <c r="N2541" s="42"/>
      <c r="O2541" s="42"/>
      <c r="R2541" s="37"/>
      <c r="S2541" s="37"/>
      <c r="T2541" s="91"/>
      <c r="U2541" s="91"/>
      <c r="V2541" s="41"/>
      <c r="W2541" s="37"/>
      <c r="X2541" s="37"/>
      <c r="Y2541" s="43"/>
      <c r="Z2541" s="37"/>
      <c r="AA2541" s="37"/>
      <c r="AD2541" s="37"/>
      <c r="AE2541" s="37"/>
      <c r="AF2541" s="37"/>
    </row>
    <row r="2542" spans="1:32" x14ac:dyDescent="0.25">
      <c r="A2542" s="37"/>
      <c r="B2542" s="37"/>
      <c r="C2542" s="37"/>
      <c r="F2542" s="38"/>
      <c r="G2542" s="38"/>
      <c r="H2542" s="38"/>
      <c r="I2542" s="37"/>
      <c r="J2542" s="38"/>
      <c r="K2542" s="38"/>
      <c r="L2542" s="42"/>
      <c r="M2542" s="42"/>
      <c r="N2542" s="42"/>
      <c r="O2542" s="42"/>
      <c r="R2542" s="37"/>
      <c r="S2542" s="37"/>
      <c r="T2542" s="91"/>
      <c r="U2542" s="91"/>
      <c r="V2542" s="41"/>
      <c r="W2542" s="37"/>
      <c r="X2542" s="37"/>
      <c r="Y2542" s="43"/>
      <c r="Z2542" s="37"/>
      <c r="AA2542" s="37"/>
      <c r="AD2542" s="37"/>
      <c r="AE2542" s="37"/>
      <c r="AF2542" s="37"/>
    </row>
    <row r="2543" spans="1:32" x14ac:dyDescent="0.25">
      <c r="A2543" s="37"/>
      <c r="B2543" s="37"/>
      <c r="C2543" s="37"/>
      <c r="F2543" s="38"/>
      <c r="G2543" s="38"/>
      <c r="H2543" s="38"/>
      <c r="I2543" s="37"/>
      <c r="J2543" s="38"/>
      <c r="K2543" s="38"/>
      <c r="L2543" s="42"/>
      <c r="M2543" s="42"/>
      <c r="N2543" s="42"/>
      <c r="O2543" s="42"/>
      <c r="R2543" s="37"/>
      <c r="S2543" s="37"/>
      <c r="T2543" s="91"/>
      <c r="U2543" s="91"/>
      <c r="V2543" s="41"/>
      <c r="W2543" s="37"/>
      <c r="X2543" s="37"/>
      <c r="Y2543" s="43"/>
      <c r="Z2543" s="37"/>
      <c r="AA2543" s="37"/>
      <c r="AD2543" s="37"/>
      <c r="AE2543" s="37"/>
      <c r="AF2543" s="37"/>
    </row>
    <row r="2544" spans="1:32" x14ac:dyDescent="0.25">
      <c r="A2544" s="37"/>
      <c r="B2544" s="37"/>
      <c r="C2544" s="37"/>
      <c r="F2544" s="38"/>
      <c r="G2544" s="38"/>
      <c r="H2544" s="38"/>
      <c r="I2544" s="37"/>
      <c r="J2544" s="38"/>
      <c r="K2544" s="38"/>
      <c r="L2544" s="42"/>
      <c r="M2544" s="42"/>
      <c r="N2544" s="42"/>
      <c r="O2544" s="42"/>
      <c r="R2544" s="37"/>
      <c r="S2544" s="37"/>
      <c r="T2544" s="91"/>
      <c r="U2544" s="91"/>
      <c r="V2544" s="41"/>
      <c r="W2544" s="37"/>
      <c r="X2544" s="37"/>
      <c r="Y2544" s="43"/>
      <c r="Z2544" s="37"/>
      <c r="AA2544" s="37"/>
      <c r="AD2544" s="37"/>
      <c r="AE2544" s="37"/>
      <c r="AF2544" s="37"/>
    </row>
    <row r="2545" spans="1:32" x14ac:dyDescent="0.25">
      <c r="A2545" s="37"/>
      <c r="B2545" s="37"/>
      <c r="C2545" s="37"/>
      <c r="F2545" s="38"/>
      <c r="G2545" s="38"/>
      <c r="H2545" s="38"/>
      <c r="I2545" s="37"/>
      <c r="J2545" s="38"/>
      <c r="K2545" s="38"/>
      <c r="L2545" s="42"/>
      <c r="M2545" s="42"/>
      <c r="N2545" s="42"/>
      <c r="O2545" s="42"/>
      <c r="R2545" s="37"/>
      <c r="S2545" s="37"/>
      <c r="T2545" s="91"/>
      <c r="U2545" s="91"/>
      <c r="V2545" s="41"/>
      <c r="W2545" s="37"/>
      <c r="X2545" s="37"/>
      <c r="Y2545" s="43"/>
      <c r="Z2545" s="37"/>
      <c r="AA2545" s="37"/>
      <c r="AD2545" s="37"/>
      <c r="AE2545" s="37"/>
      <c r="AF2545" s="37"/>
    </row>
    <row r="2546" spans="1:32" x14ac:dyDescent="0.25">
      <c r="A2546" s="37"/>
      <c r="B2546" s="37"/>
      <c r="C2546" s="37"/>
      <c r="F2546" s="38"/>
      <c r="G2546" s="38"/>
      <c r="H2546" s="38"/>
      <c r="I2546" s="37"/>
      <c r="J2546" s="38"/>
      <c r="K2546" s="38"/>
      <c r="L2546" s="42"/>
      <c r="M2546" s="42"/>
      <c r="N2546" s="42"/>
      <c r="O2546" s="42"/>
      <c r="R2546" s="37"/>
      <c r="S2546" s="37"/>
      <c r="T2546" s="91"/>
      <c r="U2546" s="91"/>
      <c r="V2546" s="41"/>
      <c r="W2546" s="37"/>
      <c r="X2546" s="37"/>
      <c r="Y2546" s="43"/>
      <c r="Z2546" s="37"/>
      <c r="AA2546" s="37"/>
      <c r="AD2546" s="37"/>
      <c r="AE2546" s="37"/>
      <c r="AF2546" s="37"/>
    </row>
    <row r="2547" spans="1:32" x14ac:dyDescent="0.25">
      <c r="A2547" s="37"/>
      <c r="B2547" s="37"/>
      <c r="C2547" s="37"/>
      <c r="F2547" s="38"/>
      <c r="G2547" s="38"/>
      <c r="H2547" s="38"/>
      <c r="I2547" s="37"/>
      <c r="J2547" s="38"/>
      <c r="K2547" s="38"/>
      <c r="L2547" s="42"/>
      <c r="M2547" s="42"/>
      <c r="N2547" s="42"/>
      <c r="O2547" s="42"/>
      <c r="R2547" s="37"/>
      <c r="S2547" s="37"/>
      <c r="T2547" s="91"/>
      <c r="U2547" s="91"/>
      <c r="V2547" s="41"/>
      <c r="W2547" s="37"/>
      <c r="X2547" s="37"/>
      <c r="Y2547" s="43"/>
      <c r="Z2547" s="37"/>
      <c r="AA2547" s="37"/>
      <c r="AD2547" s="37"/>
      <c r="AE2547" s="37"/>
      <c r="AF2547" s="37"/>
    </row>
    <row r="2548" spans="1:32" x14ac:dyDescent="0.25">
      <c r="A2548" s="37"/>
      <c r="B2548" s="37"/>
      <c r="C2548" s="37"/>
      <c r="F2548" s="38"/>
      <c r="G2548" s="38"/>
      <c r="H2548" s="38"/>
      <c r="I2548" s="37"/>
      <c r="J2548" s="38"/>
      <c r="K2548" s="38"/>
      <c r="L2548" s="42"/>
      <c r="M2548" s="42"/>
      <c r="N2548" s="42"/>
      <c r="O2548" s="42"/>
      <c r="R2548" s="37"/>
      <c r="S2548" s="37"/>
      <c r="T2548" s="91"/>
      <c r="U2548" s="91"/>
      <c r="V2548" s="41"/>
      <c r="W2548" s="37"/>
      <c r="X2548" s="37"/>
      <c r="Y2548" s="43"/>
      <c r="Z2548" s="37"/>
      <c r="AA2548" s="37"/>
      <c r="AD2548" s="37"/>
      <c r="AE2548" s="37"/>
      <c r="AF2548" s="37"/>
    </row>
    <row r="2549" spans="1:32" x14ac:dyDescent="0.25">
      <c r="A2549" s="37"/>
      <c r="B2549" s="37"/>
      <c r="C2549" s="37"/>
      <c r="F2549" s="38"/>
      <c r="G2549" s="38"/>
      <c r="H2549" s="38"/>
      <c r="I2549" s="37"/>
      <c r="J2549" s="38"/>
      <c r="K2549" s="38"/>
      <c r="L2549" s="42"/>
      <c r="M2549" s="42"/>
      <c r="N2549" s="42"/>
      <c r="O2549" s="42"/>
      <c r="R2549" s="37"/>
      <c r="S2549" s="37"/>
      <c r="T2549" s="91"/>
      <c r="U2549" s="91"/>
      <c r="V2549" s="41"/>
      <c r="W2549" s="37"/>
      <c r="X2549" s="37"/>
      <c r="Y2549" s="43"/>
      <c r="Z2549" s="37"/>
      <c r="AA2549" s="37"/>
      <c r="AD2549" s="37"/>
      <c r="AE2549" s="37"/>
      <c r="AF2549" s="37"/>
    </row>
    <row r="2550" spans="1:32" x14ac:dyDescent="0.25">
      <c r="A2550" s="37"/>
      <c r="B2550" s="37"/>
      <c r="C2550" s="37"/>
      <c r="F2550" s="38"/>
      <c r="G2550" s="38"/>
      <c r="H2550" s="38"/>
      <c r="I2550" s="37"/>
      <c r="J2550" s="38"/>
      <c r="K2550" s="38"/>
      <c r="L2550" s="42"/>
      <c r="M2550" s="42"/>
      <c r="N2550" s="42"/>
      <c r="O2550" s="42"/>
      <c r="R2550" s="37"/>
      <c r="S2550" s="37"/>
      <c r="T2550" s="91"/>
      <c r="U2550" s="91"/>
      <c r="V2550" s="41"/>
      <c r="W2550" s="37"/>
      <c r="X2550" s="37"/>
      <c r="Y2550" s="43"/>
      <c r="Z2550" s="37"/>
      <c r="AA2550" s="37"/>
      <c r="AD2550" s="37"/>
      <c r="AE2550" s="37"/>
      <c r="AF2550" s="37"/>
    </row>
    <row r="2551" spans="1:32" x14ac:dyDescent="0.25">
      <c r="A2551" s="37"/>
      <c r="B2551" s="37"/>
      <c r="C2551" s="37"/>
      <c r="F2551" s="38"/>
      <c r="G2551" s="38"/>
      <c r="H2551" s="38"/>
      <c r="I2551" s="37"/>
      <c r="J2551" s="38"/>
      <c r="K2551" s="38"/>
      <c r="L2551" s="42"/>
      <c r="M2551" s="42"/>
      <c r="N2551" s="42"/>
      <c r="O2551" s="42"/>
      <c r="R2551" s="37"/>
      <c r="S2551" s="37"/>
      <c r="T2551" s="91"/>
      <c r="U2551" s="91"/>
      <c r="V2551" s="41"/>
      <c r="W2551" s="37"/>
      <c r="X2551" s="37"/>
      <c r="Y2551" s="43"/>
      <c r="Z2551" s="37"/>
      <c r="AA2551" s="37"/>
      <c r="AD2551" s="37"/>
      <c r="AE2551" s="37"/>
      <c r="AF2551" s="37"/>
    </row>
    <row r="2552" spans="1:32" x14ac:dyDescent="0.25">
      <c r="A2552" s="37"/>
      <c r="B2552" s="37"/>
      <c r="C2552" s="37"/>
      <c r="F2552" s="38"/>
      <c r="G2552" s="38"/>
      <c r="H2552" s="38"/>
      <c r="I2552" s="37"/>
      <c r="J2552" s="38"/>
      <c r="K2552" s="38"/>
      <c r="L2552" s="42"/>
      <c r="M2552" s="42"/>
      <c r="N2552" s="42"/>
      <c r="O2552" s="42"/>
      <c r="R2552" s="37"/>
      <c r="S2552" s="37"/>
      <c r="T2552" s="91"/>
      <c r="U2552" s="91"/>
      <c r="V2552" s="41"/>
      <c r="W2552" s="37"/>
      <c r="X2552" s="37"/>
      <c r="Y2552" s="43"/>
      <c r="Z2552" s="37"/>
      <c r="AA2552" s="37"/>
      <c r="AD2552" s="37"/>
      <c r="AE2552" s="37"/>
      <c r="AF2552" s="37"/>
    </row>
    <row r="2553" spans="1:32" x14ac:dyDescent="0.25">
      <c r="A2553" s="37"/>
      <c r="B2553" s="37"/>
      <c r="C2553" s="37"/>
      <c r="F2553" s="38"/>
      <c r="G2553" s="38"/>
      <c r="H2553" s="38"/>
      <c r="I2553" s="37"/>
      <c r="J2553" s="38"/>
      <c r="K2553" s="38"/>
      <c r="L2553" s="42"/>
      <c r="M2553" s="42"/>
      <c r="N2553" s="42"/>
      <c r="O2553" s="42"/>
      <c r="R2553" s="37"/>
      <c r="S2553" s="37"/>
      <c r="T2553" s="91"/>
      <c r="U2553" s="91"/>
      <c r="V2553" s="41"/>
      <c r="W2553" s="37"/>
      <c r="X2553" s="37"/>
      <c r="Y2553" s="43"/>
      <c r="Z2553" s="37"/>
      <c r="AA2553" s="37"/>
      <c r="AD2553" s="37"/>
      <c r="AE2553" s="37"/>
      <c r="AF2553" s="37"/>
    </row>
    <row r="2554" spans="1:32" x14ac:dyDescent="0.25">
      <c r="A2554" s="37"/>
      <c r="B2554" s="37"/>
      <c r="C2554" s="37"/>
      <c r="F2554" s="38"/>
      <c r="G2554" s="38"/>
      <c r="H2554" s="38"/>
      <c r="I2554" s="37"/>
      <c r="J2554" s="38"/>
      <c r="K2554" s="38"/>
      <c r="L2554" s="42"/>
      <c r="M2554" s="42"/>
      <c r="N2554" s="42"/>
      <c r="O2554" s="42"/>
      <c r="R2554" s="37"/>
      <c r="S2554" s="37"/>
      <c r="T2554" s="91"/>
      <c r="U2554" s="91"/>
      <c r="V2554" s="41"/>
      <c r="W2554" s="37"/>
      <c r="X2554" s="37"/>
      <c r="Y2554" s="43"/>
      <c r="Z2554" s="37"/>
      <c r="AA2554" s="37"/>
      <c r="AD2554" s="37"/>
      <c r="AE2554" s="37"/>
      <c r="AF2554" s="37"/>
    </row>
    <row r="2555" spans="1:32" x14ac:dyDescent="0.25">
      <c r="A2555" s="37"/>
      <c r="B2555" s="37"/>
      <c r="C2555" s="37"/>
      <c r="F2555" s="38"/>
      <c r="G2555" s="38"/>
      <c r="H2555" s="38"/>
      <c r="I2555" s="37"/>
      <c r="J2555" s="38"/>
      <c r="K2555" s="38"/>
      <c r="L2555" s="42"/>
      <c r="M2555" s="42"/>
      <c r="N2555" s="42"/>
      <c r="O2555" s="42"/>
      <c r="R2555" s="37"/>
      <c r="S2555" s="37"/>
      <c r="T2555" s="91"/>
      <c r="U2555" s="91"/>
      <c r="V2555" s="41"/>
      <c r="W2555" s="37"/>
      <c r="X2555" s="37"/>
      <c r="Y2555" s="43"/>
      <c r="Z2555" s="37"/>
      <c r="AA2555" s="37"/>
      <c r="AD2555" s="37"/>
      <c r="AE2555" s="37"/>
      <c r="AF2555" s="37"/>
    </row>
    <row r="2556" spans="1:32" x14ac:dyDescent="0.25">
      <c r="A2556" s="37"/>
      <c r="B2556" s="37"/>
      <c r="C2556" s="37"/>
      <c r="F2556" s="38"/>
      <c r="G2556" s="38"/>
      <c r="H2556" s="38"/>
      <c r="I2556" s="37"/>
      <c r="J2556" s="38"/>
      <c r="K2556" s="38"/>
      <c r="L2556" s="42"/>
      <c r="M2556" s="42"/>
      <c r="N2556" s="42"/>
      <c r="O2556" s="42"/>
      <c r="R2556" s="37"/>
      <c r="S2556" s="37"/>
      <c r="T2556" s="91"/>
      <c r="U2556" s="91"/>
      <c r="V2556" s="41"/>
      <c r="W2556" s="37"/>
      <c r="X2556" s="37"/>
      <c r="Y2556" s="43"/>
      <c r="Z2556" s="37"/>
      <c r="AA2556" s="37"/>
      <c r="AD2556" s="37"/>
      <c r="AE2556" s="37"/>
      <c r="AF2556" s="37"/>
    </row>
    <row r="2557" spans="1:32" x14ac:dyDescent="0.25">
      <c r="A2557" s="37"/>
      <c r="B2557" s="37"/>
      <c r="C2557" s="37"/>
      <c r="F2557" s="38"/>
      <c r="G2557" s="38"/>
      <c r="H2557" s="38"/>
      <c r="I2557" s="37"/>
      <c r="J2557" s="38"/>
      <c r="K2557" s="38"/>
      <c r="L2557" s="42"/>
      <c r="M2557" s="42"/>
      <c r="N2557" s="42"/>
      <c r="O2557" s="42"/>
      <c r="R2557" s="37"/>
      <c r="S2557" s="37"/>
      <c r="T2557" s="91"/>
      <c r="U2557" s="91"/>
      <c r="V2557" s="41"/>
      <c r="W2557" s="37"/>
      <c r="X2557" s="37"/>
      <c r="Y2557" s="43"/>
      <c r="Z2557" s="37"/>
      <c r="AA2557" s="37"/>
      <c r="AD2557" s="37"/>
      <c r="AE2557" s="37"/>
      <c r="AF2557" s="37"/>
    </row>
    <row r="2558" spans="1:32" x14ac:dyDescent="0.25">
      <c r="A2558" s="37"/>
      <c r="B2558" s="37"/>
      <c r="C2558" s="37"/>
      <c r="F2558" s="38"/>
      <c r="G2558" s="38"/>
      <c r="H2558" s="38"/>
      <c r="I2558" s="37"/>
      <c r="J2558" s="38"/>
      <c r="K2558" s="38"/>
      <c r="L2558" s="42"/>
      <c r="M2558" s="42"/>
      <c r="N2558" s="42"/>
      <c r="O2558" s="42"/>
      <c r="R2558" s="37"/>
      <c r="S2558" s="37"/>
      <c r="T2558" s="91"/>
      <c r="U2558" s="91"/>
      <c r="V2558" s="41"/>
      <c r="W2558" s="37"/>
      <c r="X2558" s="37"/>
      <c r="Y2558" s="43"/>
      <c r="Z2558" s="37"/>
      <c r="AA2558" s="37"/>
      <c r="AD2558" s="37"/>
      <c r="AE2558" s="37"/>
      <c r="AF2558" s="37"/>
    </row>
    <row r="2559" spans="1:32" x14ac:dyDescent="0.25">
      <c r="A2559" s="37"/>
      <c r="B2559" s="37"/>
      <c r="C2559" s="37"/>
      <c r="F2559" s="38"/>
      <c r="G2559" s="38"/>
      <c r="H2559" s="38"/>
      <c r="I2559" s="37"/>
      <c r="J2559" s="38"/>
      <c r="K2559" s="38"/>
      <c r="L2559" s="42"/>
      <c r="M2559" s="42"/>
      <c r="N2559" s="42"/>
      <c r="O2559" s="42"/>
      <c r="R2559" s="37"/>
      <c r="S2559" s="37"/>
      <c r="T2559" s="91"/>
      <c r="U2559" s="91"/>
      <c r="V2559" s="41"/>
      <c r="W2559" s="37"/>
      <c r="X2559" s="37"/>
      <c r="Y2559" s="43"/>
      <c r="Z2559" s="37"/>
      <c r="AA2559" s="37"/>
      <c r="AD2559" s="37"/>
      <c r="AE2559" s="37"/>
      <c r="AF2559" s="37"/>
    </row>
    <row r="2560" spans="1:32" x14ac:dyDescent="0.25">
      <c r="A2560" s="37"/>
      <c r="B2560" s="37"/>
      <c r="C2560" s="37"/>
      <c r="F2560" s="38"/>
      <c r="G2560" s="38"/>
      <c r="H2560" s="38"/>
      <c r="I2560" s="37"/>
      <c r="J2560" s="38"/>
      <c r="K2560" s="38"/>
      <c r="L2560" s="42"/>
      <c r="M2560" s="42"/>
      <c r="N2560" s="42"/>
      <c r="O2560" s="42"/>
      <c r="R2560" s="37"/>
      <c r="S2560" s="37"/>
      <c r="T2560" s="91"/>
      <c r="U2560" s="91"/>
      <c r="V2560" s="41"/>
      <c r="W2560" s="37"/>
      <c r="X2560" s="37"/>
      <c r="Y2560" s="43"/>
      <c r="Z2560" s="37"/>
      <c r="AA2560" s="37"/>
      <c r="AD2560" s="37"/>
      <c r="AE2560" s="37"/>
      <c r="AF2560" s="37"/>
    </row>
    <row r="2561" spans="1:32" x14ac:dyDescent="0.25">
      <c r="A2561" s="37"/>
      <c r="B2561" s="37"/>
      <c r="C2561" s="37"/>
      <c r="F2561" s="38"/>
      <c r="G2561" s="38"/>
      <c r="H2561" s="38"/>
      <c r="I2561" s="37"/>
      <c r="J2561" s="38"/>
      <c r="K2561" s="38"/>
      <c r="L2561" s="42"/>
      <c r="M2561" s="42"/>
      <c r="N2561" s="42"/>
      <c r="O2561" s="42"/>
      <c r="R2561" s="37"/>
      <c r="S2561" s="37"/>
      <c r="T2561" s="91"/>
      <c r="U2561" s="91"/>
      <c r="V2561" s="41"/>
      <c r="W2561" s="37"/>
      <c r="X2561" s="37"/>
      <c r="Y2561" s="43"/>
      <c r="Z2561" s="37"/>
      <c r="AA2561" s="37"/>
      <c r="AD2561" s="37"/>
      <c r="AE2561" s="37"/>
      <c r="AF2561" s="37"/>
    </row>
    <row r="2562" spans="1:32" x14ac:dyDescent="0.25">
      <c r="A2562" s="37"/>
      <c r="B2562" s="37"/>
      <c r="C2562" s="37"/>
      <c r="F2562" s="38"/>
      <c r="G2562" s="38"/>
      <c r="H2562" s="38"/>
      <c r="I2562" s="37"/>
      <c r="J2562" s="38"/>
      <c r="K2562" s="38"/>
      <c r="L2562" s="42"/>
      <c r="M2562" s="42"/>
      <c r="N2562" s="42"/>
      <c r="O2562" s="42"/>
      <c r="R2562" s="37"/>
      <c r="S2562" s="37"/>
      <c r="T2562" s="91"/>
      <c r="U2562" s="91"/>
      <c r="V2562" s="41"/>
      <c r="W2562" s="37"/>
      <c r="X2562" s="37"/>
      <c r="Y2562" s="43"/>
      <c r="Z2562" s="37"/>
      <c r="AA2562" s="37"/>
      <c r="AD2562" s="37"/>
      <c r="AE2562" s="37"/>
      <c r="AF2562" s="37"/>
    </row>
    <row r="2563" spans="1:32" x14ac:dyDescent="0.25">
      <c r="A2563" s="37"/>
      <c r="B2563" s="37"/>
      <c r="C2563" s="37"/>
      <c r="F2563" s="38"/>
      <c r="G2563" s="38"/>
      <c r="H2563" s="38"/>
      <c r="I2563" s="37"/>
      <c r="J2563" s="38"/>
      <c r="K2563" s="38"/>
      <c r="L2563" s="42"/>
      <c r="M2563" s="42"/>
      <c r="N2563" s="42"/>
      <c r="O2563" s="42"/>
      <c r="R2563" s="37"/>
      <c r="S2563" s="37"/>
      <c r="T2563" s="91"/>
      <c r="U2563" s="91"/>
      <c r="V2563" s="41"/>
      <c r="W2563" s="37"/>
      <c r="X2563" s="37"/>
      <c r="Y2563" s="43"/>
      <c r="Z2563" s="37"/>
      <c r="AA2563" s="37"/>
      <c r="AD2563" s="37"/>
      <c r="AE2563" s="37"/>
      <c r="AF2563" s="37"/>
    </row>
    <row r="2564" spans="1:32" x14ac:dyDescent="0.25">
      <c r="A2564" s="37"/>
      <c r="B2564" s="37"/>
      <c r="C2564" s="37"/>
      <c r="F2564" s="38"/>
      <c r="G2564" s="38"/>
      <c r="H2564" s="38"/>
      <c r="I2564" s="37"/>
      <c r="J2564" s="38"/>
      <c r="K2564" s="38"/>
      <c r="L2564" s="42"/>
      <c r="M2564" s="42"/>
      <c r="N2564" s="42"/>
      <c r="O2564" s="42"/>
      <c r="R2564" s="37"/>
      <c r="S2564" s="37"/>
      <c r="T2564" s="91"/>
      <c r="U2564" s="91"/>
      <c r="V2564" s="41"/>
      <c r="W2564" s="37"/>
      <c r="X2564" s="37"/>
      <c r="Y2564" s="43"/>
      <c r="Z2564" s="37"/>
      <c r="AA2564" s="37"/>
      <c r="AD2564" s="37"/>
      <c r="AE2564" s="37"/>
      <c r="AF2564" s="37"/>
    </row>
    <row r="2565" spans="1:32" x14ac:dyDescent="0.25">
      <c r="A2565" s="37"/>
      <c r="B2565" s="37"/>
      <c r="C2565" s="37"/>
      <c r="F2565" s="38"/>
      <c r="G2565" s="38"/>
      <c r="H2565" s="38"/>
      <c r="I2565" s="37"/>
      <c r="J2565" s="38"/>
      <c r="K2565" s="38"/>
      <c r="L2565" s="42"/>
      <c r="M2565" s="42"/>
      <c r="N2565" s="42"/>
      <c r="O2565" s="42"/>
      <c r="R2565" s="37"/>
      <c r="S2565" s="37"/>
      <c r="T2565" s="91"/>
      <c r="U2565" s="91"/>
      <c r="V2565" s="41"/>
      <c r="W2565" s="37"/>
      <c r="X2565" s="37"/>
      <c r="Y2565" s="43"/>
      <c r="Z2565" s="37"/>
      <c r="AA2565" s="37"/>
      <c r="AD2565" s="37"/>
      <c r="AE2565" s="37"/>
      <c r="AF2565" s="37"/>
    </row>
    <row r="2566" spans="1:32" x14ac:dyDescent="0.25">
      <c r="A2566" s="37"/>
      <c r="B2566" s="37"/>
      <c r="C2566" s="37"/>
      <c r="F2566" s="38"/>
      <c r="G2566" s="38"/>
      <c r="H2566" s="38"/>
      <c r="I2566" s="37"/>
      <c r="J2566" s="38"/>
      <c r="K2566" s="38"/>
      <c r="L2566" s="42"/>
      <c r="M2566" s="42"/>
      <c r="N2566" s="42"/>
      <c r="O2566" s="42"/>
      <c r="R2566" s="37"/>
      <c r="S2566" s="37"/>
      <c r="T2566" s="91"/>
      <c r="U2566" s="91"/>
      <c r="V2566" s="41"/>
      <c r="W2566" s="37"/>
      <c r="X2566" s="37"/>
      <c r="Y2566" s="43"/>
      <c r="Z2566" s="37"/>
      <c r="AA2566" s="37"/>
      <c r="AD2566" s="37"/>
      <c r="AE2566" s="37"/>
      <c r="AF2566" s="37"/>
    </row>
    <row r="2567" spans="1:32" x14ac:dyDescent="0.25">
      <c r="A2567" s="37"/>
      <c r="B2567" s="37"/>
      <c r="C2567" s="37"/>
      <c r="F2567" s="38"/>
      <c r="G2567" s="38"/>
      <c r="H2567" s="38"/>
      <c r="I2567" s="37"/>
      <c r="J2567" s="38"/>
      <c r="K2567" s="38"/>
      <c r="L2567" s="42"/>
      <c r="M2567" s="42"/>
      <c r="N2567" s="42"/>
      <c r="O2567" s="42"/>
      <c r="R2567" s="37"/>
      <c r="S2567" s="37"/>
      <c r="T2567" s="91"/>
      <c r="U2567" s="91"/>
      <c r="V2567" s="41"/>
      <c r="W2567" s="37"/>
      <c r="X2567" s="37"/>
      <c r="Y2567" s="43"/>
      <c r="Z2567" s="37"/>
      <c r="AA2567" s="37"/>
      <c r="AD2567" s="37"/>
      <c r="AE2567" s="37"/>
      <c r="AF2567" s="37"/>
    </row>
    <row r="2568" spans="1:32" x14ac:dyDescent="0.25">
      <c r="A2568" s="37"/>
      <c r="B2568" s="37"/>
      <c r="C2568" s="37"/>
      <c r="F2568" s="38"/>
      <c r="G2568" s="38"/>
      <c r="H2568" s="38"/>
      <c r="I2568" s="37"/>
      <c r="J2568" s="38"/>
      <c r="K2568" s="38"/>
      <c r="L2568" s="42"/>
      <c r="M2568" s="42"/>
      <c r="N2568" s="42"/>
      <c r="O2568" s="42"/>
      <c r="R2568" s="37"/>
      <c r="S2568" s="37"/>
      <c r="T2568" s="91"/>
      <c r="U2568" s="91"/>
      <c r="V2568" s="41"/>
      <c r="W2568" s="37"/>
      <c r="X2568" s="37"/>
      <c r="Y2568" s="43"/>
      <c r="Z2568" s="37"/>
      <c r="AA2568" s="37"/>
      <c r="AD2568" s="37"/>
      <c r="AE2568" s="37"/>
      <c r="AF2568" s="37"/>
    </row>
    <row r="2569" spans="1:32" x14ac:dyDescent="0.25">
      <c r="A2569" s="37"/>
      <c r="B2569" s="37"/>
      <c r="C2569" s="37"/>
      <c r="F2569" s="38"/>
      <c r="G2569" s="38"/>
      <c r="H2569" s="38"/>
      <c r="I2569" s="37"/>
      <c r="J2569" s="38"/>
      <c r="K2569" s="38"/>
      <c r="L2569" s="42"/>
      <c r="M2569" s="42"/>
      <c r="N2569" s="42"/>
      <c r="O2569" s="42"/>
      <c r="R2569" s="37"/>
      <c r="S2569" s="37"/>
      <c r="T2569" s="91"/>
      <c r="U2569" s="91"/>
      <c r="V2569" s="41"/>
      <c r="W2569" s="37"/>
      <c r="X2569" s="37"/>
      <c r="Y2569" s="43"/>
      <c r="Z2569" s="37"/>
      <c r="AA2569" s="37"/>
      <c r="AD2569" s="37"/>
      <c r="AE2569" s="37"/>
      <c r="AF2569" s="37"/>
    </row>
    <row r="2570" spans="1:32" x14ac:dyDescent="0.25">
      <c r="A2570" s="37"/>
      <c r="B2570" s="37"/>
      <c r="C2570" s="37"/>
      <c r="F2570" s="38"/>
      <c r="G2570" s="38"/>
      <c r="H2570" s="38"/>
      <c r="I2570" s="37"/>
      <c r="J2570" s="38"/>
      <c r="K2570" s="38"/>
      <c r="L2570" s="42"/>
      <c r="M2570" s="42"/>
      <c r="N2570" s="42"/>
      <c r="O2570" s="42"/>
      <c r="R2570" s="37"/>
      <c r="S2570" s="37"/>
      <c r="T2570" s="91"/>
      <c r="U2570" s="91"/>
      <c r="V2570" s="41"/>
      <c r="W2570" s="37"/>
      <c r="X2570" s="37"/>
      <c r="Y2570" s="43"/>
      <c r="Z2570" s="37"/>
      <c r="AA2570" s="37"/>
      <c r="AD2570" s="37"/>
      <c r="AE2570" s="37"/>
      <c r="AF2570" s="37"/>
    </row>
    <row r="2571" spans="1:32" x14ac:dyDescent="0.25">
      <c r="A2571" s="37"/>
      <c r="B2571" s="37"/>
      <c r="C2571" s="37"/>
      <c r="F2571" s="38"/>
      <c r="G2571" s="38"/>
      <c r="H2571" s="38"/>
      <c r="I2571" s="37"/>
      <c r="J2571" s="38"/>
      <c r="K2571" s="38"/>
      <c r="L2571" s="42"/>
      <c r="M2571" s="42"/>
      <c r="N2571" s="42"/>
      <c r="O2571" s="42"/>
      <c r="R2571" s="37"/>
      <c r="S2571" s="37"/>
      <c r="T2571" s="91"/>
      <c r="U2571" s="91"/>
      <c r="V2571" s="41"/>
      <c r="W2571" s="37"/>
      <c r="X2571" s="37"/>
      <c r="Y2571" s="43"/>
      <c r="Z2571" s="37"/>
      <c r="AA2571" s="37"/>
      <c r="AD2571" s="37"/>
      <c r="AE2571" s="37"/>
      <c r="AF2571" s="37"/>
    </row>
    <row r="2572" spans="1:32" x14ac:dyDescent="0.25">
      <c r="A2572" s="37"/>
      <c r="B2572" s="37"/>
      <c r="C2572" s="37"/>
      <c r="F2572" s="38"/>
      <c r="G2572" s="38"/>
      <c r="H2572" s="38"/>
      <c r="I2572" s="37"/>
      <c r="J2572" s="38"/>
      <c r="K2572" s="38"/>
      <c r="L2572" s="42"/>
      <c r="M2572" s="42"/>
      <c r="N2572" s="42"/>
      <c r="O2572" s="42"/>
      <c r="R2572" s="37"/>
      <c r="S2572" s="37"/>
      <c r="T2572" s="91"/>
      <c r="U2572" s="91"/>
      <c r="V2572" s="41"/>
      <c r="W2572" s="37"/>
      <c r="X2572" s="37"/>
      <c r="Y2572" s="43"/>
      <c r="Z2572" s="37"/>
      <c r="AA2572" s="37"/>
      <c r="AD2572" s="37"/>
      <c r="AE2572" s="37"/>
      <c r="AF2572" s="37"/>
    </row>
    <row r="2573" spans="1:32" x14ac:dyDescent="0.25">
      <c r="A2573" s="37"/>
      <c r="B2573" s="37"/>
      <c r="C2573" s="37"/>
      <c r="F2573" s="38"/>
      <c r="G2573" s="38"/>
      <c r="H2573" s="38"/>
      <c r="I2573" s="37"/>
      <c r="J2573" s="38"/>
      <c r="K2573" s="38"/>
      <c r="L2573" s="42"/>
      <c r="M2573" s="42"/>
      <c r="N2573" s="42"/>
      <c r="O2573" s="42"/>
      <c r="R2573" s="37"/>
      <c r="S2573" s="37"/>
      <c r="T2573" s="91"/>
      <c r="U2573" s="91"/>
      <c r="V2573" s="41"/>
      <c r="W2573" s="37"/>
      <c r="X2573" s="37"/>
      <c r="Y2573" s="43"/>
      <c r="Z2573" s="37"/>
      <c r="AA2573" s="37"/>
      <c r="AD2573" s="37"/>
      <c r="AE2573" s="37"/>
      <c r="AF2573" s="37"/>
    </row>
    <row r="2574" spans="1:32" x14ac:dyDescent="0.25">
      <c r="A2574" s="37"/>
      <c r="B2574" s="37"/>
      <c r="C2574" s="37"/>
      <c r="F2574" s="38"/>
      <c r="G2574" s="38"/>
      <c r="H2574" s="38"/>
      <c r="I2574" s="37"/>
      <c r="J2574" s="38"/>
      <c r="K2574" s="38"/>
      <c r="L2574" s="42"/>
      <c r="M2574" s="42"/>
      <c r="N2574" s="42"/>
      <c r="O2574" s="42"/>
      <c r="R2574" s="37"/>
      <c r="S2574" s="37"/>
      <c r="T2574" s="91"/>
      <c r="U2574" s="91"/>
      <c r="V2574" s="41"/>
      <c r="W2574" s="37"/>
      <c r="X2574" s="37"/>
      <c r="Y2574" s="43"/>
      <c r="Z2574" s="37"/>
      <c r="AA2574" s="37"/>
      <c r="AD2574" s="37"/>
      <c r="AE2574" s="37"/>
      <c r="AF2574" s="37"/>
    </row>
    <row r="2575" spans="1:32" x14ac:dyDescent="0.25">
      <c r="A2575" s="37"/>
      <c r="B2575" s="37"/>
      <c r="C2575" s="37"/>
      <c r="F2575" s="38"/>
      <c r="G2575" s="38"/>
      <c r="H2575" s="38"/>
      <c r="I2575" s="37"/>
      <c r="J2575" s="38"/>
      <c r="K2575" s="38"/>
      <c r="L2575" s="42"/>
      <c r="M2575" s="42"/>
      <c r="N2575" s="42"/>
      <c r="O2575" s="42"/>
      <c r="R2575" s="37"/>
      <c r="S2575" s="37"/>
      <c r="T2575" s="91"/>
      <c r="U2575" s="91"/>
      <c r="V2575" s="41"/>
      <c r="W2575" s="37"/>
      <c r="X2575" s="37"/>
      <c r="Y2575" s="43"/>
      <c r="Z2575" s="37"/>
      <c r="AA2575" s="37"/>
      <c r="AD2575" s="37"/>
      <c r="AE2575" s="37"/>
      <c r="AF2575" s="37"/>
    </row>
    <row r="2576" spans="1:32" x14ac:dyDescent="0.25">
      <c r="A2576" s="37"/>
      <c r="B2576" s="37"/>
      <c r="C2576" s="37"/>
      <c r="F2576" s="38"/>
      <c r="G2576" s="38"/>
      <c r="H2576" s="38"/>
      <c r="I2576" s="37"/>
      <c r="J2576" s="38"/>
      <c r="K2576" s="38"/>
      <c r="L2576" s="42"/>
      <c r="M2576" s="42"/>
      <c r="N2576" s="42"/>
      <c r="O2576" s="42"/>
      <c r="R2576" s="37"/>
      <c r="S2576" s="37"/>
      <c r="T2576" s="91"/>
      <c r="U2576" s="91"/>
      <c r="V2576" s="41"/>
      <c r="W2576" s="37"/>
      <c r="X2576" s="37"/>
      <c r="Y2576" s="43"/>
      <c r="Z2576" s="37"/>
      <c r="AA2576" s="37"/>
      <c r="AD2576" s="37"/>
      <c r="AE2576" s="37"/>
      <c r="AF2576" s="37"/>
    </row>
    <row r="2577" spans="1:32" x14ac:dyDescent="0.25">
      <c r="A2577" s="37"/>
      <c r="B2577" s="37"/>
      <c r="C2577" s="37"/>
      <c r="F2577" s="38"/>
      <c r="G2577" s="38"/>
      <c r="H2577" s="38"/>
      <c r="I2577" s="37"/>
      <c r="J2577" s="38"/>
      <c r="K2577" s="38"/>
      <c r="L2577" s="42"/>
      <c r="M2577" s="42"/>
      <c r="N2577" s="42"/>
      <c r="O2577" s="42"/>
      <c r="R2577" s="37"/>
      <c r="S2577" s="37"/>
      <c r="T2577" s="91"/>
      <c r="U2577" s="91"/>
      <c r="V2577" s="41"/>
      <c r="W2577" s="37"/>
      <c r="X2577" s="37"/>
      <c r="Y2577" s="43"/>
      <c r="Z2577" s="37"/>
      <c r="AA2577" s="37"/>
      <c r="AD2577" s="37"/>
      <c r="AE2577" s="37"/>
      <c r="AF2577" s="37"/>
    </row>
    <row r="2578" spans="1:32" x14ac:dyDescent="0.25">
      <c r="A2578" s="37"/>
      <c r="B2578" s="37"/>
      <c r="C2578" s="37"/>
      <c r="F2578" s="38"/>
      <c r="G2578" s="38"/>
      <c r="H2578" s="38"/>
      <c r="I2578" s="37"/>
      <c r="J2578" s="38"/>
      <c r="K2578" s="38"/>
      <c r="L2578" s="42"/>
      <c r="M2578" s="42"/>
      <c r="N2578" s="42"/>
      <c r="O2578" s="42"/>
      <c r="R2578" s="37"/>
      <c r="S2578" s="37"/>
      <c r="T2578" s="91"/>
      <c r="U2578" s="91"/>
      <c r="V2578" s="41"/>
      <c r="W2578" s="37"/>
      <c r="X2578" s="37"/>
      <c r="Y2578" s="43"/>
      <c r="Z2578" s="37"/>
      <c r="AA2578" s="37"/>
      <c r="AD2578" s="37"/>
      <c r="AE2578" s="37"/>
      <c r="AF2578" s="37"/>
    </row>
    <row r="2579" spans="1:32" x14ac:dyDescent="0.25">
      <c r="A2579" s="37"/>
      <c r="B2579" s="37"/>
      <c r="C2579" s="37"/>
      <c r="F2579" s="38"/>
      <c r="G2579" s="38"/>
      <c r="H2579" s="38"/>
      <c r="I2579" s="37"/>
      <c r="J2579" s="38"/>
      <c r="K2579" s="38"/>
      <c r="L2579" s="42"/>
      <c r="M2579" s="42"/>
      <c r="N2579" s="42"/>
      <c r="O2579" s="42"/>
      <c r="R2579" s="37"/>
      <c r="S2579" s="37"/>
      <c r="T2579" s="91"/>
      <c r="U2579" s="91"/>
      <c r="V2579" s="41"/>
      <c r="W2579" s="37"/>
      <c r="X2579" s="37"/>
      <c r="Y2579" s="43"/>
      <c r="Z2579" s="37"/>
      <c r="AA2579" s="37"/>
      <c r="AD2579" s="37"/>
      <c r="AE2579" s="37"/>
      <c r="AF2579" s="37"/>
    </row>
    <row r="2580" spans="1:32" x14ac:dyDescent="0.25">
      <c r="A2580" s="37"/>
      <c r="B2580" s="37"/>
      <c r="C2580" s="37"/>
      <c r="F2580" s="38"/>
      <c r="G2580" s="38"/>
      <c r="H2580" s="38"/>
      <c r="I2580" s="37"/>
      <c r="J2580" s="38"/>
      <c r="K2580" s="38"/>
      <c r="L2580" s="42"/>
      <c r="M2580" s="42"/>
      <c r="N2580" s="42"/>
      <c r="O2580" s="42"/>
      <c r="R2580" s="37"/>
      <c r="S2580" s="37"/>
      <c r="T2580" s="91"/>
      <c r="U2580" s="91"/>
      <c r="V2580" s="41"/>
      <c r="W2580" s="37"/>
      <c r="X2580" s="37"/>
      <c r="Y2580" s="43"/>
      <c r="Z2580" s="37"/>
      <c r="AA2580" s="37"/>
      <c r="AD2580" s="37"/>
      <c r="AE2580" s="37"/>
      <c r="AF2580" s="37"/>
    </row>
    <row r="2581" spans="1:32" x14ac:dyDescent="0.25">
      <c r="A2581" s="37"/>
      <c r="B2581" s="37"/>
      <c r="C2581" s="37"/>
      <c r="F2581" s="38"/>
      <c r="G2581" s="38"/>
      <c r="H2581" s="38"/>
      <c r="I2581" s="37"/>
      <c r="J2581" s="38"/>
      <c r="K2581" s="38"/>
      <c r="L2581" s="42"/>
      <c r="M2581" s="42"/>
      <c r="N2581" s="42"/>
      <c r="O2581" s="42"/>
      <c r="R2581" s="37"/>
      <c r="S2581" s="37"/>
      <c r="T2581" s="91"/>
      <c r="U2581" s="91"/>
      <c r="V2581" s="41"/>
      <c r="W2581" s="37"/>
      <c r="X2581" s="37"/>
      <c r="Y2581" s="43"/>
      <c r="Z2581" s="37"/>
      <c r="AA2581" s="37"/>
      <c r="AD2581" s="37"/>
      <c r="AE2581" s="37"/>
      <c r="AF2581" s="37"/>
    </row>
    <row r="2582" spans="1:32" x14ac:dyDescent="0.25">
      <c r="A2582" s="37"/>
      <c r="B2582" s="37"/>
      <c r="C2582" s="37"/>
      <c r="F2582" s="38"/>
      <c r="G2582" s="38"/>
      <c r="H2582" s="38"/>
      <c r="I2582" s="37"/>
      <c r="J2582" s="38"/>
      <c r="K2582" s="38"/>
      <c r="L2582" s="42"/>
      <c r="M2582" s="42"/>
      <c r="N2582" s="42"/>
      <c r="O2582" s="42"/>
      <c r="R2582" s="37"/>
      <c r="S2582" s="37"/>
      <c r="T2582" s="91"/>
      <c r="U2582" s="91"/>
      <c r="V2582" s="41"/>
      <c r="W2582" s="37"/>
      <c r="X2582" s="37"/>
      <c r="Y2582" s="43"/>
      <c r="Z2582" s="37"/>
      <c r="AA2582" s="37"/>
      <c r="AD2582" s="37"/>
      <c r="AE2582" s="37"/>
      <c r="AF2582" s="37"/>
    </row>
    <row r="2583" spans="1:32" x14ac:dyDescent="0.25">
      <c r="A2583" s="37"/>
      <c r="B2583" s="37"/>
      <c r="C2583" s="37"/>
      <c r="F2583" s="38"/>
      <c r="G2583" s="38"/>
      <c r="H2583" s="38"/>
      <c r="I2583" s="37"/>
      <c r="J2583" s="38"/>
      <c r="K2583" s="38"/>
      <c r="L2583" s="42"/>
      <c r="M2583" s="42"/>
      <c r="N2583" s="42"/>
      <c r="O2583" s="42"/>
      <c r="R2583" s="37"/>
      <c r="S2583" s="37"/>
      <c r="T2583" s="91"/>
      <c r="U2583" s="91"/>
      <c r="V2583" s="41"/>
      <c r="W2583" s="37"/>
      <c r="X2583" s="37"/>
      <c r="Y2583" s="43"/>
      <c r="Z2583" s="37"/>
      <c r="AA2583" s="37"/>
      <c r="AD2583" s="37"/>
      <c r="AE2583" s="37"/>
      <c r="AF2583" s="37"/>
    </row>
    <row r="2584" spans="1:32" x14ac:dyDescent="0.25">
      <c r="A2584" s="37"/>
      <c r="B2584" s="37"/>
      <c r="C2584" s="37"/>
      <c r="F2584" s="38"/>
      <c r="G2584" s="38"/>
      <c r="H2584" s="38"/>
      <c r="I2584" s="37"/>
      <c r="J2584" s="38"/>
      <c r="K2584" s="38"/>
      <c r="L2584" s="42"/>
      <c r="M2584" s="42"/>
      <c r="N2584" s="42"/>
      <c r="O2584" s="42"/>
      <c r="R2584" s="37"/>
      <c r="S2584" s="37"/>
      <c r="T2584" s="91"/>
      <c r="U2584" s="91"/>
      <c r="V2584" s="41"/>
      <c r="W2584" s="37"/>
      <c r="X2584" s="37"/>
      <c r="Y2584" s="43"/>
      <c r="Z2584" s="37"/>
      <c r="AA2584" s="37"/>
      <c r="AD2584" s="37"/>
      <c r="AE2584" s="37"/>
      <c r="AF2584" s="37"/>
    </row>
    <row r="2585" spans="1:32" x14ac:dyDescent="0.25">
      <c r="A2585" s="37"/>
      <c r="B2585" s="37"/>
      <c r="C2585" s="37"/>
      <c r="F2585" s="38"/>
      <c r="G2585" s="38"/>
      <c r="H2585" s="38"/>
      <c r="I2585" s="37"/>
      <c r="J2585" s="38"/>
      <c r="K2585" s="38"/>
      <c r="L2585" s="42"/>
      <c r="M2585" s="42"/>
      <c r="N2585" s="42"/>
      <c r="O2585" s="42"/>
      <c r="R2585" s="37"/>
      <c r="S2585" s="37"/>
      <c r="T2585" s="91"/>
      <c r="U2585" s="91"/>
      <c r="V2585" s="41"/>
      <c r="W2585" s="37"/>
      <c r="X2585" s="37"/>
      <c r="Y2585" s="43"/>
      <c r="Z2585" s="37"/>
      <c r="AA2585" s="37"/>
      <c r="AD2585" s="37"/>
      <c r="AE2585" s="37"/>
      <c r="AF2585" s="37"/>
    </row>
    <row r="2586" spans="1:32" x14ac:dyDescent="0.25">
      <c r="A2586" s="37"/>
      <c r="B2586" s="37"/>
      <c r="C2586" s="37"/>
      <c r="F2586" s="38"/>
      <c r="G2586" s="38"/>
      <c r="H2586" s="38"/>
      <c r="I2586" s="37"/>
      <c r="J2586" s="38"/>
      <c r="K2586" s="38"/>
      <c r="L2586" s="42"/>
      <c r="M2586" s="42"/>
      <c r="N2586" s="42"/>
      <c r="O2586" s="42"/>
      <c r="R2586" s="37"/>
      <c r="S2586" s="37"/>
      <c r="T2586" s="91"/>
      <c r="U2586" s="91"/>
      <c r="V2586" s="41"/>
      <c r="W2586" s="37"/>
      <c r="X2586" s="37"/>
      <c r="Y2586" s="43"/>
      <c r="Z2586" s="37"/>
      <c r="AA2586" s="37"/>
      <c r="AD2586" s="37"/>
      <c r="AE2586" s="37"/>
      <c r="AF2586" s="37"/>
    </row>
    <row r="2587" spans="1:32" x14ac:dyDescent="0.25">
      <c r="A2587" s="37"/>
      <c r="B2587" s="37"/>
      <c r="C2587" s="37"/>
      <c r="F2587" s="38"/>
      <c r="G2587" s="38"/>
      <c r="H2587" s="38"/>
      <c r="I2587" s="37"/>
      <c r="J2587" s="38"/>
      <c r="K2587" s="38"/>
      <c r="L2587" s="42"/>
      <c r="M2587" s="42"/>
      <c r="N2587" s="42"/>
      <c r="O2587" s="42"/>
      <c r="R2587" s="37"/>
      <c r="S2587" s="37"/>
      <c r="T2587" s="91"/>
      <c r="U2587" s="91"/>
      <c r="V2587" s="41"/>
      <c r="W2587" s="37"/>
      <c r="X2587" s="37"/>
      <c r="Y2587" s="43"/>
      <c r="Z2587" s="37"/>
      <c r="AA2587" s="37"/>
      <c r="AD2587" s="37"/>
      <c r="AE2587" s="37"/>
      <c r="AF2587" s="37"/>
    </row>
    <row r="2588" spans="1:32" x14ac:dyDescent="0.25">
      <c r="A2588" s="37"/>
      <c r="B2588" s="37"/>
      <c r="C2588" s="37"/>
      <c r="F2588" s="38"/>
      <c r="G2588" s="38"/>
      <c r="H2588" s="38"/>
      <c r="I2588" s="37"/>
      <c r="J2588" s="38"/>
      <c r="K2588" s="38"/>
      <c r="L2588" s="42"/>
      <c r="M2588" s="42"/>
      <c r="N2588" s="42"/>
      <c r="O2588" s="42"/>
      <c r="R2588" s="37"/>
      <c r="S2588" s="37"/>
      <c r="T2588" s="91"/>
      <c r="U2588" s="91"/>
      <c r="V2588" s="41"/>
      <c r="W2588" s="37"/>
      <c r="X2588" s="37"/>
      <c r="Y2588" s="43"/>
      <c r="Z2588" s="37"/>
      <c r="AA2588" s="37"/>
      <c r="AD2588" s="37"/>
      <c r="AE2588" s="37"/>
      <c r="AF2588" s="37"/>
    </row>
    <row r="2589" spans="1:32" x14ac:dyDescent="0.25">
      <c r="A2589" s="37"/>
      <c r="B2589" s="37"/>
      <c r="C2589" s="37"/>
      <c r="F2589" s="38"/>
      <c r="G2589" s="38"/>
      <c r="H2589" s="38"/>
      <c r="I2589" s="37"/>
      <c r="J2589" s="38"/>
      <c r="K2589" s="38"/>
      <c r="L2589" s="42"/>
      <c r="M2589" s="42"/>
      <c r="N2589" s="42"/>
      <c r="O2589" s="42"/>
      <c r="R2589" s="37"/>
      <c r="S2589" s="37"/>
      <c r="T2589" s="91"/>
      <c r="U2589" s="91"/>
      <c r="V2589" s="41"/>
      <c r="W2589" s="37"/>
      <c r="X2589" s="37"/>
      <c r="Y2589" s="43"/>
      <c r="Z2589" s="37"/>
      <c r="AA2589" s="37"/>
      <c r="AD2589" s="37"/>
      <c r="AE2589" s="37"/>
      <c r="AF2589" s="37"/>
    </row>
    <row r="2590" spans="1:32" x14ac:dyDescent="0.25">
      <c r="A2590" s="37"/>
      <c r="B2590" s="37"/>
      <c r="C2590" s="37"/>
      <c r="F2590" s="38"/>
      <c r="G2590" s="38"/>
      <c r="H2590" s="38"/>
      <c r="I2590" s="37"/>
      <c r="J2590" s="38"/>
      <c r="K2590" s="38"/>
      <c r="L2590" s="42"/>
      <c r="M2590" s="42"/>
      <c r="N2590" s="42"/>
      <c r="O2590" s="42"/>
      <c r="R2590" s="37"/>
      <c r="S2590" s="37"/>
      <c r="T2590" s="91"/>
      <c r="U2590" s="91"/>
      <c r="V2590" s="41"/>
      <c r="W2590" s="37"/>
      <c r="X2590" s="37"/>
      <c r="Y2590" s="43"/>
      <c r="Z2590" s="37"/>
      <c r="AA2590" s="37"/>
      <c r="AD2590" s="37"/>
      <c r="AE2590" s="37"/>
      <c r="AF2590" s="37"/>
    </row>
    <row r="2591" spans="1:32" x14ac:dyDescent="0.25">
      <c r="A2591" s="37"/>
      <c r="B2591" s="37"/>
      <c r="C2591" s="37"/>
      <c r="F2591" s="38"/>
      <c r="G2591" s="38"/>
      <c r="H2591" s="38"/>
      <c r="I2591" s="37"/>
      <c r="J2591" s="38"/>
      <c r="K2591" s="38"/>
      <c r="L2591" s="42"/>
      <c r="M2591" s="42"/>
      <c r="N2591" s="42"/>
      <c r="O2591" s="42"/>
      <c r="R2591" s="37"/>
      <c r="S2591" s="37"/>
      <c r="T2591" s="91"/>
      <c r="U2591" s="91"/>
      <c r="V2591" s="41"/>
      <c r="W2591" s="37"/>
      <c r="X2591" s="37"/>
      <c r="Y2591" s="43"/>
      <c r="Z2591" s="37"/>
      <c r="AA2591" s="37"/>
      <c r="AD2591" s="37"/>
      <c r="AE2591" s="37"/>
      <c r="AF2591" s="37"/>
    </row>
    <row r="2592" spans="1:32" x14ac:dyDescent="0.25">
      <c r="A2592" s="37"/>
      <c r="B2592" s="37"/>
      <c r="C2592" s="37"/>
      <c r="F2592" s="38"/>
      <c r="G2592" s="38"/>
      <c r="H2592" s="38"/>
      <c r="I2592" s="37"/>
      <c r="J2592" s="38"/>
      <c r="K2592" s="38"/>
      <c r="L2592" s="42"/>
      <c r="M2592" s="42"/>
      <c r="N2592" s="42"/>
      <c r="O2592" s="42"/>
      <c r="R2592" s="37"/>
      <c r="S2592" s="37"/>
      <c r="T2592" s="91"/>
      <c r="U2592" s="91"/>
      <c r="V2592" s="41"/>
      <c r="W2592" s="37"/>
      <c r="X2592" s="37"/>
      <c r="Y2592" s="43"/>
      <c r="Z2592" s="37"/>
      <c r="AA2592" s="37"/>
      <c r="AD2592" s="37"/>
      <c r="AE2592" s="37"/>
      <c r="AF2592" s="37"/>
    </row>
    <row r="2593" spans="1:32" x14ac:dyDescent="0.25">
      <c r="A2593" s="37"/>
      <c r="B2593" s="37"/>
      <c r="C2593" s="37"/>
      <c r="F2593" s="38"/>
      <c r="G2593" s="38"/>
      <c r="H2593" s="38"/>
      <c r="I2593" s="37"/>
      <c r="J2593" s="38"/>
      <c r="K2593" s="38"/>
      <c r="L2593" s="42"/>
      <c r="M2593" s="42"/>
      <c r="N2593" s="42"/>
      <c r="O2593" s="42"/>
      <c r="R2593" s="37"/>
      <c r="S2593" s="37"/>
      <c r="T2593" s="91"/>
      <c r="U2593" s="91"/>
      <c r="V2593" s="41"/>
      <c r="W2593" s="37"/>
      <c r="X2593" s="37"/>
      <c r="Y2593" s="43"/>
      <c r="Z2593" s="37"/>
      <c r="AA2593" s="37"/>
      <c r="AD2593" s="37"/>
      <c r="AE2593" s="37"/>
      <c r="AF2593" s="37"/>
    </row>
    <row r="2594" spans="1:32" x14ac:dyDescent="0.25">
      <c r="A2594" s="37"/>
      <c r="B2594" s="37"/>
      <c r="C2594" s="37"/>
      <c r="F2594" s="38"/>
      <c r="G2594" s="38"/>
      <c r="H2594" s="38"/>
      <c r="I2594" s="37"/>
      <c r="J2594" s="38"/>
      <c r="K2594" s="38"/>
      <c r="L2594" s="42"/>
      <c r="M2594" s="42"/>
      <c r="N2594" s="42"/>
      <c r="O2594" s="42"/>
      <c r="R2594" s="37"/>
      <c r="S2594" s="37"/>
      <c r="T2594" s="91"/>
      <c r="U2594" s="91"/>
      <c r="V2594" s="41"/>
      <c r="W2594" s="37"/>
      <c r="X2594" s="37"/>
      <c r="Y2594" s="43"/>
      <c r="Z2594" s="37"/>
      <c r="AA2594" s="37"/>
      <c r="AD2594" s="37"/>
      <c r="AE2594" s="37"/>
      <c r="AF2594" s="37"/>
    </row>
    <row r="2595" spans="1:32" x14ac:dyDescent="0.25">
      <c r="A2595" s="37"/>
      <c r="B2595" s="37"/>
      <c r="C2595" s="37"/>
      <c r="F2595" s="38"/>
      <c r="G2595" s="38"/>
      <c r="H2595" s="38"/>
      <c r="I2595" s="37"/>
      <c r="J2595" s="38"/>
      <c r="K2595" s="38"/>
      <c r="L2595" s="42"/>
      <c r="M2595" s="42"/>
      <c r="N2595" s="42"/>
      <c r="O2595" s="42"/>
      <c r="R2595" s="37"/>
      <c r="S2595" s="37"/>
      <c r="T2595" s="91"/>
      <c r="U2595" s="91"/>
      <c r="V2595" s="41"/>
      <c r="W2595" s="37"/>
      <c r="X2595" s="37"/>
      <c r="Y2595" s="43"/>
      <c r="Z2595" s="37"/>
      <c r="AA2595" s="37"/>
      <c r="AD2595" s="37"/>
      <c r="AE2595" s="37"/>
      <c r="AF2595" s="37"/>
    </row>
    <row r="2596" spans="1:32" x14ac:dyDescent="0.25">
      <c r="A2596" s="37"/>
      <c r="B2596" s="37"/>
      <c r="C2596" s="37"/>
      <c r="F2596" s="38"/>
      <c r="G2596" s="38"/>
      <c r="H2596" s="38"/>
      <c r="I2596" s="37"/>
      <c r="J2596" s="38"/>
      <c r="K2596" s="38"/>
      <c r="L2596" s="42"/>
      <c r="M2596" s="42"/>
      <c r="N2596" s="42"/>
      <c r="O2596" s="42"/>
      <c r="R2596" s="37"/>
      <c r="S2596" s="37"/>
      <c r="T2596" s="91"/>
      <c r="U2596" s="91"/>
      <c r="V2596" s="41"/>
      <c r="W2596" s="37"/>
      <c r="X2596" s="37"/>
      <c r="Y2596" s="43"/>
      <c r="Z2596" s="37"/>
      <c r="AA2596" s="37"/>
      <c r="AD2596" s="37"/>
      <c r="AE2596" s="37"/>
      <c r="AF2596" s="37"/>
    </row>
    <row r="2597" spans="1:32" x14ac:dyDescent="0.25">
      <c r="A2597" s="37"/>
      <c r="B2597" s="37"/>
      <c r="C2597" s="37"/>
      <c r="F2597" s="38"/>
      <c r="G2597" s="38"/>
      <c r="H2597" s="38"/>
      <c r="I2597" s="37"/>
      <c r="J2597" s="38"/>
      <c r="K2597" s="38"/>
      <c r="L2597" s="42"/>
      <c r="M2597" s="42"/>
      <c r="N2597" s="42"/>
      <c r="O2597" s="42"/>
      <c r="R2597" s="37"/>
      <c r="S2597" s="37"/>
      <c r="T2597" s="91"/>
      <c r="U2597" s="91"/>
      <c r="V2597" s="41"/>
      <c r="W2597" s="37"/>
      <c r="X2597" s="37"/>
      <c r="Y2597" s="43"/>
      <c r="Z2597" s="37"/>
      <c r="AA2597" s="37"/>
      <c r="AD2597" s="37"/>
      <c r="AE2597" s="37"/>
      <c r="AF2597" s="37"/>
    </row>
    <row r="2598" spans="1:32" x14ac:dyDescent="0.25">
      <c r="A2598" s="37"/>
      <c r="B2598" s="37"/>
      <c r="C2598" s="37"/>
      <c r="F2598" s="38"/>
      <c r="G2598" s="38"/>
      <c r="H2598" s="38"/>
      <c r="I2598" s="37"/>
      <c r="J2598" s="38"/>
      <c r="K2598" s="38"/>
      <c r="L2598" s="42"/>
      <c r="M2598" s="42"/>
      <c r="N2598" s="42"/>
      <c r="O2598" s="42"/>
      <c r="R2598" s="37"/>
      <c r="S2598" s="37"/>
      <c r="T2598" s="91"/>
      <c r="U2598" s="91"/>
      <c r="V2598" s="41"/>
      <c r="W2598" s="37"/>
      <c r="X2598" s="37"/>
      <c r="Y2598" s="43"/>
      <c r="Z2598" s="37"/>
      <c r="AA2598" s="37"/>
      <c r="AD2598" s="37"/>
      <c r="AE2598" s="37"/>
      <c r="AF2598" s="37"/>
    </row>
    <row r="2599" spans="1:32" x14ac:dyDescent="0.25">
      <c r="A2599" s="37"/>
      <c r="B2599" s="37"/>
      <c r="C2599" s="37"/>
      <c r="F2599" s="38"/>
      <c r="G2599" s="38"/>
      <c r="H2599" s="38"/>
      <c r="I2599" s="37"/>
      <c r="J2599" s="38"/>
      <c r="K2599" s="38"/>
      <c r="L2599" s="42"/>
      <c r="M2599" s="42"/>
      <c r="N2599" s="42"/>
      <c r="O2599" s="42"/>
      <c r="R2599" s="37"/>
      <c r="S2599" s="37"/>
      <c r="T2599" s="91"/>
      <c r="U2599" s="91"/>
      <c r="V2599" s="41"/>
      <c r="W2599" s="37"/>
      <c r="X2599" s="37"/>
      <c r="Y2599" s="43"/>
      <c r="Z2599" s="37"/>
      <c r="AA2599" s="37"/>
      <c r="AD2599" s="37"/>
      <c r="AE2599" s="37"/>
      <c r="AF2599" s="37"/>
    </row>
    <row r="2600" spans="1:32" x14ac:dyDescent="0.25">
      <c r="A2600" s="37"/>
      <c r="B2600" s="37"/>
      <c r="C2600" s="37"/>
      <c r="F2600" s="38"/>
      <c r="G2600" s="38"/>
      <c r="H2600" s="38"/>
      <c r="I2600" s="37"/>
      <c r="J2600" s="38"/>
      <c r="K2600" s="38"/>
      <c r="L2600" s="42"/>
      <c r="M2600" s="42"/>
      <c r="N2600" s="42"/>
      <c r="O2600" s="42"/>
      <c r="R2600" s="37"/>
      <c r="S2600" s="37"/>
      <c r="T2600" s="91"/>
      <c r="U2600" s="91"/>
      <c r="V2600" s="41"/>
      <c r="W2600" s="37"/>
      <c r="X2600" s="37"/>
      <c r="Y2600" s="43"/>
      <c r="Z2600" s="37"/>
      <c r="AA2600" s="37"/>
      <c r="AD2600" s="37"/>
      <c r="AE2600" s="37"/>
      <c r="AF2600" s="37"/>
    </row>
    <row r="2601" spans="1:32" x14ac:dyDescent="0.25">
      <c r="A2601" s="37"/>
      <c r="B2601" s="37"/>
      <c r="C2601" s="37"/>
      <c r="F2601" s="38"/>
      <c r="G2601" s="38"/>
      <c r="H2601" s="38"/>
      <c r="I2601" s="37"/>
      <c r="J2601" s="38"/>
      <c r="K2601" s="38"/>
      <c r="L2601" s="42"/>
      <c r="M2601" s="42"/>
      <c r="N2601" s="42"/>
      <c r="O2601" s="42"/>
      <c r="R2601" s="37"/>
      <c r="S2601" s="37"/>
      <c r="T2601" s="91"/>
      <c r="U2601" s="91"/>
      <c r="V2601" s="41"/>
      <c r="W2601" s="37"/>
      <c r="X2601" s="37"/>
      <c r="Y2601" s="43"/>
      <c r="Z2601" s="37"/>
      <c r="AA2601" s="37"/>
      <c r="AD2601" s="37"/>
      <c r="AE2601" s="37"/>
      <c r="AF2601" s="37"/>
    </row>
    <row r="2602" spans="1:32" x14ac:dyDescent="0.25">
      <c r="A2602" s="37"/>
      <c r="B2602" s="37"/>
      <c r="C2602" s="37"/>
      <c r="F2602" s="38"/>
      <c r="G2602" s="38"/>
      <c r="H2602" s="38"/>
      <c r="I2602" s="37"/>
      <c r="J2602" s="38"/>
      <c r="K2602" s="38"/>
      <c r="L2602" s="42"/>
      <c r="M2602" s="42"/>
      <c r="N2602" s="42"/>
      <c r="O2602" s="42"/>
      <c r="R2602" s="37"/>
      <c r="S2602" s="37"/>
      <c r="T2602" s="91"/>
      <c r="U2602" s="91"/>
      <c r="V2602" s="41"/>
      <c r="W2602" s="37"/>
      <c r="X2602" s="37"/>
      <c r="Y2602" s="43"/>
      <c r="Z2602" s="37"/>
      <c r="AA2602" s="37"/>
      <c r="AD2602" s="37"/>
      <c r="AE2602" s="37"/>
      <c r="AF2602" s="37"/>
    </row>
    <row r="2603" spans="1:32" x14ac:dyDescent="0.25">
      <c r="A2603" s="37"/>
      <c r="B2603" s="37"/>
      <c r="C2603" s="37"/>
      <c r="F2603" s="38"/>
      <c r="G2603" s="38"/>
      <c r="H2603" s="38"/>
      <c r="I2603" s="37"/>
      <c r="J2603" s="38"/>
      <c r="K2603" s="38"/>
      <c r="L2603" s="42"/>
      <c r="M2603" s="42"/>
      <c r="N2603" s="42"/>
      <c r="O2603" s="42"/>
      <c r="R2603" s="37"/>
      <c r="S2603" s="37"/>
      <c r="T2603" s="91"/>
      <c r="U2603" s="91"/>
      <c r="V2603" s="41"/>
      <c r="W2603" s="37"/>
      <c r="X2603" s="37"/>
      <c r="Y2603" s="43"/>
      <c r="Z2603" s="37"/>
      <c r="AA2603" s="37"/>
      <c r="AD2603" s="37"/>
      <c r="AE2603" s="37"/>
      <c r="AF2603" s="37"/>
    </row>
    <row r="2604" spans="1:32" x14ac:dyDescent="0.25">
      <c r="A2604" s="37"/>
      <c r="B2604" s="37"/>
      <c r="C2604" s="37"/>
      <c r="F2604" s="38"/>
      <c r="G2604" s="38"/>
      <c r="H2604" s="38"/>
      <c r="I2604" s="37"/>
      <c r="J2604" s="38"/>
      <c r="K2604" s="38"/>
      <c r="L2604" s="42"/>
      <c r="M2604" s="42"/>
      <c r="N2604" s="42"/>
      <c r="O2604" s="42"/>
      <c r="R2604" s="37"/>
      <c r="S2604" s="37"/>
      <c r="T2604" s="91"/>
      <c r="U2604" s="91"/>
      <c r="V2604" s="41"/>
      <c r="W2604" s="37"/>
      <c r="X2604" s="37"/>
      <c r="Y2604" s="43"/>
      <c r="Z2604" s="37"/>
      <c r="AA2604" s="37"/>
      <c r="AD2604" s="37"/>
      <c r="AE2604" s="37"/>
      <c r="AF2604" s="37"/>
    </row>
    <row r="2605" spans="1:32" x14ac:dyDescent="0.25">
      <c r="A2605" s="37"/>
      <c r="B2605" s="37"/>
      <c r="C2605" s="37"/>
      <c r="F2605" s="38"/>
      <c r="G2605" s="38"/>
      <c r="H2605" s="38"/>
      <c r="I2605" s="37"/>
      <c r="J2605" s="38"/>
      <c r="K2605" s="38"/>
      <c r="L2605" s="42"/>
      <c r="M2605" s="42"/>
      <c r="N2605" s="42"/>
      <c r="O2605" s="42"/>
      <c r="R2605" s="37"/>
      <c r="S2605" s="37"/>
      <c r="T2605" s="91"/>
      <c r="U2605" s="91"/>
      <c r="V2605" s="41"/>
      <c r="W2605" s="37"/>
      <c r="X2605" s="37"/>
      <c r="Y2605" s="43"/>
      <c r="Z2605" s="37"/>
      <c r="AA2605" s="37"/>
      <c r="AD2605" s="37"/>
      <c r="AE2605" s="37"/>
      <c r="AF2605" s="37"/>
    </row>
    <row r="2606" spans="1:32" x14ac:dyDescent="0.25">
      <c r="A2606" s="37"/>
      <c r="B2606" s="37"/>
      <c r="C2606" s="37"/>
      <c r="F2606" s="38"/>
      <c r="G2606" s="38"/>
      <c r="H2606" s="38"/>
      <c r="I2606" s="37"/>
      <c r="J2606" s="38"/>
      <c r="K2606" s="38"/>
      <c r="L2606" s="42"/>
      <c r="M2606" s="42"/>
      <c r="N2606" s="42"/>
      <c r="O2606" s="42"/>
      <c r="R2606" s="37"/>
      <c r="S2606" s="37"/>
      <c r="T2606" s="91"/>
      <c r="U2606" s="91"/>
      <c r="V2606" s="41"/>
      <c r="W2606" s="37"/>
      <c r="X2606" s="37"/>
      <c r="Y2606" s="43"/>
      <c r="Z2606" s="37"/>
      <c r="AA2606" s="37"/>
      <c r="AD2606" s="37"/>
      <c r="AE2606" s="37"/>
      <c r="AF2606" s="37"/>
    </row>
    <row r="2607" spans="1:32" x14ac:dyDescent="0.25">
      <c r="A2607" s="37"/>
      <c r="B2607" s="37"/>
      <c r="C2607" s="37"/>
      <c r="F2607" s="38"/>
      <c r="G2607" s="38"/>
      <c r="H2607" s="38"/>
      <c r="I2607" s="37"/>
      <c r="J2607" s="38"/>
      <c r="K2607" s="38"/>
      <c r="L2607" s="42"/>
      <c r="M2607" s="42"/>
      <c r="N2607" s="42"/>
      <c r="O2607" s="42"/>
      <c r="R2607" s="37"/>
      <c r="S2607" s="37"/>
      <c r="T2607" s="91"/>
      <c r="U2607" s="91"/>
      <c r="V2607" s="41"/>
      <c r="W2607" s="37"/>
      <c r="X2607" s="37"/>
      <c r="Y2607" s="43"/>
      <c r="Z2607" s="37"/>
      <c r="AA2607" s="37"/>
      <c r="AD2607" s="37"/>
      <c r="AE2607" s="37"/>
      <c r="AF2607" s="37"/>
    </row>
    <row r="2608" spans="1:32" x14ac:dyDescent="0.25">
      <c r="A2608" s="37"/>
      <c r="B2608" s="37"/>
      <c r="C2608" s="37"/>
      <c r="F2608" s="38"/>
      <c r="G2608" s="38"/>
      <c r="H2608" s="38"/>
      <c r="I2608" s="37"/>
      <c r="J2608" s="38"/>
      <c r="K2608" s="38"/>
      <c r="L2608" s="42"/>
      <c r="M2608" s="42"/>
      <c r="N2608" s="42"/>
      <c r="O2608" s="42"/>
      <c r="R2608" s="37"/>
      <c r="S2608" s="37"/>
      <c r="T2608" s="91"/>
      <c r="U2608" s="91"/>
      <c r="V2608" s="41"/>
      <c r="W2608" s="37"/>
      <c r="X2608" s="37"/>
      <c r="Y2608" s="43"/>
      <c r="Z2608" s="37"/>
      <c r="AA2608" s="37"/>
      <c r="AD2608" s="37"/>
      <c r="AE2608" s="37"/>
      <c r="AF2608" s="37"/>
    </row>
    <row r="2609" spans="1:32" x14ac:dyDescent="0.25">
      <c r="A2609" s="37"/>
      <c r="B2609" s="37"/>
      <c r="C2609" s="37"/>
      <c r="F2609" s="38"/>
      <c r="G2609" s="38"/>
      <c r="H2609" s="38"/>
      <c r="I2609" s="37"/>
      <c r="J2609" s="38"/>
      <c r="K2609" s="38"/>
      <c r="L2609" s="42"/>
      <c r="M2609" s="42"/>
      <c r="N2609" s="42"/>
      <c r="O2609" s="42"/>
      <c r="R2609" s="37"/>
      <c r="S2609" s="37"/>
      <c r="T2609" s="91"/>
      <c r="U2609" s="91"/>
      <c r="V2609" s="41"/>
      <c r="W2609" s="37"/>
      <c r="X2609" s="37"/>
      <c r="Y2609" s="43"/>
      <c r="Z2609" s="37"/>
      <c r="AA2609" s="37"/>
      <c r="AD2609" s="37"/>
      <c r="AE2609" s="37"/>
      <c r="AF2609" s="37"/>
    </row>
    <row r="2610" spans="1:32" x14ac:dyDescent="0.25">
      <c r="A2610" s="37"/>
      <c r="B2610" s="37"/>
      <c r="C2610" s="37"/>
      <c r="F2610" s="38"/>
      <c r="G2610" s="38"/>
      <c r="H2610" s="38"/>
      <c r="I2610" s="37"/>
      <c r="J2610" s="38"/>
      <c r="K2610" s="38"/>
      <c r="L2610" s="42"/>
      <c r="M2610" s="42"/>
      <c r="N2610" s="42"/>
      <c r="O2610" s="42"/>
      <c r="R2610" s="37"/>
      <c r="S2610" s="37"/>
      <c r="T2610" s="91"/>
      <c r="U2610" s="91"/>
      <c r="V2610" s="41"/>
      <c r="W2610" s="37"/>
      <c r="X2610" s="37"/>
      <c r="Y2610" s="43"/>
      <c r="Z2610" s="37"/>
      <c r="AA2610" s="37"/>
      <c r="AD2610" s="37"/>
      <c r="AE2610" s="37"/>
      <c r="AF2610" s="37"/>
    </row>
    <row r="2611" spans="1:32" x14ac:dyDescent="0.25">
      <c r="A2611" s="37"/>
      <c r="B2611" s="37"/>
      <c r="C2611" s="37"/>
      <c r="F2611" s="38"/>
      <c r="G2611" s="38"/>
      <c r="H2611" s="38"/>
      <c r="I2611" s="37"/>
      <c r="J2611" s="38"/>
      <c r="K2611" s="38"/>
      <c r="L2611" s="42"/>
      <c r="M2611" s="42"/>
      <c r="N2611" s="42"/>
      <c r="O2611" s="42"/>
      <c r="R2611" s="37"/>
      <c r="S2611" s="37"/>
      <c r="T2611" s="91"/>
      <c r="U2611" s="91"/>
      <c r="V2611" s="41"/>
      <c r="W2611" s="37"/>
      <c r="X2611" s="37"/>
      <c r="Y2611" s="43"/>
      <c r="Z2611" s="37"/>
      <c r="AA2611" s="37"/>
      <c r="AD2611" s="37"/>
      <c r="AE2611" s="37"/>
      <c r="AF2611" s="37"/>
    </row>
    <row r="2612" spans="1:32" x14ac:dyDescent="0.25">
      <c r="A2612" s="37"/>
      <c r="B2612" s="37"/>
      <c r="C2612" s="37"/>
      <c r="F2612" s="38"/>
      <c r="G2612" s="38"/>
      <c r="H2612" s="38"/>
      <c r="I2612" s="37"/>
      <c r="J2612" s="38"/>
      <c r="K2612" s="38"/>
      <c r="L2612" s="42"/>
      <c r="M2612" s="42"/>
      <c r="N2612" s="42"/>
      <c r="O2612" s="42"/>
      <c r="R2612" s="37"/>
      <c r="S2612" s="37"/>
      <c r="T2612" s="91"/>
      <c r="U2612" s="91"/>
      <c r="V2612" s="41"/>
      <c r="W2612" s="37"/>
      <c r="X2612" s="37"/>
      <c r="Y2612" s="43"/>
      <c r="Z2612" s="37"/>
      <c r="AA2612" s="37"/>
      <c r="AD2612" s="37"/>
      <c r="AE2612" s="37"/>
      <c r="AF2612" s="37"/>
    </row>
    <row r="2613" spans="1:32" x14ac:dyDescent="0.25">
      <c r="A2613" s="37"/>
      <c r="B2613" s="37"/>
      <c r="C2613" s="37"/>
      <c r="F2613" s="38"/>
      <c r="G2613" s="38"/>
      <c r="H2613" s="38"/>
      <c r="I2613" s="37"/>
      <c r="J2613" s="38"/>
      <c r="K2613" s="38"/>
      <c r="L2613" s="42"/>
      <c r="M2613" s="42"/>
      <c r="N2613" s="42"/>
      <c r="O2613" s="42"/>
      <c r="R2613" s="37"/>
      <c r="S2613" s="37"/>
      <c r="T2613" s="91"/>
      <c r="U2613" s="91"/>
      <c r="V2613" s="41"/>
      <c r="W2613" s="37"/>
      <c r="X2613" s="37"/>
      <c r="Y2613" s="43"/>
      <c r="Z2613" s="37"/>
      <c r="AA2613" s="37"/>
      <c r="AD2613" s="37"/>
      <c r="AE2613" s="37"/>
      <c r="AF2613" s="37"/>
    </row>
    <row r="2614" spans="1:32" x14ac:dyDescent="0.25">
      <c r="A2614" s="37"/>
      <c r="B2614" s="37"/>
      <c r="C2614" s="37"/>
      <c r="F2614" s="38"/>
      <c r="G2614" s="38"/>
      <c r="H2614" s="38"/>
      <c r="I2614" s="37"/>
      <c r="J2614" s="38"/>
      <c r="K2614" s="38"/>
      <c r="L2614" s="42"/>
      <c r="M2614" s="42"/>
      <c r="N2614" s="42"/>
      <c r="O2614" s="42"/>
      <c r="R2614" s="37"/>
      <c r="S2614" s="37"/>
      <c r="T2614" s="91"/>
      <c r="U2614" s="91"/>
      <c r="V2614" s="41"/>
      <c r="W2614" s="37"/>
      <c r="X2614" s="37"/>
      <c r="Y2614" s="43"/>
      <c r="Z2614" s="37"/>
      <c r="AA2614" s="37"/>
      <c r="AD2614" s="37"/>
      <c r="AE2614" s="37"/>
      <c r="AF2614" s="37"/>
    </row>
    <row r="2615" spans="1:32" x14ac:dyDescent="0.25">
      <c r="A2615" s="37"/>
      <c r="B2615" s="37"/>
      <c r="C2615" s="37"/>
      <c r="F2615" s="38"/>
      <c r="G2615" s="38"/>
      <c r="H2615" s="38"/>
      <c r="I2615" s="37"/>
      <c r="J2615" s="38"/>
      <c r="K2615" s="38"/>
      <c r="L2615" s="42"/>
      <c r="M2615" s="42"/>
      <c r="N2615" s="42"/>
      <c r="O2615" s="42"/>
      <c r="R2615" s="37"/>
      <c r="S2615" s="37"/>
      <c r="T2615" s="91"/>
      <c r="U2615" s="91"/>
      <c r="V2615" s="41"/>
      <c r="W2615" s="37"/>
      <c r="X2615" s="37"/>
      <c r="Y2615" s="43"/>
      <c r="Z2615" s="37"/>
      <c r="AA2615" s="37"/>
      <c r="AD2615" s="37"/>
      <c r="AE2615" s="37"/>
      <c r="AF2615" s="37"/>
    </row>
    <row r="2616" spans="1:32" x14ac:dyDescent="0.25">
      <c r="A2616" s="37"/>
      <c r="B2616" s="37"/>
      <c r="C2616" s="37"/>
      <c r="F2616" s="38"/>
      <c r="G2616" s="38"/>
      <c r="H2616" s="38"/>
      <c r="I2616" s="37"/>
      <c r="J2616" s="38"/>
      <c r="K2616" s="38"/>
      <c r="L2616" s="42"/>
      <c r="M2616" s="42"/>
      <c r="N2616" s="42"/>
      <c r="O2616" s="42"/>
      <c r="R2616" s="37"/>
      <c r="S2616" s="37"/>
      <c r="T2616" s="91"/>
      <c r="U2616" s="91"/>
      <c r="V2616" s="41"/>
      <c r="W2616" s="37"/>
      <c r="X2616" s="37"/>
      <c r="Y2616" s="43"/>
      <c r="Z2616" s="37"/>
      <c r="AA2616" s="37"/>
      <c r="AD2616" s="37"/>
      <c r="AE2616" s="37"/>
      <c r="AF2616" s="37"/>
    </row>
    <row r="2617" spans="1:32" x14ac:dyDescent="0.25">
      <c r="A2617" s="37"/>
      <c r="B2617" s="37"/>
      <c r="C2617" s="37"/>
      <c r="F2617" s="38"/>
      <c r="G2617" s="38"/>
      <c r="H2617" s="38"/>
      <c r="I2617" s="37"/>
      <c r="J2617" s="38"/>
      <c r="K2617" s="38"/>
      <c r="L2617" s="42"/>
      <c r="M2617" s="42"/>
      <c r="N2617" s="42"/>
      <c r="O2617" s="42"/>
      <c r="R2617" s="37"/>
      <c r="S2617" s="37"/>
      <c r="T2617" s="91"/>
      <c r="U2617" s="91"/>
      <c r="V2617" s="41"/>
      <c r="W2617" s="37"/>
      <c r="X2617" s="37"/>
      <c r="Y2617" s="43"/>
      <c r="Z2617" s="37"/>
      <c r="AA2617" s="37"/>
      <c r="AD2617" s="37"/>
      <c r="AE2617" s="37"/>
      <c r="AF2617" s="37"/>
    </row>
    <row r="2618" spans="1:32" x14ac:dyDescent="0.25">
      <c r="A2618" s="37"/>
      <c r="B2618" s="37"/>
      <c r="C2618" s="37"/>
      <c r="F2618" s="38"/>
      <c r="G2618" s="38"/>
      <c r="H2618" s="38"/>
      <c r="I2618" s="37"/>
      <c r="J2618" s="38"/>
      <c r="K2618" s="38"/>
      <c r="L2618" s="42"/>
      <c r="M2618" s="42"/>
      <c r="N2618" s="42"/>
      <c r="O2618" s="42"/>
      <c r="R2618" s="37"/>
      <c r="S2618" s="37"/>
      <c r="T2618" s="91"/>
      <c r="U2618" s="91"/>
      <c r="V2618" s="41"/>
      <c r="W2618" s="37"/>
      <c r="X2618" s="37"/>
      <c r="Y2618" s="43"/>
      <c r="Z2618" s="37"/>
      <c r="AA2618" s="37"/>
      <c r="AD2618" s="37"/>
      <c r="AE2618" s="37"/>
      <c r="AF2618" s="37"/>
    </row>
    <row r="2619" spans="1:32" x14ac:dyDescent="0.25">
      <c r="A2619" s="37"/>
      <c r="B2619" s="37"/>
      <c r="C2619" s="37"/>
      <c r="F2619" s="38"/>
      <c r="G2619" s="38"/>
      <c r="H2619" s="38"/>
      <c r="I2619" s="37"/>
      <c r="J2619" s="38"/>
      <c r="K2619" s="38"/>
      <c r="L2619" s="42"/>
      <c r="M2619" s="42"/>
      <c r="N2619" s="42"/>
      <c r="O2619" s="42"/>
      <c r="R2619" s="37"/>
      <c r="S2619" s="37"/>
      <c r="T2619" s="91"/>
      <c r="U2619" s="91"/>
      <c r="V2619" s="41"/>
      <c r="W2619" s="37"/>
      <c r="X2619" s="37"/>
      <c r="Y2619" s="43"/>
      <c r="Z2619" s="37"/>
      <c r="AA2619" s="37"/>
      <c r="AD2619" s="37"/>
      <c r="AE2619" s="37"/>
      <c r="AF2619" s="37"/>
    </row>
    <row r="2620" spans="1:32" x14ac:dyDescent="0.25">
      <c r="A2620" s="37"/>
      <c r="B2620" s="37"/>
      <c r="C2620" s="37"/>
      <c r="F2620" s="38"/>
      <c r="G2620" s="38"/>
      <c r="H2620" s="38"/>
      <c r="I2620" s="37"/>
      <c r="J2620" s="38"/>
      <c r="K2620" s="38"/>
      <c r="L2620" s="42"/>
      <c r="M2620" s="42"/>
      <c r="N2620" s="42"/>
      <c r="O2620" s="42"/>
      <c r="R2620" s="37"/>
      <c r="S2620" s="37"/>
      <c r="T2620" s="91"/>
      <c r="U2620" s="91"/>
      <c r="V2620" s="41"/>
      <c r="W2620" s="37"/>
      <c r="X2620" s="37"/>
      <c r="Y2620" s="43"/>
      <c r="Z2620" s="37"/>
      <c r="AA2620" s="37"/>
      <c r="AD2620" s="37"/>
      <c r="AE2620" s="37"/>
      <c r="AF2620" s="37"/>
    </row>
    <row r="2621" spans="1:32" x14ac:dyDescent="0.25">
      <c r="A2621" s="37"/>
      <c r="B2621" s="37"/>
      <c r="C2621" s="37"/>
      <c r="F2621" s="38"/>
      <c r="G2621" s="38"/>
      <c r="H2621" s="38"/>
      <c r="I2621" s="37"/>
      <c r="J2621" s="38"/>
      <c r="K2621" s="38"/>
      <c r="L2621" s="42"/>
      <c r="M2621" s="42"/>
      <c r="N2621" s="42"/>
      <c r="O2621" s="42"/>
      <c r="R2621" s="37"/>
      <c r="S2621" s="37"/>
      <c r="T2621" s="91"/>
      <c r="U2621" s="91"/>
      <c r="V2621" s="41"/>
      <c r="W2621" s="37"/>
      <c r="X2621" s="37"/>
      <c r="Y2621" s="43"/>
      <c r="Z2621" s="37"/>
      <c r="AA2621" s="37"/>
      <c r="AD2621" s="37"/>
      <c r="AE2621" s="37"/>
      <c r="AF2621" s="37"/>
    </row>
    <row r="2622" spans="1:32" x14ac:dyDescent="0.25">
      <c r="A2622" s="37"/>
      <c r="B2622" s="37"/>
      <c r="C2622" s="37"/>
      <c r="F2622" s="38"/>
      <c r="G2622" s="38"/>
      <c r="H2622" s="38"/>
      <c r="I2622" s="37"/>
      <c r="J2622" s="38"/>
      <c r="K2622" s="38"/>
      <c r="L2622" s="42"/>
      <c r="M2622" s="42"/>
      <c r="N2622" s="42"/>
      <c r="O2622" s="42"/>
      <c r="R2622" s="37"/>
      <c r="S2622" s="37"/>
      <c r="T2622" s="91"/>
      <c r="U2622" s="91"/>
      <c r="V2622" s="41"/>
      <c r="W2622" s="37"/>
      <c r="X2622" s="37"/>
      <c r="Y2622" s="43"/>
      <c r="Z2622" s="37"/>
      <c r="AA2622" s="37"/>
      <c r="AD2622" s="37"/>
      <c r="AE2622" s="37"/>
      <c r="AF2622" s="37"/>
    </row>
    <row r="2623" spans="1:32" x14ac:dyDescent="0.25">
      <c r="A2623" s="37"/>
      <c r="B2623" s="37"/>
      <c r="C2623" s="37"/>
      <c r="F2623" s="38"/>
      <c r="G2623" s="38"/>
      <c r="H2623" s="38"/>
      <c r="I2623" s="37"/>
      <c r="J2623" s="38"/>
      <c r="K2623" s="38"/>
      <c r="L2623" s="42"/>
      <c r="M2623" s="42"/>
      <c r="N2623" s="42"/>
      <c r="O2623" s="42"/>
      <c r="R2623" s="37"/>
      <c r="S2623" s="37"/>
      <c r="T2623" s="91"/>
      <c r="U2623" s="91"/>
      <c r="V2623" s="41"/>
      <c r="W2623" s="37"/>
      <c r="X2623" s="37"/>
      <c r="Y2623" s="43"/>
      <c r="Z2623" s="37"/>
      <c r="AA2623" s="37"/>
      <c r="AD2623" s="37"/>
      <c r="AE2623" s="37"/>
      <c r="AF2623" s="37"/>
    </row>
    <row r="2624" spans="1:32" x14ac:dyDescent="0.25">
      <c r="A2624" s="37"/>
      <c r="B2624" s="37"/>
      <c r="C2624" s="37"/>
      <c r="F2624" s="38"/>
      <c r="G2624" s="38"/>
      <c r="H2624" s="38"/>
      <c r="I2624" s="37"/>
      <c r="J2624" s="38"/>
      <c r="K2624" s="38"/>
      <c r="L2624" s="42"/>
      <c r="M2624" s="42"/>
      <c r="N2624" s="42"/>
      <c r="O2624" s="42"/>
      <c r="R2624" s="37"/>
      <c r="S2624" s="37"/>
      <c r="T2624" s="91"/>
      <c r="U2624" s="91"/>
      <c r="V2624" s="41"/>
      <c r="W2624" s="37"/>
      <c r="X2624" s="37"/>
      <c r="Y2624" s="43"/>
      <c r="Z2624" s="37"/>
      <c r="AA2624" s="37"/>
      <c r="AD2624" s="37"/>
      <c r="AE2624" s="37"/>
      <c r="AF2624" s="37"/>
    </row>
    <row r="2625" spans="1:32" x14ac:dyDescent="0.25">
      <c r="A2625" s="37"/>
      <c r="B2625" s="37"/>
      <c r="C2625" s="37"/>
      <c r="F2625" s="38"/>
      <c r="G2625" s="38"/>
      <c r="H2625" s="38"/>
      <c r="I2625" s="37"/>
      <c r="J2625" s="38"/>
      <c r="K2625" s="38"/>
      <c r="L2625" s="42"/>
      <c r="M2625" s="42"/>
      <c r="N2625" s="42"/>
      <c r="O2625" s="42"/>
      <c r="R2625" s="37"/>
      <c r="S2625" s="37"/>
      <c r="T2625" s="91"/>
      <c r="U2625" s="91"/>
      <c r="V2625" s="41"/>
      <c r="W2625" s="37"/>
      <c r="X2625" s="37"/>
      <c r="Y2625" s="43"/>
      <c r="Z2625" s="37"/>
      <c r="AA2625" s="37"/>
      <c r="AD2625" s="37"/>
      <c r="AE2625" s="37"/>
      <c r="AF2625" s="37"/>
    </row>
    <row r="2626" spans="1:32" x14ac:dyDescent="0.25">
      <c r="A2626" s="37"/>
      <c r="B2626" s="37"/>
      <c r="C2626" s="37"/>
      <c r="F2626" s="38"/>
      <c r="G2626" s="38"/>
      <c r="H2626" s="38"/>
      <c r="I2626" s="37"/>
      <c r="J2626" s="38"/>
      <c r="K2626" s="38"/>
      <c r="L2626" s="42"/>
      <c r="M2626" s="42"/>
      <c r="N2626" s="42"/>
      <c r="O2626" s="42"/>
      <c r="R2626" s="37"/>
      <c r="S2626" s="37"/>
      <c r="T2626" s="91"/>
      <c r="U2626" s="91"/>
      <c r="V2626" s="41"/>
      <c r="W2626" s="37"/>
      <c r="X2626" s="37"/>
      <c r="Y2626" s="43"/>
      <c r="Z2626" s="37"/>
      <c r="AA2626" s="37"/>
      <c r="AD2626" s="37"/>
      <c r="AE2626" s="37"/>
      <c r="AF2626" s="37"/>
    </row>
    <row r="2627" spans="1:32" x14ac:dyDescent="0.25">
      <c r="A2627" s="37"/>
      <c r="B2627" s="37"/>
      <c r="C2627" s="37"/>
      <c r="F2627" s="38"/>
      <c r="G2627" s="38"/>
      <c r="H2627" s="38"/>
      <c r="I2627" s="37"/>
      <c r="J2627" s="38"/>
      <c r="K2627" s="38"/>
      <c r="L2627" s="42"/>
      <c r="M2627" s="42"/>
      <c r="N2627" s="42"/>
      <c r="O2627" s="42"/>
      <c r="R2627" s="37"/>
      <c r="S2627" s="37"/>
      <c r="T2627" s="91"/>
      <c r="U2627" s="91"/>
      <c r="V2627" s="41"/>
      <c r="W2627" s="37"/>
      <c r="X2627" s="37"/>
      <c r="Y2627" s="43"/>
      <c r="Z2627" s="37"/>
      <c r="AA2627" s="37"/>
      <c r="AD2627" s="37"/>
      <c r="AE2627" s="37"/>
      <c r="AF2627" s="37"/>
    </row>
    <row r="2628" spans="1:32" x14ac:dyDescent="0.25">
      <c r="A2628" s="37"/>
      <c r="B2628" s="37"/>
      <c r="C2628" s="37"/>
      <c r="F2628" s="38"/>
      <c r="G2628" s="38"/>
      <c r="H2628" s="38"/>
      <c r="I2628" s="37"/>
      <c r="J2628" s="38"/>
      <c r="K2628" s="38"/>
      <c r="L2628" s="42"/>
      <c r="M2628" s="42"/>
      <c r="N2628" s="42"/>
      <c r="O2628" s="42"/>
      <c r="R2628" s="37"/>
      <c r="S2628" s="37"/>
      <c r="T2628" s="91"/>
      <c r="U2628" s="91"/>
      <c r="V2628" s="41"/>
      <c r="W2628" s="37"/>
      <c r="X2628" s="37"/>
      <c r="Y2628" s="43"/>
      <c r="Z2628" s="37"/>
      <c r="AA2628" s="37"/>
      <c r="AD2628" s="37"/>
      <c r="AE2628" s="37"/>
      <c r="AF2628" s="37"/>
    </row>
    <row r="2629" spans="1:32" x14ac:dyDescent="0.25">
      <c r="A2629" s="37"/>
      <c r="B2629" s="37"/>
      <c r="C2629" s="37"/>
      <c r="F2629" s="38"/>
      <c r="G2629" s="38"/>
      <c r="H2629" s="38"/>
      <c r="I2629" s="37"/>
      <c r="J2629" s="38"/>
      <c r="K2629" s="38"/>
      <c r="L2629" s="42"/>
      <c r="M2629" s="42"/>
      <c r="N2629" s="42"/>
      <c r="O2629" s="42"/>
      <c r="R2629" s="37"/>
      <c r="S2629" s="37"/>
      <c r="T2629" s="91"/>
      <c r="U2629" s="91"/>
      <c r="V2629" s="41"/>
      <c r="W2629" s="37"/>
      <c r="X2629" s="37"/>
      <c r="Y2629" s="43"/>
      <c r="Z2629" s="37"/>
      <c r="AA2629" s="37"/>
      <c r="AD2629" s="37"/>
      <c r="AE2629" s="37"/>
      <c r="AF2629" s="37"/>
    </row>
    <row r="2630" spans="1:32" x14ac:dyDescent="0.25">
      <c r="A2630" s="37"/>
      <c r="B2630" s="37"/>
      <c r="C2630" s="37"/>
      <c r="F2630" s="38"/>
      <c r="G2630" s="38"/>
      <c r="H2630" s="38"/>
      <c r="I2630" s="37"/>
      <c r="J2630" s="38"/>
      <c r="K2630" s="38"/>
      <c r="L2630" s="42"/>
      <c r="M2630" s="42"/>
      <c r="N2630" s="42"/>
      <c r="O2630" s="42"/>
      <c r="R2630" s="37"/>
      <c r="S2630" s="37"/>
      <c r="T2630" s="91"/>
      <c r="U2630" s="91"/>
      <c r="V2630" s="41"/>
      <c r="W2630" s="37"/>
      <c r="X2630" s="37"/>
      <c r="Y2630" s="43"/>
      <c r="Z2630" s="37"/>
      <c r="AA2630" s="37"/>
      <c r="AD2630" s="37"/>
      <c r="AE2630" s="37"/>
      <c r="AF2630" s="37"/>
    </row>
    <row r="2631" spans="1:32" x14ac:dyDescent="0.25">
      <c r="A2631" s="37"/>
      <c r="B2631" s="37"/>
      <c r="C2631" s="37"/>
      <c r="F2631" s="38"/>
      <c r="G2631" s="38"/>
      <c r="H2631" s="38"/>
      <c r="I2631" s="37"/>
      <c r="J2631" s="38"/>
      <c r="K2631" s="38"/>
      <c r="L2631" s="42"/>
      <c r="M2631" s="42"/>
      <c r="N2631" s="42"/>
      <c r="O2631" s="42"/>
      <c r="R2631" s="37"/>
      <c r="S2631" s="37"/>
      <c r="T2631" s="91"/>
      <c r="U2631" s="91"/>
      <c r="V2631" s="41"/>
      <c r="W2631" s="37"/>
      <c r="X2631" s="37"/>
      <c r="Y2631" s="43"/>
      <c r="Z2631" s="37"/>
      <c r="AA2631" s="37"/>
      <c r="AD2631" s="37"/>
      <c r="AE2631" s="37"/>
      <c r="AF2631" s="37"/>
    </row>
    <row r="2632" spans="1:32" x14ac:dyDescent="0.25">
      <c r="A2632" s="37"/>
      <c r="B2632" s="37"/>
      <c r="C2632" s="37"/>
      <c r="F2632" s="38"/>
      <c r="G2632" s="38"/>
      <c r="H2632" s="38"/>
      <c r="I2632" s="37"/>
      <c r="J2632" s="38"/>
      <c r="K2632" s="38"/>
      <c r="L2632" s="42"/>
      <c r="M2632" s="42"/>
      <c r="N2632" s="42"/>
      <c r="O2632" s="42"/>
      <c r="R2632" s="37"/>
      <c r="S2632" s="37"/>
      <c r="T2632" s="91"/>
      <c r="U2632" s="91"/>
      <c r="V2632" s="41"/>
      <c r="W2632" s="37"/>
      <c r="X2632" s="37"/>
      <c r="Y2632" s="43"/>
      <c r="Z2632" s="37"/>
      <c r="AA2632" s="37"/>
      <c r="AD2632" s="37"/>
      <c r="AE2632" s="37"/>
      <c r="AF2632" s="37"/>
    </row>
    <row r="2633" spans="1:32" x14ac:dyDescent="0.25">
      <c r="A2633" s="37"/>
      <c r="B2633" s="37"/>
      <c r="C2633" s="37"/>
      <c r="F2633" s="38"/>
      <c r="G2633" s="38"/>
      <c r="H2633" s="38"/>
      <c r="I2633" s="37"/>
      <c r="J2633" s="38"/>
      <c r="K2633" s="38"/>
      <c r="L2633" s="42"/>
      <c r="M2633" s="42"/>
      <c r="N2633" s="42"/>
      <c r="O2633" s="42"/>
      <c r="R2633" s="37"/>
      <c r="S2633" s="37"/>
      <c r="T2633" s="91"/>
      <c r="U2633" s="91"/>
      <c r="V2633" s="41"/>
      <c r="W2633" s="37"/>
      <c r="X2633" s="37"/>
      <c r="Y2633" s="43"/>
      <c r="Z2633" s="37"/>
      <c r="AA2633" s="37"/>
      <c r="AD2633" s="37"/>
      <c r="AE2633" s="37"/>
      <c r="AF2633" s="37"/>
    </row>
    <row r="2634" spans="1:32" x14ac:dyDescent="0.25">
      <c r="A2634" s="37"/>
      <c r="B2634" s="37"/>
      <c r="C2634" s="37"/>
      <c r="F2634" s="38"/>
      <c r="G2634" s="38"/>
      <c r="H2634" s="38"/>
      <c r="I2634" s="37"/>
      <c r="J2634" s="38"/>
      <c r="K2634" s="38"/>
      <c r="L2634" s="42"/>
      <c r="M2634" s="42"/>
      <c r="N2634" s="42"/>
      <c r="O2634" s="42"/>
      <c r="R2634" s="37"/>
      <c r="S2634" s="37"/>
      <c r="T2634" s="91"/>
      <c r="U2634" s="91"/>
      <c r="V2634" s="41"/>
      <c r="W2634" s="37"/>
      <c r="X2634" s="37"/>
      <c r="Y2634" s="43"/>
      <c r="Z2634" s="37"/>
      <c r="AA2634" s="37"/>
      <c r="AD2634" s="37"/>
      <c r="AE2634" s="37"/>
      <c r="AF2634" s="37"/>
    </row>
    <row r="2635" spans="1:32" x14ac:dyDescent="0.25">
      <c r="A2635" s="37"/>
      <c r="B2635" s="37"/>
      <c r="C2635" s="37"/>
      <c r="F2635" s="38"/>
      <c r="G2635" s="38"/>
      <c r="H2635" s="38"/>
      <c r="I2635" s="37"/>
      <c r="J2635" s="38"/>
      <c r="K2635" s="38"/>
      <c r="L2635" s="42"/>
      <c r="M2635" s="42"/>
      <c r="N2635" s="42"/>
      <c r="O2635" s="42"/>
      <c r="R2635" s="37"/>
      <c r="S2635" s="37"/>
      <c r="T2635" s="91"/>
      <c r="U2635" s="91"/>
      <c r="V2635" s="41"/>
      <c r="W2635" s="37"/>
      <c r="X2635" s="37"/>
      <c r="Y2635" s="43"/>
      <c r="Z2635" s="37"/>
      <c r="AA2635" s="37"/>
      <c r="AD2635" s="37"/>
      <c r="AE2635" s="37"/>
      <c r="AF2635" s="37"/>
    </row>
    <row r="2636" spans="1:32" x14ac:dyDescent="0.25">
      <c r="A2636" s="37"/>
      <c r="B2636" s="37"/>
      <c r="C2636" s="37"/>
      <c r="F2636" s="38"/>
      <c r="G2636" s="38"/>
      <c r="H2636" s="38"/>
      <c r="I2636" s="37"/>
      <c r="J2636" s="38"/>
      <c r="K2636" s="38"/>
      <c r="L2636" s="42"/>
      <c r="M2636" s="42"/>
      <c r="N2636" s="42"/>
      <c r="O2636" s="42"/>
      <c r="R2636" s="37"/>
      <c r="S2636" s="37"/>
      <c r="T2636" s="91"/>
      <c r="U2636" s="91"/>
      <c r="V2636" s="41"/>
      <c r="W2636" s="37"/>
      <c r="X2636" s="37"/>
      <c r="Y2636" s="43"/>
      <c r="Z2636" s="37"/>
      <c r="AA2636" s="37"/>
      <c r="AD2636" s="37"/>
      <c r="AE2636" s="37"/>
      <c r="AF2636" s="37"/>
    </row>
    <row r="2637" spans="1:32" x14ac:dyDescent="0.25">
      <c r="A2637" s="37"/>
      <c r="B2637" s="37"/>
      <c r="C2637" s="37"/>
      <c r="F2637" s="38"/>
      <c r="G2637" s="38"/>
      <c r="H2637" s="38"/>
      <c r="I2637" s="37"/>
      <c r="J2637" s="38"/>
      <c r="K2637" s="38"/>
      <c r="L2637" s="42"/>
      <c r="M2637" s="42"/>
      <c r="N2637" s="42"/>
      <c r="O2637" s="42"/>
      <c r="R2637" s="37"/>
      <c r="S2637" s="37"/>
      <c r="T2637" s="91"/>
      <c r="U2637" s="91"/>
      <c r="V2637" s="41"/>
      <c r="W2637" s="37"/>
      <c r="X2637" s="37"/>
      <c r="Y2637" s="43"/>
      <c r="Z2637" s="37"/>
      <c r="AA2637" s="37"/>
      <c r="AD2637" s="37"/>
      <c r="AE2637" s="37"/>
      <c r="AF2637" s="37"/>
    </row>
    <row r="2638" spans="1:32" x14ac:dyDescent="0.25">
      <c r="A2638" s="37"/>
      <c r="B2638" s="37"/>
      <c r="C2638" s="37"/>
      <c r="F2638" s="38"/>
      <c r="G2638" s="38"/>
      <c r="H2638" s="38"/>
      <c r="I2638" s="37"/>
      <c r="J2638" s="38"/>
      <c r="K2638" s="38"/>
      <c r="L2638" s="42"/>
      <c r="M2638" s="42"/>
      <c r="N2638" s="42"/>
      <c r="O2638" s="42"/>
      <c r="R2638" s="37"/>
      <c r="S2638" s="37"/>
      <c r="T2638" s="91"/>
      <c r="U2638" s="91"/>
      <c r="V2638" s="41"/>
      <c r="W2638" s="37"/>
      <c r="X2638" s="37"/>
      <c r="Y2638" s="43"/>
      <c r="Z2638" s="37"/>
      <c r="AA2638" s="37"/>
      <c r="AD2638" s="37"/>
      <c r="AE2638" s="37"/>
      <c r="AF2638" s="37"/>
    </row>
    <row r="2639" spans="1:32" x14ac:dyDescent="0.25">
      <c r="A2639" s="37"/>
      <c r="B2639" s="37"/>
      <c r="C2639" s="37"/>
      <c r="F2639" s="38"/>
      <c r="G2639" s="38"/>
      <c r="H2639" s="38"/>
      <c r="I2639" s="37"/>
      <c r="J2639" s="38"/>
      <c r="K2639" s="38"/>
      <c r="L2639" s="42"/>
      <c r="M2639" s="42"/>
      <c r="N2639" s="42"/>
      <c r="O2639" s="42"/>
      <c r="R2639" s="37"/>
      <c r="S2639" s="37"/>
      <c r="T2639" s="91"/>
      <c r="U2639" s="91"/>
      <c r="V2639" s="41"/>
      <c r="W2639" s="37"/>
      <c r="X2639" s="37"/>
      <c r="Y2639" s="43"/>
      <c r="Z2639" s="37"/>
      <c r="AA2639" s="37"/>
      <c r="AD2639" s="37"/>
      <c r="AE2639" s="37"/>
      <c r="AF2639" s="37"/>
    </row>
    <row r="2640" spans="1:32" x14ac:dyDescent="0.25">
      <c r="A2640" s="37"/>
      <c r="B2640" s="37"/>
      <c r="C2640" s="37"/>
      <c r="F2640" s="38"/>
      <c r="G2640" s="38"/>
      <c r="H2640" s="38"/>
      <c r="I2640" s="37"/>
      <c r="J2640" s="38"/>
      <c r="K2640" s="38"/>
      <c r="L2640" s="42"/>
      <c r="M2640" s="42"/>
      <c r="N2640" s="42"/>
      <c r="O2640" s="42"/>
      <c r="R2640" s="37"/>
      <c r="S2640" s="37"/>
      <c r="T2640" s="91"/>
      <c r="U2640" s="91"/>
      <c r="V2640" s="41"/>
      <c r="W2640" s="37"/>
      <c r="X2640" s="37"/>
      <c r="Y2640" s="43"/>
      <c r="Z2640" s="37"/>
      <c r="AA2640" s="37"/>
      <c r="AD2640" s="37"/>
      <c r="AE2640" s="37"/>
      <c r="AF2640" s="37"/>
    </row>
    <row r="2641" spans="1:32" x14ac:dyDescent="0.25">
      <c r="A2641" s="37"/>
      <c r="B2641" s="37"/>
      <c r="C2641" s="37"/>
      <c r="F2641" s="38"/>
      <c r="G2641" s="38"/>
      <c r="H2641" s="38"/>
      <c r="I2641" s="37"/>
      <c r="J2641" s="38"/>
      <c r="K2641" s="38"/>
      <c r="L2641" s="42"/>
      <c r="M2641" s="42"/>
      <c r="N2641" s="42"/>
      <c r="O2641" s="42"/>
      <c r="R2641" s="37"/>
      <c r="S2641" s="37"/>
      <c r="T2641" s="91"/>
      <c r="U2641" s="91"/>
      <c r="V2641" s="41"/>
      <c r="W2641" s="37"/>
      <c r="X2641" s="37"/>
      <c r="Y2641" s="43"/>
      <c r="Z2641" s="37"/>
      <c r="AA2641" s="37"/>
      <c r="AD2641" s="37"/>
      <c r="AE2641" s="37"/>
      <c r="AF2641" s="37"/>
    </row>
    <row r="2642" spans="1:32" x14ac:dyDescent="0.25">
      <c r="A2642" s="37"/>
      <c r="B2642" s="37"/>
      <c r="C2642" s="37"/>
      <c r="F2642" s="38"/>
      <c r="G2642" s="38"/>
      <c r="H2642" s="38"/>
      <c r="I2642" s="37"/>
      <c r="J2642" s="38"/>
      <c r="K2642" s="38"/>
      <c r="L2642" s="42"/>
      <c r="M2642" s="42"/>
      <c r="N2642" s="42"/>
      <c r="O2642" s="42"/>
      <c r="R2642" s="37"/>
      <c r="S2642" s="37"/>
      <c r="T2642" s="91"/>
      <c r="U2642" s="91"/>
      <c r="V2642" s="41"/>
      <c r="W2642" s="37"/>
      <c r="X2642" s="37"/>
      <c r="Y2642" s="43"/>
      <c r="Z2642" s="37"/>
      <c r="AA2642" s="37"/>
      <c r="AD2642" s="37"/>
      <c r="AE2642" s="37"/>
      <c r="AF2642" s="37"/>
    </row>
    <row r="2643" spans="1:32" x14ac:dyDescent="0.25">
      <c r="A2643" s="37"/>
      <c r="B2643" s="37"/>
      <c r="C2643" s="37"/>
      <c r="F2643" s="38"/>
      <c r="G2643" s="38"/>
      <c r="H2643" s="38"/>
      <c r="I2643" s="37"/>
      <c r="J2643" s="38"/>
      <c r="K2643" s="38"/>
      <c r="L2643" s="42"/>
      <c r="M2643" s="42"/>
      <c r="N2643" s="42"/>
      <c r="O2643" s="42"/>
      <c r="R2643" s="37"/>
      <c r="S2643" s="37"/>
      <c r="T2643" s="91"/>
      <c r="U2643" s="91"/>
      <c r="V2643" s="41"/>
      <c r="W2643" s="37"/>
      <c r="X2643" s="37"/>
      <c r="Y2643" s="43"/>
      <c r="Z2643" s="37"/>
      <c r="AA2643" s="37"/>
      <c r="AD2643" s="37"/>
      <c r="AE2643" s="37"/>
      <c r="AF2643" s="37"/>
    </row>
    <row r="2644" spans="1:32" x14ac:dyDescent="0.25">
      <c r="A2644" s="37"/>
      <c r="B2644" s="37"/>
      <c r="C2644" s="37"/>
      <c r="F2644" s="38"/>
      <c r="G2644" s="38"/>
      <c r="H2644" s="38"/>
      <c r="I2644" s="37"/>
      <c r="J2644" s="38"/>
      <c r="K2644" s="38"/>
      <c r="L2644" s="42"/>
      <c r="M2644" s="42"/>
      <c r="N2644" s="42"/>
      <c r="O2644" s="42"/>
      <c r="R2644" s="37"/>
      <c r="S2644" s="37"/>
      <c r="T2644" s="91"/>
      <c r="U2644" s="91"/>
      <c r="V2644" s="41"/>
      <c r="W2644" s="37"/>
      <c r="X2644" s="37"/>
      <c r="Y2644" s="43"/>
      <c r="Z2644" s="37"/>
      <c r="AA2644" s="37"/>
      <c r="AD2644" s="37"/>
      <c r="AE2644" s="37"/>
      <c r="AF2644" s="37"/>
    </row>
    <row r="2645" spans="1:32" x14ac:dyDescent="0.25">
      <c r="A2645" s="37"/>
      <c r="B2645" s="37"/>
      <c r="C2645" s="37"/>
      <c r="F2645" s="38"/>
      <c r="G2645" s="38"/>
      <c r="H2645" s="38"/>
      <c r="I2645" s="37"/>
      <c r="J2645" s="38"/>
      <c r="K2645" s="38"/>
      <c r="L2645" s="42"/>
      <c r="M2645" s="42"/>
      <c r="N2645" s="42"/>
      <c r="O2645" s="42"/>
      <c r="R2645" s="37"/>
      <c r="S2645" s="37"/>
      <c r="T2645" s="91"/>
      <c r="U2645" s="91"/>
      <c r="V2645" s="41"/>
      <c r="W2645" s="37"/>
      <c r="X2645" s="37"/>
      <c r="Y2645" s="43"/>
      <c r="Z2645" s="37"/>
      <c r="AA2645" s="37"/>
      <c r="AD2645" s="37"/>
      <c r="AE2645" s="37"/>
      <c r="AF2645" s="37"/>
    </row>
    <row r="2646" spans="1:32" x14ac:dyDescent="0.25">
      <c r="A2646" s="37"/>
      <c r="B2646" s="37"/>
      <c r="C2646" s="37"/>
      <c r="F2646" s="38"/>
      <c r="G2646" s="38"/>
      <c r="H2646" s="38"/>
      <c r="I2646" s="37"/>
      <c r="J2646" s="38"/>
      <c r="K2646" s="38"/>
      <c r="L2646" s="42"/>
      <c r="M2646" s="42"/>
      <c r="N2646" s="42"/>
      <c r="O2646" s="42"/>
      <c r="R2646" s="37"/>
      <c r="S2646" s="37"/>
      <c r="T2646" s="91"/>
      <c r="U2646" s="91"/>
      <c r="V2646" s="41"/>
      <c r="W2646" s="37"/>
      <c r="X2646" s="37"/>
      <c r="Y2646" s="43"/>
      <c r="Z2646" s="37"/>
      <c r="AA2646" s="37"/>
      <c r="AD2646" s="37"/>
      <c r="AE2646" s="37"/>
      <c r="AF2646" s="37"/>
    </row>
    <row r="2647" spans="1:32" x14ac:dyDescent="0.25">
      <c r="A2647" s="37"/>
      <c r="B2647" s="37"/>
      <c r="C2647" s="37"/>
      <c r="F2647" s="38"/>
      <c r="G2647" s="38"/>
      <c r="H2647" s="38"/>
      <c r="I2647" s="37"/>
      <c r="J2647" s="38"/>
      <c r="K2647" s="38"/>
      <c r="L2647" s="42"/>
      <c r="M2647" s="42"/>
      <c r="N2647" s="42"/>
      <c r="O2647" s="42"/>
      <c r="R2647" s="37"/>
      <c r="S2647" s="37"/>
      <c r="T2647" s="91"/>
      <c r="U2647" s="91"/>
      <c r="V2647" s="41"/>
      <c r="W2647" s="37"/>
      <c r="X2647" s="37"/>
      <c r="Y2647" s="43"/>
      <c r="Z2647" s="37"/>
      <c r="AA2647" s="37"/>
      <c r="AD2647" s="37"/>
      <c r="AE2647" s="37"/>
      <c r="AF2647" s="37"/>
    </row>
    <row r="2648" spans="1:32" x14ac:dyDescent="0.25">
      <c r="A2648" s="37"/>
      <c r="B2648" s="37"/>
      <c r="C2648" s="37"/>
      <c r="F2648" s="38"/>
      <c r="G2648" s="38"/>
      <c r="H2648" s="38"/>
      <c r="I2648" s="37"/>
      <c r="J2648" s="38"/>
      <c r="K2648" s="38"/>
      <c r="L2648" s="42"/>
      <c r="M2648" s="42"/>
      <c r="N2648" s="42"/>
      <c r="O2648" s="42"/>
      <c r="R2648" s="37"/>
      <c r="S2648" s="37"/>
      <c r="T2648" s="91"/>
      <c r="U2648" s="91"/>
      <c r="V2648" s="41"/>
      <c r="W2648" s="37"/>
      <c r="X2648" s="37"/>
      <c r="Y2648" s="43"/>
      <c r="Z2648" s="37"/>
      <c r="AA2648" s="37"/>
      <c r="AD2648" s="37"/>
      <c r="AE2648" s="37"/>
      <c r="AF2648" s="37"/>
    </row>
    <row r="2649" spans="1:32" x14ac:dyDescent="0.25">
      <c r="A2649" s="37"/>
      <c r="B2649" s="37"/>
      <c r="C2649" s="37"/>
      <c r="F2649" s="38"/>
      <c r="G2649" s="38"/>
      <c r="H2649" s="38"/>
      <c r="I2649" s="37"/>
      <c r="J2649" s="38"/>
      <c r="K2649" s="38"/>
      <c r="L2649" s="42"/>
      <c r="M2649" s="42"/>
      <c r="N2649" s="42"/>
      <c r="O2649" s="42"/>
      <c r="R2649" s="37"/>
      <c r="S2649" s="37"/>
      <c r="T2649" s="91"/>
      <c r="U2649" s="91"/>
      <c r="V2649" s="41"/>
      <c r="W2649" s="37"/>
      <c r="X2649" s="37"/>
      <c r="Y2649" s="43"/>
      <c r="Z2649" s="37"/>
      <c r="AA2649" s="37"/>
      <c r="AD2649" s="37"/>
      <c r="AE2649" s="37"/>
      <c r="AF2649" s="37"/>
    </row>
    <row r="2650" spans="1:32" x14ac:dyDescent="0.25">
      <c r="A2650" s="37"/>
      <c r="B2650" s="37"/>
      <c r="C2650" s="37"/>
      <c r="F2650" s="38"/>
      <c r="G2650" s="38"/>
      <c r="H2650" s="38"/>
      <c r="I2650" s="37"/>
      <c r="J2650" s="38"/>
      <c r="K2650" s="38"/>
      <c r="L2650" s="42"/>
      <c r="M2650" s="42"/>
      <c r="N2650" s="42"/>
      <c r="O2650" s="42"/>
      <c r="R2650" s="37"/>
      <c r="S2650" s="37"/>
      <c r="T2650" s="91"/>
      <c r="U2650" s="91"/>
      <c r="V2650" s="41"/>
      <c r="W2650" s="37"/>
      <c r="X2650" s="37"/>
      <c r="Y2650" s="43"/>
      <c r="Z2650" s="37"/>
      <c r="AA2650" s="37"/>
      <c r="AD2650" s="37"/>
      <c r="AE2650" s="37"/>
      <c r="AF2650" s="37"/>
    </row>
    <row r="2651" spans="1:32" x14ac:dyDescent="0.25">
      <c r="A2651" s="37"/>
      <c r="B2651" s="37"/>
      <c r="C2651" s="37"/>
      <c r="F2651" s="38"/>
      <c r="G2651" s="38"/>
      <c r="H2651" s="38"/>
      <c r="I2651" s="37"/>
      <c r="J2651" s="38"/>
      <c r="K2651" s="38"/>
      <c r="L2651" s="42"/>
      <c r="M2651" s="42"/>
      <c r="N2651" s="42"/>
      <c r="O2651" s="42"/>
      <c r="R2651" s="37"/>
      <c r="S2651" s="37"/>
      <c r="T2651" s="91"/>
      <c r="U2651" s="91"/>
      <c r="V2651" s="41"/>
      <c r="W2651" s="37"/>
      <c r="X2651" s="37"/>
      <c r="Y2651" s="43"/>
      <c r="Z2651" s="37"/>
      <c r="AA2651" s="37"/>
      <c r="AD2651" s="37"/>
      <c r="AE2651" s="37"/>
      <c r="AF2651" s="37"/>
    </row>
    <row r="2652" spans="1:32" x14ac:dyDescent="0.25">
      <c r="A2652" s="37"/>
      <c r="B2652" s="37"/>
      <c r="C2652" s="37"/>
      <c r="F2652" s="38"/>
      <c r="G2652" s="38"/>
      <c r="H2652" s="38"/>
      <c r="I2652" s="37"/>
      <c r="J2652" s="38"/>
      <c r="K2652" s="38"/>
      <c r="L2652" s="42"/>
      <c r="M2652" s="42"/>
      <c r="N2652" s="42"/>
      <c r="O2652" s="42"/>
      <c r="R2652" s="37"/>
      <c r="S2652" s="37"/>
      <c r="T2652" s="91"/>
      <c r="U2652" s="91"/>
      <c r="V2652" s="41"/>
      <c r="W2652" s="37"/>
      <c r="X2652" s="37"/>
      <c r="Y2652" s="43"/>
      <c r="Z2652" s="37"/>
      <c r="AA2652" s="37"/>
      <c r="AD2652" s="37"/>
      <c r="AE2652" s="37"/>
      <c r="AF2652" s="37"/>
    </row>
    <row r="2653" spans="1:32" x14ac:dyDescent="0.25">
      <c r="A2653" s="37"/>
      <c r="B2653" s="37"/>
      <c r="C2653" s="37"/>
      <c r="F2653" s="38"/>
      <c r="G2653" s="38"/>
      <c r="H2653" s="38"/>
      <c r="I2653" s="37"/>
      <c r="J2653" s="38"/>
      <c r="K2653" s="38"/>
      <c r="L2653" s="42"/>
      <c r="M2653" s="42"/>
      <c r="N2653" s="42"/>
      <c r="O2653" s="42"/>
      <c r="R2653" s="37"/>
      <c r="S2653" s="37"/>
      <c r="T2653" s="91"/>
      <c r="U2653" s="91"/>
      <c r="V2653" s="41"/>
      <c r="W2653" s="37"/>
      <c r="X2653" s="37"/>
      <c r="Y2653" s="43"/>
      <c r="Z2653" s="37"/>
      <c r="AA2653" s="37"/>
      <c r="AD2653" s="37"/>
      <c r="AE2653" s="37"/>
      <c r="AF2653" s="37"/>
    </row>
    <row r="2654" spans="1:32" x14ac:dyDescent="0.25">
      <c r="A2654" s="37"/>
      <c r="B2654" s="37"/>
      <c r="C2654" s="37"/>
      <c r="F2654" s="38"/>
      <c r="G2654" s="38"/>
      <c r="H2654" s="38"/>
      <c r="I2654" s="37"/>
      <c r="J2654" s="38"/>
      <c r="K2654" s="38"/>
      <c r="L2654" s="42"/>
      <c r="M2654" s="42"/>
      <c r="N2654" s="42"/>
      <c r="O2654" s="42"/>
      <c r="R2654" s="37"/>
      <c r="S2654" s="37"/>
      <c r="T2654" s="91"/>
      <c r="U2654" s="91"/>
      <c r="V2654" s="41"/>
      <c r="W2654" s="37"/>
      <c r="X2654" s="37"/>
      <c r="Y2654" s="43"/>
      <c r="Z2654" s="37"/>
      <c r="AA2654" s="37"/>
      <c r="AD2654" s="37"/>
      <c r="AE2654" s="37"/>
      <c r="AF2654" s="37"/>
    </row>
    <row r="2655" spans="1:32" x14ac:dyDescent="0.25">
      <c r="A2655" s="37"/>
      <c r="B2655" s="37"/>
      <c r="C2655" s="37"/>
      <c r="F2655" s="38"/>
      <c r="G2655" s="38"/>
      <c r="H2655" s="38"/>
      <c r="I2655" s="37"/>
      <c r="J2655" s="38"/>
      <c r="K2655" s="38"/>
      <c r="L2655" s="42"/>
      <c r="M2655" s="42"/>
      <c r="N2655" s="42"/>
      <c r="O2655" s="42"/>
      <c r="R2655" s="37"/>
      <c r="S2655" s="37"/>
      <c r="T2655" s="91"/>
      <c r="U2655" s="91"/>
      <c r="V2655" s="41"/>
      <c r="W2655" s="37"/>
      <c r="X2655" s="37"/>
      <c r="Y2655" s="43"/>
      <c r="Z2655" s="37"/>
      <c r="AA2655" s="37"/>
      <c r="AD2655" s="37"/>
      <c r="AE2655" s="37"/>
      <c r="AF2655" s="37"/>
    </row>
    <row r="2656" spans="1:32" x14ac:dyDescent="0.25">
      <c r="A2656" s="37"/>
      <c r="B2656" s="37"/>
      <c r="C2656" s="37"/>
      <c r="F2656" s="38"/>
      <c r="G2656" s="38"/>
      <c r="H2656" s="38"/>
      <c r="I2656" s="37"/>
      <c r="J2656" s="38"/>
      <c r="K2656" s="38"/>
      <c r="L2656" s="42"/>
      <c r="M2656" s="42"/>
      <c r="N2656" s="42"/>
      <c r="O2656" s="42"/>
      <c r="R2656" s="37"/>
      <c r="S2656" s="37"/>
      <c r="T2656" s="91"/>
      <c r="U2656" s="91"/>
      <c r="V2656" s="41"/>
      <c r="W2656" s="37"/>
      <c r="X2656" s="37"/>
      <c r="Y2656" s="43"/>
      <c r="Z2656" s="37"/>
      <c r="AA2656" s="37"/>
      <c r="AD2656" s="37"/>
      <c r="AE2656" s="37"/>
      <c r="AF2656" s="37"/>
    </row>
    <row r="2657" spans="1:32" x14ac:dyDescent="0.25">
      <c r="A2657" s="37"/>
      <c r="B2657" s="37"/>
      <c r="C2657" s="37"/>
      <c r="F2657" s="38"/>
      <c r="G2657" s="38"/>
      <c r="H2657" s="38"/>
      <c r="I2657" s="37"/>
      <c r="J2657" s="38"/>
      <c r="K2657" s="38"/>
      <c r="L2657" s="42"/>
      <c r="M2657" s="42"/>
      <c r="N2657" s="42"/>
      <c r="O2657" s="42"/>
      <c r="R2657" s="37"/>
      <c r="S2657" s="37"/>
      <c r="T2657" s="91"/>
      <c r="U2657" s="91"/>
      <c r="V2657" s="41"/>
      <c r="W2657" s="37"/>
      <c r="X2657" s="37"/>
      <c r="Y2657" s="43"/>
      <c r="Z2657" s="37"/>
      <c r="AA2657" s="37"/>
      <c r="AD2657" s="37"/>
      <c r="AE2657" s="37"/>
      <c r="AF2657" s="37"/>
    </row>
    <row r="2658" spans="1:32" x14ac:dyDescent="0.25">
      <c r="A2658" s="37"/>
      <c r="B2658" s="37"/>
      <c r="C2658" s="37"/>
      <c r="F2658" s="38"/>
      <c r="G2658" s="38"/>
      <c r="H2658" s="38"/>
      <c r="I2658" s="37"/>
      <c r="J2658" s="38"/>
      <c r="K2658" s="38"/>
      <c r="L2658" s="42"/>
      <c r="M2658" s="42"/>
      <c r="N2658" s="42"/>
      <c r="O2658" s="42"/>
      <c r="R2658" s="37"/>
      <c r="S2658" s="37"/>
      <c r="T2658" s="91"/>
      <c r="U2658" s="91"/>
      <c r="V2658" s="41"/>
      <c r="W2658" s="37"/>
      <c r="X2658" s="37"/>
      <c r="Y2658" s="43"/>
      <c r="Z2658" s="37"/>
      <c r="AA2658" s="37"/>
      <c r="AD2658" s="37"/>
      <c r="AE2658" s="37"/>
      <c r="AF2658" s="37"/>
    </row>
    <row r="2659" spans="1:32" x14ac:dyDescent="0.25">
      <c r="A2659" s="37"/>
      <c r="B2659" s="37"/>
      <c r="C2659" s="37"/>
      <c r="F2659" s="38"/>
      <c r="G2659" s="38"/>
      <c r="H2659" s="38"/>
      <c r="I2659" s="37"/>
      <c r="J2659" s="38"/>
      <c r="K2659" s="38"/>
      <c r="L2659" s="42"/>
      <c r="M2659" s="42"/>
      <c r="N2659" s="42"/>
      <c r="O2659" s="42"/>
      <c r="R2659" s="37"/>
      <c r="S2659" s="37"/>
      <c r="T2659" s="91"/>
      <c r="U2659" s="91"/>
      <c r="V2659" s="41"/>
      <c r="W2659" s="37"/>
      <c r="X2659" s="37"/>
      <c r="Y2659" s="43"/>
      <c r="Z2659" s="37"/>
      <c r="AA2659" s="37"/>
      <c r="AD2659" s="37"/>
      <c r="AE2659" s="37"/>
      <c r="AF2659" s="37"/>
    </row>
    <row r="2660" spans="1:32" x14ac:dyDescent="0.25">
      <c r="A2660" s="37"/>
      <c r="B2660" s="37"/>
      <c r="C2660" s="37"/>
      <c r="F2660" s="38"/>
      <c r="G2660" s="38"/>
      <c r="H2660" s="38"/>
      <c r="I2660" s="37"/>
      <c r="J2660" s="38"/>
      <c r="K2660" s="38"/>
      <c r="L2660" s="42"/>
      <c r="M2660" s="42"/>
      <c r="N2660" s="42"/>
      <c r="O2660" s="42"/>
      <c r="R2660" s="37"/>
      <c r="S2660" s="37"/>
      <c r="T2660" s="91"/>
      <c r="U2660" s="91"/>
      <c r="V2660" s="41"/>
      <c r="W2660" s="37"/>
      <c r="X2660" s="37"/>
      <c r="Y2660" s="43"/>
      <c r="Z2660" s="37"/>
      <c r="AA2660" s="37"/>
      <c r="AD2660" s="37"/>
      <c r="AE2660" s="37"/>
      <c r="AF2660" s="37"/>
    </row>
    <row r="2661" spans="1:32" x14ac:dyDescent="0.25">
      <c r="A2661" s="37"/>
      <c r="B2661" s="37"/>
      <c r="C2661" s="37"/>
      <c r="F2661" s="38"/>
      <c r="G2661" s="38"/>
      <c r="H2661" s="38"/>
      <c r="I2661" s="37"/>
      <c r="J2661" s="38"/>
      <c r="K2661" s="38"/>
      <c r="L2661" s="42"/>
      <c r="M2661" s="42"/>
      <c r="N2661" s="42"/>
      <c r="O2661" s="42"/>
      <c r="R2661" s="37"/>
      <c r="S2661" s="37"/>
      <c r="T2661" s="91"/>
      <c r="U2661" s="91"/>
      <c r="V2661" s="41"/>
      <c r="W2661" s="37"/>
      <c r="X2661" s="37"/>
      <c r="Y2661" s="43"/>
      <c r="Z2661" s="37"/>
      <c r="AA2661" s="37"/>
      <c r="AD2661" s="37"/>
      <c r="AE2661" s="37"/>
      <c r="AF2661" s="37"/>
    </row>
    <row r="2662" spans="1:32" x14ac:dyDescent="0.25">
      <c r="A2662" s="37"/>
      <c r="B2662" s="37"/>
      <c r="C2662" s="37"/>
      <c r="F2662" s="38"/>
      <c r="G2662" s="38"/>
      <c r="H2662" s="38"/>
      <c r="I2662" s="37"/>
      <c r="J2662" s="38"/>
      <c r="K2662" s="38"/>
      <c r="L2662" s="42"/>
      <c r="M2662" s="42"/>
      <c r="N2662" s="42"/>
      <c r="O2662" s="42"/>
      <c r="R2662" s="37"/>
      <c r="S2662" s="37"/>
      <c r="T2662" s="91"/>
      <c r="U2662" s="91"/>
      <c r="V2662" s="41"/>
      <c r="W2662" s="37"/>
      <c r="X2662" s="37"/>
      <c r="Y2662" s="43"/>
      <c r="Z2662" s="37"/>
      <c r="AA2662" s="37"/>
      <c r="AD2662" s="37"/>
      <c r="AE2662" s="37"/>
      <c r="AF2662" s="37"/>
    </row>
    <row r="2663" spans="1:32" x14ac:dyDescent="0.25">
      <c r="A2663" s="37"/>
      <c r="B2663" s="37"/>
      <c r="C2663" s="37"/>
      <c r="F2663" s="38"/>
      <c r="G2663" s="38"/>
      <c r="H2663" s="38"/>
      <c r="I2663" s="37"/>
      <c r="J2663" s="38"/>
      <c r="K2663" s="38"/>
      <c r="L2663" s="42"/>
      <c r="M2663" s="42"/>
      <c r="N2663" s="42"/>
      <c r="O2663" s="42"/>
      <c r="R2663" s="37"/>
      <c r="S2663" s="37"/>
      <c r="T2663" s="91"/>
      <c r="U2663" s="91"/>
      <c r="V2663" s="41"/>
      <c r="W2663" s="37"/>
      <c r="X2663" s="37"/>
      <c r="Y2663" s="43"/>
      <c r="Z2663" s="37"/>
      <c r="AA2663" s="37"/>
      <c r="AD2663" s="37"/>
      <c r="AE2663" s="37"/>
      <c r="AF2663" s="37"/>
    </row>
    <row r="2664" spans="1:32" x14ac:dyDescent="0.25">
      <c r="A2664" s="37"/>
      <c r="B2664" s="37"/>
      <c r="C2664" s="37"/>
      <c r="F2664" s="38"/>
      <c r="G2664" s="38"/>
      <c r="H2664" s="38"/>
      <c r="I2664" s="37"/>
      <c r="J2664" s="38"/>
      <c r="K2664" s="38"/>
      <c r="L2664" s="42"/>
      <c r="M2664" s="42"/>
      <c r="N2664" s="42"/>
      <c r="O2664" s="42"/>
      <c r="R2664" s="37"/>
      <c r="S2664" s="37"/>
      <c r="T2664" s="91"/>
      <c r="U2664" s="91"/>
      <c r="V2664" s="41"/>
      <c r="W2664" s="37"/>
      <c r="X2664" s="37"/>
      <c r="Y2664" s="43"/>
      <c r="Z2664" s="37"/>
      <c r="AA2664" s="37"/>
      <c r="AD2664" s="37"/>
      <c r="AE2664" s="37"/>
      <c r="AF2664" s="37"/>
    </row>
    <row r="2665" spans="1:32" x14ac:dyDescent="0.25">
      <c r="A2665" s="37"/>
      <c r="B2665" s="37"/>
      <c r="C2665" s="37"/>
      <c r="F2665" s="38"/>
      <c r="G2665" s="38"/>
      <c r="H2665" s="38"/>
      <c r="I2665" s="37"/>
      <c r="J2665" s="38"/>
      <c r="K2665" s="38"/>
      <c r="L2665" s="42"/>
      <c r="M2665" s="42"/>
      <c r="N2665" s="42"/>
      <c r="O2665" s="42"/>
      <c r="R2665" s="37"/>
      <c r="S2665" s="37"/>
      <c r="T2665" s="91"/>
      <c r="U2665" s="91"/>
      <c r="V2665" s="41"/>
      <c r="W2665" s="37"/>
      <c r="X2665" s="37"/>
      <c r="Y2665" s="43"/>
      <c r="Z2665" s="37"/>
      <c r="AA2665" s="37"/>
      <c r="AD2665" s="37"/>
      <c r="AE2665" s="37"/>
      <c r="AF2665" s="37"/>
    </row>
    <row r="2666" spans="1:32" x14ac:dyDescent="0.25">
      <c r="A2666" s="37"/>
      <c r="B2666" s="37"/>
      <c r="C2666" s="37"/>
      <c r="F2666" s="38"/>
      <c r="G2666" s="38"/>
      <c r="H2666" s="38"/>
      <c r="I2666" s="37"/>
      <c r="J2666" s="38"/>
      <c r="K2666" s="38"/>
      <c r="L2666" s="42"/>
      <c r="M2666" s="42"/>
      <c r="N2666" s="42"/>
      <c r="O2666" s="42"/>
      <c r="R2666" s="37"/>
      <c r="S2666" s="37"/>
      <c r="T2666" s="91"/>
      <c r="U2666" s="91"/>
      <c r="V2666" s="41"/>
      <c r="W2666" s="37"/>
      <c r="X2666" s="37"/>
      <c r="Y2666" s="43"/>
      <c r="Z2666" s="37"/>
      <c r="AA2666" s="37"/>
      <c r="AD2666" s="37"/>
      <c r="AE2666" s="37"/>
      <c r="AF2666" s="37"/>
    </row>
    <row r="2667" spans="1:32" x14ac:dyDescent="0.25">
      <c r="A2667" s="37"/>
      <c r="B2667" s="37"/>
      <c r="C2667" s="37"/>
      <c r="F2667" s="38"/>
      <c r="G2667" s="38"/>
      <c r="H2667" s="38"/>
      <c r="I2667" s="37"/>
      <c r="J2667" s="38"/>
      <c r="K2667" s="38"/>
      <c r="L2667" s="42"/>
      <c r="M2667" s="42"/>
      <c r="N2667" s="42"/>
      <c r="O2667" s="42"/>
      <c r="R2667" s="37"/>
      <c r="S2667" s="37"/>
      <c r="T2667" s="91"/>
      <c r="U2667" s="91"/>
      <c r="V2667" s="41"/>
      <c r="W2667" s="37"/>
      <c r="X2667" s="37"/>
      <c r="Y2667" s="43"/>
      <c r="Z2667" s="37"/>
      <c r="AA2667" s="37"/>
      <c r="AD2667" s="37"/>
      <c r="AE2667" s="37"/>
      <c r="AF2667" s="37"/>
    </row>
    <row r="2668" spans="1:32" x14ac:dyDescent="0.25">
      <c r="A2668" s="37"/>
      <c r="B2668" s="37"/>
      <c r="C2668" s="37"/>
      <c r="F2668" s="38"/>
      <c r="G2668" s="38"/>
      <c r="H2668" s="38"/>
      <c r="I2668" s="37"/>
      <c r="J2668" s="38"/>
      <c r="K2668" s="38"/>
      <c r="L2668" s="42"/>
      <c r="M2668" s="42"/>
      <c r="N2668" s="42"/>
      <c r="O2668" s="42"/>
      <c r="R2668" s="37"/>
      <c r="S2668" s="37"/>
      <c r="T2668" s="91"/>
      <c r="U2668" s="91"/>
      <c r="V2668" s="41"/>
      <c r="W2668" s="37"/>
      <c r="X2668" s="37"/>
      <c r="Y2668" s="43"/>
      <c r="Z2668" s="37"/>
      <c r="AA2668" s="37"/>
      <c r="AD2668" s="37"/>
      <c r="AE2668" s="37"/>
      <c r="AF2668" s="37"/>
    </row>
    <row r="2669" spans="1:32" x14ac:dyDescent="0.25">
      <c r="A2669" s="37"/>
      <c r="B2669" s="37"/>
      <c r="C2669" s="37"/>
      <c r="F2669" s="38"/>
      <c r="G2669" s="38"/>
      <c r="H2669" s="38"/>
      <c r="I2669" s="37"/>
      <c r="J2669" s="38"/>
      <c r="K2669" s="38"/>
      <c r="L2669" s="42"/>
      <c r="M2669" s="42"/>
      <c r="N2669" s="42"/>
      <c r="O2669" s="42"/>
      <c r="R2669" s="37"/>
      <c r="S2669" s="37"/>
      <c r="T2669" s="91"/>
      <c r="U2669" s="91"/>
      <c r="V2669" s="41"/>
      <c r="W2669" s="37"/>
      <c r="X2669" s="37"/>
      <c r="Y2669" s="43"/>
      <c r="Z2669" s="37"/>
      <c r="AA2669" s="37"/>
      <c r="AD2669" s="37"/>
      <c r="AE2669" s="37"/>
      <c r="AF2669" s="37"/>
    </row>
    <row r="2670" spans="1:32" x14ac:dyDescent="0.25">
      <c r="A2670" s="37"/>
      <c r="B2670" s="37"/>
      <c r="C2670" s="37"/>
      <c r="F2670" s="38"/>
      <c r="G2670" s="38"/>
      <c r="H2670" s="38"/>
      <c r="I2670" s="37"/>
      <c r="J2670" s="38"/>
      <c r="K2670" s="38"/>
      <c r="L2670" s="42"/>
      <c r="M2670" s="42"/>
      <c r="N2670" s="42"/>
      <c r="O2670" s="42"/>
      <c r="R2670" s="37"/>
      <c r="S2670" s="37"/>
      <c r="T2670" s="91"/>
      <c r="U2670" s="91"/>
      <c r="V2670" s="41"/>
      <c r="W2670" s="37"/>
      <c r="X2670" s="37"/>
      <c r="Y2670" s="43"/>
      <c r="Z2670" s="37"/>
      <c r="AA2670" s="37"/>
      <c r="AD2670" s="37"/>
      <c r="AE2670" s="37"/>
      <c r="AF2670" s="37"/>
    </row>
    <row r="2671" spans="1:32" x14ac:dyDescent="0.25">
      <c r="A2671" s="37"/>
      <c r="B2671" s="37"/>
      <c r="C2671" s="37"/>
      <c r="F2671" s="38"/>
      <c r="G2671" s="38"/>
      <c r="H2671" s="38"/>
      <c r="I2671" s="37"/>
      <c r="J2671" s="38"/>
      <c r="K2671" s="38"/>
      <c r="L2671" s="42"/>
      <c r="M2671" s="42"/>
      <c r="N2671" s="42"/>
      <c r="O2671" s="42"/>
      <c r="R2671" s="37"/>
      <c r="S2671" s="37"/>
      <c r="T2671" s="91"/>
      <c r="U2671" s="91"/>
      <c r="V2671" s="41"/>
      <c r="W2671" s="37"/>
      <c r="X2671" s="37"/>
      <c r="Y2671" s="43"/>
      <c r="Z2671" s="37"/>
      <c r="AA2671" s="37"/>
      <c r="AD2671" s="37"/>
      <c r="AE2671" s="37"/>
      <c r="AF2671" s="37"/>
    </row>
    <row r="2672" spans="1:32" x14ac:dyDescent="0.25">
      <c r="A2672" s="37"/>
      <c r="B2672" s="37"/>
      <c r="C2672" s="37"/>
      <c r="F2672" s="38"/>
      <c r="G2672" s="38"/>
      <c r="H2672" s="38"/>
      <c r="I2672" s="37"/>
      <c r="J2672" s="38"/>
      <c r="K2672" s="38"/>
      <c r="L2672" s="42"/>
      <c r="M2672" s="42"/>
      <c r="N2672" s="42"/>
      <c r="O2672" s="42"/>
      <c r="R2672" s="37"/>
      <c r="S2672" s="37"/>
      <c r="T2672" s="91"/>
      <c r="U2672" s="91"/>
      <c r="V2672" s="41"/>
      <c r="W2672" s="37"/>
      <c r="X2672" s="37"/>
      <c r="Y2672" s="43"/>
      <c r="Z2672" s="37"/>
      <c r="AA2672" s="37"/>
      <c r="AD2672" s="37"/>
      <c r="AE2672" s="37"/>
      <c r="AF2672" s="37"/>
    </row>
    <row r="2673" spans="1:32" x14ac:dyDescent="0.25">
      <c r="A2673" s="37"/>
      <c r="B2673" s="37"/>
      <c r="C2673" s="37"/>
      <c r="F2673" s="38"/>
      <c r="G2673" s="38"/>
      <c r="H2673" s="38"/>
      <c r="I2673" s="37"/>
      <c r="J2673" s="38"/>
      <c r="K2673" s="38"/>
      <c r="L2673" s="42"/>
      <c r="M2673" s="42"/>
      <c r="N2673" s="42"/>
      <c r="O2673" s="42"/>
      <c r="R2673" s="37"/>
      <c r="S2673" s="37"/>
      <c r="T2673" s="91"/>
      <c r="U2673" s="91"/>
      <c r="V2673" s="41"/>
      <c r="W2673" s="37"/>
      <c r="X2673" s="37"/>
      <c r="Y2673" s="43"/>
      <c r="Z2673" s="37"/>
      <c r="AA2673" s="37"/>
      <c r="AD2673" s="37"/>
      <c r="AE2673" s="37"/>
      <c r="AF2673" s="37"/>
    </row>
    <row r="2674" spans="1:32" x14ac:dyDescent="0.25">
      <c r="A2674" s="37"/>
      <c r="B2674" s="37"/>
      <c r="C2674" s="37"/>
      <c r="F2674" s="38"/>
      <c r="G2674" s="38"/>
      <c r="H2674" s="38"/>
      <c r="I2674" s="37"/>
      <c r="J2674" s="38"/>
      <c r="K2674" s="38"/>
      <c r="L2674" s="42"/>
      <c r="M2674" s="42"/>
      <c r="N2674" s="42"/>
      <c r="O2674" s="42"/>
      <c r="R2674" s="37"/>
      <c r="S2674" s="37"/>
      <c r="T2674" s="91"/>
      <c r="U2674" s="91"/>
      <c r="V2674" s="41"/>
      <c r="W2674" s="37"/>
      <c r="X2674" s="37"/>
      <c r="Y2674" s="43"/>
      <c r="Z2674" s="37"/>
      <c r="AA2674" s="37"/>
      <c r="AD2674" s="37"/>
      <c r="AE2674" s="37"/>
      <c r="AF2674" s="37"/>
    </row>
    <row r="2675" spans="1:32" x14ac:dyDescent="0.25">
      <c r="A2675" s="37"/>
      <c r="B2675" s="37"/>
      <c r="C2675" s="37"/>
      <c r="F2675" s="38"/>
      <c r="G2675" s="38"/>
      <c r="H2675" s="38"/>
      <c r="I2675" s="37"/>
      <c r="J2675" s="38"/>
      <c r="K2675" s="38"/>
      <c r="L2675" s="42"/>
      <c r="M2675" s="42"/>
      <c r="N2675" s="42"/>
      <c r="O2675" s="42"/>
      <c r="R2675" s="37"/>
      <c r="S2675" s="37"/>
      <c r="T2675" s="91"/>
      <c r="U2675" s="91"/>
      <c r="V2675" s="41"/>
      <c r="W2675" s="37"/>
      <c r="X2675" s="37"/>
      <c r="Y2675" s="43"/>
      <c r="Z2675" s="37"/>
      <c r="AA2675" s="37"/>
      <c r="AD2675" s="37"/>
      <c r="AE2675" s="37"/>
      <c r="AF2675" s="37"/>
    </row>
    <row r="2676" spans="1:32" x14ac:dyDescent="0.25">
      <c r="A2676" s="37"/>
      <c r="B2676" s="37"/>
      <c r="C2676" s="37"/>
      <c r="F2676" s="38"/>
      <c r="G2676" s="38"/>
      <c r="H2676" s="38"/>
      <c r="I2676" s="37"/>
      <c r="J2676" s="38"/>
      <c r="K2676" s="38"/>
      <c r="L2676" s="42"/>
      <c r="M2676" s="42"/>
      <c r="N2676" s="42"/>
      <c r="O2676" s="42"/>
      <c r="R2676" s="37"/>
      <c r="S2676" s="37"/>
      <c r="T2676" s="91"/>
      <c r="U2676" s="91"/>
      <c r="V2676" s="41"/>
      <c r="W2676" s="37"/>
      <c r="X2676" s="37"/>
      <c r="Y2676" s="43"/>
      <c r="Z2676" s="37"/>
      <c r="AA2676" s="37"/>
      <c r="AD2676" s="37"/>
      <c r="AE2676" s="37"/>
      <c r="AF2676" s="37"/>
    </row>
    <row r="2677" spans="1:32" x14ac:dyDescent="0.25">
      <c r="A2677" s="37"/>
      <c r="B2677" s="37"/>
      <c r="C2677" s="37"/>
      <c r="F2677" s="38"/>
      <c r="G2677" s="38"/>
      <c r="H2677" s="38"/>
      <c r="I2677" s="37"/>
      <c r="J2677" s="38"/>
      <c r="K2677" s="38"/>
      <c r="L2677" s="42"/>
      <c r="M2677" s="42"/>
      <c r="N2677" s="42"/>
      <c r="O2677" s="42"/>
      <c r="R2677" s="37"/>
      <c r="S2677" s="37"/>
      <c r="T2677" s="91"/>
      <c r="U2677" s="91"/>
      <c r="V2677" s="41"/>
      <c r="W2677" s="37"/>
      <c r="X2677" s="37"/>
      <c r="Y2677" s="43"/>
      <c r="Z2677" s="37"/>
      <c r="AA2677" s="37"/>
      <c r="AD2677" s="37"/>
      <c r="AE2677" s="37"/>
      <c r="AF2677" s="37"/>
    </row>
    <row r="2678" spans="1:32" x14ac:dyDescent="0.25">
      <c r="A2678" s="37"/>
      <c r="B2678" s="37"/>
      <c r="C2678" s="37"/>
      <c r="F2678" s="38"/>
      <c r="G2678" s="38"/>
      <c r="H2678" s="38"/>
      <c r="I2678" s="37"/>
      <c r="J2678" s="38"/>
      <c r="K2678" s="38"/>
      <c r="L2678" s="42"/>
      <c r="M2678" s="42"/>
      <c r="N2678" s="42"/>
      <c r="O2678" s="42"/>
      <c r="R2678" s="37"/>
      <c r="S2678" s="37"/>
      <c r="T2678" s="91"/>
      <c r="U2678" s="91"/>
      <c r="V2678" s="41"/>
      <c r="W2678" s="37"/>
      <c r="X2678" s="37"/>
      <c r="Y2678" s="43"/>
      <c r="Z2678" s="37"/>
      <c r="AA2678" s="37"/>
      <c r="AD2678" s="37"/>
      <c r="AE2678" s="37"/>
      <c r="AF2678" s="37"/>
    </row>
    <row r="2679" spans="1:32" x14ac:dyDescent="0.25">
      <c r="A2679" s="37"/>
      <c r="B2679" s="37"/>
      <c r="C2679" s="37"/>
      <c r="F2679" s="38"/>
      <c r="G2679" s="38"/>
      <c r="H2679" s="38"/>
      <c r="I2679" s="37"/>
      <c r="J2679" s="38"/>
      <c r="K2679" s="38"/>
      <c r="L2679" s="42"/>
      <c r="M2679" s="42"/>
      <c r="N2679" s="42"/>
      <c r="O2679" s="42"/>
      <c r="R2679" s="37"/>
      <c r="S2679" s="37"/>
      <c r="T2679" s="91"/>
      <c r="U2679" s="91"/>
      <c r="V2679" s="41"/>
      <c r="W2679" s="37"/>
      <c r="X2679" s="37"/>
      <c r="Y2679" s="43"/>
      <c r="Z2679" s="37"/>
      <c r="AA2679" s="37"/>
      <c r="AD2679" s="37"/>
      <c r="AE2679" s="37"/>
      <c r="AF2679" s="37"/>
    </row>
    <row r="2680" spans="1:32" x14ac:dyDescent="0.25">
      <c r="A2680" s="37"/>
      <c r="B2680" s="37"/>
      <c r="C2680" s="37"/>
      <c r="F2680" s="38"/>
      <c r="G2680" s="38"/>
      <c r="H2680" s="38"/>
      <c r="I2680" s="37"/>
      <c r="J2680" s="38"/>
      <c r="K2680" s="38"/>
      <c r="L2680" s="42"/>
      <c r="M2680" s="42"/>
      <c r="N2680" s="42"/>
      <c r="O2680" s="42"/>
      <c r="R2680" s="37"/>
      <c r="S2680" s="37"/>
      <c r="T2680" s="91"/>
      <c r="U2680" s="91"/>
      <c r="V2680" s="41"/>
      <c r="W2680" s="37"/>
      <c r="X2680" s="37"/>
      <c r="Y2680" s="43"/>
      <c r="Z2680" s="37"/>
      <c r="AA2680" s="37"/>
      <c r="AD2680" s="37"/>
      <c r="AE2680" s="37"/>
      <c r="AF2680" s="37"/>
    </row>
    <row r="2681" spans="1:32" x14ac:dyDescent="0.25">
      <c r="A2681" s="37"/>
      <c r="B2681" s="37"/>
      <c r="C2681" s="37"/>
      <c r="F2681" s="38"/>
      <c r="G2681" s="38"/>
      <c r="H2681" s="38"/>
      <c r="I2681" s="37"/>
      <c r="J2681" s="38"/>
      <c r="K2681" s="38"/>
      <c r="L2681" s="42"/>
      <c r="M2681" s="42"/>
      <c r="N2681" s="42"/>
      <c r="O2681" s="42"/>
      <c r="R2681" s="37"/>
      <c r="S2681" s="37"/>
      <c r="T2681" s="91"/>
      <c r="U2681" s="91"/>
      <c r="V2681" s="41"/>
      <c r="W2681" s="37"/>
      <c r="X2681" s="37"/>
      <c r="Y2681" s="43"/>
      <c r="Z2681" s="37"/>
      <c r="AA2681" s="37"/>
      <c r="AD2681" s="37"/>
      <c r="AE2681" s="37"/>
      <c r="AF2681" s="37"/>
    </row>
    <row r="2682" spans="1:32" x14ac:dyDescent="0.25">
      <c r="A2682" s="37"/>
      <c r="B2682" s="37"/>
      <c r="C2682" s="37"/>
      <c r="F2682" s="38"/>
      <c r="G2682" s="38"/>
      <c r="H2682" s="38"/>
      <c r="I2682" s="37"/>
      <c r="J2682" s="38"/>
      <c r="K2682" s="38"/>
      <c r="L2682" s="42"/>
      <c r="M2682" s="42"/>
      <c r="N2682" s="42"/>
      <c r="O2682" s="42"/>
      <c r="R2682" s="37"/>
      <c r="S2682" s="37"/>
      <c r="T2682" s="91"/>
      <c r="U2682" s="91"/>
      <c r="V2682" s="41"/>
      <c r="W2682" s="37"/>
      <c r="X2682" s="37"/>
      <c r="Y2682" s="43"/>
      <c r="Z2682" s="37"/>
      <c r="AA2682" s="37"/>
      <c r="AD2682" s="37"/>
      <c r="AE2682" s="37"/>
      <c r="AF2682" s="37"/>
    </row>
    <row r="2683" spans="1:32" x14ac:dyDescent="0.25">
      <c r="A2683" s="37"/>
      <c r="B2683" s="37"/>
      <c r="C2683" s="37"/>
      <c r="F2683" s="38"/>
      <c r="G2683" s="38"/>
      <c r="H2683" s="38"/>
      <c r="I2683" s="37"/>
      <c r="J2683" s="38"/>
      <c r="K2683" s="38"/>
      <c r="L2683" s="42"/>
      <c r="M2683" s="42"/>
      <c r="N2683" s="42"/>
      <c r="O2683" s="42"/>
      <c r="R2683" s="37"/>
      <c r="S2683" s="37"/>
      <c r="T2683" s="91"/>
      <c r="U2683" s="91"/>
      <c r="V2683" s="41"/>
      <c r="W2683" s="37"/>
      <c r="X2683" s="37"/>
      <c r="Y2683" s="43"/>
      <c r="Z2683" s="37"/>
      <c r="AA2683" s="37"/>
      <c r="AD2683" s="37"/>
      <c r="AE2683" s="37"/>
      <c r="AF2683" s="37"/>
    </row>
    <row r="2684" spans="1:32" x14ac:dyDescent="0.25">
      <c r="A2684" s="37"/>
      <c r="B2684" s="37"/>
      <c r="C2684" s="37"/>
      <c r="F2684" s="38"/>
      <c r="G2684" s="38"/>
      <c r="H2684" s="38"/>
      <c r="I2684" s="37"/>
      <c r="J2684" s="38"/>
      <c r="K2684" s="38"/>
      <c r="L2684" s="42"/>
      <c r="M2684" s="42"/>
      <c r="N2684" s="42"/>
      <c r="O2684" s="42"/>
      <c r="R2684" s="37"/>
      <c r="S2684" s="37"/>
      <c r="T2684" s="91"/>
      <c r="U2684" s="91"/>
      <c r="V2684" s="41"/>
      <c r="W2684" s="37"/>
      <c r="X2684" s="37"/>
      <c r="Y2684" s="43"/>
      <c r="Z2684" s="37"/>
      <c r="AA2684" s="37"/>
      <c r="AD2684" s="37"/>
      <c r="AE2684" s="37"/>
      <c r="AF2684" s="37"/>
    </row>
    <row r="2685" spans="1:32" x14ac:dyDescent="0.25">
      <c r="A2685" s="37"/>
      <c r="B2685" s="37"/>
      <c r="C2685" s="37"/>
      <c r="F2685" s="38"/>
      <c r="G2685" s="38"/>
      <c r="H2685" s="38"/>
      <c r="I2685" s="37"/>
      <c r="J2685" s="38"/>
      <c r="K2685" s="38"/>
      <c r="L2685" s="42"/>
      <c r="M2685" s="42"/>
      <c r="N2685" s="42"/>
      <c r="O2685" s="42"/>
      <c r="R2685" s="37"/>
      <c r="S2685" s="37"/>
      <c r="T2685" s="91"/>
      <c r="U2685" s="91"/>
      <c r="V2685" s="41"/>
      <c r="W2685" s="37"/>
      <c r="X2685" s="37"/>
      <c r="Y2685" s="43"/>
      <c r="Z2685" s="37"/>
      <c r="AA2685" s="37"/>
      <c r="AD2685" s="37"/>
      <c r="AE2685" s="37"/>
      <c r="AF2685" s="37"/>
    </row>
    <row r="2686" spans="1:32" x14ac:dyDescent="0.25">
      <c r="A2686" s="37"/>
      <c r="B2686" s="37"/>
      <c r="C2686" s="37"/>
      <c r="F2686" s="38"/>
      <c r="G2686" s="38"/>
      <c r="H2686" s="38"/>
      <c r="I2686" s="37"/>
      <c r="J2686" s="38"/>
      <c r="K2686" s="38"/>
      <c r="L2686" s="42"/>
      <c r="M2686" s="42"/>
      <c r="N2686" s="42"/>
      <c r="O2686" s="42"/>
      <c r="R2686" s="37"/>
      <c r="S2686" s="37"/>
      <c r="T2686" s="91"/>
      <c r="U2686" s="91"/>
      <c r="V2686" s="41"/>
      <c r="W2686" s="37"/>
      <c r="X2686" s="37"/>
      <c r="Y2686" s="43"/>
      <c r="Z2686" s="37"/>
      <c r="AA2686" s="37"/>
      <c r="AD2686" s="37"/>
      <c r="AE2686" s="37"/>
      <c r="AF2686" s="37"/>
    </row>
    <row r="2687" spans="1:32" x14ac:dyDescent="0.25">
      <c r="A2687" s="37"/>
      <c r="B2687" s="37"/>
      <c r="C2687" s="37"/>
      <c r="F2687" s="38"/>
      <c r="G2687" s="38"/>
      <c r="H2687" s="38"/>
      <c r="I2687" s="37"/>
      <c r="J2687" s="38"/>
      <c r="K2687" s="38"/>
      <c r="L2687" s="42"/>
      <c r="M2687" s="42"/>
      <c r="N2687" s="42"/>
      <c r="O2687" s="42"/>
      <c r="R2687" s="37"/>
      <c r="S2687" s="37"/>
      <c r="T2687" s="91"/>
      <c r="U2687" s="91"/>
      <c r="V2687" s="41"/>
      <c r="W2687" s="37"/>
      <c r="X2687" s="37"/>
      <c r="Y2687" s="43"/>
      <c r="Z2687" s="37"/>
      <c r="AA2687" s="37"/>
      <c r="AD2687" s="37"/>
      <c r="AE2687" s="37"/>
      <c r="AF2687" s="37"/>
    </row>
    <row r="2688" spans="1:32" x14ac:dyDescent="0.25">
      <c r="A2688" s="37"/>
      <c r="B2688" s="37"/>
      <c r="C2688" s="37"/>
      <c r="F2688" s="38"/>
      <c r="G2688" s="38"/>
      <c r="H2688" s="38"/>
      <c r="I2688" s="37"/>
      <c r="J2688" s="38"/>
      <c r="K2688" s="38"/>
      <c r="L2688" s="42"/>
      <c r="M2688" s="42"/>
      <c r="N2688" s="42"/>
      <c r="O2688" s="42"/>
      <c r="R2688" s="37"/>
      <c r="S2688" s="37"/>
      <c r="T2688" s="91"/>
      <c r="U2688" s="91"/>
      <c r="V2688" s="41"/>
      <c r="W2688" s="37"/>
      <c r="X2688" s="37"/>
      <c r="Y2688" s="43"/>
      <c r="Z2688" s="37"/>
      <c r="AA2688" s="37"/>
      <c r="AD2688" s="37"/>
      <c r="AE2688" s="37"/>
      <c r="AF2688" s="37"/>
    </row>
    <row r="2689" spans="1:32" x14ac:dyDescent="0.25">
      <c r="A2689" s="37"/>
      <c r="B2689" s="37"/>
      <c r="C2689" s="37"/>
      <c r="F2689" s="38"/>
      <c r="G2689" s="38"/>
      <c r="H2689" s="38"/>
      <c r="I2689" s="37"/>
      <c r="J2689" s="38"/>
      <c r="K2689" s="38"/>
      <c r="L2689" s="42"/>
      <c r="M2689" s="42"/>
      <c r="N2689" s="42"/>
      <c r="O2689" s="42"/>
      <c r="R2689" s="37"/>
      <c r="S2689" s="37"/>
      <c r="T2689" s="91"/>
      <c r="U2689" s="91"/>
      <c r="V2689" s="41"/>
      <c r="W2689" s="37"/>
      <c r="X2689" s="37"/>
      <c r="Y2689" s="43"/>
      <c r="Z2689" s="37"/>
      <c r="AA2689" s="37"/>
      <c r="AD2689" s="37"/>
      <c r="AE2689" s="37"/>
      <c r="AF2689" s="37"/>
    </row>
    <row r="2690" spans="1:32" x14ac:dyDescent="0.25">
      <c r="A2690" s="37"/>
      <c r="B2690" s="37"/>
      <c r="C2690" s="37"/>
      <c r="F2690" s="38"/>
      <c r="G2690" s="38"/>
      <c r="H2690" s="38"/>
      <c r="I2690" s="37"/>
      <c r="J2690" s="38"/>
      <c r="K2690" s="38"/>
      <c r="L2690" s="42"/>
      <c r="M2690" s="42"/>
      <c r="N2690" s="42"/>
      <c r="O2690" s="42"/>
      <c r="R2690" s="37"/>
      <c r="S2690" s="37"/>
      <c r="T2690" s="91"/>
      <c r="U2690" s="91"/>
      <c r="V2690" s="41"/>
      <c r="W2690" s="37"/>
      <c r="X2690" s="37"/>
      <c r="Y2690" s="43"/>
      <c r="Z2690" s="37"/>
      <c r="AA2690" s="37"/>
      <c r="AD2690" s="37"/>
      <c r="AE2690" s="37"/>
      <c r="AF2690" s="37"/>
    </row>
    <row r="2691" spans="1:32" x14ac:dyDescent="0.25">
      <c r="A2691" s="37"/>
      <c r="B2691" s="37"/>
      <c r="C2691" s="37"/>
      <c r="F2691" s="38"/>
      <c r="G2691" s="38"/>
      <c r="H2691" s="38"/>
      <c r="I2691" s="37"/>
      <c r="J2691" s="38"/>
      <c r="K2691" s="38"/>
      <c r="L2691" s="42"/>
      <c r="M2691" s="42"/>
      <c r="N2691" s="42"/>
      <c r="O2691" s="42"/>
      <c r="R2691" s="37"/>
      <c r="S2691" s="37"/>
      <c r="T2691" s="91"/>
      <c r="U2691" s="91"/>
      <c r="V2691" s="41"/>
      <c r="W2691" s="37"/>
      <c r="X2691" s="37"/>
      <c r="Y2691" s="43"/>
      <c r="Z2691" s="37"/>
      <c r="AA2691" s="37"/>
      <c r="AD2691" s="37"/>
      <c r="AE2691" s="37"/>
      <c r="AF2691" s="37"/>
    </row>
    <row r="2692" spans="1:32" x14ac:dyDescent="0.25">
      <c r="A2692" s="37"/>
      <c r="B2692" s="37"/>
      <c r="C2692" s="37"/>
      <c r="F2692" s="38"/>
      <c r="G2692" s="38"/>
      <c r="H2692" s="38"/>
      <c r="I2692" s="37"/>
      <c r="J2692" s="38"/>
      <c r="K2692" s="38"/>
      <c r="L2692" s="42"/>
      <c r="M2692" s="42"/>
      <c r="N2692" s="42"/>
      <c r="O2692" s="42"/>
      <c r="R2692" s="37"/>
      <c r="S2692" s="37"/>
      <c r="T2692" s="91"/>
      <c r="U2692" s="91"/>
      <c r="V2692" s="41"/>
      <c r="W2692" s="37"/>
      <c r="X2692" s="37"/>
      <c r="Y2692" s="43"/>
      <c r="Z2692" s="37"/>
      <c r="AA2692" s="37"/>
      <c r="AD2692" s="37"/>
      <c r="AE2692" s="37"/>
      <c r="AF2692" s="37"/>
    </row>
    <row r="2693" spans="1:32" x14ac:dyDescent="0.25">
      <c r="A2693" s="37"/>
      <c r="B2693" s="37"/>
      <c r="C2693" s="37"/>
      <c r="F2693" s="38"/>
      <c r="G2693" s="38"/>
      <c r="H2693" s="38"/>
      <c r="I2693" s="37"/>
      <c r="J2693" s="38"/>
      <c r="K2693" s="38"/>
      <c r="L2693" s="42"/>
      <c r="M2693" s="42"/>
      <c r="N2693" s="42"/>
      <c r="O2693" s="42"/>
      <c r="R2693" s="37"/>
      <c r="S2693" s="37"/>
      <c r="T2693" s="91"/>
      <c r="U2693" s="91"/>
      <c r="V2693" s="41"/>
      <c r="W2693" s="37"/>
      <c r="X2693" s="37"/>
      <c r="Y2693" s="43"/>
      <c r="Z2693" s="37"/>
      <c r="AA2693" s="37"/>
      <c r="AD2693" s="37"/>
      <c r="AE2693" s="37"/>
      <c r="AF2693" s="37"/>
    </row>
    <row r="2694" spans="1:32" x14ac:dyDescent="0.25">
      <c r="A2694" s="37"/>
      <c r="B2694" s="37"/>
      <c r="C2694" s="37"/>
      <c r="F2694" s="38"/>
      <c r="G2694" s="38"/>
      <c r="H2694" s="38"/>
      <c r="I2694" s="37"/>
      <c r="J2694" s="38"/>
      <c r="K2694" s="38"/>
      <c r="L2694" s="42"/>
      <c r="M2694" s="42"/>
      <c r="N2694" s="42"/>
      <c r="O2694" s="42"/>
      <c r="R2694" s="37"/>
      <c r="S2694" s="37"/>
      <c r="T2694" s="91"/>
      <c r="U2694" s="91"/>
      <c r="V2694" s="41"/>
      <c r="W2694" s="37"/>
      <c r="X2694" s="37"/>
      <c r="Y2694" s="43"/>
      <c r="Z2694" s="37"/>
      <c r="AA2694" s="37"/>
      <c r="AD2694" s="37"/>
      <c r="AE2694" s="37"/>
      <c r="AF2694" s="37"/>
    </row>
    <row r="2695" spans="1:32" x14ac:dyDescent="0.25">
      <c r="A2695" s="37"/>
      <c r="B2695" s="37"/>
      <c r="C2695" s="37"/>
      <c r="F2695" s="38"/>
      <c r="G2695" s="38"/>
      <c r="H2695" s="38"/>
      <c r="I2695" s="37"/>
      <c r="J2695" s="38"/>
      <c r="K2695" s="38"/>
      <c r="L2695" s="42"/>
      <c r="M2695" s="42"/>
      <c r="N2695" s="42"/>
      <c r="O2695" s="42"/>
      <c r="R2695" s="37"/>
      <c r="S2695" s="37"/>
      <c r="T2695" s="91"/>
      <c r="U2695" s="91"/>
      <c r="V2695" s="41"/>
      <c r="W2695" s="37"/>
      <c r="X2695" s="37"/>
      <c r="Y2695" s="43"/>
      <c r="Z2695" s="37"/>
      <c r="AA2695" s="37"/>
      <c r="AD2695" s="37"/>
      <c r="AE2695" s="37"/>
      <c r="AF2695" s="37"/>
    </row>
    <row r="2696" spans="1:32" x14ac:dyDescent="0.25">
      <c r="A2696" s="37"/>
      <c r="B2696" s="37"/>
      <c r="C2696" s="37"/>
      <c r="F2696" s="38"/>
      <c r="G2696" s="38"/>
      <c r="H2696" s="38"/>
      <c r="I2696" s="37"/>
      <c r="J2696" s="38"/>
      <c r="K2696" s="38"/>
      <c r="L2696" s="42"/>
      <c r="M2696" s="42"/>
      <c r="N2696" s="42"/>
      <c r="O2696" s="42"/>
      <c r="R2696" s="37"/>
      <c r="S2696" s="37"/>
      <c r="T2696" s="91"/>
      <c r="U2696" s="91"/>
      <c r="V2696" s="41"/>
      <c r="W2696" s="37"/>
      <c r="X2696" s="37"/>
      <c r="Y2696" s="43"/>
      <c r="Z2696" s="37"/>
      <c r="AA2696" s="37"/>
      <c r="AD2696" s="37"/>
      <c r="AE2696" s="37"/>
      <c r="AF2696" s="37"/>
    </row>
    <row r="2697" spans="1:32" x14ac:dyDescent="0.25">
      <c r="A2697" s="37"/>
      <c r="B2697" s="37"/>
      <c r="C2697" s="37"/>
      <c r="F2697" s="38"/>
      <c r="G2697" s="38"/>
      <c r="H2697" s="38"/>
      <c r="I2697" s="37"/>
      <c r="J2697" s="38"/>
      <c r="K2697" s="38"/>
      <c r="L2697" s="42"/>
      <c r="M2697" s="42"/>
      <c r="N2697" s="42"/>
      <c r="O2697" s="42"/>
      <c r="R2697" s="37"/>
      <c r="S2697" s="37"/>
      <c r="T2697" s="91"/>
      <c r="U2697" s="91"/>
      <c r="V2697" s="41"/>
      <c r="W2697" s="37"/>
      <c r="X2697" s="37"/>
      <c r="Y2697" s="43"/>
      <c r="Z2697" s="37"/>
      <c r="AA2697" s="37"/>
      <c r="AD2697" s="37"/>
      <c r="AE2697" s="37"/>
      <c r="AF2697" s="37"/>
    </row>
    <row r="2698" spans="1:32" x14ac:dyDescent="0.25">
      <c r="A2698" s="37"/>
      <c r="B2698" s="37"/>
      <c r="C2698" s="37"/>
      <c r="F2698" s="38"/>
      <c r="G2698" s="38"/>
      <c r="H2698" s="38"/>
      <c r="I2698" s="37"/>
      <c r="J2698" s="38"/>
      <c r="K2698" s="38"/>
      <c r="L2698" s="42"/>
      <c r="M2698" s="42"/>
      <c r="N2698" s="42"/>
      <c r="O2698" s="42"/>
      <c r="R2698" s="37"/>
      <c r="S2698" s="37"/>
      <c r="T2698" s="91"/>
      <c r="U2698" s="91"/>
      <c r="V2698" s="41"/>
      <c r="W2698" s="37"/>
      <c r="X2698" s="37"/>
      <c r="Y2698" s="43"/>
      <c r="Z2698" s="37"/>
      <c r="AA2698" s="37"/>
      <c r="AD2698" s="37"/>
      <c r="AE2698" s="37"/>
      <c r="AF2698" s="37"/>
    </row>
    <row r="2699" spans="1:32" x14ac:dyDescent="0.25">
      <c r="A2699" s="37"/>
      <c r="B2699" s="37"/>
      <c r="C2699" s="37"/>
      <c r="F2699" s="38"/>
      <c r="G2699" s="38"/>
      <c r="H2699" s="38"/>
      <c r="I2699" s="37"/>
      <c r="J2699" s="38"/>
      <c r="K2699" s="38"/>
      <c r="L2699" s="42"/>
      <c r="M2699" s="42"/>
      <c r="N2699" s="42"/>
      <c r="O2699" s="42"/>
      <c r="R2699" s="37"/>
      <c r="S2699" s="37"/>
      <c r="T2699" s="91"/>
      <c r="U2699" s="91"/>
      <c r="V2699" s="41"/>
      <c r="W2699" s="37"/>
      <c r="X2699" s="37"/>
      <c r="Y2699" s="43"/>
      <c r="Z2699" s="37"/>
      <c r="AA2699" s="37"/>
      <c r="AD2699" s="37"/>
      <c r="AE2699" s="37"/>
      <c r="AF2699" s="37"/>
    </row>
    <row r="2700" spans="1:32" x14ac:dyDescent="0.25">
      <c r="A2700" s="37"/>
      <c r="B2700" s="37"/>
      <c r="C2700" s="37"/>
      <c r="F2700" s="38"/>
      <c r="G2700" s="38"/>
      <c r="H2700" s="38"/>
      <c r="I2700" s="37"/>
      <c r="J2700" s="38"/>
      <c r="K2700" s="38"/>
      <c r="L2700" s="42"/>
      <c r="M2700" s="42"/>
      <c r="N2700" s="42"/>
      <c r="O2700" s="42"/>
      <c r="R2700" s="37"/>
      <c r="S2700" s="37"/>
      <c r="T2700" s="91"/>
      <c r="U2700" s="91"/>
      <c r="V2700" s="41"/>
      <c r="W2700" s="37"/>
      <c r="X2700" s="37"/>
      <c r="Y2700" s="43"/>
      <c r="Z2700" s="37"/>
      <c r="AA2700" s="37"/>
      <c r="AD2700" s="37"/>
      <c r="AE2700" s="37"/>
      <c r="AF2700" s="37"/>
    </row>
    <row r="2701" spans="1:32" x14ac:dyDescent="0.25">
      <c r="A2701" s="37"/>
      <c r="B2701" s="37"/>
      <c r="C2701" s="37"/>
      <c r="F2701" s="38"/>
      <c r="G2701" s="38"/>
      <c r="H2701" s="38"/>
      <c r="I2701" s="37"/>
      <c r="J2701" s="38"/>
      <c r="K2701" s="38"/>
      <c r="L2701" s="42"/>
      <c r="M2701" s="42"/>
      <c r="N2701" s="42"/>
      <c r="O2701" s="42"/>
      <c r="R2701" s="37"/>
      <c r="S2701" s="37"/>
      <c r="T2701" s="91"/>
      <c r="U2701" s="91"/>
      <c r="V2701" s="41"/>
      <c r="W2701" s="37"/>
      <c r="X2701" s="37"/>
      <c r="Y2701" s="43"/>
      <c r="Z2701" s="37"/>
      <c r="AA2701" s="37"/>
      <c r="AD2701" s="37"/>
      <c r="AE2701" s="37"/>
      <c r="AF2701" s="37"/>
    </row>
    <row r="2702" spans="1:32" x14ac:dyDescent="0.25">
      <c r="A2702" s="37"/>
      <c r="B2702" s="37"/>
      <c r="C2702" s="37"/>
      <c r="F2702" s="38"/>
      <c r="G2702" s="38"/>
      <c r="H2702" s="38"/>
      <c r="I2702" s="37"/>
      <c r="J2702" s="38"/>
      <c r="K2702" s="38"/>
      <c r="L2702" s="42"/>
      <c r="M2702" s="42"/>
      <c r="N2702" s="42"/>
      <c r="O2702" s="42"/>
      <c r="R2702" s="37"/>
      <c r="S2702" s="37"/>
      <c r="T2702" s="91"/>
      <c r="U2702" s="91"/>
      <c r="V2702" s="41"/>
      <c r="W2702" s="37"/>
      <c r="X2702" s="37"/>
      <c r="Y2702" s="43"/>
      <c r="Z2702" s="37"/>
      <c r="AA2702" s="37"/>
      <c r="AD2702" s="37"/>
      <c r="AE2702" s="37"/>
      <c r="AF2702" s="37"/>
    </row>
    <row r="2703" spans="1:32" x14ac:dyDescent="0.25">
      <c r="A2703" s="37"/>
      <c r="B2703" s="37"/>
      <c r="C2703" s="37"/>
      <c r="F2703" s="38"/>
      <c r="G2703" s="38"/>
      <c r="H2703" s="38"/>
      <c r="I2703" s="37"/>
      <c r="J2703" s="38"/>
      <c r="K2703" s="38"/>
      <c r="L2703" s="42"/>
      <c r="M2703" s="42"/>
      <c r="N2703" s="42"/>
      <c r="O2703" s="42"/>
      <c r="R2703" s="37"/>
      <c r="S2703" s="37"/>
      <c r="T2703" s="91"/>
      <c r="U2703" s="91"/>
      <c r="V2703" s="41"/>
      <c r="W2703" s="37"/>
      <c r="X2703" s="37"/>
      <c r="Y2703" s="43"/>
      <c r="Z2703" s="37"/>
      <c r="AA2703" s="37"/>
      <c r="AD2703" s="37"/>
      <c r="AE2703" s="37"/>
      <c r="AF2703" s="37"/>
    </row>
    <row r="2704" spans="1:32" x14ac:dyDescent="0.25">
      <c r="A2704" s="37"/>
      <c r="B2704" s="37"/>
      <c r="C2704" s="37"/>
      <c r="F2704" s="38"/>
      <c r="G2704" s="38"/>
      <c r="H2704" s="38"/>
      <c r="I2704" s="37"/>
      <c r="J2704" s="38"/>
      <c r="K2704" s="38"/>
      <c r="L2704" s="42"/>
      <c r="M2704" s="42"/>
      <c r="N2704" s="42"/>
      <c r="O2704" s="42"/>
      <c r="R2704" s="37"/>
      <c r="S2704" s="37"/>
      <c r="T2704" s="91"/>
      <c r="U2704" s="91"/>
      <c r="V2704" s="41"/>
      <c r="W2704" s="37"/>
      <c r="X2704" s="37"/>
      <c r="Y2704" s="43"/>
      <c r="Z2704" s="37"/>
      <c r="AA2704" s="37"/>
      <c r="AD2704" s="37"/>
      <c r="AE2704" s="37"/>
      <c r="AF2704" s="37"/>
    </row>
    <row r="2705" spans="1:32" x14ac:dyDescent="0.25">
      <c r="A2705" s="37"/>
      <c r="B2705" s="37"/>
      <c r="C2705" s="37"/>
      <c r="F2705" s="38"/>
      <c r="G2705" s="38"/>
      <c r="H2705" s="38"/>
      <c r="I2705" s="37"/>
      <c r="J2705" s="38"/>
      <c r="K2705" s="38"/>
      <c r="L2705" s="42"/>
      <c r="M2705" s="42"/>
      <c r="N2705" s="42"/>
      <c r="O2705" s="42"/>
      <c r="R2705" s="37"/>
      <c r="S2705" s="37"/>
      <c r="T2705" s="91"/>
      <c r="U2705" s="91"/>
      <c r="V2705" s="41"/>
      <c r="W2705" s="37"/>
      <c r="X2705" s="37"/>
      <c r="Y2705" s="43"/>
      <c r="Z2705" s="37"/>
      <c r="AA2705" s="37"/>
      <c r="AD2705" s="37"/>
      <c r="AE2705" s="37"/>
      <c r="AF2705" s="37"/>
    </row>
    <row r="2706" spans="1:32" x14ac:dyDescent="0.25">
      <c r="A2706" s="37"/>
      <c r="B2706" s="37"/>
      <c r="C2706" s="37"/>
      <c r="F2706" s="38"/>
      <c r="G2706" s="38"/>
      <c r="H2706" s="38"/>
      <c r="I2706" s="37"/>
      <c r="J2706" s="38"/>
      <c r="K2706" s="38"/>
      <c r="L2706" s="42"/>
      <c r="M2706" s="42"/>
      <c r="N2706" s="42"/>
      <c r="O2706" s="42"/>
      <c r="R2706" s="37"/>
      <c r="S2706" s="37"/>
      <c r="T2706" s="91"/>
      <c r="U2706" s="91"/>
      <c r="V2706" s="41"/>
      <c r="W2706" s="37"/>
      <c r="X2706" s="37"/>
      <c r="Y2706" s="43"/>
      <c r="Z2706" s="37"/>
      <c r="AA2706" s="37"/>
      <c r="AD2706" s="37"/>
      <c r="AE2706" s="37"/>
      <c r="AF2706" s="37"/>
    </row>
    <row r="2707" spans="1:32" x14ac:dyDescent="0.25">
      <c r="A2707" s="37"/>
      <c r="B2707" s="37"/>
      <c r="C2707" s="37"/>
      <c r="F2707" s="38"/>
      <c r="G2707" s="38"/>
      <c r="H2707" s="38"/>
      <c r="I2707" s="37"/>
      <c r="J2707" s="38"/>
      <c r="K2707" s="38"/>
      <c r="L2707" s="42"/>
      <c r="M2707" s="42"/>
      <c r="N2707" s="42"/>
      <c r="O2707" s="42"/>
      <c r="R2707" s="37"/>
      <c r="S2707" s="37"/>
      <c r="T2707" s="91"/>
      <c r="U2707" s="91"/>
      <c r="V2707" s="41"/>
      <c r="W2707" s="37"/>
      <c r="X2707" s="37"/>
      <c r="Y2707" s="43"/>
      <c r="Z2707" s="37"/>
      <c r="AA2707" s="37"/>
      <c r="AD2707" s="37"/>
      <c r="AE2707" s="37"/>
      <c r="AF2707" s="37"/>
    </row>
    <row r="2708" spans="1:32" x14ac:dyDescent="0.25">
      <c r="A2708" s="37"/>
      <c r="B2708" s="37"/>
      <c r="C2708" s="37"/>
      <c r="F2708" s="38"/>
      <c r="G2708" s="38"/>
      <c r="H2708" s="38"/>
      <c r="I2708" s="37"/>
      <c r="J2708" s="38"/>
      <c r="K2708" s="38"/>
      <c r="L2708" s="42"/>
      <c r="M2708" s="42"/>
      <c r="N2708" s="42"/>
      <c r="O2708" s="42"/>
      <c r="R2708" s="37"/>
      <c r="S2708" s="37"/>
      <c r="T2708" s="91"/>
      <c r="U2708" s="91"/>
      <c r="V2708" s="41"/>
      <c r="W2708" s="37"/>
      <c r="X2708" s="37"/>
      <c r="Y2708" s="43"/>
      <c r="Z2708" s="37"/>
      <c r="AA2708" s="37"/>
      <c r="AD2708" s="37"/>
      <c r="AE2708" s="37"/>
      <c r="AF2708" s="37"/>
    </row>
    <row r="2709" spans="1:32" x14ac:dyDescent="0.25">
      <c r="A2709" s="37"/>
      <c r="B2709" s="37"/>
      <c r="C2709" s="37"/>
      <c r="F2709" s="38"/>
      <c r="G2709" s="38"/>
      <c r="H2709" s="38"/>
      <c r="I2709" s="37"/>
      <c r="J2709" s="38"/>
      <c r="K2709" s="38"/>
      <c r="L2709" s="42"/>
      <c r="M2709" s="42"/>
      <c r="N2709" s="42"/>
      <c r="O2709" s="42"/>
      <c r="R2709" s="37"/>
      <c r="S2709" s="37"/>
      <c r="T2709" s="91"/>
      <c r="U2709" s="91"/>
      <c r="V2709" s="41"/>
      <c r="W2709" s="37"/>
      <c r="X2709" s="37"/>
      <c r="Y2709" s="43"/>
      <c r="Z2709" s="37"/>
      <c r="AA2709" s="37"/>
      <c r="AD2709" s="37"/>
      <c r="AE2709" s="37"/>
      <c r="AF2709" s="37"/>
    </row>
    <row r="2710" spans="1:32" x14ac:dyDescent="0.25">
      <c r="A2710" s="37"/>
      <c r="B2710" s="37"/>
      <c r="C2710" s="37"/>
      <c r="F2710" s="38"/>
      <c r="G2710" s="38"/>
      <c r="H2710" s="38"/>
      <c r="I2710" s="37"/>
      <c r="J2710" s="38"/>
      <c r="K2710" s="38"/>
      <c r="L2710" s="42"/>
      <c r="M2710" s="42"/>
      <c r="N2710" s="42"/>
      <c r="O2710" s="42"/>
      <c r="R2710" s="37"/>
      <c r="S2710" s="37"/>
      <c r="T2710" s="91"/>
      <c r="U2710" s="91"/>
      <c r="V2710" s="41"/>
      <c r="W2710" s="37"/>
      <c r="X2710" s="37"/>
      <c r="Y2710" s="43"/>
      <c r="Z2710" s="37"/>
      <c r="AA2710" s="37"/>
      <c r="AD2710" s="37"/>
      <c r="AE2710" s="37"/>
      <c r="AF2710" s="37"/>
    </row>
    <row r="2711" spans="1:32" x14ac:dyDescent="0.25">
      <c r="A2711" s="37"/>
      <c r="B2711" s="37"/>
      <c r="C2711" s="37"/>
      <c r="F2711" s="38"/>
      <c r="G2711" s="38"/>
      <c r="H2711" s="38"/>
      <c r="I2711" s="37"/>
      <c r="J2711" s="38"/>
      <c r="K2711" s="38"/>
      <c r="L2711" s="42"/>
      <c r="M2711" s="42"/>
      <c r="N2711" s="42"/>
      <c r="O2711" s="42"/>
      <c r="R2711" s="37"/>
      <c r="S2711" s="37"/>
      <c r="T2711" s="91"/>
      <c r="U2711" s="91"/>
      <c r="V2711" s="41"/>
      <c r="W2711" s="37"/>
      <c r="X2711" s="37"/>
      <c r="Y2711" s="43"/>
      <c r="Z2711" s="37"/>
      <c r="AA2711" s="37"/>
      <c r="AD2711" s="37"/>
      <c r="AE2711" s="37"/>
      <c r="AF2711" s="37"/>
    </row>
    <row r="2712" spans="1:32" x14ac:dyDescent="0.25">
      <c r="A2712" s="37"/>
      <c r="B2712" s="37"/>
      <c r="C2712" s="37"/>
      <c r="F2712" s="38"/>
      <c r="G2712" s="38"/>
      <c r="H2712" s="38"/>
      <c r="I2712" s="37"/>
      <c r="J2712" s="38"/>
      <c r="K2712" s="38"/>
      <c r="L2712" s="42"/>
      <c r="M2712" s="42"/>
      <c r="N2712" s="42"/>
      <c r="O2712" s="42"/>
      <c r="R2712" s="37"/>
      <c r="S2712" s="37"/>
      <c r="T2712" s="91"/>
      <c r="U2712" s="91"/>
      <c r="V2712" s="41"/>
      <c r="W2712" s="37"/>
      <c r="X2712" s="37"/>
      <c r="Y2712" s="43"/>
      <c r="Z2712" s="37"/>
      <c r="AA2712" s="37"/>
      <c r="AD2712" s="37"/>
      <c r="AE2712" s="37"/>
      <c r="AF2712" s="37"/>
    </row>
    <row r="2713" spans="1:32" x14ac:dyDescent="0.25">
      <c r="A2713" s="37"/>
      <c r="B2713" s="37"/>
      <c r="C2713" s="37"/>
      <c r="F2713" s="38"/>
      <c r="G2713" s="38"/>
      <c r="H2713" s="38"/>
      <c r="I2713" s="37"/>
      <c r="J2713" s="38"/>
      <c r="K2713" s="38"/>
      <c r="L2713" s="42"/>
      <c r="M2713" s="42"/>
      <c r="N2713" s="42"/>
      <c r="O2713" s="42"/>
      <c r="R2713" s="37"/>
      <c r="S2713" s="37"/>
      <c r="T2713" s="91"/>
      <c r="U2713" s="91"/>
      <c r="V2713" s="41"/>
      <c r="W2713" s="37"/>
      <c r="X2713" s="37"/>
      <c r="Y2713" s="43"/>
      <c r="Z2713" s="37"/>
      <c r="AA2713" s="37"/>
      <c r="AD2713" s="37"/>
      <c r="AE2713" s="37"/>
      <c r="AF2713" s="37"/>
    </row>
    <row r="2714" spans="1:32" x14ac:dyDescent="0.25">
      <c r="A2714" s="37"/>
      <c r="B2714" s="37"/>
      <c r="C2714" s="37"/>
      <c r="F2714" s="38"/>
      <c r="G2714" s="38"/>
      <c r="H2714" s="38"/>
      <c r="I2714" s="37"/>
      <c r="J2714" s="38"/>
      <c r="K2714" s="38"/>
      <c r="L2714" s="42"/>
      <c r="M2714" s="42"/>
      <c r="N2714" s="42"/>
      <c r="O2714" s="42"/>
      <c r="R2714" s="37"/>
      <c r="S2714" s="37"/>
      <c r="T2714" s="91"/>
      <c r="U2714" s="91"/>
      <c r="V2714" s="41"/>
      <c r="W2714" s="37"/>
      <c r="X2714" s="37"/>
      <c r="Y2714" s="43"/>
      <c r="Z2714" s="37"/>
      <c r="AA2714" s="37"/>
      <c r="AD2714" s="37"/>
      <c r="AE2714" s="37"/>
      <c r="AF2714" s="37"/>
    </row>
    <row r="2715" spans="1:32" x14ac:dyDescent="0.25">
      <c r="A2715" s="37"/>
      <c r="B2715" s="37"/>
      <c r="C2715" s="37"/>
      <c r="F2715" s="38"/>
      <c r="G2715" s="38"/>
      <c r="H2715" s="38"/>
      <c r="I2715" s="37"/>
      <c r="J2715" s="38"/>
      <c r="K2715" s="38"/>
      <c r="L2715" s="42"/>
      <c r="M2715" s="42"/>
      <c r="N2715" s="42"/>
      <c r="O2715" s="42"/>
      <c r="R2715" s="37"/>
      <c r="S2715" s="37"/>
      <c r="T2715" s="91"/>
      <c r="U2715" s="91"/>
      <c r="V2715" s="41"/>
      <c r="W2715" s="37"/>
      <c r="X2715" s="37"/>
      <c r="Y2715" s="43"/>
      <c r="Z2715" s="37"/>
      <c r="AA2715" s="37"/>
      <c r="AD2715" s="37"/>
      <c r="AE2715" s="37"/>
      <c r="AF2715" s="37"/>
    </row>
    <row r="2716" spans="1:32" x14ac:dyDescent="0.25">
      <c r="A2716" s="37"/>
      <c r="B2716" s="37"/>
      <c r="C2716" s="37"/>
      <c r="F2716" s="38"/>
      <c r="G2716" s="38"/>
      <c r="H2716" s="38"/>
      <c r="I2716" s="37"/>
      <c r="J2716" s="38"/>
      <c r="K2716" s="38"/>
      <c r="L2716" s="42"/>
      <c r="M2716" s="42"/>
      <c r="N2716" s="42"/>
      <c r="O2716" s="42"/>
      <c r="R2716" s="37"/>
      <c r="S2716" s="37"/>
      <c r="T2716" s="91"/>
      <c r="U2716" s="91"/>
      <c r="V2716" s="41"/>
      <c r="W2716" s="37"/>
      <c r="X2716" s="37"/>
      <c r="Y2716" s="43"/>
      <c r="Z2716" s="37"/>
      <c r="AA2716" s="37"/>
      <c r="AD2716" s="37"/>
      <c r="AE2716" s="37"/>
      <c r="AF2716" s="37"/>
    </row>
    <row r="2717" spans="1:32" x14ac:dyDescent="0.25">
      <c r="A2717" s="37"/>
      <c r="B2717" s="37"/>
      <c r="C2717" s="37"/>
      <c r="F2717" s="38"/>
      <c r="G2717" s="38"/>
      <c r="H2717" s="38"/>
      <c r="I2717" s="37"/>
      <c r="J2717" s="38"/>
      <c r="K2717" s="38"/>
      <c r="L2717" s="42"/>
      <c r="M2717" s="42"/>
      <c r="N2717" s="42"/>
      <c r="O2717" s="42"/>
      <c r="R2717" s="37"/>
      <c r="S2717" s="37"/>
      <c r="T2717" s="91"/>
      <c r="U2717" s="91"/>
      <c r="V2717" s="41"/>
      <c r="W2717" s="37"/>
      <c r="X2717" s="37"/>
      <c r="Y2717" s="43"/>
      <c r="Z2717" s="37"/>
      <c r="AA2717" s="37"/>
      <c r="AD2717" s="37"/>
      <c r="AE2717" s="37"/>
      <c r="AF2717" s="37"/>
    </row>
    <row r="2718" spans="1:32" x14ac:dyDescent="0.25">
      <c r="A2718" s="37"/>
      <c r="B2718" s="37"/>
      <c r="C2718" s="37"/>
      <c r="F2718" s="38"/>
      <c r="G2718" s="38"/>
      <c r="H2718" s="38"/>
      <c r="I2718" s="37"/>
      <c r="J2718" s="38"/>
      <c r="K2718" s="38"/>
      <c r="L2718" s="42"/>
      <c r="M2718" s="42"/>
      <c r="N2718" s="42"/>
      <c r="O2718" s="42"/>
      <c r="R2718" s="37"/>
      <c r="S2718" s="37"/>
      <c r="T2718" s="91"/>
      <c r="U2718" s="91"/>
      <c r="V2718" s="41"/>
      <c r="W2718" s="37"/>
      <c r="X2718" s="37"/>
      <c r="Y2718" s="43"/>
      <c r="Z2718" s="37"/>
      <c r="AA2718" s="37"/>
      <c r="AD2718" s="37"/>
      <c r="AE2718" s="37"/>
      <c r="AF2718" s="37"/>
    </row>
    <row r="2719" spans="1:32" x14ac:dyDescent="0.25">
      <c r="A2719" s="37"/>
      <c r="B2719" s="37"/>
      <c r="C2719" s="37"/>
      <c r="F2719" s="38"/>
      <c r="G2719" s="38"/>
      <c r="H2719" s="38"/>
      <c r="I2719" s="37"/>
      <c r="J2719" s="38"/>
      <c r="K2719" s="38"/>
      <c r="L2719" s="42"/>
      <c r="M2719" s="42"/>
      <c r="N2719" s="42"/>
      <c r="O2719" s="42"/>
      <c r="R2719" s="37"/>
      <c r="S2719" s="37"/>
      <c r="T2719" s="91"/>
      <c r="U2719" s="91"/>
      <c r="V2719" s="41"/>
      <c r="W2719" s="37"/>
      <c r="X2719" s="37"/>
      <c r="Y2719" s="43"/>
      <c r="Z2719" s="37"/>
      <c r="AA2719" s="37"/>
      <c r="AD2719" s="37"/>
      <c r="AE2719" s="37"/>
      <c r="AF2719" s="37"/>
    </row>
    <row r="2720" spans="1:32" x14ac:dyDescent="0.25">
      <c r="A2720" s="37"/>
      <c r="B2720" s="37"/>
      <c r="C2720" s="37"/>
      <c r="F2720" s="38"/>
      <c r="G2720" s="38"/>
      <c r="H2720" s="38"/>
      <c r="I2720" s="37"/>
      <c r="J2720" s="38"/>
      <c r="K2720" s="38"/>
      <c r="L2720" s="42"/>
      <c r="M2720" s="42"/>
      <c r="N2720" s="42"/>
      <c r="O2720" s="42"/>
      <c r="R2720" s="37"/>
      <c r="S2720" s="37"/>
      <c r="T2720" s="91"/>
      <c r="U2720" s="91"/>
      <c r="V2720" s="41"/>
      <c r="W2720" s="37"/>
      <c r="X2720" s="37"/>
      <c r="Y2720" s="43"/>
      <c r="Z2720" s="37"/>
      <c r="AA2720" s="37"/>
      <c r="AD2720" s="37"/>
      <c r="AE2720" s="37"/>
      <c r="AF2720" s="37"/>
    </row>
    <row r="2721" spans="1:32" x14ac:dyDescent="0.25">
      <c r="A2721" s="37"/>
      <c r="B2721" s="37"/>
      <c r="C2721" s="37"/>
      <c r="F2721" s="38"/>
      <c r="G2721" s="38"/>
      <c r="H2721" s="38"/>
      <c r="I2721" s="37"/>
      <c r="J2721" s="38"/>
      <c r="K2721" s="38"/>
      <c r="L2721" s="42"/>
      <c r="M2721" s="42"/>
      <c r="N2721" s="42"/>
      <c r="O2721" s="42"/>
      <c r="R2721" s="37"/>
      <c r="S2721" s="37"/>
      <c r="T2721" s="91"/>
      <c r="U2721" s="91"/>
      <c r="V2721" s="41"/>
      <c r="W2721" s="37"/>
      <c r="X2721" s="37"/>
      <c r="Y2721" s="43"/>
      <c r="Z2721" s="37"/>
      <c r="AA2721" s="37"/>
      <c r="AD2721" s="37"/>
      <c r="AE2721" s="37"/>
      <c r="AF2721" s="37"/>
    </row>
    <row r="2722" spans="1:32" x14ac:dyDescent="0.25">
      <c r="A2722" s="37"/>
      <c r="B2722" s="37"/>
      <c r="C2722" s="37"/>
      <c r="F2722" s="38"/>
      <c r="G2722" s="38"/>
      <c r="H2722" s="38"/>
      <c r="I2722" s="37"/>
      <c r="J2722" s="38"/>
      <c r="K2722" s="38"/>
      <c r="L2722" s="42"/>
      <c r="M2722" s="42"/>
      <c r="N2722" s="42"/>
      <c r="O2722" s="42"/>
      <c r="R2722" s="37"/>
      <c r="S2722" s="37"/>
      <c r="T2722" s="91"/>
      <c r="U2722" s="91"/>
      <c r="V2722" s="41"/>
      <c r="W2722" s="37"/>
      <c r="X2722" s="37"/>
      <c r="Y2722" s="43"/>
      <c r="Z2722" s="37"/>
      <c r="AA2722" s="37"/>
      <c r="AD2722" s="37"/>
      <c r="AE2722" s="37"/>
      <c r="AF2722" s="37"/>
    </row>
    <row r="2723" spans="1:32" x14ac:dyDescent="0.25">
      <c r="A2723" s="37"/>
      <c r="B2723" s="37"/>
      <c r="C2723" s="37"/>
      <c r="F2723" s="38"/>
      <c r="G2723" s="38"/>
      <c r="H2723" s="38"/>
      <c r="I2723" s="37"/>
      <c r="J2723" s="38"/>
      <c r="K2723" s="38"/>
      <c r="L2723" s="42"/>
      <c r="M2723" s="42"/>
      <c r="N2723" s="42"/>
      <c r="O2723" s="42"/>
      <c r="R2723" s="37"/>
      <c r="S2723" s="37"/>
      <c r="T2723" s="91"/>
      <c r="U2723" s="91"/>
      <c r="V2723" s="41"/>
      <c r="W2723" s="37"/>
      <c r="X2723" s="37"/>
      <c r="Y2723" s="43"/>
      <c r="Z2723" s="37"/>
      <c r="AA2723" s="37"/>
      <c r="AD2723" s="37"/>
      <c r="AE2723" s="37"/>
      <c r="AF2723" s="37"/>
    </row>
    <row r="2724" spans="1:32" x14ac:dyDescent="0.25">
      <c r="A2724" s="37"/>
      <c r="B2724" s="37"/>
      <c r="C2724" s="37"/>
      <c r="F2724" s="38"/>
      <c r="G2724" s="38"/>
      <c r="H2724" s="38"/>
      <c r="I2724" s="37"/>
      <c r="J2724" s="38"/>
      <c r="K2724" s="38"/>
      <c r="L2724" s="42"/>
      <c r="M2724" s="42"/>
      <c r="N2724" s="42"/>
      <c r="O2724" s="42"/>
      <c r="R2724" s="37"/>
      <c r="S2724" s="37"/>
      <c r="T2724" s="91"/>
      <c r="U2724" s="91"/>
      <c r="V2724" s="41"/>
      <c r="W2724" s="37"/>
      <c r="X2724" s="37"/>
      <c r="Y2724" s="43"/>
      <c r="Z2724" s="37"/>
      <c r="AA2724" s="37"/>
      <c r="AD2724" s="37"/>
      <c r="AE2724" s="37"/>
      <c r="AF2724" s="37"/>
    </row>
    <row r="2725" spans="1:32" x14ac:dyDescent="0.25">
      <c r="A2725" s="37"/>
      <c r="B2725" s="37"/>
      <c r="C2725" s="37"/>
      <c r="F2725" s="38"/>
      <c r="G2725" s="38"/>
      <c r="H2725" s="38"/>
      <c r="I2725" s="37"/>
      <c r="J2725" s="38"/>
      <c r="K2725" s="38"/>
      <c r="L2725" s="42"/>
      <c r="M2725" s="42"/>
      <c r="N2725" s="42"/>
      <c r="O2725" s="42"/>
      <c r="R2725" s="37"/>
      <c r="S2725" s="37"/>
      <c r="T2725" s="91"/>
      <c r="U2725" s="91"/>
      <c r="V2725" s="41"/>
      <c r="W2725" s="37"/>
      <c r="X2725" s="37"/>
      <c r="Y2725" s="43"/>
      <c r="Z2725" s="37"/>
      <c r="AA2725" s="37"/>
      <c r="AD2725" s="37"/>
      <c r="AE2725" s="37"/>
      <c r="AF2725" s="37"/>
    </row>
    <row r="2726" spans="1:32" x14ac:dyDescent="0.25">
      <c r="A2726" s="37"/>
      <c r="B2726" s="37"/>
      <c r="C2726" s="37"/>
      <c r="F2726" s="38"/>
      <c r="G2726" s="38"/>
      <c r="H2726" s="38"/>
      <c r="I2726" s="37"/>
      <c r="J2726" s="38"/>
      <c r="K2726" s="38"/>
      <c r="L2726" s="42"/>
      <c r="M2726" s="42"/>
      <c r="N2726" s="42"/>
      <c r="O2726" s="42"/>
      <c r="R2726" s="37"/>
      <c r="S2726" s="37"/>
      <c r="T2726" s="91"/>
      <c r="U2726" s="91"/>
      <c r="V2726" s="41"/>
      <c r="W2726" s="37"/>
      <c r="X2726" s="37"/>
      <c r="Y2726" s="43"/>
      <c r="Z2726" s="37"/>
      <c r="AA2726" s="37"/>
      <c r="AD2726" s="37"/>
      <c r="AE2726" s="37"/>
      <c r="AF2726" s="37"/>
    </row>
    <row r="2727" spans="1:32" x14ac:dyDescent="0.25">
      <c r="A2727" s="37"/>
      <c r="B2727" s="37"/>
      <c r="C2727" s="37"/>
      <c r="F2727" s="38"/>
      <c r="G2727" s="38"/>
      <c r="H2727" s="38"/>
      <c r="I2727" s="37"/>
      <c r="J2727" s="38"/>
      <c r="K2727" s="38"/>
      <c r="L2727" s="42"/>
      <c r="M2727" s="42"/>
      <c r="N2727" s="42"/>
      <c r="O2727" s="42"/>
      <c r="R2727" s="37"/>
      <c r="S2727" s="37"/>
      <c r="T2727" s="91"/>
      <c r="U2727" s="91"/>
      <c r="V2727" s="41"/>
      <c r="W2727" s="37"/>
      <c r="X2727" s="37"/>
      <c r="Y2727" s="43"/>
      <c r="Z2727" s="37"/>
      <c r="AA2727" s="37"/>
      <c r="AD2727" s="37"/>
      <c r="AE2727" s="37"/>
      <c r="AF2727" s="37"/>
    </row>
    <row r="2728" spans="1:32" x14ac:dyDescent="0.25">
      <c r="A2728" s="37"/>
      <c r="B2728" s="37"/>
      <c r="C2728" s="37"/>
      <c r="F2728" s="38"/>
      <c r="G2728" s="38"/>
      <c r="H2728" s="38"/>
      <c r="I2728" s="37"/>
      <c r="J2728" s="38"/>
      <c r="K2728" s="38"/>
      <c r="L2728" s="42"/>
      <c r="M2728" s="42"/>
      <c r="N2728" s="42"/>
      <c r="O2728" s="42"/>
      <c r="R2728" s="37"/>
      <c r="S2728" s="37"/>
      <c r="T2728" s="91"/>
      <c r="U2728" s="91"/>
      <c r="V2728" s="41"/>
      <c r="W2728" s="37"/>
      <c r="X2728" s="37"/>
      <c r="Y2728" s="43"/>
      <c r="Z2728" s="37"/>
      <c r="AA2728" s="37"/>
      <c r="AD2728" s="37"/>
      <c r="AE2728" s="37"/>
      <c r="AF2728" s="37"/>
    </row>
    <row r="2729" spans="1:32" x14ac:dyDescent="0.25">
      <c r="A2729" s="37"/>
      <c r="B2729" s="37"/>
      <c r="C2729" s="37"/>
      <c r="F2729" s="38"/>
      <c r="G2729" s="38"/>
      <c r="H2729" s="38"/>
      <c r="I2729" s="37"/>
      <c r="J2729" s="38"/>
      <c r="K2729" s="38"/>
      <c r="L2729" s="42"/>
      <c r="M2729" s="42"/>
      <c r="N2729" s="42"/>
      <c r="O2729" s="42"/>
      <c r="R2729" s="37"/>
      <c r="S2729" s="37"/>
      <c r="T2729" s="91"/>
      <c r="U2729" s="91"/>
      <c r="V2729" s="41"/>
      <c r="W2729" s="37"/>
      <c r="X2729" s="37"/>
      <c r="Y2729" s="43"/>
      <c r="Z2729" s="37"/>
      <c r="AA2729" s="37"/>
      <c r="AD2729" s="37"/>
      <c r="AE2729" s="37"/>
      <c r="AF2729" s="37"/>
    </row>
    <row r="2730" spans="1:32" x14ac:dyDescent="0.25">
      <c r="A2730" s="37"/>
      <c r="B2730" s="37"/>
      <c r="C2730" s="37"/>
      <c r="F2730" s="38"/>
      <c r="G2730" s="38"/>
      <c r="H2730" s="38"/>
      <c r="I2730" s="37"/>
      <c r="J2730" s="38"/>
      <c r="K2730" s="38"/>
      <c r="L2730" s="42"/>
      <c r="M2730" s="42"/>
      <c r="N2730" s="42"/>
      <c r="O2730" s="42"/>
      <c r="R2730" s="37"/>
      <c r="S2730" s="37"/>
      <c r="T2730" s="91"/>
      <c r="U2730" s="91"/>
      <c r="V2730" s="41"/>
      <c r="W2730" s="37"/>
      <c r="X2730" s="37"/>
      <c r="Y2730" s="43"/>
      <c r="Z2730" s="37"/>
      <c r="AA2730" s="37"/>
      <c r="AD2730" s="37"/>
      <c r="AE2730" s="37"/>
      <c r="AF2730" s="37"/>
    </row>
    <row r="2731" spans="1:32" x14ac:dyDescent="0.25">
      <c r="A2731" s="37"/>
      <c r="B2731" s="37"/>
      <c r="C2731" s="37"/>
      <c r="F2731" s="38"/>
      <c r="G2731" s="38"/>
      <c r="H2731" s="38"/>
      <c r="I2731" s="37"/>
      <c r="J2731" s="38"/>
      <c r="K2731" s="38"/>
      <c r="L2731" s="42"/>
      <c r="M2731" s="42"/>
      <c r="N2731" s="42"/>
      <c r="O2731" s="42"/>
      <c r="R2731" s="37"/>
      <c r="S2731" s="37"/>
      <c r="T2731" s="91"/>
      <c r="U2731" s="91"/>
      <c r="V2731" s="41"/>
      <c r="W2731" s="37"/>
      <c r="X2731" s="37"/>
      <c r="Y2731" s="43"/>
      <c r="Z2731" s="37"/>
      <c r="AA2731" s="37"/>
      <c r="AD2731" s="37"/>
      <c r="AE2731" s="37"/>
      <c r="AF2731" s="37"/>
    </row>
    <row r="2732" spans="1:32" x14ac:dyDescent="0.25">
      <c r="A2732" s="37"/>
      <c r="B2732" s="37"/>
      <c r="C2732" s="37"/>
      <c r="F2732" s="38"/>
      <c r="G2732" s="38"/>
      <c r="H2732" s="38"/>
      <c r="I2732" s="37"/>
      <c r="J2732" s="38"/>
      <c r="K2732" s="38"/>
      <c r="L2732" s="42"/>
      <c r="M2732" s="42"/>
      <c r="N2732" s="42"/>
      <c r="O2732" s="42"/>
      <c r="R2732" s="37"/>
      <c r="S2732" s="37"/>
      <c r="T2732" s="91"/>
      <c r="U2732" s="91"/>
      <c r="V2732" s="41"/>
      <c r="W2732" s="37"/>
      <c r="X2732" s="37"/>
      <c r="Y2732" s="43"/>
      <c r="Z2732" s="37"/>
      <c r="AA2732" s="37"/>
      <c r="AD2732" s="37"/>
      <c r="AE2732" s="37"/>
      <c r="AF2732" s="37"/>
    </row>
    <row r="2733" spans="1:32" x14ac:dyDescent="0.25">
      <c r="A2733" s="37"/>
      <c r="B2733" s="37"/>
      <c r="C2733" s="37"/>
      <c r="F2733" s="38"/>
      <c r="G2733" s="38"/>
      <c r="H2733" s="38"/>
      <c r="I2733" s="37"/>
      <c r="J2733" s="38"/>
      <c r="K2733" s="38"/>
      <c r="L2733" s="42"/>
      <c r="M2733" s="42"/>
      <c r="N2733" s="42"/>
      <c r="O2733" s="42"/>
      <c r="R2733" s="37"/>
      <c r="S2733" s="37"/>
      <c r="T2733" s="91"/>
      <c r="U2733" s="91"/>
      <c r="V2733" s="41"/>
      <c r="W2733" s="37"/>
      <c r="X2733" s="37"/>
      <c r="Y2733" s="43"/>
      <c r="Z2733" s="37"/>
      <c r="AA2733" s="37"/>
      <c r="AD2733" s="37"/>
      <c r="AE2733" s="37"/>
      <c r="AF2733" s="37"/>
    </row>
    <row r="2734" spans="1:32" x14ac:dyDescent="0.25">
      <c r="A2734" s="37"/>
      <c r="B2734" s="37"/>
      <c r="C2734" s="37"/>
      <c r="F2734" s="38"/>
      <c r="G2734" s="38"/>
      <c r="H2734" s="38"/>
      <c r="I2734" s="37"/>
      <c r="J2734" s="38"/>
      <c r="K2734" s="38"/>
      <c r="L2734" s="42"/>
      <c r="M2734" s="42"/>
      <c r="N2734" s="42"/>
      <c r="O2734" s="42"/>
      <c r="R2734" s="37"/>
      <c r="S2734" s="37"/>
      <c r="T2734" s="91"/>
      <c r="U2734" s="91"/>
      <c r="V2734" s="41"/>
      <c r="W2734" s="37"/>
      <c r="X2734" s="37"/>
      <c r="Y2734" s="43"/>
      <c r="Z2734" s="37"/>
      <c r="AA2734" s="37"/>
      <c r="AD2734" s="37"/>
      <c r="AE2734" s="37"/>
      <c r="AF2734" s="37"/>
    </row>
    <row r="2735" spans="1:32" x14ac:dyDescent="0.25">
      <c r="A2735" s="37"/>
      <c r="B2735" s="37"/>
      <c r="C2735" s="37"/>
      <c r="F2735" s="38"/>
      <c r="G2735" s="38"/>
      <c r="H2735" s="38"/>
      <c r="I2735" s="37"/>
      <c r="J2735" s="38"/>
      <c r="K2735" s="38"/>
      <c r="L2735" s="42"/>
      <c r="M2735" s="42"/>
      <c r="N2735" s="42"/>
      <c r="O2735" s="42"/>
      <c r="R2735" s="37"/>
      <c r="S2735" s="37"/>
      <c r="T2735" s="91"/>
      <c r="U2735" s="91"/>
      <c r="V2735" s="41"/>
      <c r="W2735" s="37"/>
      <c r="X2735" s="37"/>
      <c r="Y2735" s="43"/>
      <c r="Z2735" s="37"/>
      <c r="AA2735" s="37"/>
      <c r="AD2735" s="37"/>
      <c r="AE2735" s="37"/>
      <c r="AF2735" s="37"/>
    </row>
    <row r="2736" spans="1:32" x14ac:dyDescent="0.25">
      <c r="A2736" s="37"/>
      <c r="B2736" s="37"/>
      <c r="C2736" s="37"/>
      <c r="F2736" s="38"/>
      <c r="G2736" s="38"/>
      <c r="H2736" s="38"/>
      <c r="I2736" s="37"/>
      <c r="J2736" s="38"/>
      <c r="K2736" s="38"/>
      <c r="L2736" s="42"/>
      <c r="M2736" s="42"/>
      <c r="N2736" s="42"/>
      <c r="O2736" s="42"/>
      <c r="R2736" s="37"/>
      <c r="S2736" s="37"/>
      <c r="T2736" s="91"/>
      <c r="U2736" s="91"/>
      <c r="V2736" s="41"/>
      <c r="W2736" s="37"/>
      <c r="X2736" s="37"/>
      <c r="Y2736" s="43"/>
      <c r="Z2736" s="37"/>
      <c r="AA2736" s="37"/>
      <c r="AD2736" s="37"/>
      <c r="AE2736" s="37"/>
      <c r="AF2736" s="37"/>
    </row>
    <row r="2737" spans="1:32" x14ac:dyDescent="0.25">
      <c r="A2737" s="37"/>
      <c r="B2737" s="37"/>
      <c r="C2737" s="37"/>
      <c r="F2737" s="38"/>
      <c r="G2737" s="38"/>
      <c r="H2737" s="38"/>
      <c r="I2737" s="37"/>
      <c r="J2737" s="38"/>
      <c r="K2737" s="38"/>
      <c r="L2737" s="42"/>
      <c r="M2737" s="42"/>
      <c r="N2737" s="42"/>
      <c r="O2737" s="42"/>
      <c r="R2737" s="37"/>
      <c r="S2737" s="37"/>
      <c r="T2737" s="91"/>
      <c r="U2737" s="91"/>
      <c r="V2737" s="41"/>
      <c r="W2737" s="37"/>
      <c r="X2737" s="37"/>
      <c r="Y2737" s="43"/>
      <c r="Z2737" s="37"/>
      <c r="AA2737" s="37"/>
      <c r="AD2737" s="37"/>
      <c r="AE2737" s="37"/>
      <c r="AF2737" s="37"/>
    </row>
    <row r="2738" spans="1:32" x14ac:dyDescent="0.25">
      <c r="A2738" s="37"/>
      <c r="B2738" s="37"/>
      <c r="C2738" s="37"/>
      <c r="F2738" s="38"/>
      <c r="G2738" s="38"/>
      <c r="H2738" s="38"/>
      <c r="I2738" s="37"/>
      <c r="J2738" s="38"/>
      <c r="K2738" s="38"/>
      <c r="L2738" s="42"/>
      <c r="M2738" s="42"/>
      <c r="N2738" s="42"/>
      <c r="O2738" s="42"/>
      <c r="R2738" s="37"/>
      <c r="S2738" s="37"/>
      <c r="T2738" s="91"/>
      <c r="U2738" s="91"/>
      <c r="V2738" s="41"/>
      <c r="W2738" s="37"/>
      <c r="X2738" s="37"/>
      <c r="Y2738" s="43"/>
      <c r="Z2738" s="37"/>
      <c r="AA2738" s="37"/>
      <c r="AD2738" s="37"/>
      <c r="AE2738" s="37"/>
      <c r="AF2738" s="37"/>
    </row>
    <row r="2739" spans="1:32" x14ac:dyDescent="0.25">
      <c r="A2739" s="37"/>
      <c r="B2739" s="37"/>
      <c r="C2739" s="37"/>
      <c r="F2739" s="38"/>
      <c r="G2739" s="38"/>
      <c r="H2739" s="38"/>
      <c r="I2739" s="37"/>
      <c r="J2739" s="38"/>
      <c r="K2739" s="38"/>
      <c r="L2739" s="42"/>
      <c r="M2739" s="42"/>
      <c r="N2739" s="42"/>
      <c r="O2739" s="42"/>
      <c r="R2739" s="37"/>
      <c r="S2739" s="37"/>
      <c r="T2739" s="91"/>
      <c r="U2739" s="91"/>
      <c r="V2739" s="41"/>
      <c r="W2739" s="37"/>
      <c r="X2739" s="37"/>
      <c r="Y2739" s="43"/>
      <c r="Z2739" s="37"/>
      <c r="AA2739" s="37"/>
      <c r="AD2739" s="37"/>
      <c r="AE2739" s="37"/>
      <c r="AF2739" s="37"/>
    </row>
    <row r="2740" spans="1:32" x14ac:dyDescent="0.25">
      <c r="A2740" s="37"/>
      <c r="B2740" s="37"/>
      <c r="C2740" s="37"/>
      <c r="F2740" s="38"/>
      <c r="G2740" s="38"/>
      <c r="H2740" s="38"/>
      <c r="I2740" s="37"/>
      <c r="J2740" s="38"/>
      <c r="K2740" s="38"/>
      <c r="L2740" s="42"/>
      <c r="M2740" s="42"/>
      <c r="N2740" s="42"/>
      <c r="O2740" s="42"/>
      <c r="R2740" s="37"/>
      <c r="S2740" s="37"/>
      <c r="T2740" s="91"/>
      <c r="U2740" s="91"/>
      <c r="V2740" s="41"/>
      <c r="W2740" s="37"/>
      <c r="X2740" s="37"/>
      <c r="Y2740" s="43"/>
      <c r="Z2740" s="37"/>
      <c r="AA2740" s="37"/>
      <c r="AD2740" s="37"/>
      <c r="AE2740" s="37"/>
      <c r="AF2740" s="37"/>
    </row>
    <row r="2741" spans="1:32" x14ac:dyDescent="0.25">
      <c r="A2741" s="37"/>
      <c r="B2741" s="37"/>
      <c r="C2741" s="37"/>
      <c r="F2741" s="38"/>
      <c r="G2741" s="38"/>
      <c r="H2741" s="38"/>
      <c r="I2741" s="37"/>
      <c r="J2741" s="38"/>
      <c r="K2741" s="38"/>
      <c r="L2741" s="42"/>
      <c r="M2741" s="42"/>
      <c r="N2741" s="42"/>
      <c r="O2741" s="42"/>
      <c r="R2741" s="37"/>
      <c r="S2741" s="37"/>
      <c r="T2741" s="91"/>
      <c r="U2741" s="91"/>
      <c r="V2741" s="41"/>
      <c r="W2741" s="37"/>
      <c r="X2741" s="37"/>
      <c r="Y2741" s="43"/>
      <c r="Z2741" s="37"/>
      <c r="AA2741" s="37"/>
      <c r="AD2741" s="37"/>
      <c r="AE2741" s="37"/>
      <c r="AF2741" s="37"/>
    </row>
    <row r="2742" spans="1:32" x14ac:dyDescent="0.25">
      <c r="A2742" s="37"/>
      <c r="B2742" s="37"/>
      <c r="C2742" s="37"/>
      <c r="F2742" s="38"/>
      <c r="G2742" s="38"/>
      <c r="H2742" s="38"/>
      <c r="I2742" s="37"/>
      <c r="J2742" s="38"/>
      <c r="K2742" s="38"/>
      <c r="L2742" s="42"/>
      <c r="M2742" s="42"/>
      <c r="N2742" s="42"/>
      <c r="O2742" s="42"/>
      <c r="R2742" s="37"/>
      <c r="S2742" s="37"/>
      <c r="T2742" s="91"/>
      <c r="U2742" s="91"/>
      <c r="V2742" s="41"/>
      <c r="W2742" s="37"/>
      <c r="X2742" s="37"/>
      <c r="Y2742" s="43"/>
      <c r="Z2742" s="37"/>
      <c r="AA2742" s="37"/>
      <c r="AD2742" s="37"/>
      <c r="AE2742" s="37"/>
      <c r="AF2742" s="37"/>
    </row>
    <row r="2743" spans="1:32" x14ac:dyDescent="0.25">
      <c r="A2743" s="37"/>
      <c r="B2743" s="37"/>
      <c r="C2743" s="37"/>
      <c r="F2743" s="38"/>
      <c r="G2743" s="38"/>
      <c r="H2743" s="38"/>
      <c r="I2743" s="37"/>
      <c r="J2743" s="38"/>
      <c r="K2743" s="38"/>
      <c r="L2743" s="42"/>
      <c r="M2743" s="42"/>
      <c r="N2743" s="42"/>
      <c r="O2743" s="42"/>
      <c r="R2743" s="37"/>
      <c r="S2743" s="37"/>
      <c r="T2743" s="91"/>
      <c r="U2743" s="91"/>
      <c r="V2743" s="41"/>
      <c r="W2743" s="37"/>
      <c r="X2743" s="37"/>
      <c r="Y2743" s="43"/>
      <c r="Z2743" s="37"/>
      <c r="AA2743" s="37"/>
      <c r="AD2743" s="37"/>
      <c r="AE2743" s="37"/>
      <c r="AF2743" s="37"/>
    </row>
    <row r="2744" spans="1:32" x14ac:dyDescent="0.25">
      <c r="A2744" s="37"/>
      <c r="B2744" s="37"/>
      <c r="C2744" s="37"/>
      <c r="F2744" s="38"/>
      <c r="G2744" s="38"/>
      <c r="H2744" s="38"/>
      <c r="I2744" s="37"/>
      <c r="J2744" s="38"/>
      <c r="K2744" s="38"/>
      <c r="L2744" s="42"/>
      <c r="M2744" s="42"/>
      <c r="N2744" s="42"/>
      <c r="O2744" s="42"/>
      <c r="R2744" s="37"/>
      <c r="S2744" s="37"/>
      <c r="T2744" s="91"/>
      <c r="U2744" s="91"/>
      <c r="V2744" s="41"/>
      <c r="W2744" s="37"/>
      <c r="X2744" s="37"/>
      <c r="Y2744" s="43"/>
      <c r="Z2744" s="37"/>
      <c r="AA2744" s="37"/>
      <c r="AD2744" s="37"/>
      <c r="AE2744" s="37"/>
      <c r="AF2744" s="37"/>
    </row>
    <row r="2745" spans="1:32" x14ac:dyDescent="0.25">
      <c r="A2745" s="37"/>
      <c r="B2745" s="37"/>
      <c r="C2745" s="37"/>
      <c r="F2745" s="38"/>
      <c r="G2745" s="38"/>
      <c r="H2745" s="38"/>
      <c r="I2745" s="37"/>
      <c r="J2745" s="38"/>
      <c r="K2745" s="38"/>
      <c r="L2745" s="42"/>
      <c r="M2745" s="42"/>
      <c r="N2745" s="42"/>
      <c r="O2745" s="42"/>
      <c r="R2745" s="37"/>
      <c r="S2745" s="37"/>
      <c r="T2745" s="91"/>
      <c r="U2745" s="91"/>
      <c r="V2745" s="41"/>
      <c r="W2745" s="37"/>
      <c r="X2745" s="37"/>
      <c r="Y2745" s="43"/>
      <c r="Z2745" s="37"/>
      <c r="AA2745" s="37"/>
      <c r="AD2745" s="37"/>
      <c r="AE2745" s="37"/>
      <c r="AF2745" s="37"/>
    </row>
    <row r="2746" spans="1:32" x14ac:dyDescent="0.25">
      <c r="A2746" s="37"/>
      <c r="B2746" s="37"/>
      <c r="C2746" s="37"/>
      <c r="F2746" s="38"/>
      <c r="G2746" s="38"/>
      <c r="H2746" s="38"/>
      <c r="I2746" s="37"/>
      <c r="J2746" s="38"/>
      <c r="K2746" s="38"/>
      <c r="L2746" s="42"/>
      <c r="M2746" s="42"/>
      <c r="N2746" s="42"/>
      <c r="O2746" s="42"/>
      <c r="R2746" s="37"/>
      <c r="S2746" s="37"/>
      <c r="T2746" s="91"/>
      <c r="U2746" s="91"/>
      <c r="V2746" s="41"/>
      <c r="W2746" s="37"/>
      <c r="X2746" s="37"/>
      <c r="Y2746" s="43"/>
      <c r="Z2746" s="37"/>
      <c r="AA2746" s="37"/>
      <c r="AD2746" s="37"/>
      <c r="AE2746" s="37"/>
      <c r="AF2746" s="37"/>
    </row>
    <row r="2747" spans="1:32" x14ac:dyDescent="0.25">
      <c r="A2747" s="37"/>
      <c r="B2747" s="37"/>
      <c r="C2747" s="37"/>
      <c r="F2747" s="38"/>
      <c r="G2747" s="38"/>
      <c r="H2747" s="38"/>
      <c r="I2747" s="37"/>
      <c r="J2747" s="38"/>
      <c r="K2747" s="38"/>
      <c r="L2747" s="42"/>
      <c r="M2747" s="42"/>
      <c r="N2747" s="42"/>
      <c r="O2747" s="42"/>
      <c r="R2747" s="37"/>
      <c r="S2747" s="37"/>
      <c r="T2747" s="91"/>
      <c r="U2747" s="91"/>
      <c r="V2747" s="41"/>
      <c r="W2747" s="37"/>
      <c r="X2747" s="37"/>
      <c r="Y2747" s="43"/>
      <c r="Z2747" s="37"/>
      <c r="AA2747" s="37"/>
      <c r="AD2747" s="37"/>
      <c r="AE2747" s="37"/>
      <c r="AF2747" s="37"/>
    </row>
    <row r="2748" spans="1:32" x14ac:dyDescent="0.25">
      <c r="A2748" s="37"/>
      <c r="B2748" s="37"/>
      <c r="C2748" s="37"/>
      <c r="F2748" s="38"/>
      <c r="G2748" s="38"/>
      <c r="H2748" s="38"/>
      <c r="I2748" s="37"/>
      <c r="J2748" s="38"/>
      <c r="K2748" s="38"/>
      <c r="L2748" s="42"/>
      <c r="M2748" s="42"/>
      <c r="N2748" s="42"/>
      <c r="O2748" s="42"/>
      <c r="R2748" s="37"/>
      <c r="S2748" s="37"/>
      <c r="T2748" s="91"/>
      <c r="U2748" s="91"/>
      <c r="V2748" s="41"/>
      <c r="W2748" s="37"/>
      <c r="X2748" s="37"/>
      <c r="Y2748" s="43"/>
      <c r="Z2748" s="37"/>
      <c r="AA2748" s="37"/>
      <c r="AD2748" s="37"/>
      <c r="AE2748" s="37"/>
      <c r="AF2748" s="37"/>
    </row>
    <row r="2749" spans="1:32" x14ac:dyDescent="0.25">
      <c r="A2749" s="37"/>
      <c r="B2749" s="37"/>
      <c r="C2749" s="37"/>
      <c r="F2749" s="38"/>
      <c r="G2749" s="38"/>
      <c r="H2749" s="38"/>
      <c r="I2749" s="37"/>
      <c r="J2749" s="38"/>
      <c r="K2749" s="38"/>
      <c r="L2749" s="42"/>
      <c r="M2749" s="42"/>
      <c r="N2749" s="42"/>
      <c r="O2749" s="42"/>
      <c r="R2749" s="37"/>
      <c r="S2749" s="37"/>
      <c r="T2749" s="91"/>
      <c r="U2749" s="91"/>
      <c r="V2749" s="41"/>
      <c r="W2749" s="37"/>
      <c r="X2749" s="37"/>
      <c r="Y2749" s="43"/>
      <c r="Z2749" s="37"/>
      <c r="AA2749" s="37"/>
      <c r="AD2749" s="37"/>
      <c r="AE2749" s="37"/>
      <c r="AF2749" s="37"/>
    </row>
    <row r="2750" spans="1:32" x14ac:dyDescent="0.25">
      <c r="A2750" s="37"/>
      <c r="B2750" s="37"/>
      <c r="C2750" s="37"/>
      <c r="F2750" s="38"/>
      <c r="G2750" s="38"/>
      <c r="H2750" s="38"/>
      <c r="I2750" s="37"/>
      <c r="J2750" s="38"/>
      <c r="K2750" s="38"/>
      <c r="L2750" s="42"/>
      <c r="M2750" s="42"/>
      <c r="N2750" s="42"/>
      <c r="O2750" s="42"/>
      <c r="R2750" s="37"/>
      <c r="S2750" s="37"/>
      <c r="T2750" s="91"/>
      <c r="U2750" s="91"/>
      <c r="V2750" s="41"/>
      <c r="W2750" s="37"/>
      <c r="X2750" s="37"/>
      <c r="Y2750" s="43"/>
      <c r="Z2750" s="37"/>
      <c r="AA2750" s="37"/>
      <c r="AD2750" s="37"/>
      <c r="AE2750" s="37"/>
      <c r="AF2750" s="37"/>
    </row>
    <row r="2751" spans="1:32" x14ac:dyDescent="0.25">
      <c r="A2751" s="37"/>
      <c r="B2751" s="37"/>
      <c r="C2751" s="37"/>
      <c r="F2751" s="38"/>
      <c r="G2751" s="38"/>
      <c r="H2751" s="38"/>
      <c r="I2751" s="37"/>
      <c r="J2751" s="38"/>
      <c r="K2751" s="38"/>
      <c r="L2751" s="42"/>
      <c r="M2751" s="42"/>
      <c r="N2751" s="42"/>
      <c r="O2751" s="42"/>
      <c r="R2751" s="37"/>
      <c r="S2751" s="37"/>
      <c r="T2751" s="91"/>
      <c r="U2751" s="91"/>
      <c r="V2751" s="41"/>
      <c r="W2751" s="37"/>
      <c r="X2751" s="37"/>
      <c r="Y2751" s="43"/>
      <c r="Z2751" s="37"/>
      <c r="AA2751" s="37"/>
      <c r="AD2751" s="37"/>
      <c r="AE2751" s="37"/>
      <c r="AF2751" s="37"/>
    </row>
    <row r="2752" spans="1:32" x14ac:dyDescent="0.25">
      <c r="A2752" s="37"/>
      <c r="B2752" s="37"/>
      <c r="C2752" s="37"/>
      <c r="F2752" s="38"/>
      <c r="G2752" s="38"/>
      <c r="H2752" s="38"/>
      <c r="I2752" s="37"/>
      <c r="J2752" s="38"/>
      <c r="K2752" s="38"/>
      <c r="L2752" s="42"/>
      <c r="M2752" s="42"/>
      <c r="N2752" s="42"/>
      <c r="O2752" s="42"/>
      <c r="R2752" s="37"/>
      <c r="S2752" s="37"/>
      <c r="T2752" s="91"/>
      <c r="U2752" s="91"/>
      <c r="V2752" s="41"/>
      <c r="W2752" s="37"/>
      <c r="X2752" s="37"/>
      <c r="Y2752" s="43"/>
      <c r="Z2752" s="37"/>
      <c r="AA2752" s="37"/>
      <c r="AD2752" s="37"/>
      <c r="AE2752" s="37"/>
      <c r="AF2752" s="37"/>
    </row>
    <row r="2753" spans="1:32" x14ac:dyDescent="0.25">
      <c r="A2753" s="37"/>
      <c r="B2753" s="37"/>
      <c r="C2753" s="37"/>
      <c r="F2753" s="38"/>
      <c r="G2753" s="38"/>
      <c r="H2753" s="38"/>
      <c r="I2753" s="37"/>
      <c r="J2753" s="38"/>
      <c r="K2753" s="38"/>
      <c r="L2753" s="42"/>
      <c r="M2753" s="42"/>
      <c r="N2753" s="42"/>
      <c r="O2753" s="42"/>
      <c r="R2753" s="37"/>
      <c r="S2753" s="37"/>
      <c r="T2753" s="91"/>
      <c r="U2753" s="91"/>
      <c r="V2753" s="41"/>
      <c r="W2753" s="37"/>
      <c r="X2753" s="37"/>
      <c r="Y2753" s="43"/>
      <c r="Z2753" s="37"/>
      <c r="AA2753" s="37"/>
      <c r="AD2753" s="37"/>
      <c r="AE2753" s="37"/>
      <c r="AF2753" s="37"/>
    </row>
    <row r="2754" spans="1:32" x14ac:dyDescent="0.25">
      <c r="A2754" s="37"/>
      <c r="B2754" s="37"/>
      <c r="C2754" s="37"/>
      <c r="F2754" s="38"/>
      <c r="G2754" s="38"/>
      <c r="H2754" s="38"/>
      <c r="I2754" s="37"/>
      <c r="J2754" s="38"/>
      <c r="K2754" s="38"/>
      <c r="L2754" s="42"/>
      <c r="M2754" s="42"/>
      <c r="N2754" s="42"/>
      <c r="O2754" s="42"/>
      <c r="R2754" s="37"/>
      <c r="S2754" s="37"/>
      <c r="T2754" s="91"/>
      <c r="U2754" s="91"/>
      <c r="V2754" s="41"/>
      <c r="W2754" s="37"/>
      <c r="X2754" s="37"/>
      <c r="Y2754" s="43"/>
      <c r="Z2754" s="37"/>
      <c r="AA2754" s="37"/>
      <c r="AD2754" s="37"/>
      <c r="AE2754" s="37"/>
      <c r="AF2754" s="37"/>
    </row>
    <row r="2755" spans="1:32" x14ac:dyDescent="0.25">
      <c r="A2755" s="37"/>
      <c r="B2755" s="37"/>
      <c r="C2755" s="37"/>
      <c r="F2755" s="38"/>
      <c r="G2755" s="38"/>
      <c r="H2755" s="38"/>
      <c r="I2755" s="37"/>
      <c r="J2755" s="38"/>
      <c r="K2755" s="38"/>
      <c r="L2755" s="42"/>
      <c r="M2755" s="42"/>
      <c r="N2755" s="42"/>
      <c r="O2755" s="42"/>
      <c r="R2755" s="37"/>
      <c r="S2755" s="37"/>
      <c r="T2755" s="91"/>
      <c r="U2755" s="91"/>
      <c r="V2755" s="41"/>
      <c r="W2755" s="37"/>
      <c r="X2755" s="37"/>
      <c r="Y2755" s="43"/>
      <c r="Z2755" s="37"/>
      <c r="AA2755" s="37"/>
      <c r="AD2755" s="37"/>
      <c r="AE2755" s="37"/>
      <c r="AF2755" s="37"/>
    </row>
    <row r="2756" spans="1:32" x14ac:dyDescent="0.25">
      <c r="A2756" s="37"/>
      <c r="B2756" s="37"/>
      <c r="C2756" s="37"/>
      <c r="F2756" s="38"/>
      <c r="G2756" s="38"/>
      <c r="H2756" s="38"/>
      <c r="I2756" s="37"/>
      <c r="J2756" s="38"/>
      <c r="K2756" s="38"/>
      <c r="L2756" s="42"/>
      <c r="M2756" s="42"/>
      <c r="N2756" s="42"/>
      <c r="O2756" s="42"/>
      <c r="R2756" s="37"/>
      <c r="S2756" s="37"/>
      <c r="T2756" s="91"/>
      <c r="U2756" s="91"/>
      <c r="V2756" s="41"/>
      <c r="W2756" s="37"/>
      <c r="X2756" s="37"/>
      <c r="Y2756" s="43"/>
      <c r="Z2756" s="37"/>
      <c r="AA2756" s="37"/>
      <c r="AD2756" s="37"/>
      <c r="AE2756" s="37"/>
      <c r="AF2756" s="37"/>
    </row>
    <row r="2757" spans="1:32" x14ac:dyDescent="0.25">
      <c r="A2757" s="37"/>
      <c r="B2757" s="37"/>
      <c r="C2757" s="37"/>
      <c r="F2757" s="38"/>
      <c r="G2757" s="38"/>
      <c r="H2757" s="38"/>
      <c r="I2757" s="37"/>
      <c r="J2757" s="38"/>
      <c r="K2757" s="38"/>
      <c r="L2757" s="42"/>
      <c r="M2757" s="42"/>
      <c r="N2757" s="42"/>
      <c r="O2757" s="42"/>
      <c r="R2757" s="37"/>
      <c r="S2757" s="37"/>
      <c r="T2757" s="91"/>
      <c r="U2757" s="91"/>
      <c r="V2757" s="41"/>
      <c r="W2757" s="37"/>
      <c r="X2757" s="37"/>
      <c r="Y2757" s="43"/>
      <c r="Z2757" s="37"/>
      <c r="AA2757" s="37"/>
      <c r="AD2757" s="37"/>
      <c r="AE2757" s="37"/>
      <c r="AF2757" s="37"/>
    </row>
    <row r="2758" spans="1:32" x14ac:dyDescent="0.25">
      <c r="A2758" s="37"/>
      <c r="B2758" s="37"/>
      <c r="C2758" s="37"/>
      <c r="F2758" s="38"/>
      <c r="G2758" s="38"/>
      <c r="H2758" s="38"/>
      <c r="I2758" s="37"/>
      <c r="J2758" s="38"/>
      <c r="K2758" s="38"/>
      <c r="L2758" s="42"/>
      <c r="M2758" s="42"/>
      <c r="N2758" s="42"/>
      <c r="O2758" s="42"/>
      <c r="R2758" s="37"/>
      <c r="S2758" s="37"/>
      <c r="T2758" s="91"/>
      <c r="U2758" s="91"/>
      <c r="V2758" s="41"/>
      <c r="W2758" s="37"/>
      <c r="X2758" s="37"/>
      <c r="Y2758" s="43"/>
      <c r="Z2758" s="37"/>
      <c r="AA2758" s="37"/>
      <c r="AD2758" s="37"/>
      <c r="AE2758" s="37"/>
      <c r="AF2758" s="37"/>
    </row>
    <row r="2759" spans="1:32" x14ac:dyDescent="0.25">
      <c r="A2759" s="37"/>
      <c r="B2759" s="37"/>
      <c r="C2759" s="37"/>
      <c r="F2759" s="38"/>
      <c r="G2759" s="38"/>
      <c r="H2759" s="38"/>
      <c r="I2759" s="37"/>
      <c r="J2759" s="38"/>
      <c r="K2759" s="38"/>
      <c r="L2759" s="42"/>
      <c r="M2759" s="42"/>
      <c r="N2759" s="42"/>
      <c r="O2759" s="42"/>
      <c r="R2759" s="37"/>
      <c r="S2759" s="37"/>
      <c r="T2759" s="91"/>
      <c r="U2759" s="91"/>
      <c r="V2759" s="41"/>
      <c r="W2759" s="37"/>
      <c r="X2759" s="37"/>
      <c r="Y2759" s="43"/>
      <c r="Z2759" s="37"/>
      <c r="AA2759" s="37"/>
      <c r="AD2759" s="37"/>
      <c r="AE2759" s="37"/>
      <c r="AF2759" s="37"/>
    </row>
    <row r="2760" spans="1:32" x14ac:dyDescent="0.25">
      <c r="A2760" s="37"/>
      <c r="B2760" s="37"/>
      <c r="C2760" s="37"/>
      <c r="F2760" s="38"/>
      <c r="G2760" s="38"/>
      <c r="H2760" s="38"/>
      <c r="I2760" s="37"/>
      <c r="J2760" s="38"/>
      <c r="K2760" s="38"/>
      <c r="L2760" s="42"/>
      <c r="M2760" s="42"/>
      <c r="N2760" s="42"/>
      <c r="O2760" s="42"/>
      <c r="R2760" s="37"/>
      <c r="S2760" s="37"/>
      <c r="T2760" s="91"/>
      <c r="U2760" s="91"/>
      <c r="V2760" s="41"/>
      <c r="W2760" s="37"/>
      <c r="X2760" s="37"/>
      <c r="Y2760" s="43"/>
      <c r="Z2760" s="37"/>
      <c r="AA2760" s="37"/>
      <c r="AD2760" s="37"/>
      <c r="AE2760" s="37"/>
      <c r="AF2760" s="37"/>
    </row>
    <row r="2761" spans="1:32" x14ac:dyDescent="0.25">
      <c r="A2761" s="37"/>
      <c r="B2761" s="37"/>
      <c r="C2761" s="37"/>
      <c r="F2761" s="38"/>
      <c r="G2761" s="38"/>
      <c r="H2761" s="38"/>
      <c r="I2761" s="37"/>
      <c r="J2761" s="38"/>
      <c r="K2761" s="38"/>
      <c r="L2761" s="42"/>
      <c r="M2761" s="42"/>
      <c r="N2761" s="42"/>
      <c r="O2761" s="42"/>
      <c r="R2761" s="37"/>
      <c r="S2761" s="37"/>
      <c r="T2761" s="91"/>
      <c r="U2761" s="91"/>
      <c r="V2761" s="41"/>
      <c r="W2761" s="37"/>
      <c r="X2761" s="37"/>
      <c r="Y2761" s="43"/>
      <c r="Z2761" s="37"/>
      <c r="AA2761" s="37"/>
      <c r="AD2761" s="37"/>
      <c r="AE2761" s="37"/>
      <c r="AF2761" s="37"/>
    </row>
    <row r="2762" spans="1:32" x14ac:dyDescent="0.25">
      <c r="A2762" s="37"/>
      <c r="B2762" s="37"/>
      <c r="C2762" s="37"/>
      <c r="F2762" s="38"/>
      <c r="G2762" s="38"/>
      <c r="H2762" s="38"/>
      <c r="I2762" s="37"/>
      <c r="J2762" s="38"/>
      <c r="K2762" s="38"/>
      <c r="L2762" s="42"/>
      <c r="M2762" s="42"/>
      <c r="N2762" s="42"/>
      <c r="O2762" s="42"/>
      <c r="R2762" s="37"/>
      <c r="S2762" s="37"/>
      <c r="T2762" s="91"/>
      <c r="U2762" s="91"/>
      <c r="V2762" s="41"/>
      <c r="W2762" s="37"/>
      <c r="X2762" s="37"/>
      <c r="Y2762" s="43"/>
      <c r="Z2762" s="37"/>
      <c r="AA2762" s="37"/>
      <c r="AD2762" s="37"/>
      <c r="AE2762" s="37"/>
      <c r="AF2762" s="37"/>
    </row>
    <row r="2763" spans="1:32" x14ac:dyDescent="0.25">
      <c r="A2763" s="37"/>
      <c r="B2763" s="37"/>
      <c r="C2763" s="37"/>
      <c r="F2763" s="38"/>
      <c r="G2763" s="38"/>
      <c r="H2763" s="38"/>
      <c r="I2763" s="37"/>
      <c r="J2763" s="38"/>
      <c r="K2763" s="38"/>
      <c r="L2763" s="42"/>
      <c r="M2763" s="42"/>
      <c r="N2763" s="42"/>
      <c r="O2763" s="42"/>
      <c r="R2763" s="37"/>
      <c r="S2763" s="37"/>
      <c r="T2763" s="91"/>
      <c r="U2763" s="91"/>
      <c r="V2763" s="41"/>
      <c r="W2763" s="37"/>
      <c r="X2763" s="37"/>
      <c r="Y2763" s="43"/>
      <c r="Z2763" s="37"/>
      <c r="AA2763" s="37"/>
      <c r="AD2763" s="37"/>
      <c r="AE2763" s="37"/>
      <c r="AF2763" s="37"/>
    </row>
    <row r="2764" spans="1:32" x14ac:dyDescent="0.25">
      <c r="A2764" s="37"/>
      <c r="B2764" s="37"/>
      <c r="C2764" s="37"/>
      <c r="F2764" s="38"/>
      <c r="G2764" s="38"/>
      <c r="H2764" s="38"/>
      <c r="I2764" s="37"/>
      <c r="J2764" s="38"/>
      <c r="K2764" s="38"/>
      <c r="L2764" s="42"/>
      <c r="M2764" s="42"/>
      <c r="N2764" s="42"/>
      <c r="O2764" s="42"/>
      <c r="R2764" s="37"/>
      <c r="S2764" s="37"/>
      <c r="T2764" s="91"/>
      <c r="U2764" s="91"/>
      <c r="V2764" s="41"/>
      <c r="W2764" s="37"/>
      <c r="X2764" s="37"/>
      <c r="Y2764" s="43"/>
      <c r="Z2764" s="37"/>
      <c r="AA2764" s="37"/>
      <c r="AD2764" s="37"/>
      <c r="AE2764" s="37"/>
      <c r="AF2764" s="37"/>
    </row>
    <row r="2765" spans="1:32" x14ac:dyDescent="0.25">
      <c r="A2765" s="37"/>
      <c r="B2765" s="37"/>
      <c r="C2765" s="37"/>
      <c r="F2765" s="38"/>
      <c r="G2765" s="38"/>
      <c r="H2765" s="38"/>
      <c r="I2765" s="37"/>
      <c r="J2765" s="38"/>
      <c r="K2765" s="38"/>
      <c r="L2765" s="42"/>
      <c r="M2765" s="42"/>
      <c r="N2765" s="42"/>
      <c r="O2765" s="42"/>
      <c r="R2765" s="37"/>
      <c r="S2765" s="37"/>
      <c r="T2765" s="91"/>
      <c r="U2765" s="91"/>
      <c r="V2765" s="41"/>
      <c r="W2765" s="37"/>
      <c r="X2765" s="37"/>
      <c r="Y2765" s="43"/>
      <c r="Z2765" s="37"/>
      <c r="AA2765" s="37"/>
      <c r="AD2765" s="37"/>
      <c r="AE2765" s="37"/>
      <c r="AF2765" s="37"/>
    </row>
    <row r="2766" spans="1:32" x14ac:dyDescent="0.25">
      <c r="A2766" s="37"/>
      <c r="B2766" s="37"/>
      <c r="C2766" s="37"/>
      <c r="F2766" s="38"/>
      <c r="G2766" s="38"/>
      <c r="H2766" s="38"/>
      <c r="I2766" s="37"/>
      <c r="J2766" s="38"/>
      <c r="K2766" s="38"/>
      <c r="L2766" s="42"/>
      <c r="M2766" s="42"/>
      <c r="N2766" s="42"/>
      <c r="O2766" s="42"/>
      <c r="R2766" s="37"/>
      <c r="S2766" s="37"/>
      <c r="T2766" s="91"/>
      <c r="U2766" s="91"/>
      <c r="V2766" s="41"/>
      <c r="W2766" s="37"/>
      <c r="X2766" s="37"/>
      <c r="Y2766" s="43"/>
      <c r="Z2766" s="37"/>
      <c r="AA2766" s="37"/>
      <c r="AD2766" s="37"/>
      <c r="AE2766" s="37"/>
      <c r="AF2766" s="37"/>
    </row>
    <row r="2767" spans="1:32" x14ac:dyDescent="0.25">
      <c r="A2767" s="37"/>
      <c r="B2767" s="37"/>
      <c r="C2767" s="37"/>
      <c r="F2767" s="38"/>
      <c r="G2767" s="38"/>
      <c r="H2767" s="38"/>
      <c r="I2767" s="37"/>
      <c r="J2767" s="38"/>
      <c r="K2767" s="38"/>
      <c r="L2767" s="42"/>
      <c r="M2767" s="42"/>
      <c r="N2767" s="42"/>
      <c r="O2767" s="42"/>
      <c r="R2767" s="37"/>
      <c r="S2767" s="37"/>
      <c r="T2767" s="91"/>
      <c r="U2767" s="91"/>
      <c r="V2767" s="41"/>
      <c r="W2767" s="37"/>
      <c r="X2767" s="37"/>
      <c r="Y2767" s="43"/>
      <c r="Z2767" s="37"/>
      <c r="AA2767" s="37"/>
      <c r="AD2767" s="37"/>
      <c r="AE2767" s="37"/>
      <c r="AF2767" s="37"/>
    </row>
    <row r="2768" spans="1:32" x14ac:dyDescent="0.25">
      <c r="A2768" s="37"/>
      <c r="B2768" s="37"/>
      <c r="C2768" s="37"/>
      <c r="F2768" s="38"/>
      <c r="G2768" s="38"/>
      <c r="H2768" s="38"/>
      <c r="I2768" s="37"/>
      <c r="J2768" s="38"/>
      <c r="K2768" s="38"/>
      <c r="L2768" s="42"/>
      <c r="M2768" s="42"/>
      <c r="N2768" s="42"/>
      <c r="O2768" s="42"/>
      <c r="R2768" s="37"/>
      <c r="S2768" s="37"/>
      <c r="T2768" s="91"/>
      <c r="U2768" s="91"/>
      <c r="V2768" s="41"/>
      <c r="W2768" s="37"/>
      <c r="X2768" s="37"/>
      <c r="Y2768" s="43"/>
      <c r="Z2768" s="37"/>
      <c r="AA2768" s="37"/>
      <c r="AD2768" s="37"/>
      <c r="AE2768" s="37"/>
      <c r="AF2768" s="37"/>
    </row>
    <row r="2769" spans="1:32" x14ac:dyDescent="0.25">
      <c r="A2769" s="37"/>
      <c r="B2769" s="37"/>
      <c r="C2769" s="37"/>
      <c r="F2769" s="38"/>
      <c r="G2769" s="38"/>
      <c r="H2769" s="38"/>
      <c r="I2769" s="37"/>
      <c r="J2769" s="38"/>
      <c r="K2769" s="38"/>
      <c r="L2769" s="42"/>
      <c r="M2769" s="42"/>
      <c r="N2769" s="42"/>
      <c r="O2769" s="42"/>
      <c r="R2769" s="37"/>
      <c r="S2769" s="37"/>
      <c r="T2769" s="91"/>
      <c r="U2769" s="91"/>
      <c r="V2769" s="41"/>
      <c r="W2769" s="37"/>
      <c r="X2769" s="37"/>
      <c r="Y2769" s="43"/>
      <c r="Z2769" s="37"/>
      <c r="AA2769" s="37"/>
      <c r="AD2769" s="37"/>
      <c r="AE2769" s="37"/>
      <c r="AF2769" s="37"/>
    </row>
    <row r="2770" spans="1:32" x14ac:dyDescent="0.25">
      <c r="A2770" s="37"/>
      <c r="B2770" s="37"/>
      <c r="C2770" s="37"/>
      <c r="F2770" s="38"/>
      <c r="G2770" s="38"/>
      <c r="H2770" s="38"/>
      <c r="I2770" s="37"/>
      <c r="J2770" s="38"/>
      <c r="K2770" s="38"/>
      <c r="L2770" s="42"/>
      <c r="M2770" s="42"/>
      <c r="N2770" s="42"/>
      <c r="O2770" s="42"/>
      <c r="R2770" s="37"/>
      <c r="S2770" s="37"/>
      <c r="T2770" s="91"/>
      <c r="U2770" s="91"/>
      <c r="V2770" s="41"/>
      <c r="W2770" s="37"/>
      <c r="X2770" s="37"/>
      <c r="Y2770" s="43"/>
      <c r="Z2770" s="37"/>
      <c r="AA2770" s="37"/>
      <c r="AD2770" s="37"/>
      <c r="AE2770" s="37"/>
      <c r="AF2770" s="37"/>
    </row>
    <row r="2771" spans="1:32" x14ac:dyDescent="0.25">
      <c r="A2771" s="37"/>
      <c r="B2771" s="37"/>
      <c r="C2771" s="37"/>
      <c r="F2771" s="38"/>
      <c r="G2771" s="38"/>
      <c r="H2771" s="38"/>
      <c r="I2771" s="37"/>
      <c r="J2771" s="38"/>
      <c r="K2771" s="38"/>
      <c r="L2771" s="42"/>
      <c r="M2771" s="42"/>
      <c r="N2771" s="42"/>
      <c r="O2771" s="42"/>
      <c r="R2771" s="37"/>
      <c r="S2771" s="37"/>
      <c r="T2771" s="91"/>
      <c r="U2771" s="91"/>
      <c r="V2771" s="41"/>
      <c r="W2771" s="37"/>
      <c r="X2771" s="37"/>
      <c r="Y2771" s="43"/>
      <c r="Z2771" s="37"/>
      <c r="AA2771" s="37"/>
      <c r="AD2771" s="37"/>
      <c r="AE2771" s="37"/>
      <c r="AF2771" s="37"/>
    </row>
    <row r="2772" spans="1:32" x14ac:dyDescent="0.25">
      <c r="A2772" s="37"/>
      <c r="B2772" s="37"/>
      <c r="C2772" s="37"/>
      <c r="F2772" s="38"/>
      <c r="G2772" s="38"/>
      <c r="H2772" s="38"/>
      <c r="I2772" s="37"/>
      <c r="J2772" s="38"/>
      <c r="K2772" s="38"/>
      <c r="L2772" s="42"/>
      <c r="M2772" s="42"/>
      <c r="N2772" s="42"/>
      <c r="O2772" s="42"/>
      <c r="R2772" s="37"/>
      <c r="S2772" s="37"/>
      <c r="T2772" s="91"/>
      <c r="U2772" s="91"/>
      <c r="V2772" s="41"/>
      <c r="W2772" s="37"/>
      <c r="X2772" s="37"/>
      <c r="Y2772" s="43"/>
      <c r="Z2772" s="37"/>
      <c r="AA2772" s="37"/>
      <c r="AD2772" s="37"/>
      <c r="AE2772" s="37"/>
      <c r="AF2772" s="37"/>
    </row>
    <row r="2773" spans="1:32" x14ac:dyDescent="0.25">
      <c r="A2773" s="37"/>
      <c r="B2773" s="37"/>
      <c r="C2773" s="37"/>
      <c r="F2773" s="38"/>
      <c r="G2773" s="38"/>
      <c r="H2773" s="38"/>
      <c r="I2773" s="37"/>
      <c r="J2773" s="38"/>
      <c r="K2773" s="38"/>
      <c r="L2773" s="42"/>
      <c r="M2773" s="42"/>
      <c r="N2773" s="42"/>
      <c r="O2773" s="42"/>
      <c r="R2773" s="37"/>
      <c r="S2773" s="37"/>
      <c r="T2773" s="91"/>
      <c r="U2773" s="91"/>
      <c r="V2773" s="41"/>
      <c r="W2773" s="37"/>
      <c r="X2773" s="37"/>
      <c r="Y2773" s="43"/>
      <c r="Z2773" s="37"/>
      <c r="AA2773" s="37"/>
      <c r="AD2773" s="37"/>
      <c r="AE2773" s="37"/>
      <c r="AF2773" s="37"/>
    </row>
    <row r="2774" spans="1:32" x14ac:dyDescent="0.25">
      <c r="A2774" s="37"/>
      <c r="B2774" s="37"/>
      <c r="C2774" s="37"/>
      <c r="F2774" s="38"/>
      <c r="G2774" s="38"/>
      <c r="H2774" s="38"/>
      <c r="I2774" s="37"/>
      <c r="J2774" s="38"/>
      <c r="K2774" s="38"/>
      <c r="L2774" s="42"/>
      <c r="M2774" s="42"/>
      <c r="N2774" s="42"/>
      <c r="O2774" s="42"/>
      <c r="R2774" s="37"/>
      <c r="S2774" s="37"/>
      <c r="T2774" s="91"/>
      <c r="U2774" s="91"/>
      <c r="V2774" s="41"/>
      <c r="W2774" s="37"/>
      <c r="X2774" s="37"/>
      <c r="Y2774" s="43"/>
      <c r="Z2774" s="37"/>
      <c r="AA2774" s="37"/>
      <c r="AD2774" s="37"/>
      <c r="AE2774" s="37"/>
      <c r="AF2774" s="37"/>
    </row>
    <row r="2775" spans="1:32" x14ac:dyDescent="0.25">
      <c r="A2775" s="37"/>
      <c r="B2775" s="37"/>
      <c r="C2775" s="37"/>
      <c r="F2775" s="38"/>
      <c r="G2775" s="38"/>
      <c r="H2775" s="38"/>
      <c r="I2775" s="37"/>
      <c r="J2775" s="38"/>
      <c r="K2775" s="38"/>
      <c r="L2775" s="42"/>
      <c r="M2775" s="42"/>
      <c r="N2775" s="42"/>
      <c r="O2775" s="42"/>
      <c r="R2775" s="37"/>
      <c r="S2775" s="37"/>
      <c r="T2775" s="91"/>
      <c r="U2775" s="91"/>
      <c r="V2775" s="41"/>
      <c r="W2775" s="37"/>
      <c r="X2775" s="37"/>
      <c r="Y2775" s="43"/>
      <c r="Z2775" s="37"/>
      <c r="AA2775" s="37"/>
      <c r="AD2775" s="37"/>
      <c r="AE2775" s="37"/>
      <c r="AF2775" s="37"/>
    </row>
    <row r="2776" spans="1:32" x14ac:dyDescent="0.25">
      <c r="A2776" s="37"/>
      <c r="B2776" s="37"/>
      <c r="C2776" s="37"/>
      <c r="F2776" s="38"/>
      <c r="G2776" s="38"/>
      <c r="H2776" s="38"/>
      <c r="I2776" s="37"/>
      <c r="J2776" s="38"/>
      <c r="K2776" s="38"/>
      <c r="L2776" s="42"/>
      <c r="M2776" s="42"/>
      <c r="N2776" s="42"/>
      <c r="O2776" s="42"/>
      <c r="R2776" s="37"/>
      <c r="S2776" s="37"/>
      <c r="T2776" s="91"/>
      <c r="U2776" s="91"/>
      <c r="V2776" s="41"/>
      <c r="W2776" s="37"/>
      <c r="X2776" s="37"/>
      <c r="Y2776" s="43"/>
      <c r="Z2776" s="37"/>
      <c r="AA2776" s="37"/>
      <c r="AD2776" s="37"/>
      <c r="AE2776" s="37"/>
      <c r="AF2776" s="37"/>
    </row>
    <row r="2777" spans="1:32" x14ac:dyDescent="0.25">
      <c r="A2777" s="37"/>
      <c r="B2777" s="37"/>
      <c r="C2777" s="37"/>
      <c r="F2777" s="38"/>
      <c r="G2777" s="38"/>
      <c r="H2777" s="38"/>
      <c r="I2777" s="37"/>
      <c r="J2777" s="38"/>
      <c r="K2777" s="38"/>
      <c r="L2777" s="42"/>
      <c r="M2777" s="42"/>
      <c r="N2777" s="42"/>
      <c r="O2777" s="42"/>
      <c r="R2777" s="37"/>
      <c r="S2777" s="37"/>
      <c r="T2777" s="91"/>
      <c r="U2777" s="91"/>
      <c r="V2777" s="41"/>
      <c r="W2777" s="37"/>
      <c r="X2777" s="37"/>
      <c r="Y2777" s="43"/>
      <c r="Z2777" s="37"/>
      <c r="AA2777" s="37"/>
      <c r="AD2777" s="37"/>
      <c r="AE2777" s="37"/>
      <c r="AF2777" s="37"/>
    </row>
    <row r="2778" spans="1:32" x14ac:dyDescent="0.25">
      <c r="A2778" s="37"/>
      <c r="B2778" s="37"/>
      <c r="C2778" s="37"/>
      <c r="F2778" s="38"/>
      <c r="G2778" s="38"/>
      <c r="H2778" s="38"/>
      <c r="I2778" s="37"/>
      <c r="J2778" s="38"/>
      <c r="K2778" s="38"/>
      <c r="L2778" s="42"/>
      <c r="M2778" s="42"/>
      <c r="N2778" s="42"/>
      <c r="O2778" s="42"/>
      <c r="R2778" s="37"/>
      <c r="S2778" s="37"/>
      <c r="T2778" s="91"/>
      <c r="U2778" s="91"/>
      <c r="V2778" s="41"/>
      <c r="W2778" s="37"/>
      <c r="X2778" s="37"/>
      <c r="Y2778" s="43"/>
      <c r="Z2778" s="37"/>
      <c r="AA2778" s="37"/>
      <c r="AD2778" s="37"/>
      <c r="AE2778" s="37"/>
      <c r="AF2778" s="37"/>
    </row>
    <row r="2779" spans="1:32" x14ac:dyDescent="0.25">
      <c r="A2779" s="37"/>
      <c r="B2779" s="37"/>
      <c r="C2779" s="37"/>
      <c r="F2779" s="38"/>
      <c r="G2779" s="38"/>
      <c r="H2779" s="38"/>
      <c r="I2779" s="37"/>
      <c r="J2779" s="38"/>
      <c r="K2779" s="38"/>
      <c r="L2779" s="42"/>
      <c r="M2779" s="42"/>
      <c r="N2779" s="42"/>
      <c r="O2779" s="42"/>
      <c r="R2779" s="37"/>
      <c r="S2779" s="37"/>
      <c r="T2779" s="91"/>
      <c r="U2779" s="91"/>
      <c r="V2779" s="41"/>
      <c r="W2779" s="37"/>
      <c r="X2779" s="37"/>
      <c r="Y2779" s="43"/>
      <c r="Z2779" s="37"/>
      <c r="AA2779" s="37"/>
      <c r="AD2779" s="37"/>
      <c r="AE2779" s="37"/>
      <c r="AF2779" s="37"/>
    </row>
    <row r="2780" spans="1:32" x14ac:dyDescent="0.25">
      <c r="A2780" s="37"/>
      <c r="B2780" s="37"/>
      <c r="C2780" s="37"/>
      <c r="F2780" s="38"/>
      <c r="G2780" s="38"/>
      <c r="H2780" s="38"/>
      <c r="I2780" s="37"/>
      <c r="J2780" s="38"/>
      <c r="K2780" s="38"/>
      <c r="L2780" s="42"/>
      <c r="M2780" s="42"/>
      <c r="N2780" s="42"/>
      <c r="O2780" s="42"/>
      <c r="R2780" s="37"/>
      <c r="S2780" s="37"/>
      <c r="T2780" s="91"/>
      <c r="U2780" s="91"/>
      <c r="V2780" s="41"/>
      <c r="W2780" s="37"/>
      <c r="X2780" s="37"/>
      <c r="Y2780" s="43"/>
      <c r="Z2780" s="37"/>
      <c r="AA2780" s="37"/>
      <c r="AD2780" s="37"/>
      <c r="AE2780" s="37"/>
      <c r="AF2780" s="37"/>
    </row>
    <row r="2781" spans="1:32" x14ac:dyDescent="0.25">
      <c r="A2781" s="37"/>
      <c r="B2781" s="37"/>
      <c r="C2781" s="37"/>
      <c r="F2781" s="38"/>
      <c r="G2781" s="38"/>
      <c r="H2781" s="38"/>
      <c r="I2781" s="37"/>
      <c r="J2781" s="38"/>
      <c r="K2781" s="38"/>
      <c r="L2781" s="42"/>
      <c r="M2781" s="42"/>
      <c r="N2781" s="42"/>
      <c r="O2781" s="42"/>
      <c r="R2781" s="37"/>
      <c r="S2781" s="37"/>
      <c r="T2781" s="91"/>
      <c r="U2781" s="91"/>
      <c r="V2781" s="41"/>
      <c r="W2781" s="37"/>
      <c r="X2781" s="37"/>
      <c r="Y2781" s="43"/>
      <c r="Z2781" s="37"/>
      <c r="AA2781" s="37"/>
      <c r="AD2781" s="37"/>
      <c r="AE2781" s="37"/>
      <c r="AF2781" s="37"/>
    </row>
    <row r="2782" spans="1:32" x14ac:dyDescent="0.25">
      <c r="A2782" s="37"/>
      <c r="B2782" s="37"/>
      <c r="C2782" s="37"/>
      <c r="F2782" s="38"/>
      <c r="G2782" s="38"/>
      <c r="H2782" s="38"/>
      <c r="I2782" s="37"/>
      <c r="J2782" s="38"/>
      <c r="K2782" s="38"/>
      <c r="L2782" s="42"/>
      <c r="M2782" s="42"/>
      <c r="N2782" s="42"/>
      <c r="O2782" s="42"/>
      <c r="R2782" s="37"/>
      <c r="S2782" s="37"/>
      <c r="T2782" s="91"/>
      <c r="U2782" s="91"/>
      <c r="V2782" s="41"/>
      <c r="W2782" s="37"/>
      <c r="X2782" s="37"/>
      <c r="Y2782" s="43"/>
      <c r="Z2782" s="37"/>
      <c r="AA2782" s="37"/>
      <c r="AD2782" s="37"/>
      <c r="AE2782" s="37"/>
      <c r="AF2782" s="37"/>
    </row>
    <row r="2783" spans="1:32" x14ac:dyDescent="0.25">
      <c r="A2783" s="37"/>
      <c r="B2783" s="37"/>
      <c r="C2783" s="37"/>
      <c r="F2783" s="38"/>
      <c r="G2783" s="38"/>
      <c r="H2783" s="38"/>
      <c r="I2783" s="37"/>
      <c r="J2783" s="38"/>
      <c r="K2783" s="38"/>
      <c r="L2783" s="42"/>
      <c r="M2783" s="42"/>
      <c r="N2783" s="42"/>
      <c r="O2783" s="42"/>
      <c r="R2783" s="37"/>
      <c r="S2783" s="37"/>
      <c r="T2783" s="91"/>
      <c r="U2783" s="91"/>
      <c r="V2783" s="41"/>
      <c r="W2783" s="37"/>
      <c r="X2783" s="37"/>
      <c r="Y2783" s="43"/>
      <c r="Z2783" s="37"/>
      <c r="AA2783" s="37"/>
      <c r="AD2783" s="37"/>
      <c r="AE2783" s="37"/>
      <c r="AF2783" s="37"/>
    </row>
    <row r="2784" spans="1:32" x14ac:dyDescent="0.25">
      <c r="A2784" s="37"/>
      <c r="B2784" s="37"/>
      <c r="C2784" s="37"/>
      <c r="F2784" s="38"/>
      <c r="G2784" s="38"/>
      <c r="H2784" s="38"/>
      <c r="I2784" s="37"/>
      <c r="J2784" s="38"/>
      <c r="K2784" s="38"/>
      <c r="L2784" s="42"/>
      <c r="M2784" s="42"/>
      <c r="N2784" s="42"/>
      <c r="O2784" s="42"/>
      <c r="R2784" s="37"/>
      <c r="S2784" s="37"/>
      <c r="T2784" s="91"/>
      <c r="U2784" s="91"/>
      <c r="V2784" s="41"/>
      <c r="W2784" s="37"/>
      <c r="X2784" s="37"/>
      <c r="Y2784" s="43"/>
      <c r="Z2784" s="37"/>
      <c r="AA2784" s="37"/>
      <c r="AD2784" s="37"/>
      <c r="AE2784" s="37"/>
      <c r="AF2784" s="37"/>
    </row>
    <row r="2785" spans="1:32" x14ac:dyDescent="0.25">
      <c r="A2785" s="37"/>
      <c r="B2785" s="37"/>
      <c r="C2785" s="37"/>
      <c r="F2785" s="38"/>
      <c r="G2785" s="38"/>
      <c r="H2785" s="38"/>
      <c r="I2785" s="37"/>
      <c r="J2785" s="38"/>
      <c r="K2785" s="38"/>
      <c r="L2785" s="42"/>
      <c r="M2785" s="42"/>
      <c r="N2785" s="42"/>
      <c r="O2785" s="42"/>
      <c r="R2785" s="37"/>
      <c r="S2785" s="37"/>
      <c r="T2785" s="91"/>
      <c r="U2785" s="91"/>
      <c r="V2785" s="41"/>
      <c r="W2785" s="37"/>
      <c r="X2785" s="37"/>
      <c r="Y2785" s="43"/>
      <c r="Z2785" s="37"/>
      <c r="AA2785" s="37"/>
      <c r="AD2785" s="37"/>
      <c r="AE2785" s="37"/>
      <c r="AF2785" s="37"/>
    </row>
    <row r="2786" spans="1:32" x14ac:dyDescent="0.25">
      <c r="A2786" s="37"/>
      <c r="B2786" s="37"/>
      <c r="C2786" s="37"/>
      <c r="F2786" s="38"/>
      <c r="G2786" s="38"/>
      <c r="H2786" s="38"/>
      <c r="I2786" s="37"/>
      <c r="J2786" s="38"/>
      <c r="K2786" s="38"/>
      <c r="L2786" s="42"/>
      <c r="M2786" s="42"/>
      <c r="N2786" s="42"/>
      <c r="O2786" s="42"/>
      <c r="R2786" s="37"/>
      <c r="S2786" s="37"/>
      <c r="T2786" s="91"/>
      <c r="U2786" s="91"/>
      <c r="V2786" s="41"/>
      <c r="W2786" s="37"/>
      <c r="X2786" s="37"/>
      <c r="Y2786" s="43"/>
      <c r="Z2786" s="37"/>
      <c r="AA2786" s="37"/>
      <c r="AD2786" s="37"/>
      <c r="AE2786" s="37"/>
      <c r="AF2786" s="37"/>
    </row>
    <row r="2787" spans="1:32" x14ac:dyDescent="0.25">
      <c r="A2787" s="37"/>
      <c r="B2787" s="37"/>
      <c r="C2787" s="37"/>
      <c r="F2787" s="38"/>
      <c r="G2787" s="38"/>
      <c r="H2787" s="38"/>
      <c r="I2787" s="37"/>
      <c r="J2787" s="38"/>
      <c r="K2787" s="38"/>
      <c r="L2787" s="42"/>
      <c r="M2787" s="42"/>
      <c r="N2787" s="42"/>
      <c r="O2787" s="42"/>
      <c r="R2787" s="37"/>
      <c r="S2787" s="37"/>
      <c r="T2787" s="91"/>
      <c r="U2787" s="91"/>
      <c r="V2787" s="41"/>
      <c r="W2787" s="37"/>
      <c r="X2787" s="37"/>
      <c r="Y2787" s="43"/>
      <c r="Z2787" s="37"/>
      <c r="AA2787" s="37"/>
      <c r="AD2787" s="37"/>
      <c r="AE2787" s="37"/>
      <c r="AF2787" s="37"/>
    </row>
    <row r="2788" spans="1:32" x14ac:dyDescent="0.25">
      <c r="A2788" s="37"/>
      <c r="B2788" s="37"/>
      <c r="C2788" s="37"/>
      <c r="F2788" s="38"/>
      <c r="G2788" s="38"/>
      <c r="H2788" s="38"/>
      <c r="I2788" s="37"/>
      <c r="J2788" s="38"/>
      <c r="K2788" s="38"/>
      <c r="L2788" s="42"/>
      <c r="M2788" s="42"/>
      <c r="N2788" s="42"/>
      <c r="O2788" s="42"/>
      <c r="R2788" s="37"/>
      <c r="S2788" s="37"/>
      <c r="T2788" s="91"/>
      <c r="U2788" s="91"/>
      <c r="V2788" s="41"/>
      <c r="W2788" s="37"/>
      <c r="X2788" s="37"/>
      <c r="Y2788" s="43"/>
      <c r="Z2788" s="37"/>
      <c r="AA2788" s="37"/>
      <c r="AD2788" s="37"/>
      <c r="AE2788" s="37"/>
      <c r="AF2788" s="37"/>
    </row>
    <row r="2789" spans="1:32" x14ac:dyDescent="0.25">
      <c r="A2789" s="37"/>
      <c r="B2789" s="37"/>
      <c r="C2789" s="37"/>
      <c r="F2789" s="38"/>
      <c r="G2789" s="38"/>
      <c r="H2789" s="38"/>
      <c r="I2789" s="37"/>
      <c r="J2789" s="38"/>
      <c r="K2789" s="38"/>
      <c r="L2789" s="42"/>
      <c r="M2789" s="42"/>
      <c r="N2789" s="42"/>
      <c r="O2789" s="42"/>
      <c r="R2789" s="37"/>
      <c r="S2789" s="37"/>
      <c r="T2789" s="91"/>
      <c r="U2789" s="91"/>
      <c r="V2789" s="41"/>
      <c r="W2789" s="37"/>
      <c r="X2789" s="37"/>
      <c r="Y2789" s="43"/>
      <c r="Z2789" s="37"/>
      <c r="AA2789" s="37"/>
      <c r="AD2789" s="37"/>
      <c r="AE2789" s="37"/>
      <c r="AF2789" s="37"/>
    </row>
    <row r="2790" spans="1:32" x14ac:dyDescent="0.25">
      <c r="A2790" s="37"/>
      <c r="B2790" s="37"/>
      <c r="C2790" s="37"/>
      <c r="F2790" s="38"/>
      <c r="G2790" s="38"/>
      <c r="H2790" s="38"/>
      <c r="I2790" s="37"/>
      <c r="J2790" s="38"/>
      <c r="K2790" s="38"/>
      <c r="L2790" s="42"/>
      <c r="M2790" s="42"/>
      <c r="N2790" s="42"/>
      <c r="O2790" s="42"/>
      <c r="R2790" s="37"/>
      <c r="S2790" s="37"/>
      <c r="T2790" s="91"/>
      <c r="U2790" s="91"/>
      <c r="V2790" s="41"/>
      <c r="W2790" s="37"/>
      <c r="X2790" s="37"/>
      <c r="Y2790" s="43"/>
      <c r="Z2790" s="37"/>
      <c r="AA2790" s="37"/>
      <c r="AD2790" s="37"/>
      <c r="AE2790" s="37"/>
      <c r="AF2790" s="37"/>
    </row>
    <row r="2791" spans="1:32" x14ac:dyDescent="0.25">
      <c r="A2791" s="37"/>
      <c r="B2791" s="37"/>
      <c r="C2791" s="37"/>
      <c r="F2791" s="38"/>
      <c r="G2791" s="38"/>
      <c r="H2791" s="38"/>
      <c r="I2791" s="37"/>
      <c r="J2791" s="38"/>
      <c r="K2791" s="38"/>
      <c r="L2791" s="42"/>
      <c r="M2791" s="42"/>
      <c r="N2791" s="42"/>
      <c r="O2791" s="42"/>
      <c r="R2791" s="37"/>
      <c r="S2791" s="37"/>
      <c r="T2791" s="91"/>
      <c r="U2791" s="91"/>
      <c r="V2791" s="41"/>
      <c r="W2791" s="37"/>
      <c r="X2791" s="37"/>
      <c r="Y2791" s="43"/>
      <c r="Z2791" s="37"/>
      <c r="AA2791" s="37"/>
      <c r="AD2791" s="37"/>
      <c r="AE2791" s="37"/>
      <c r="AF2791" s="37"/>
    </row>
    <row r="2792" spans="1:32" x14ac:dyDescent="0.25">
      <c r="A2792" s="37"/>
      <c r="B2792" s="37"/>
      <c r="C2792" s="37"/>
      <c r="F2792" s="38"/>
      <c r="G2792" s="38"/>
      <c r="H2792" s="38"/>
      <c r="I2792" s="37"/>
      <c r="J2792" s="38"/>
      <c r="K2792" s="38"/>
      <c r="L2792" s="42"/>
      <c r="M2792" s="42"/>
      <c r="N2792" s="42"/>
      <c r="O2792" s="42"/>
      <c r="R2792" s="37"/>
      <c r="S2792" s="37"/>
      <c r="T2792" s="91"/>
      <c r="U2792" s="91"/>
      <c r="V2792" s="41"/>
      <c r="W2792" s="37"/>
      <c r="X2792" s="37"/>
      <c r="Y2792" s="43"/>
      <c r="Z2792" s="37"/>
      <c r="AA2792" s="37"/>
      <c r="AD2792" s="37"/>
      <c r="AE2792" s="37"/>
      <c r="AF2792" s="37"/>
    </row>
    <row r="2793" spans="1:32" x14ac:dyDescent="0.25">
      <c r="A2793" s="37"/>
      <c r="B2793" s="37"/>
      <c r="C2793" s="37"/>
      <c r="F2793" s="38"/>
      <c r="G2793" s="38"/>
      <c r="H2793" s="38"/>
      <c r="I2793" s="37"/>
      <c r="J2793" s="38"/>
      <c r="K2793" s="38"/>
      <c r="L2793" s="42"/>
      <c r="M2793" s="42"/>
      <c r="N2793" s="42"/>
      <c r="O2793" s="42"/>
      <c r="R2793" s="37"/>
      <c r="S2793" s="37"/>
      <c r="T2793" s="91"/>
      <c r="U2793" s="91"/>
      <c r="V2793" s="41"/>
      <c r="W2793" s="37"/>
      <c r="X2793" s="37"/>
      <c r="Y2793" s="43"/>
      <c r="Z2793" s="37"/>
      <c r="AA2793" s="37"/>
      <c r="AD2793" s="37"/>
      <c r="AE2793" s="37"/>
      <c r="AF2793" s="37"/>
    </row>
    <row r="2794" spans="1:32" x14ac:dyDescent="0.25">
      <c r="A2794" s="37"/>
      <c r="B2794" s="37"/>
      <c r="C2794" s="37"/>
      <c r="F2794" s="38"/>
      <c r="G2794" s="38"/>
      <c r="H2794" s="38"/>
      <c r="I2794" s="37"/>
      <c r="J2794" s="38"/>
      <c r="K2794" s="38"/>
      <c r="L2794" s="42"/>
      <c r="M2794" s="42"/>
      <c r="N2794" s="42"/>
      <c r="O2794" s="42"/>
      <c r="R2794" s="37"/>
      <c r="S2794" s="37"/>
      <c r="T2794" s="91"/>
      <c r="U2794" s="91"/>
      <c r="V2794" s="41"/>
      <c r="W2794" s="37"/>
      <c r="X2794" s="37"/>
      <c r="Y2794" s="43"/>
      <c r="Z2794" s="37"/>
      <c r="AA2794" s="37"/>
      <c r="AD2794" s="37"/>
      <c r="AE2794" s="37"/>
      <c r="AF2794" s="37"/>
    </row>
    <row r="2795" spans="1:32" x14ac:dyDescent="0.25">
      <c r="A2795" s="37"/>
      <c r="B2795" s="37"/>
      <c r="C2795" s="37"/>
      <c r="F2795" s="38"/>
      <c r="G2795" s="38"/>
      <c r="H2795" s="38"/>
      <c r="I2795" s="37"/>
      <c r="J2795" s="38"/>
      <c r="K2795" s="38"/>
      <c r="L2795" s="42"/>
      <c r="M2795" s="42"/>
      <c r="N2795" s="42"/>
      <c r="O2795" s="42"/>
      <c r="R2795" s="37"/>
      <c r="S2795" s="37"/>
      <c r="T2795" s="91"/>
      <c r="U2795" s="91"/>
      <c r="V2795" s="41"/>
      <c r="W2795" s="37"/>
      <c r="X2795" s="37"/>
      <c r="Y2795" s="43"/>
      <c r="Z2795" s="37"/>
      <c r="AA2795" s="37"/>
      <c r="AD2795" s="37"/>
      <c r="AE2795" s="37"/>
      <c r="AF2795" s="37"/>
    </row>
    <row r="2796" spans="1:32" x14ac:dyDescent="0.25">
      <c r="A2796" s="37"/>
      <c r="B2796" s="37"/>
      <c r="C2796" s="37"/>
      <c r="F2796" s="38"/>
      <c r="G2796" s="38"/>
      <c r="H2796" s="38"/>
      <c r="I2796" s="37"/>
      <c r="J2796" s="38"/>
      <c r="K2796" s="38"/>
      <c r="L2796" s="42"/>
      <c r="M2796" s="42"/>
      <c r="N2796" s="42"/>
      <c r="O2796" s="42"/>
      <c r="R2796" s="37"/>
      <c r="S2796" s="37"/>
      <c r="T2796" s="91"/>
      <c r="U2796" s="91"/>
      <c r="V2796" s="41"/>
      <c r="W2796" s="37"/>
      <c r="X2796" s="37"/>
      <c r="Y2796" s="43"/>
      <c r="Z2796" s="37"/>
      <c r="AA2796" s="37"/>
      <c r="AD2796" s="37"/>
      <c r="AE2796" s="37"/>
      <c r="AF2796" s="37"/>
    </row>
    <row r="2797" spans="1:32" x14ac:dyDescent="0.25">
      <c r="A2797" s="37"/>
      <c r="B2797" s="37"/>
      <c r="C2797" s="37"/>
      <c r="F2797" s="38"/>
      <c r="G2797" s="38"/>
      <c r="H2797" s="38"/>
      <c r="I2797" s="37"/>
      <c r="J2797" s="38"/>
      <c r="K2797" s="38"/>
      <c r="L2797" s="42"/>
      <c r="M2797" s="42"/>
      <c r="N2797" s="42"/>
      <c r="O2797" s="42"/>
      <c r="R2797" s="37"/>
      <c r="S2797" s="37"/>
      <c r="T2797" s="91"/>
      <c r="U2797" s="91"/>
      <c r="V2797" s="41"/>
      <c r="W2797" s="37"/>
      <c r="X2797" s="37"/>
      <c r="Y2797" s="43"/>
      <c r="Z2797" s="37"/>
      <c r="AA2797" s="37"/>
      <c r="AD2797" s="37"/>
      <c r="AE2797" s="37"/>
      <c r="AF2797" s="37"/>
    </row>
    <row r="2798" spans="1:32" x14ac:dyDescent="0.25">
      <c r="A2798" s="37"/>
      <c r="B2798" s="37"/>
      <c r="C2798" s="37"/>
      <c r="F2798" s="38"/>
      <c r="G2798" s="38"/>
      <c r="H2798" s="38"/>
      <c r="I2798" s="37"/>
      <c r="J2798" s="38"/>
      <c r="K2798" s="38"/>
      <c r="L2798" s="42"/>
      <c r="M2798" s="42"/>
      <c r="N2798" s="42"/>
      <c r="O2798" s="42"/>
      <c r="R2798" s="37"/>
      <c r="S2798" s="37"/>
      <c r="T2798" s="91"/>
      <c r="U2798" s="91"/>
      <c r="V2798" s="41"/>
      <c r="W2798" s="37"/>
      <c r="X2798" s="37"/>
      <c r="Y2798" s="43"/>
      <c r="Z2798" s="37"/>
      <c r="AA2798" s="37"/>
      <c r="AD2798" s="37"/>
      <c r="AE2798" s="37"/>
      <c r="AF2798" s="37"/>
    </row>
    <row r="2799" spans="1:32" x14ac:dyDescent="0.25">
      <c r="A2799" s="37"/>
      <c r="B2799" s="37"/>
      <c r="C2799" s="37"/>
      <c r="F2799" s="38"/>
      <c r="G2799" s="38"/>
      <c r="H2799" s="38"/>
      <c r="I2799" s="37"/>
      <c r="J2799" s="38"/>
      <c r="K2799" s="38"/>
      <c r="L2799" s="42"/>
      <c r="M2799" s="42"/>
      <c r="N2799" s="42"/>
      <c r="O2799" s="42"/>
      <c r="R2799" s="37"/>
      <c r="S2799" s="37"/>
      <c r="T2799" s="91"/>
      <c r="U2799" s="91"/>
      <c r="V2799" s="41"/>
      <c r="W2799" s="37"/>
      <c r="X2799" s="37"/>
      <c r="Y2799" s="43"/>
      <c r="Z2799" s="37"/>
      <c r="AA2799" s="37"/>
      <c r="AD2799" s="37"/>
      <c r="AE2799" s="37"/>
      <c r="AF2799" s="37"/>
    </row>
    <row r="2800" spans="1:32" x14ac:dyDescent="0.25">
      <c r="A2800" s="37"/>
      <c r="B2800" s="37"/>
      <c r="C2800" s="37"/>
      <c r="F2800" s="38"/>
      <c r="G2800" s="38"/>
      <c r="H2800" s="38"/>
      <c r="I2800" s="37"/>
      <c r="J2800" s="38"/>
      <c r="K2800" s="38"/>
      <c r="L2800" s="42"/>
      <c r="M2800" s="42"/>
      <c r="N2800" s="42"/>
      <c r="O2800" s="42"/>
      <c r="R2800" s="37"/>
      <c r="S2800" s="37"/>
      <c r="T2800" s="91"/>
      <c r="U2800" s="91"/>
      <c r="V2800" s="41"/>
      <c r="W2800" s="37"/>
      <c r="X2800" s="37"/>
      <c r="Y2800" s="43"/>
      <c r="Z2800" s="37"/>
      <c r="AA2800" s="37"/>
      <c r="AD2800" s="37"/>
      <c r="AE2800" s="37"/>
      <c r="AF2800" s="37"/>
    </row>
    <row r="2801" spans="1:32" x14ac:dyDescent="0.25">
      <c r="A2801" s="37"/>
      <c r="B2801" s="37"/>
      <c r="C2801" s="37"/>
      <c r="F2801" s="38"/>
      <c r="G2801" s="38"/>
      <c r="H2801" s="38"/>
      <c r="I2801" s="37"/>
      <c r="J2801" s="38"/>
      <c r="K2801" s="38"/>
      <c r="L2801" s="42"/>
      <c r="M2801" s="42"/>
      <c r="N2801" s="42"/>
      <c r="O2801" s="42"/>
      <c r="R2801" s="37"/>
      <c r="S2801" s="37"/>
      <c r="T2801" s="91"/>
      <c r="U2801" s="91"/>
      <c r="V2801" s="41"/>
      <c r="W2801" s="37"/>
      <c r="X2801" s="37"/>
      <c r="Y2801" s="43"/>
      <c r="Z2801" s="37"/>
      <c r="AA2801" s="37"/>
      <c r="AD2801" s="37"/>
      <c r="AE2801" s="37"/>
      <c r="AF2801" s="37"/>
    </row>
    <row r="2802" spans="1:32" x14ac:dyDescent="0.25">
      <c r="A2802" s="37"/>
      <c r="B2802" s="37"/>
      <c r="C2802" s="37"/>
      <c r="F2802" s="38"/>
      <c r="G2802" s="38"/>
      <c r="H2802" s="38"/>
      <c r="I2802" s="37"/>
      <c r="J2802" s="38"/>
      <c r="K2802" s="38"/>
      <c r="L2802" s="42"/>
      <c r="M2802" s="42"/>
      <c r="N2802" s="42"/>
      <c r="O2802" s="42"/>
      <c r="R2802" s="37"/>
      <c r="S2802" s="37"/>
      <c r="T2802" s="91"/>
      <c r="U2802" s="91"/>
      <c r="V2802" s="41"/>
      <c r="W2802" s="37"/>
      <c r="X2802" s="37"/>
      <c r="Y2802" s="43"/>
      <c r="Z2802" s="37"/>
      <c r="AA2802" s="37"/>
      <c r="AD2802" s="37"/>
      <c r="AE2802" s="37"/>
      <c r="AF2802" s="37"/>
    </row>
    <row r="2803" spans="1:32" x14ac:dyDescent="0.25">
      <c r="A2803" s="37"/>
      <c r="B2803" s="37"/>
      <c r="C2803" s="37"/>
      <c r="F2803" s="38"/>
      <c r="G2803" s="38"/>
      <c r="H2803" s="38"/>
      <c r="I2803" s="37"/>
      <c r="J2803" s="38"/>
      <c r="K2803" s="38"/>
      <c r="L2803" s="42"/>
      <c r="M2803" s="42"/>
      <c r="N2803" s="42"/>
      <c r="O2803" s="42"/>
      <c r="R2803" s="37"/>
      <c r="S2803" s="37"/>
      <c r="T2803" s="91"/>
      <c r="U2803" s="91"/>
      <c r="V2803" s="41"/>
      <c r="W2803" s="37"/>
      <c r="X2803" s="37"/>
      <c r="Y2803" s="43"/>
      <c r="Z2803" s="37"/>
      <c r="AA2803" s="37"/>
      <c r="AD2803" s="37"/>
      <c r="AE2803" s="37"/>
      <c r="AF2803" s="37"/>
    </row>
    <row r="2804" spans="1:32" x14ac:dyDescent="0.25">
      <c r="A2804" s="37"/>
      <c r="B2804" s="37"/>
      <c r="C2804" s="37"/>
      <c r="F2804" s="38"/>
      <c r="G2804" s="38"/>
      <c r="H2804" s="38"/>
      <c r="I2804" s="37"/>
      <c r="J2804" s="38"/>
      <c r="K2804" s="38"/>
      <c r="L2804" s="42"/>
      <c r="M2804" s="42"/>
      <c r="N2804" s="42"/>
      <c r="O2804" s="42"/>
      <c r="R2804" s="37"/>
      <c r="S2804" s="37"/>
      <c r="T2804" s="91"/>
      <c r="U2804" s="91"/>
      <c r="V2804" s="41"/>
      <c r="W2804" s="37"/>
      <c r="X2804" s="37"/>
      <c r="Y2804" s="43"/>
      <c r="Z2804" s="37"/>
      <c r="AA2804" s="37"/>
      <c r="AD2804" s="37"/>
      <c r="AE2804" s="37"/>
      <c r="AF2804" s="37"/>
    </row>
    <row r="2805" spans="1:32" x14ac:dyDescent="0.25">
      <c r="A2805" s="37"/>
      <c r="B2805" s="37"/>
      <c r="C2805" s="37"/>
      <c r="F2805" s="38"/>
      <c r="G2805" s="38"/>
      <c r="H2805" s="38"/>
      <c r="I2805" s="37"/>
      <c r="J2805" s="38"/>
      <c r="K2805" s="38"/>
      <c r="L2805" s="42"/>
      <c r="M2805" s="42"/>
      <c r="N2805" s="42"/>
      <c r="O2805" s="42"/>
      <c r="R2805" s="37"/>
      <c r="S2805" s="37"/>
      <c r="T2805" s="91"/>
      <c r="U2805" s="91"/>
      <c r="V2805" s="41"/>
      <c r="W2805" s="37"/>
      <c r="X2805" s="37"/>
      <c r="Y2805" s="43"/>
      <c r="Z2805" s="37"/>
      <c r="AA2805" s="37"/>
      <c r="AD2805" s="37"/>
      <c r="AE2805" s="37"/>
      <c r="AF2805" s="37"/>
    </row>
    <row r="2806" spans="1:32" x14ac:dyDescent="0.25">
      <c r="A2806" s="37"/>
      <c r="B2806" s="37"/>
      <c r="C2806" s="37"/>
      <c r="F2806" s="38"/>
      <c r="G2806" s="38"/>
      <c r="H2806" s="38"/>
      <c r="I2806" s="37"/>
      <c r="J2806" s="38"/>
      <c r="K2806" s="38"/>
      <c r="L2806" s="42"/>
      <c r="M2806" s="42"/>
      <c r="N2806" s="42"/>
      <c r="O2806" s="42"/>
      <c r="R2806" s="37"/>
      <c r="S2806" s="37"/>
      <c r="T2806" s="91"/>
      <c r="U2806" s="91"/>
      <c r="V2806" s="41"/>
      <c r="W2806" s="37"/>
      <c r="X2806" s="37"/>
      <c r="Y2806" s="43"/>
      <c r="Z2806" s="37"/>
      <c r="AA2806" s="37"/>
      <c r="AD2806" s="37"/>
      <c r="AE2806" s="37"/>
      <c r="AF2806" s="37"/>
    </row>
    <row r="2807" spans="1:32" x14ac:dyDescent="0.25">
      <c r="A2807" s="37"/>
      <c r="B2807" s="37"/>
      <c r="C2807" s="37"/>
      <c r="F2807" s="38"/>
      <c r="G2807" s="38"/>
      <c r="H2807" s="38"/>
      <c r="I2807" s="37"/>
      <c r="J2807" s="38"/>
      <c r="K2807" s="38"/>
      <c r="L2807" s="42"/>
      <c r="M2807" s="42"/>
      <c r="N2807" s="42"/>
      <c r="O2807" s="42"/>
      <c r="R2807" s="37"/>
      <c r="S2807" s="37"/>
      <c r="T2807" s="91"/>
      <c r="U2807" s="91"/>
      <c r="V2807" s="41"/>
      <c r="W2807" s="37"/>
      <c r="X2807" s="37"/>
      <c r="Y2807" s="43"/>
      <c r="Z2807" s="37"/>
      <c r="AA2807" s="37"/>
      <c r="AD2807" s="37"/>
      <c r="AE2807" s="37"/>
      <c r="AF2807" s="37"/>
    </row>
    <row r="2808" spans="1:32" x14ac:dyDescent="0.25">
      <c r="A2808" s="37"/>
      <c r="B2808" s="37"/>
      <c r="C2808" s="37"/>
      <c r="F2808" s="38"/>
      <c r="G2808" s="38"/>
      <c r="H2808" s="38"/>
      <c r="I2808" s="37"/>
      <c r="J2808" s="38"/>
      <c r="K2808" s="38"/>
      <c r="L2808" s="42"/>
      <c r="M2808" s="42"/>
      <c r="N2808" s="42"/>
      <c r="O2808" s="42"/>
      <c r="R2808" s="37"/>
      <c r="S2808" s="37"/>
      <c r="T2808" s="91"/>
      <c r="U2808" s="91"/>
      <c r="V2808" s="41"/>
      <c r="W2808" s="37"/>
      <c r="X2808" s="37"/>
      <c r="Y2808" s="43"/>
      <c r="Z2808" s="37"/>
      <c r="AA2808" s="37"/>
      <c r="AD2808" s="37"/>
      <c r="AE2808" s="37"/>
      <c r="AF2808" s="37"/>
    </row>
    <row r="2809" spans="1:32" x14ac:dyDescent="0.25">
      <c r="A2809" s="37"/>
      <c r="B2809" s="37"/>
      <c r="C2809" s="37"/>
      <c r="F2809" s="38"/>
      <c r="G2809" s="38"/>
      <c r="H2809" s="38"/>
      <c r="I2809" s="37"/>
      <c r="J2809" s="38"/>
      <c r="K2809" s="38"/>
      <c r="L2809" s="42"/>
      <c r="M2809" s="42"/>
      <c r="N2809" s="42"/>
      <c r="O2809" s="42"/>
      <c r="R2809" s="37"/>
      <c r="S2809" s="37"/>
      <c r="T2809" s="91"/>
      <c r="U2809" s="91"/>
      <c r="V2809" s="41"/>
      <c r="W2809" s="37"/>
      <c r="X2809" s="37"/>
      <c r="Y2809" s="43"/>
      <c r="Z2809" s="37"/>
      <c r="AA2809" s="37"/>
      <c r="AD2809" s="37"/>
      <c r="AE2809" s="37"/>
      <c r="AF2809" s="37"/>
    </row>
    <row r="2810" spans="1:32" x14ac:dyDescent="0.25">
      <c r="A2810" s="37"/>
      <c r="B2810" s="37"/>
      <c r="C2810" s="37"/>
      <c r="F2810" s="38"/>
      <c r="G2810" s="38"/>
      <c r="H2810" s="38"/>
      <c r="I2810" s="37"/>
      <c r="J2810" s="38"/>
      <c r="K2810" s="38"/>
      <c r="L2810" s="42"/>
      <c r="M2810" s="42"/>
      <c r="N2810" s="42"/>
      <c r="O2810" s="42"/>
      <c r="R2810" s="37"/>
      <c r="S2810" s="37"/>
      <c r="T2810" s="91"/>
      <c r="U2810" s="91"/>
      <c r="V2810" s="41"/>
      <c r="W2810" s="37"/>
      <c r="X2810" s="37"/>
      <c r="Y2810" s="43"/>
      <c r="Z2810" s="37"/>
      <c r="AA2810" s="37"/>
      <c r="AD2810" s="37"/>
      <c r="AE2810" s="37"/>
      <c r="AF2810" s="37"/>
    </row>
    <row r="2811" spans="1:32" x14ac:dyDescent="0.25">
      <c r="A2811" s="37"/>
      <c r="B2811" s="37"/>
      <c r="C2811" s="37"/>
      <c r="F2811" s="38"/>
      <c r="G2811" s="38"/>
      <c r="H2811" s="38"/>
      <c r="I2811" s="37"/>
      <c r="J2811" s="38"/>
      <c r="K2811" s="38"/>
      <c r="L2811" s="42"/>
      <c r="M2811" s="42"/>
      <c r="N2811" s="42"/>
      <c r="O2811" s="42"/>
      <c r="R2811" s="37"/>
      <c r="S2811" s="37"/>
      <c r="T2811" s="91"/>
      <c r="U2811" s="91"/>
      <c r="V2811" s="41"/>
      <c r="W2811" s="37"/>
      <c r="X2811" s="37"/>
      <c r="Y2811" s="43"/>
      <c r="Z2811" s="37"/>
      <c r="AA2811" s="37"/>
      <c r="AD2811" s="37"/>
      <c r="AE2811" s="37"/>
      <c r="AF2811" s="37"/>
    </row>
    <row r="2812" spans="1:32" x14ac:dyDescent="0.25">
      <c r="A2812" s="37"/>
      <c r="B2812" s="37"/>
      <c r="C2812" s="37"/>
      <c r="F2812" s="38"/>
      <c r="G2812" s="38"/>
      <c r="H2812" s="38"/>
      <c r="I2812" s="37"/>
      <c r="J2812" s="38"/>
      <c r="K2812" s="38"/>
      <c r="L2812" s="42"/>
      <c r="M2812" s="42"/>
      <c r="N2812" s="42"/>
      <c r="O2812" s="42"/>
      <c r="R2812" s="37"/>
      <c r="S2812" s="37"/>
      <c r="T2812" s="91"/>
      <c r="U2812" s="91"/>
      <c r="V2812" s="41"/>
      <c r="W2812" s="37"/>
      <c r="X2812" s="37"/>
      <c r="Y2812" s="43"/>
      <c r="Z2812" s="37"/>
      <c r="AA2812" s="37"/>
      <c r="AD2812" s="37"/>
      <c r="AE2812" s="37"/>
      <c r="AF2812" s="37"/>
    </row>
    <row r="2813" spans="1:32" x14ac:dyDescent="0.25">
      <c r="A2813" s="37"/>
      <c r="B2813" s="37"/>
      <c r="C2813" s="37"/>
      <c r="F2813" s="38"/>
      <c r="G2813" s="38"/>
      <c r="H2813" s="38"/>
      <c r="I2813" s="37"/>
      <c r="J2813" s="38"/>
      <c r="K2813" s="38"/>
      <c r="L2813" s="42"/>
      <c r="M2813" s="42"/>
      <c r="N2813" s="42"/>
      <c r="O2813" s="42"/>
      <c r="R2813" s="37"/>
      <c r="S2813" s="37"/>
      <c r="T2813" s="91"/>
      <c r="U2813" s="91"/>
      <c r="V2813" s="41"/>
      <c r="W2813" s="37"/>
      <c r="X2813" s="37"/>
      <c r="Y2813" s="43"/>
      <c r="Z2813" s="37"/>
      <c r="AA2813" s="37"/>
      <c r="AD2813" s="37"/>
      <c r="AE2813" s="37"/>
      <c r="AF2813" s="37"/>
    </row>
    <row r="2814" spans="1:32" x14ac:dyDescent="0.25">
      <c r="A2814" s="37"/>
      <c r="B2814" s="37"/>
      <c r="C2814" s="37"/>
      <c r="F2814" s="38"/>
      <c r="G2814" s="38"/>
      <c r="H2814" s="38"/>
      <c r="I2814" s="37"/>
      <c r="J2814" s="38"/>
      <c r="K2814" s="38"/>
      <c r="L2814" s="42"/>
      <c r="M2814" s="42"/>
      <c r="N2814" s="42"/>
      <c r="O2814" s="42"/>
      <c r="R2814" s="37"/>
      <c r="S2814" s="37"/>
      <c r="T2814" s="91"/>
      <c r="U2814" s="91"/>
      <c r="V2814" s="41"/>
      <c r="W2814" s="37"/>
      <c r="X2814" s="37"/>
      <c r="Y2814" s="43"/>
      <c r="Z2814" s="37"/>
      <c r="AA2814" s="37"/>
      <c r="AD2814" s="37"/>
      <c r="AE2814" s="37"/>
      <c r="AF2814" s="37"/>
    </row>
    <row r="2815" spans="1:32" x14ac:dyDescent="0.25">
      <c r="A2815" s="37"/>
      <c r="B2815" s="37"/>
      <c r="C2815" s="37"/>
      <c r="F2815" s="38"/>
      <c r="G2815" s="38"/>
      <c r="H2815" s="38"/>
      <c r="I2815" s="37"/>
      <c r="J2815" s="38"/>
      <c r="K2815" s="38"/>
      <c r="L2815" s="42"/>
      <c r="M2815" s="42"/>
      <c r="N2815" s="42"/>
      <c r="O2815" s="42"/>
      <c r="R2815" s="37"/>
      <c r="S2815" s="37"/>
      <c r="T2815" s="91"/>
      <c r="U2815" s="91"/>
      <c r="V2815" s="41"/>
      <c r="W2815" s="37"/>
      <c r="X2815" s="37"/>
      <c r="Y2815" s="43"/>
      <c r="Z2815" s="37"/>
      <c r="AA2815" s="37"/>
      <c r="AD2815" s="37"/>
      <c r="AE2815" s="37"/>
      <c r="AF2815" s="37"/>
    </row>
    <row r="2816" spans="1:32" x14ac:dyDescent="0.25">
      <c r="A2816" s="37"/>
      <c r="B2816" s="37"/>
      <c r="C2816" s="37"/>
      <c r="F2816" s="38"/>
      <c r="G2816" s="38"/>
      <c r="H2816" s="38"/>
      <c r="I2816" s="37"/>
      <c r="J2816" s="38"/>
      <c r="K2816" s="38"/>
      <c r="L2816" s="42"/>
      <c r="M2816" s="42"/>
      <c r="N2816" s="42"/>
      <c r="O2816" s="42"/>
      <c r="R2816" s="37"/>
      <c r="S2816" s="37"/>
      <c r="T2816" s="91"/>
      <c r="U2816" s="91"/>
      <c r="V2816" s="41"/>
      <c r="W2816" s="37"/>
      <c r="X2816" s="37"/>
      <c r="Y2816" s="43"/>
      <c r="Z2816" s="37"/>
      <c r="AA2816" s="37"/>
      <c r="AD2816" s="37"/>
      <c r="AE2816" s="37"/>
      <c r="AF2816" s="37"/>
    </row>
    <row r="2817" spans="1:32" x14ac:dyDescent="0.25">
      <c r="A2817" s="37"/>
      <c r="B2817" s="37"/>
      <c r="C2817" s="37"/>
      <c r="F2817" s="38"/>
      <c r="G2817" s="38"/>
      <c r="H2817" s="38"/>
      <c r="I2817" s="37"/>
      <c r="J2817" s="38"/>
      <c r="K2817" s="38"/>
      <c r="L2817" s="42"/>
      <c r="M2817" s="42"/>
      <c r="N2817" s="42"/>
      <c r="O2817" s="42"/>
      <c r="R2817" s="37"/>
      <c r="S2817" s="37"/>
      <c r="T2817" s="91"/>
      <c r="U2817" s="91"/>
      <c r="V2817" s="41"/>
      <c r="W2817" s="37"/>
      <c r="X2817" s="37"/>
      <c r="Y2817" s="43"/>
      <c r="Z2817" s="37"/>
      <c r="AA2817" s="37"/>
      <c r="AD2817" s="37"/>
      <c r="AE2817" s="37"/>
      <c r="AF2817" s="37"/>
    </row>
    <row r="2818" spans="1:32" x14ac:dyDescent="0.25">
      <c r="A2818" s="37"/>
      <c r="B2818" s="37"/>
      <c r="C2818" s="37"/>
      <c r="F2818" s="38"/>
      <c r="G2818" s="38"/>
      <c r="H2818" s="38"/>
      <c r="I2818" s="37"/>
      <c r="J2818" s="38"/>
      <c r="K2818" s="38"/>
      <c r="L2818" s="42"/>
      <c r="M2818" s="42"/>
      <c r="N2818" s="42"/>
      <c r="O2818" s="42"/>
      <c r="R2818" s="37"/>
      <c r="S2818" s="37"/>
      <c r="T2818" s="91"/>
      <c r="U2818" s="91"/>
      <c r="V2818" s="41"/>
      <c r="W2818" s="37"/>
      <c r="X2818" s="37"/>
      <c r="Y2818" s="43"/>
      <c r="Z2818" s="37"/>
      <c r="AA2818" s="37"/>
      <c r="AD2818" s="37"/>
      <c r="AE2818" s="37"/>
      <c r="AF2818" s="37"/>
    </row>
    <row r="2819" spans="1:32" x14ac:dyDescent="0.25">
      <c r="A2819" s="37"/>
      <c r="B2819" s="37"/>
      <c r="C2819" s="37"/>
      <c r="F2819" s="38"/>
      <c r="G2819" s="38"/>
      <c r="H2819" s="38"/>
      <c r="I2819" s="37"/>
      <c r="J2819" s="38"/>
      <c r="K2819" s="38"/>
      <c r="L2819" s="42"/>
      <c r="M2819" s="42"/>
      <c r="N2819" s="42"/>
      <c r="O2819" s="42"/>
      <c r="R2819" s="37"/>
      <c r="S2819" s="37"/>
      <c r="T2819" s="91"/>
      <c r="U2819" s="91"/>
      <c r="V2819" s="41"/>
      <c r="W2819" s="37"/>
      <c r="X2819" s="37"/>
      <c r="Y2819" s="43"/>
      <c r="Z2819" s="37"/>
      <c r="AA2819" s="37"/>
      <c r="AD2819" s="37"/>
      <c r="AE2819" s="37"/>
      <c r="AF2819" s="37"/>
    </row>
    <row r="2820" spans="1:32" x14ac:dyDescent="0.25">
      <c r="A2820" s="37"/>
      <c r="B2820" s="37"/>
      <c r="C2820" s="37"/>
      <c r="F2820" s="38"/>
      <c r="G2820" s="38"/>
      <c r="H2820" s="38"/>
      <c r="I2820" s="37"/>
      <c r="J2820" s="38"/>
      <c r="K2820" s="38"/>
      <c r="L2820" s="42"/>
      <c r="M2820" s="42"/>
      <c r="N2820" s="42"/>
      <c r="O2820" s="42"/>
      <c r="R2820" s="37"/>
      <c r="S2820" s="37"/>
      <c r="T2820" s="91"/>
      <c r="U2820" s="91"/>
      <c r="V2820" s="41"/>
      <c r="W2820" s="37"/>
      <c r="X2820" s="37"/>
      <c r="Y2820" s="43"/>
      <c r="Z2820" s="37"/>
      <c r="AA2820" s="37"/>
      <c r="AD2820" s="37"/>
      <c r="AE2820" s="37"/>
      <c r="AF2820" s="37"/>
    </row>
    <row r="2821" spans="1:32" x14ac:dyDescent="0.25">
      <c r="A2821" s="37"/>
      <c r="B2821" s="37"/>
      <c r="C2821" s="37"/>
      <c r="F2821" s="38"/>
      <c r="G2821" s="38"/>
      <c r="H2821" s="38"/>
      <c r="I2821" s="37"/>
      <c r="J2821" s="38"/>
      <c r="K2821" s="38"/>
      <c r="L2821" s="42"/>
      <c r="M2821" s="42"/>
      <c r="N2821" s="42"/>
      <c r="O2821" s="42"/>
      <c r="R2821" s="37"/>
      <c r="S2821" s="37"/>
      <c r="T2821" s="91"/>
      <c r="U2821" s="91"/>
      <c r="V2821" s="41"/>
      <c r="W2821" s="37"/>
      <c r="X2821" s="37"/>
      <c r="Y2821" s="43"/>
      <c r="Z2821" s="37"/>
      <c r="AA2821" s="37"/>
      <c r="AD2821" s="37"/>
      <c r="AE2821" s="37"/>
      <c r="AF2821" s="37"/>
    </row>
    <row r="2822" spans="1:32" x14ac:dyDescent="0.25">
      <c r="A2822" s="37"/>
      <c r="B2822" s="37"/>
      <c r="C2822" s="37"/>
      <c r="F2822" s="38"/>
      <c r="G2822" s="38"/>
      <c r="H2822" s="38"/>
      <c r="I2822" s="37"/>
      <c r="J2822" s="38"/>
      <c r="K2822" s="38"/>
      <c r="L2822" s="42"/>
      <c r="M2822" s="42"/>
      <c r="N2822" s="42"/>
      <c r="O2822" s="42"/>
      <c r="R2822" s="37"/>
      <c r="S2822" s="37"/>
      <c r="T2822" s="91"/>
      <c r="U2822" s="91"/>
      <c r="V2822" s="41"/>
      <c r="W2822" s="37"/>
      <c r="X2822" s="37"/>
      <c r="Y2822" s="43"/>
      <c r="Z2822" s="37"/>
      <c r="AA2822" s="37"/>
      <c r="AD2822" s="37"/>
      <c r="AE2822" s="37"/>
      <c r="AF2822" s="37"/>
    </row>
    <row r="2823" spans="1:32" x14ac:dyDescent="0.25">
      <c r="A2823" s="37"/>
      <c r="B2823" s="37"/>
      <c r="C2823" s="37"/>
      <c r="F2823" s="38"/>
      <c r="G2823" s="38"/>
      <c r="H2823" s="38"/>
      <c r="I2823" s="37"/>
      <c r="J2823" s="38"/>
      <c r="K2823" s="38"/>
      <c r="L2823" s="42"/>
      <c r="M2823" s="42"/>
      <c r="N2823" s="42"/>
      <c r="O2823" s="42"/>
      <c r="R2823" s="37"/>
      <c r="S2823" s="37"/>
      <c r="T2823" s="91"/>
      <c r="U2823" s="91"/>
      <c r="V2823" s="41"/>
      <c r="W2823" s="37"/>
      <c r="X2823" s="37"/>
      <c r="Y2823" s="43"/>
      <c r="Z2823" s="37"/>
      <c r="AA2823" s="37"/>
      <c r="AD2823" s="37"/>
      <c r="AE2823" s="37"/>
      <c r="AF2823" s="37"/>
    </row>
    <row r="2824" spans="1:32" x14ac:dyDescent="0.25">
      <c r="A2824" s="37"/>
      <c r="B2824" s="37"/>
      <c r="C2824" s="37"/>
      <c r="F2824" s="38"/>
      <c r="G2824" s="38"/>
      <c r="H2824" s="38"/>
      <c r="I2824" s="37"/>
      <c r="J2824" s="38"/>
      <c r="K2824" s="38"/>
      <c r="L2824" s="42"/>
      <c r="M2824" s="42"/>
      <c r="N2824" s="42"/>
      <c r="O2824" s="42"/>
      <c r="R2824" s="37"/>
      <c r="S2824" s="37"/>
      <c r="T2824" s="91"/>
      <c r="U2824" s="91"/>
      <c r="V2824" s="41"/>
      <c r="W2824" s="37"/>
      <c r="X2824" s="37"/>
      <c r="Y2824" s="43"/>
      <c r="Z2824" s="37"/>
      <c r="AA2824" s="37"/>
      <c r="AD2824" s="37"/>
      <c r="AE2824" s="37"/>
      <c r="AF2824" s="37"/>
    </row>
    <row r="2825" spans="1:32" x14ac:dyDescent="0.25">
      <c r="A2825" s="37"/>
      <c r="B2825" s="37"/>
      <c r="C2825" s="37"/>
      <c r="F2825" s="38"/>
      <c r="G2825" s="38"/>
      <c r="H2825" s="38"/>
      <c r="I2825" s="37"/>
      <c r="J2825" s="38"/>
      <c r="K2825" s="38"/>
      <c r="L2825" s="42"/>
      <c r="M2825" s="42"/>
      <c r="N2825" s="42"/>
      <c r="O2825" s="42"/>
      <c r="R2825" s="37"/>
      <c r="S2825" s="37"/>
      <c r="T2825" s="91"/>
      <c r="U2825" s="91"/>
      <c r="V2825" s="41"/>
      <c r="W2825" s="37"/>
      <c r="X2825" s="37"/>
      <c r="Y2825" s="43"/>
      <c r="Z2825" s="37"/>
      <c r="AA2825" s="37"/>
      <c r="AD2825" s="37"/>
      <c r="AE2825" s="37"/>
      <c r="AF2825" s="37"/>
    </row>
    <row r="2826" spans="1:32" x14ac:dyDescent="0.25">
      <c r="A2826" s="37"/>
      <c r="B2826" s="37"/>
      <c r="C2826" s="37"/>
      <c r="F2826" s="38"/>
      <c r="G2826" s="38"/>
      <c r="H2826" s="38"/>
      <c r="I2826" s="37"/>
      <c r="J2826" s="38"/>
      <c r="K2826" s="38"/>
      <c r="L2826" s="42"/>
      <c r="M2826" s="42"/>
      <c r="N2826" s="42"/>
      <c r="O2826" s="42"/>
      <c r="R2826" s="37"/>
      <c r="S2826" s="37"/>
      <c r="T2826" s="91"/>
      <c r="U2826" s="91"/>
      <c r="V2826" s="41"/>
      <c r="W2826" s="37"/>
      <c r="X2826" s="37"/>
      <c r="Y2826" s="43"/>
      <c r="Z2826" s="37"/>
      <c r="AA2826" s="37"/>
      <c r="AD2826" s="37"/>
      <c r="AE2826" s="37"/>
      <c r="AF2826" s="37"/>
    </row>
    <row r="2827" spans="1:32" x14ac:dyDescent="0.25">
      <c r="A2827" s="37"/>
      <c r="B2827" s="37"/>
      <c r="C2827" s="37"/>
      <c r="F2827" s="38"/>
      <c r="G2827" s="38"/>
      <c r="H2827" s="38"/>
      <c r="I2827" s="37"/>
      <c r="J2827" s="38"/>
      <c r="K2827" s="38"/>
      <c r="L2827" s="42"/>
      <c r="M2827" s="42"/>
      <c r="N2827" s="42"/>
      <c r="O2827" s="42"/>
      <c r="R2827" s="37"/>
      <c r="S2827" s="37"/>
      <c r="T2827" s="91"/>
      <c r="U2827" s="91"/>
      <c r="V2827" s="41"/>
      <c r="W2827" s="37"/>
      <c r="X2827" s="37"/>
      <c r="Y2827" s="43"/>
      <c r="Z2827" s="37"/>
      <c r="AA2827" s="37"/>
      <c r="AD2827" s="37"/>
      <c r="AE2827" s="37"/>
      <c r="AF2827" s="37"/>
    </row>
    <row r="2828" spans="1:32" x14ac:dyDescent="0.25">
      <c r="A2828" s="37"/>
      <c r="B2828" s="37"/>
      <c r="C2828" s="37"/>
      <c r="F2828" s="38"/>
      <c r="G2828" s="38"/>
      <c r="H2828" s="38"/>
      <c r="I2828" s="37"/>
      <c r="J2828" s="38"/>
      <c r="K2828" s="38"/>
      <c r="L2828" s="42"/>
      <c r="M2828" s="42"/>
      <c r="N2828" s="42"/>
      <c r="O2828" s="42"/>
      <c r="R2828" s="37"/>
      <c r="S2828" s="37"/>
      <c r="T2828" s="91"/>
      <c r="U2828" s="91"/>
      <c r="V2828" s="41"/>
      <c r="W2828" s="37"/>
      <c r="X2828" s="37"/>
      <c r="Y2828" s="43"/>
      <c r="Z2828" s="37"/>
      <c r="AA2828" s="37"/>
      <c r="AD2828" s="37"/>
      <c r="AE2828" s="37"/>
      <c r="AF2828" s="37"/>
    </row>
    <row r="2829" spans="1:32" x14ac:dyDescent="0.25">
      <c r="A2829" s="37"/>
      <c r="B2829" s="37"/>
      <c r="C2829" s="37"/>
      <c r="F2829" s="38"/>
      <c r="G2829" s="38"/>
      <c r="H2829" s="38"/>
      <c r="I2829" s="37"/>
      <c r="J2829" s="38"/>
      <c r="K2829" s="38"/>
      <c r="L2829" s="42"/>
      <c r="M2829" s="42"/>
      <c r="N2829" s="42"/>
      <c r="O2829" s="42"/>
      <c r="R2829" s="37"/>
      <c r="S2829" s="37"/>
      <c r="T2829" s="91"/>
      <c r="U2829" s="91"/>
      <c r="V2829" s="41"/>
      <c r="W2829" s="37"/>
      <c r="X2829" s="37"/>
      <c r="Y2829" s="43"/>
      <c r="Z2829" s="37"/>
      <c r="AA2829" s="37"/>
      <c r="AD2829" s="37"/>
      <c r="AE2829" s="37"/>
      <c r="AF2829" s="37"/>
    </row>
    <row r="2830" spans="1:32" x14ac:dyDescent="0.25">
      <c r="A2830" s="37"/>
      <c r="B2830" s="37"/>
      <c r="C2830" s="37"/>
      <c r="F2830" s="38"/>
      <c r="G2830" s="38"/>
      <c r="H2830" s="38"/>
      <c r="I2830" s="37"/>
      <c r="J2830" s="38"/>
      <c r="K2830" s="38"/>
      <c r="L2830" s="42"/>
      <c r="M2830" s="42"/>
      <c r="N2830" s="42"/>
      <c r="O2830" s="42"/>
      <c r="R2830" s="37"/>
      <c r="S2830" s="37"/>
      <c r="T2830" s="91"/>
      <c r="U2830" s="91"/>
      <c r="V2830" s="41"/>
      <c r="W2830" s="37"/>
      <c r="X2830" s="37"/>
      <c r="Y2830" s="43"/>
      <c r="Z2830" s="37"/>
      <c r="AA2830" s="37"/>
      <c r="AD2830" s="37"/>
      <c r="AE2830" s="37"/>
      <c r="AF2830" s="37"/>
    </row>
    <row r="2831" spans="1:32" x14ac:dyDescent="0.25">
      <c r="A2831" s="37"/>
      <c r="B2831" s="37"/>
      <c r="C2831" s="37"/>
      <c r="F2831" s="38"/>
      <c r="G2831" s="38"/>
      <c r="H2831" s="38"/>
      <c r="I2831" s="37"/>
      <c r="J2831" s="38"/>
      <c r="K2831" s="38"/>
      <c r="L2831" s="42"/>
      <c r="M2831" s="42"/>
      <c r="N2831" s="42"/>
      <c r="O2831" s="42"/>
      <c r="R2831" s="37"/>
      <c r="S2831" s="37"/>
      <c r="T2831" s="91"/>
      <c r="U2831" s="91"/>
      <c r="V2831" s="41"/>
      <c r="W2831" s="37"/>
      <c r="X2831" s="37"/>
      <c r="Y2831" s="43"/>
      <c r="Z2831" s="37"/>
      <c r="AA2831" s="37"/>
      <c r="AD2831" s="37"/>
      <c r="AE2831" s="37"/>
      <c r="AF2831" s="37"/>
    </row>
    <row r="2832" spans="1:32" x14ac:dyDescent="0.25">
      <c r="A2832" s="37"/>
      <c r="B2832" s="37"/>
      <c r="C2832" s="37"/>
      <c r="F2832" s="38"/>
      <c r="G2832" s="38"/>
      <c r="H2832" s="38"/>
      <c r="I2832" s="37"/>
      <c r="J2832" s="38"/>
      <c r="K2832" s="38"/>
      <c r="L2832" s="42"/>
      <c r="M2832" s="42"/>
      <c r="N2832" s="42"/>
      <c r="O2832" s="42"/>
      <c r="R2832" s="37"/>
      <c r="S2832" s="37"/>
      <c r="T2832" s="91"/>
      <c r="U2832" s="91"/>
      <c r="V2832" s="41"/>
      <c r="W2832" s="37"/>
      <c r="X2832" s="37"/>
      <c r="Y2832" s="43"/>
      <c r="Z2832" s="37"/>
      <c r="AA2832" s="37"/>
      <c r="AD2832" s="37"/>
      <c r="AE2832" s="37"/>
      <c r="AF2832" s="37"/>
    </row>
    <row r="2833" spans="1:32" x14ac:dyDescent="0.25">
      <c r="A2833" s="37"/>
      <c r="B2833" s="37"/>
      <c r="C2833" s="37"/>
      <c r="F2833" s="38"/>
      <c r="G2833" s="38"/>
      <c r="H2833" s="38"/>
      <c r="I2833" s="37"/>
      <c r="J2833" s="38"/>
      <c r="K2833" s="38"/>
      <c r="L2833" s="42"/>
      <c r="M2833" s="42"/>
      <c r="N2833" s="42"/>
      <c r="O2833" s="42"/>
      <c r="R2833" s="37"/>
      <c r="S2833" s="37"/>
      <c r="T2833" s="91"/>
      <c r="U2833" s="91"/>
      <c r="V2833" s="41"/>
      <c r="W2833" s="37"/>
      <c r="X2833" s="37"/>
      <c r="Y2833" s="43"/>
      <c r="Z2833" s="37"/>
      <c r="AA2833" s="37"/>
      <c r="AD2833" s="37"/>
      <c r="AE2833" s="37"/>
      <c r="AF2833" s="37"/>
    </row>
    <row r="2834" spans="1:32" x14ac:dyDescent="0.25">
      <c r="A2834" s="37"/>
      <c r="B2834" s="37"/>
      <c r="C2834" s="37"/>
      <c r="F2834" s="38"/>
      <c r="G2834" s="38"/>
      <c r="H2834" s="38"/>
      <c r="I2834" s="37"/>
      <c r="J2834" s="38"/>
      <c r="K2834" s="38"/>
      <c r="L2834" s="42"/>
      <c r="M2834" s="42"/>
      <c r="N2834" s="42"/>
      <c r="O2834" s="42"/>
      <c r="R2834" s="37"/>
      <c r="S2834" s="37"/>
      <c r="T2834" s="91"/>
      <c r="U2834" s="91"/>
      <c r="V2834" s="41"/>
      <c r="W2834" s="37"/>
      <c r="X2834" s="37"/>
      <c r="Y2834" s="43"/>
      <c r="Z2834" s="37"/>
      <c r="AA2834" s="37"/>
      <c r="AD2834" s="37"/>
      <c r="AE2834" s="37"/>
      <c r="AF2834" s="37"/>
    </row>
    <row r="2835" spans="1:32" x14ac:dyDescent="0.25">
      <c r="A2835" s="37"/>
      <c r="B2835" s="37"/>
      <c r="C2835" s="37"/>
      <c r="F2835" s="38"/>
      <c r="G2835" s="38"/>
      <c r="H2835" s="38"/>
      <c r="I2835" s="37"/>
      <c r="J2835" s="38"/>
      <c r="K2835" s="38"/>
      <c r="L2835" s="42"/>
      <c r="M2835" s="42"/>
      <c r="N2835" s="42"/>
      <c r="O2835" s="42"/>
      <c r="R2835" s="37"/>
      <c r="S2835" s="37"/>
      <c r="T2835" s="91"/>
      <c r="U2835" s="91"/>
      <c r="V2835" s="41"/>
      <c r="W2835" s="37"/>
      <c r="X2835" s="37"/>
      <c r="Y2835" s="43"/>
      <c r="Z2835" s="37"/>
      <c r="AA2835" s="37"/>
      <c r="AD2835" s="37"/>
      <c r="AE2835" s="37"/>
      <c r="AF2835" s="37"/>
    </row>
    <row r="2836" spans="1:32" x14ac:dyDescent="0.25">
      <c r="A2836" s="37"/>
      <c r="B2836" s="37"/>
      <c r="C2836" s="37"/>
      <c r="F2836" s="38"/>
      <c r="G2836" s="38"/>
      <c r="H2836" s="38"/>
      <c r="I2836" s="37"/>
      <c r="J2836" s="38"/>
      <c r="K2836" s="38"/>
      <c r="L2836" s="42"/>
      <c r="M2836" s="42"/>
      <c r="N2836" s="42"/>
      <c r="O2836" s="42"/>
      <c r="R2836" s="37"/>
      <c r="S2836" s="37"/>
      <c r="T2836" s="91"/>
      <c r="U2836" s="91"/>
      <c r="V2836" s="41"/>
      <c r="W2836" s="37"/>
      <c r="X2836" s="37"/>
      <c r="Y2836" s="43"/>
      <c r="Z2836" s="37"/>
      <c r="AA2836" s="37"/>
      <c r="AD2836" s="37"/>
      <c r="AE2836" s="37"/>
      <c r="AF2836" s="37"/>
    </row>
    <row r="2837" spans="1:32" x14ac:dyDescent="0.25">
      <c r="A2837" s="37"/>
      <c r="B2837" s="37"/>
      <c r="C2837" s="37"/>
      <c r="F2837" s="38"/>
      <c r="G2837" s="38"/>
      <c r="H2837" s="38"/>
      <c r="I2837" s="37"/>
      <c r="J2837" s="38"/>
      <c r="K2837" s="38"/>
      <c r="L2837" s="42"/>
      <c r="M2837" s="42"/>
      <c r="N2837" s="42"/>
      <c r="O2837" s="42"/>
      <c r="R2837" s="37"/>
      <c r="S2837" s="37"/>
      <c r="T2837" s="91"/>
      <c r="U2837" s="91"/>
      <c r="V2837" s="41"/>
      <c r="W2837" s="37"/>
      <c r="X2837" s="37"/>
      <c r="Y2837" s="43"/>
      <c r="Z2837" s="37"/>
      <c r="AA2837" s="37"/>
      <c r="AD2837" s="37"/>
      <c r="AE2837" s="37"/>
      <c r="AF2837" s="37"/>
    </row>
    <row r="2838" spans="1:32" x14ac:dyDescent="0.25">
      <c r="A2838" s="37"/>
      <c r="B2838" s="37"/>
      <c r="C2838" s="37"/>
      <c r="F2838" s="38"/>
      <c r="G2838" s="38"/>
      <c r="H2838" s="38"/>
      <c r="I2838" s="37"/>
      <c r="J2838" s="38"/>
      <c r="K2838" s="38"/>
      <c r="L2838" s="42"/>
      <c r="M2838" s="42"/>
      <c r="N2838" s="42"/>
      <c r="O2838" s="42"/>
      <c r="R2838" s="37"/>
      <c r="S2838" s="37"/>
      <c r="T2838" s="91"/>
      <c r="U2838" s="91"/>
      <c r="V2838" s="41"/>
      <c r="W2838" s="37"/>
      <c r="X2838" s="37"/>
      <c r="Y2838" s="43"/>
      <c r="Z2838" s="37"/>
      <c r="AA2838" s="37"/>
      <c r="AD2838" s="37"/>
      <c r="AE2838" s="37"/>
      <c r="AF2838" s="37"/>
    </row>
    <row r="2839" spans="1:32" x14ac:dyDescent="0.25">
      <c r="A2839" s="37"/>
      <c r="B2839" s="37"/>
      <c r="C2839" s="37"/>
      <c r="F2839" s="38"/>
      <c r="G2839" s="38"/>
      <c r="H2839" s="38"/>
      <c r="I2839" s="37"/>
      <c r="J2839" s="38"/>
      <c r="K2839" s="38"/>
      <c r="L2839" s="42"/>
      <c r="M2839" s="42"/>
      <c r="N2839" s="42"/>
      <c r="O2839" s="42"/>
      <c r="R2839" s="37"/>
      <c r="S2839" s="37"/>
      <c r="T2839" s="91"/>
      <c r="U2839" s="91"/>
      <c r="V2839" s="41"/>
      <c r="W2839" s="37"/>
      <c r="X2839" s="37"/>
      <c r="Y2839" s="43"/>
      <c r="Z2839" s="37"/>
      <c r="AA2839" s="37"/>
      <c r="AD2839" s="37"/>
      <c r="AE2839" s="37"/>
      <c r="AF2839" s="37"/>
    </row>
    <row r="2840" spans="1:32" x14ac:dyDescent="0.25">
      <c r="A2840" s="37"/>
      <c r="B2840" s="37"/>
      <c r="C2840" s="37"/>
      <c r="F2840" s="38"/>
      <c r="G2840" s="38"/>
      <c r="H2840" s="38"/>
      <c r="I2840" s="37"/>
      <c r="J2840" s="38"/>
      <c r="K2840" s="38"/>
      <c r="L2840" s="42"/>
      <c r="M2840" s="42"/>
      <c r="N2840" s="42"/>
      <c r="O2840" s="42"/>
      <c r="R2840" s="37"/>
      <c r="S2840" s="37"/>
      <c r="T2840" s="91"/>
      <c r="U2840" s="91"/>
      <c r="V2840" s="41"/>
      <c r="W2840" s="37"/>
      <c r="X2840" s="37"/>
      <c r="Y2840" s="43"/>
      <c r="Z2840" s="37"/>
      <c r="AA2840" s="37"/>
      <c r="AD2840" s="37"/>
      <c r="AE2840" s="37"/>
      <c r="AF2840" s="37"/>
    </row>
    <row r="2841" spans="1:32" x14ac:dyDescent="0.25">
      <c r="A2841" s="37"/>
      <c r="B2841" s="37"/>
      <c r="C2841" s="37"/>
      <c r="F2841" s="38"/>
      <c r="G2841" s="38"/>
      <c r="H2841" s="38"/>
      <c r="I2841" s="37"/>
      <c r="J2841" s="38"/>
      <c r="K2841" s="38"/>
      <c r="L2841" s="42"/>
      <c r="M2841" s="42"/>
      <c r="N2841" s="42"/>
      <c r="O2841" s="42"/>
      <c r="R2841" s="37"/>
      <c r="S2841" s="37"/>
      <c r="T2841" s="91"/>
      <c r="U2841" s="91"/>
      <c r="V2841" s="41"/>
      <c r="W2841" s="37"/>
      <c r="X2841" s="37"/>
      <c r="Y2841" s="43"/>
      <c r="Z2841" s="37"/>
      <c r="AA2841" s="37"/>
      <c r="AD2841" s="37"/>
      <c r="AE2841" s="37"/>
      <c r="AF2841" s="37"/>
    </row>
    <row r="2842" spans="1:32" x14ac:dyDescent="0.25">
      <c r="A2842" s="37"/>
      <c r="B2842" s="37"/>
      <c r="C2842" s="37"/>
      <c r="F2842" s="38"/>
      <c r="G2842" s="38"/>
      <c r="H2842" s="38"/>
      <c r="I2842" s="37"/>
      <c r="J2842" s="38"/>
      <c r="K2842" s="38"/>
      <c r="L2842" s="42"/>
      <c r="M2842" s="42"/>
      <c r="N2842" s="42"/>
      <c r="O2842" s="42"/>
      <c r="R2842" s="37"/>
      <c r="S2842" s="37"/>
      <c r="T2842" s="91"/>
      <c r="U2842" s="91"/>
      <c r="V2842" s="41"/>
      <c r="W2842" s="37"/>
      <c r="X2842" s="37"/>
      <c r="Y2842" s="43"/>
      <c r="Z2842" s="37"/>
      <c r="AA2842" s="37"/>
      <c r="AD2842" s="37"/>
      <c r="AE2842" s="37"/>
      <c r="AF2842" s="37"/>
    </row>
    <row r="2843" spans="1:32" x14ac:dyDescent="0.25">
      <c r="A2843" s="37"/>
      <c r="B2843" s="37"/>
      <c r="C2843" s="37"/>
      <c r="F2843" s="38"/>
      <c r="G2843" s="38"/>
      <c r="H2843" s="38"/>
      <c r="I2843" s="37"/>
      <c r="J2843" s="38"/>
      <c r="K2843" s="38"/>
      <c r="L2843" s="42"/>
      <c r="M2843" s="42"/>
      <c r="N2843" s="42"/>
      <c r="O2843" s="42"/>
      <c r="R2843" s="37"/>
      <c r="S2843" s="37"/>
      <c r="T2843" s="91"/>
      <c r="U2843" s="91"/>
      <c r="V2843" s="41"/>
      <c r="W2843" s="37"/>
      <c r="X2843" s="37"/>
      <c r="Y2843" s="43"/>
      <c r="Z2843" s="37"/>
      <c r="AA2843" s="37"/>
      <c r="AD2843" s="37"/>
      <c r="AE2843" s="37"/>
      <c r="AF2843" s="37"/>
    </row>
    <row r="2844" spans="1:32" x14ac:dyDescent="0.25">
      <c r="A2844" s="37"/>
      <c r="B2844" s="37"/>
      <c r="C2844" s="37"/>
      <c r="F2844" s="38"/>
      <c r="G2844" s="38"/>
      <c r="H2844" s="38"/>
      <c r="I2844" s="37"/>
      <c r="J2844" s="38"/>
      <c r="K2844" s="38"/>
      <c r="L2844" s="42"/>
      <c r="M2844" s="42"/>
      <c r="N2844" s="42"/>
      <c r="O2844" s="42"/>
      <c r="R2844" s="37"/>
      <c r="S2844" s="37"/>
      <c r="T2844" s="91"/>
      <c r="U2844" s="91"/>
      <c r="V2844" s="41"/>
      <c r="W2844" s="37"/>
      <c r="X2844" s="37"/>
      <c r="Y2844" s="43"/>
      <c r="Z2844" s="37"/>
      <c r="AA2844" s="37"/>
      <c r="AD2844" s="37"/>
      <c r="AE2844" s="37"/>
      <c r="AF2844" s="37"/>
    </row>
    <row r="2845" spans="1:32" x14ac:dyDescent="0.25">
      <c r="A2845" s="37"/>
      <c r="B2845" s="37"/>
      <c r="C2845" s="37"/>
      <c r="F2845" s="38"/>
      <c r="G2845" s="38"/>
      <c r="H2845" s="38"/>
      <c r="I2845" s="37"/>
      <c r="J2845" s="38"/>
      <c r="K2845" s="38"/>
      <c r="L2845" s="42"/>
      <c r="M2845" s="42"/>
      <c r="N2845" s="42"/>
      <c r="O2845" s="42"/>
      <c r="R2845" s="37"/>
      <c r="S2845" s="37"/>
      <c r="T2845" s="91"/>
      <c r="U2845" s="91"/>
      <c r="V2845" s="41"/>
      <c r="W2845" s="37"/>
      <c r="X2845" s="37"/>
      <c r="Y2845" s="43"/>
      <c r="Z2845" s="37"/>
      <c r="AA2845" s="37"/>
      <c r="AD2845" s="37"/>
      <c r="AE2845" s="37"/>
      <c r="AF2845" s="37"/>
    </row>
    <row r="2846" spans="1:32" x14ac:dyDescent="0.25">
      <c r="A2846" s="37"/>
      <c r="B2846" s="37"/>
      <c r="C2846" s="37"/>
      <c r="F2846" s="38"/>
      <c r="G2846" s="38"/>
      <c r="H2846" s="38"/>
      <c r="I2846" s="37"/>
      <c r="J2846" s="38"/>
      <c r="K2846" s="38"/>
      <c r="L2846" s="42"/>
      <c r="M2846" s="42"/>
      <c r="N2846" s="42"/>
      <c r="O2846" s="42"/>
      <c r="R2846" s="37"/>
      <c r="S2846" s="37"/>
      <c r="T2846" s="91"/>
      <c r="U2846" s="91"/>
      <c r="V2846" s="41"/>
      <c r="W2846" s="37"/>
      <c r="X2846" s="37"/>
      <c r="Y2846" s="43"/>
      <c r="Z2846" s="37"/>
      <c r="AA2846" s="37"/>
      <c r="AD2846" s="37"/>
      <c r="AE2846" s="37"/>
      <c r="AF2846" s="37"/>
    </row>
    <row r="2847" spans="1:32" x14ac:dyDescent="0.25">
      <c r="A2847" s="37"/>
      <c r="B2847" s="37"/>
      <c r="C2847" s="37"/>
      <c r="F2847" s="38"/>
      <c r="G2847" s="38"/>
      <c r="H2847" s="38"/>
      <c r="I2847" s="37"/>
      <c r="J2847" s="38"/>
      <c r="K2847" s="38"/>
      <c r="L2847" s="42"/>
      <c r="M2847" s="42"/>
      <c r="N2847" s="42"/>
      <c r="O2847" s="42"/>
      <c r="R2847" s="37"/>
      <c r="S2847" s="37"/>
      <c r="T2847" s="91"/>
      <c r="U2847" s="91"/>
      <c r="V2847" s="41"/>
      <c r="W2847" s="37"/>
      <c r="X2847" s="37"/>
      <c r="Y2847" s="43"/>
      <c r="Z2847" s="37"/>
      <c r="AA2847" s="37"/>
      <c r="AD2847" s="37"/>
      <c r="AE2847" s="37"/>
      <c r="AF2847" s="37"/>
    </row>
    <row r="2848" spans="1:32" x14ac:dyDescent="0.25">
      <c r="A2848" s="37"/>
      <c r="B2848" s="37"/>
      <c r="C2848" s="37"/>
      <c r="F2848" s="38"/>
      <c r="G2848" s="38"/>
      <c r="H2848" s="38"/>
      <c r="I2848" s="37"/>
      <c r="J2848" s="38"/>
      <c r="K2848" s="38"/>
      <c r="L2848" s="42"/>
      <c r="M2848" s="42"/>
      <c r="N2848" s="42"/>
      <c r="O2848" s="42"/>
      <c r="R2848" s="37"/>
      <c r="S2848" s="37"/>
      <c r="T2848" s="91"/>
      <c r="U2848" s="91"/>
      <c r="V2848" s="41"/>
      <c r="W2848" s="37"/>
      <c r="X2848" s="37"/>
      <c r="Y2848" s="43"/>
      <c r="Z2848" s="37"/>
      <c r="AA2848" s="37"/>
      <c r="AD2848" s="37"/>
      <c r="AE2848" s="37"/>
      <c r="AF2848" s="37"/>
    </row>
    <row r="2849" spans="1:32" x14ac:dyDescent="0.25">
      <c r="A2849" s="37"/>
      <c r="B2849" s="37"/>
      <c r="C2849" s="37"/>
      <c r="F2849" s="38"/>
      <c r="G2849" s="38"/>
      <c r="H2849" s="38"/>
      <c r="I2849" s="37"/>
      <c r="J2849" s="38"/>
      <c r="K2849" s="38"/>
      <c r="L2849" s="42"/>
      <c r="M2849" s="42"/>
      <c r="N2849" s="42"/>
      <c r="O2849" s="42"/>
      <c r="R2849" s="37"/>
      <c r="S2849" s="37"/>
      <c r="T2849" s="91"/>
      <c r="U2849" s="91"/>
      <c r="V2849" s="41"/>
      <c r="W2849" s="37"/>
      <c r="X2849" s="37"/>
      <c r="Y2849" s="43"/>
      <c r="Z2849" s="37"/>
      <c r="AA2849" s="37"/>
      <c r="AD2849" s="37"/>
      <c r="AE2849" s="37"/>
      <c r="AF2849" s="37"/>
    </row>
    <row r="2850" spans="1:32" x14ac:dyDescent="0.25">
      <c r="A2850" s="37"/>
      <c r="B2850" s="37"/>
      <c r="C2850" s="37"/>
      <c r="F2850" s="38"/>
      <c r="G2850" s="38"/>
      <c r="H2850" s="38"/>
      <c r="I2850" s="37"/>
      <c r="J2850" s="38"/>
      <c r="K2850" s="38"/>
      <c r="L2850" s="42"/>
      <c r="M2850" s="42"/>
      <c r="N2850" s="42"/>
      <c r="O2850" s="42"/>
      <c r="R2850" s="37"/>
      <c r="S2850" s="37"/>
      <c r="T2850" s="91"/>
      <c r="U2850" s="91"/>
      <c r="V2850" s="41"/>
      <c r="W2850" s="37"/>
      <c r="X2850" s="37"/>
      <c r="Y2850" s="43"/>
      <c r="Z2850" s="37"/>
      <c r="AA2850" s="37"/>
      <c r="AD2850" s="37"/>
      <c r="AE2850" s="37"/>
      <c r="AF2850" s="37"/>
    </row>
    <row r="2851" spans="1:32" x14ac:dyDescent="0.25">
      <c r="A2851" s="37"/>
      <c r="B2851" s="37"/>
      <c r="C2851" s="37"/>
      <c r="F2851" s="38"/>
      <c r="G2851" s="38"/>
      <c r="H2851" s="38"/>
      <c r="I2851" s="37"/>
      <c r="J2851" s="38"/>
      <c r="K2851" s="38"/>
      <c r="L2851" s="42"/>
      <c r="M2851" s="42"/>
      <c r="N2851" s="42"/>
      <c r="O2851" s="42"/>
      <c r="R2851" s="37"/>
      <c r="S2851" s="37"/>
      <c r="T2851" s="91"/>
      <c r="U2851" s="91"/>
      <c r="V2851" s="41"/>
      <c r="W2851" s="37"/>
      <c r="X2851" s="37"/>
      <c r="Y2851" s="43"/>
      <c r="Z2851" s="37"/>
      <c r="AA2851" s="37"/>
      <c r="AD2851" s="37"/>
      <c r="AE2851" s="37"/>
      <c r="AF2851" s="37"/>
    </row>
    <row r="2852" spans="1:32" x14ac:dyDescent="0.25">
      <c r="A2852" s="37"/>
      <c r="B2852" s="37"/>
      <c r="C2852" s="37"/>
      <c r="F2852" s="38"/>
      <c r="G2852" s="38"/>
      <c r="H2852" s="38"/>
      <c r="I2852" s="37"/>
      <c r="J2852" s="38"/>
      <c r="K2852" s="38"/>
      <c r="L2852" s="42"/>
      <c r="M2852" s="42"/>
      <c r="N2852" s="42"/>
      <c r="O2852" s="42"/>
      <c r="R2852" s="37"/>
      <c r="S2852" s="37"/>
      <c r="T2852" s="91"/>
      <c r="U2852" s="91"/>
      <c r="V2852" s="41"/>
      <c r="W2852" s="37"/>
      <c r="X2852" s="37"/>
      <c r="Y2852" s="43"/>
      <c r="Z2852" s="37"/>
      <c r="AA2852" s="37"/>
      <c r="AD2852" s="37"/>
      <c r="AE2852" s="37"/>
      <c r="AF2852" s="37"/>
    </row>
    <row r="2853" spans="1:32" x14ac:dyDescent="0.25">
      <c r="A2853" s="37"/>
      <c r="B2853" s="37"/>
      <c r="C2853" s="37"/>
      <c r="F2853" s="38"/>
      <c r="G2853" s="38"/>
      <c r="H2853" s="38"/>
      <c r="I2853" s="37"/>
      <c r="J2853" s="38"/>
      <c r="K2853" s="38"/>
      <c r="L2853" s="42"/>
      <c r="M2853" s="42"/>
      <c r="N2853" s="42"/>
      <c r="O2853" s="42"/>
      <c r="R2853" s="37"/>
      <c r="S2853" s="37"/>
      <c r="T2853" s="91"/>
      <c r="U2853" s="91"/>
      <c r="V2853" s="41"/>
      <c r="W2853" s="37"/>
      <c r="X2853" s="37"/>
      <c r="Y2853" s="43"/>
      <c r="Z2853" s="37"/>
      <c r="AA2853" s="37"/>
      <c r="AD2853" s="37"/>
      <c r="AE2853" s="37"/>
      <c r="AF2853" s="37"/>
    </row>
    <row r="2854" spans="1:32" x14ac:dyDescent="0.25">
      <c r="A2854" s="37"/>
      <c r="B2854" s="37"/>
      <c r="C2854" s="37"/>
      <c r="F2854" s="38"/>
      <c r="G2854" s="38"/>
      <c r="H2854" s="38"/>
      <c r="I2854" s="37"/>
      <c r="J2854" s="38"/>
      <c r="K2854" s="38"/>
      <c r="L2854" s="42"/>
      <c r="M2854" s="42"/>
      <c r="N2854" s="42"/>
      <c r="O2854" s="42"/>
      <c r="R2854" s="37"/>
      <c r="S2854" s="37"/>
      <c r="T2854" s="91"/>
      <c r="U2854" s="91"/>
      <c r="V2854" s="41"/>
      <c r="W2854" s="37"/>
      <c r="X2854" s="37"/>
      <c r="Y2854" s="43"/>
      <c r="Z2854" s="37"/>
      <c r="AA2854" s="37"/>
      <c r="AD2854" s="37"/>
      <c r="AE2854" s="37"/>
      <c r="AF2854" s="37"/>
    </row>
    <row r="2855" spans="1:32" x14ac:dyDescent="0.25">
      <c r="A2855" s="37"/>
      <c r="B2855" s="37"/>
      <c r="C2855" s="37"/>
      <c r="F2855" s="38"/>
      <c r="G2855" s="38"/>
      <c r="H2855" s="38"/>
      <c r="I2855" s="37"/>
      <c r="J2855" s="38"/>
      <c r="K2855" s="38"/>
      <c r="L2855" s="42"/>
      <c r="M2855" s="42"/>
      <c r="N2855" s="42"/>
      <c r="O2855" s="42"/>
      <c r="R2855" s="37"/>
      <c r="S2855" s="37"/>
      <c r="T2855" s="91"/>
      <c r="U2855" s="91"/>
      <c r="V2855" s="41"/>
      <c r="W2855" s="37"/>
      <c r="X2855" s="37"/>
      <c r="Y2855" s="43"/>
      <c r="Z2855" s="37"/>
      <c r="AA2855" s="37"/>
      <c r="AD2855" s="37"/>
      <c r="AE2855" s="37"/>
      <c r="AF2855" s="37"/>
    </row>
    <row r="2856" spans="1:32" x14ac:dyDescent="0.25">
      <c r="A2856" s="37"/>
      <c r="B2856" s="37"/>
      <c r="C2856" s="37"/>
      <c r="F2856" s="38"/>
      <c r="G2856" s="38"/>
      <c r="H2856" s="38"/>
      <c r="I2856" s="37"/>
      <c r="J2856" s="38"/>
      <c r="K2856" s="38"/>
      <c r="L2856" s="42"/>
      <c r="M2856" s="42"/>
      <c r="N2856" s="42"/>
      <c r="O2856" s="42"/>
      <c r="R2856" s="37"/>
      <c r="S2856" s="37"/>
      <c r="T2856" s="91"/>
      <c r="U2856" s="91"/>
      <c r="V2856" s="41"/>
      <c r="W2856" s="37"/>
      <c r="X2856" s="37"/>
      <c r="Y2856" s="43"/>
      <c r="Z2856" s="37"/>
      <c r="AA2856" s="37"/>
      <c r="AD2856" s="37"/>
      <c r="AE2856" s="37"/>
      <c r="AF2856" s="37"/>
    </row>
    <row r="2857" spans="1:32" x14ac:dyDescent="0.25">
      <c r="A2857" s="37"/>
      <c r="B2857" s="37"/>
      <c r="C2857" s="37"/>
      <c r="F2857" s="38"/>
      <c r="G2857" s="38"/>
      <c r="H2857" s="38"/>
      <c r="I2857" s="37"/>
      <c r="J2857" s="38"/>
      <c r="K2857" s="38"/>
      <c r="L2857" s="42"/>
      <c r="M2857" s="42"/>
      <c r="N2857" s="42"/>
      <c r="O2857" s="42"/>
      <c r="R2857" s="37"/>
      <c r="S2857" s="37"/>
      <c r="T2857" s="91"/>
      <c r="U2857" s="91"/>
      <c r="V2857" s="41"/>
      <c r="W2857" s="37"/>
      <c r="X2857" s="37"/>
      <c r="Y2857" s="43"/>
      <c r="Z2857" s="37"/>
      <c r="AA2857" s="37"/>
      <c r="AD2857" s="37"/>
      <c r="AE2857" s="37"/>
      <c r="AF2857" s="37"/>
    </row>
    <row r="2858" spans="1:32" x14ac:dyDescent="0.25">
      <c r="A2858" s="37"/>
      <c r="B2858" s="37"/>
      <c r="C2858" s="37"/>
      <c r="F2858" s="38"/>
      <c r="G2858" s="38"/>
      <c r="H2858" s="38"/>
      <c r="I2858" s="37"/>
      <c r="J2858" s="38"/>
      <c r="K2858" s="38"/>
      <c r="L2858" s="42"/>
      <c r="M2858" s="42"/>
      <c r="N2858" s="42"/>
      <c r="O2858" s="42"/>
      <c r="R2858" s="37"/>
      <c r="S2858" s="37"/>
      <c r="T2858" s="91"/>
      <c r="U2858" s="91"/>
      <c r="V2858" s="41"/>
      <c r="W2858" s="37"/>
      <c r="X2858" s="37"/>
      <c r="Y2858" s="43"/>
      <c r="Z2858" s="37"/>
      <c r="AA2858" s="37"/>
      <c r="AD2858" s="37"/>
      <c r="AE2858" s="37"/>
      <c r="AF2858" s="37"/>
    </row>
    <row r="2859" spans="1:32" x14ac:dyDescent="0.25">
      <c r="A2859" s="37"/>
      <c r="B2859" s="37"/>
      <c r="C2859" s="37"/>
      <c r="F2859" s="38"/>
      <c r="G2859" s="38"/>
      <c r="H2859" s="38"/>
      <c r="I2859" s="37"/>
      <c r="J2859" s="38"/>
      <c r="K2859" s="38"/>
      <c r="L2859" s="42"/>
      <c r="M2859" s="42"/>
      <c r="N2859" s="42"/>
      <c r="O2859" s="42"/>
      <c r="R2859" s="37"/>
      <c r="S2859" s="37"/>
      <c r="T2859" s="91"/>
      <c r="U2859" s="91"/>
      <c r="V2859" s="41"/>
      <c r="W2859" s="37"/>
      <c r="X2859" s="37"/>
      <c r="Y2859" s="43"/>
      <c r="Z2859" s="37"/>
      <c r="AA2859" s="37"/>
      <c r="AD2859" s="37"/>
      <c r="AE2859" s="37"/>
      <c r="AF2859" s="37"/>
    </row>
    <row r="2860" spans="1:32" x14ac:dyDescent="0.25">
      <c r="A2860" s="37"/>
      <c r="B2860" s="37"/>
      <c r="C2860" s="37"/>
      <c r="F2860" s="38"/>
      <c r="G2860" s="38"/>
      <c r="H2860" s="38"/>
      <c r="I2860" s="37"/>
      <c r="J2860" s="38"/>
      <c r="K2860" s="38"/>
      <c r="L2860" s="42"/>
      <c r="M2860" s="42"/>
      <c r="N2860" s="42"/>
      <c r="O2860" s="42"/>
      <c r="R2860" s="37"/>
      <c r="S2860" s="37"/>
      <c r="T2860" s="91"/>
      <c r="U2860" s="91"/>
      <c r="V2860" s="41"/>
      <c r="W2860" s="37"/>
      <c r="X2860" s="37"/>
      <c r="Y2860" s="43"/>
      <c r="Z2860" s="37"/>
      <c r="AA2860" s="37"/>
      <c r="AD2860" s="37"/>
      <c r="AE2860" s="37"/>
      <c r="AF2860" s="37"/>
    </row>
    <row r="2861" spans="1:32" x14ac:dyDescent="0.25">
      <c r="A2861" s="37"/>
      <c r="B2861" s="37"/>
      <c r="C2861" s="37"/>
      <c r="F2861" s="38"/>
      <c r="G2861" s="38"/>
      <c r="H2861" s="38"/>
      <c r="I2861" s="37"/>
      <c r="J2861" s="38"/>
      <c r="K2861" s="38"/>
      <c r="L2861" s="42"/>
      <c r="M2861" s="42"/>
      <c r="N2861" s="42"/>
      <c r="O2861" s="42"/>
      <c r="R2861" s="37"/>
      <c r="S2861" s="37"/>
      <c r="T2861" s="91"/>
      <c r="U2861" s="91"/>
      <c r="V2861" s="41"/>
      <c r="W2861" s="37"/>
      <c r="X2861" s="37"/>
      <c r="Y2861" s="43"/>
      <c r="Z2861" s="37"/>
      <c r="AA2861" s="37"/>
      <c r="AD2861" s="37"/>
      <c r="AE2861" s="37"/>
      <c r="AF2861" s="37"/>
    </row>
    <row r="2862" spans="1:32" x14ac:dyDescent="0.25">
      <c r="A2862" s="37"/>
      <c r="B2862" s="37"/>
      <c r="C2862" s="37"/>
      <c r="F2862" s="38"/>
      <c r="G2862" s="38"/>
      <c r="H2862" s="38"/>
      <c r="I2862" s="37"/>
      <c r="J2862" s="38"/>
      <c r="K2862" s="38"/>
      <c r="L2862" s="42"/>
      <c r="M2862" s="42"/>
      <c r="N2862" s="42"/>
      <c r="O2862" s="42"/>
      <c r="R2862" s="37"/>
      <c r="S2862" s="37"/>
      <c r="T2862" s="91"/>
      <c r="U2862" s="91"/>
      <c r="V2862" s="41"/>
      <c r="W2862" s="37"/>
      <c r="X2862" s="37"/>
      <c r="Y2862" s="43"/>
      <c r="Z2862" s="37"/>
      <c r="AA2862" s="37"/>
      <c r="AD2862" s="37"/>
      <c r="AE2862" s="37"/>
      <c r="AF2862" s="37"/>
    </row>
    <row r="2863" spans="1:32" x14ac:dyDescent="0.25">
      <c r="A2863" s="37"/>
      <c r="B2863" s="37"/>
      <c r="C2863" s="37"/>
      <c r="F2863" s="38"/>
      <c r="G2863" s="38"/>
      <c r="H2863" s="38"/>
      <c r="I2863" s="37"/>
      <c r="J2863" s="38"/>
      <c r="K2863" s="38"/>
      <c r="L2863" s="42"/>
      <c r="M2863" s="42"/>
      <c r="N2863" s="42"/>
      <c r="O2863" s="42"/>
      <c r="R2863" s="37"/>
      <c r="S2863" s="37"/>
      <c r="T2863" s="91"/>
      <c r="U2863" s="91"/>
      <c r="V2863" s="41"/>
      <c r="W2863" s="37"/>
      <c r="X2863" s="37"/>
      <c r="Y2863" s="43"/>
      <c r="Z2863" s="37"/>
      <c r="AA2863" s="37"/>
      <c r="AD2863" s="37"/>
      <c r="AE2863" s="37"/>
      <c r="AF2863" s="37"/>
    </row>
    <row r="2864" spans="1:32" x14ac:dyDescent="0.25">
      <c r="A2864" s="37"/>
      <c r="B2864" s="37"/>
      <c r="C2864" s="37"/>
      <c r="F2864" s="38"/>
      <c r="G2864" s="38"/>
      <c r="H2864" s="38"/>
      <c r="I2864" s="37"/>
      <c r="J2864" s="38"/>
      <c r="K2864" s="38"/>
      <c r="L2864" s="42"/>
      <c r="M2864" s="42"/>
      <c r="N2864" s="42"/>
      <c r="O2864" s="42"/>
      <c r="R2864" s="37"/>
      <c r="S2864" s="37"/>
      <c r="T2864" s="91"/>
      <c r="U2864" s="91"/>
      <c r="V2864" s="41"/>
      <c r="W2864" s="37"/>
      <c r="X2864" s="37"/>
      <c r="Y2864" s="43"/>
      <c r="Z2864" s="37"/>
      <c r="AA2864" s="37"/>
      <c r="AD2864" s="37"/>
      <c r="AE2864" s="37"/>
      <c r="AF2864" s="37"/>
    </row>
    <row r="2865" spans="1:32" x14ac:dyDescent="0.25">
      <c r="A2865" s="37"/>
      <c r="B2865" s="37"/>
      <c r="C2865" s="37"/>
      <c r="F2865" s="38"/>
      <c r="G2865" s="38"/>
      <c r="H2865" s="38"/>
      <c r="I2865" s="37"/>
      <c r="J2865" s="38"/>
      <c r="K2865" s="38"/>
      <c r="L2865" s="42"/>
      <c r="M2865" s="42"/>
      <c r="N2865" s="42"/>
      <c r="O2865" s="42"/>
      <c r="R2865" s="37"/>
      <c r="S2865" s="37"/>
      <c r="T2865" s="91"/>
      <c r="U2865" s="91"/>
      <c r="V2865" s="41"/>
      <c r="W2865" s="37"/>
      <c r="X2865" s="37"/>
      <c r="Y2865" s="43"/>
      <c r="Z2865" s="37"/>
      <c r="AA2865" s="37"/>
      <c r="AD2865" s="37"/>
      <c r="AE2865" s="37"/>
      <c r="AF2865" s="37"/>
    </row>
    <row r="2866" spans="1:32" x14ac:dyDescent="0.25">
      <c r="A2866" s="37"/>
      <c r="B2866" s="37"/>
      <c r="C2866" s="37"/>
      <c r="F2866" s="38"/>
      <c r="G2866" s="38"/>
      <c r="H2866" s="38"/>
      <c r="I2866" s="37"/>
      <c r="J2866" s="38"/>
      <c r="K2866" s="38"/>
      <c r="L2866" s="42"/>
      <c r="M2866" s="42"/>
      <c r="N2866" s="42"/>
      <c r="O2866" s="42"/>
      <c r="R2866" s="37"/>
      <c r="S2866" s="37"/>
      <c r="T2866" s="91"/>
      <c r="U2866" s="91"/>
      <c r="V2866" s="41"/>
      <c r="W2866" s="37"/>
      <c r="X2866" s="37"/>
      <c r="Y2866" s="43"/>
      <c r="Z2866" s="37"/>
      <c r="AA2866" s="37"/>
      <c r="AD2866" s="37"/>
      <c r="AE2866" s="37"/>
      <c r="AF2866" s="37"/>
    </row>
    <row r="2867" spans="1:32" x14ac:dyDescent="0.25">
      <c r="A2867" s="37"/>
      <c r="B2867" s="37"/>
      <c r="C2867" s="37"/>
      <c r="F2867" s="38"/>
      <c r="G2867" s="38"/>
      <c r="H2867" s="38"/>
      <c r="I2867" s="37"/>
      <c r="J2867" s="38"/>
      <c r="K2867" s="38"/>
      <c r="L2867" s="42"/>
      <c r="M2867" s="42"/>
      <c r="N2867" s="42"/>
      <c r="O2867" s="42"/>
      <c r="R2867" s="37"/>
      <c r="S2867" s="37"/>
      <c r="T2867" s="91"/>
      <c r="U2867" s="91"/>
      <c r="V2867" s="41"/>
      <c r="W2867" s="37"/>
      <c r="X2867" s="37"/>
      <c r="Y2867" s="43"/>
      <c r="Z2867" s="37"/>
      <c r="AA2867" s="37"/>
      <c r="AD2867" s="37"/>
      <c r="AE2867" s="37"/>
      <c r="AF2867" s="37"/>
    </row>
    <row r="2868" spans="1:32" x14ac:dyDescent="0.25">
      <c r="A2868" s="37"/>
      <c r="B2868" s="37"/>
      <c r="C2868" s="37"/>
      <c r="F2868" s="38"/>
      <c r="G2868" s="38"/>
      <c r="H2868" s="38"/>
      <c r="I2868" s="37"/>
      <c r="J2868" s="38"/>
      <c r="K2868" s="38"/>
      <c r="L2868" s="42"/>
      <c r="M2868" s="42"/>
      <c r="N2868" s="42"/>
      <c r="O2868" s="42"/>
      <c r="R2868" s="37"/>
      <c r="S2868" s="37"/>
      <c r="T2868" s="91"/>
      <c r="U2868" s="91"/>
      <c r="V2868" s="41"/>
      <c r="W2868" s="37"/>
      <c r="X2868" s="37"/>
      <c r="Y2868" s="43"/>
      <c r="Z2868" s="37"/>
      <c r="AA2868" s="37"/>
      <c r="AD2868" s="37"/>
      <c r="AE2868" s="37"/>
      <c r="AF2868" s="37"/>
    </row>
    <row r="2869" spans="1:32" x14ac:dyDescent="0.25">
      <c r="A2869" s="37"/>
      <c r="B2869" s="37"/>
      <c r="C2869" s="37"/>
      <c r="F2869" s="38"/>
      <c r="G2869" s="38"/>
      <c r="H2869" s="38"/>
      <c r="I2869" s="37"/>
      <c r="J2869" s="38"/>
      <c r="K2869" s="38"/>
      <c r="L2869" s="42"/>
      <c r="M2869" s="42"/>
      <c r="N2869" s="42"/>
      <c r="O2869" s="42"/>
      <c r="R2869" s="37"/>
      <c r="S2869" s="37"/>
      <c r="T2869" s="91"/>
      <c r="U2869" s="91"/>
      <c r="V2869" s="41"/>
      <c r="W2869" s="37"/>
      <c r="X2869" s="37"/>
      <c r="Y2869" s="43"/>
      <c r="Z2869" s="37"/>
      <c r="AA2869" s="37"/>
      <c r="AD2869" s="37"/>
      <c r="AE2869" s="37"/>
      <c r="AF2869" s="37"/>
    </row>
    <row r="2870" spans="1:32" x14ac:dyDescent="0.25">
      <c r="A2870" s="37"/>
      <c r="B2870" s="37"/>
      <c r="C2870" s="37"/>
      <c r="F2870" s="38"/>
      <c r="G2870" s="38"/>
      <c r="H2870" s="38"/>
      <c r="I2870" s="37"/>
      <c r="J2870" s="38"/>
      <c r="K2870" s="38"/>
      <c r="L2870" s="42"/>
      <c r="M2870" s="42"/>
      <c r="N2870" s="42"/>
      <c r="O2870" s="42"/>
      <c r="R2870" s="37"/>
      <c r="S2870" s="37"/>
      <c r="T2870" s="91"/>
      <c r="U2870" s="91"/>
      <c r="V2870" s="41"/>
      <c r="W2870" s="37"/>
      <c r="X2870" s="37"/>
      <c r="Y2870" s="43"/>
      <c r="Z2870" s="37"/>
      <c r="AA2870" s="37"/>
      <c r="AD2870" s="37"/>
      <c r="AE2870" s="37"/>
      <c r="AF2870" s="37"/>
    </row>
    <row r="2871" spans="1:32" x14ac:dyDescent="0.25">
      <c r="A2871" s="37"/>
      <c r="B2871" s="37"/>
      <c r="C2871" s="37"/>
      <c r="F2871" s="38"/>
      <c r="G2871" s="38"/>
      <c r="H2871" s="38"/>
      <c r="I2871" s="37"/>
      <c r="J2871" s="38"/>
      <c r="K2871" s="38"/>
      <c r="L2871" s="42"/>
      <c r="M2871" s="42"/>
      <c r="N2871" s="42"/>
      <c r="O2871" s="42"/>
      <c r="R2871" s="37"/>
      <c r="S2871" s="37"/>
      <c r="T2871" s="91"/>
      <c r="U2871" s="91"/>
      <c r="V2871" s="41"/>
      <c r="W2871" s="37"/>
      <c r="X2871" s="37"/>
      <c r="Y2871" s="43"/>
      <c r="Z2871" s="37"/>
      <c r="AA2871" s="37"/>
      <c r="AD2871" s="37"/>
      <c r="AE2871" s="37"/>
      <c r="AF2871" s="37"/>
    </row>
    <row r="2872" spans="1:32" x14ac:dyDescent="0.25">
      <c r="A2872" s="37"/>
      <c r="B2872" s="37"/>
      <c r="C2872" s="37"/>
      <c r="F2872" s="38"/>
      <c r="G2872" s="38"/>
      <c r="H2872" s="38"/>
      <c r="I2872" s="37"/>
      <c r="J2872" s="38"/>
      <c r="K2872" s="38"/>
      <c r="L2872" s="42"/>
      <c r="M2872" s="42"/>
      <c r="N2872" s="42"/>
      <c r="O2872" s="42"/>
      <c r="R2872" s="37"/>
      <c r="S2872" s="37"/>
      <c r="T2872" s="91"/>
      <c r="U2872" s="91"/>
      <c r="V2872" s="41"/>
      <c r="W2872" s="37"/>
      <c r="X2872" s="37"/>
      <c r="Y2872" s="43"/>
      <c r="Z2872" s="37"/>
      <c r="AA2872" s="37"/>
      <c r="AD2872" s="37"/>
      <c r="AE2872" s="37"/>
      <c r="AF2872" s="37"/>
    </row>
    <row r="2873" spans="1:32" x14ac:dyDescent="0.25">
      <c r="A2873" s="37"/>
      <c r="B2873" s="37"/>
      <c r="C2873" s="37"/>
      <c r="F2873" s="38"/>
      <c r="G2873" s="38"/>
      <c r="H2873" s="38"/>
      <c r="I2873" s="37"/>
      <c r="J2873" s="38"/>
      <c r="K2873" s="38"/>
      <c r="L2873" s="42"/>
      <c r="M2873" s="42"/>
      <c r="N2873" s="42"/>
      <c r="O2873" s="42"/>
      <c r="R2873" s="37"/>
      <c r="S2873" s="37"/>
      <c r="T2873" s="91"/>
      <c r="U2873" s="91"/>
      <c r="V2873" s="41"/>
      <c r="W2873" s="37"/>
      <c r="X2873" s="37"/>
      <c r="Y2873" s="43"/>
      <c r="Z2873" s="37"/>
      <c r="AA2873" s="37"/>
      <c r="AD2873" s="37"/>
      <c r="AE2873" s="37"/>
      <c r="AF2873" s="37"/>
    </row>
    <row r="2874" spans="1:32" x14ac:dyDescent="0.25">
      <c r="A2874" s="37"/>
      <c r="B2874" s="37"/>
      <c r="C2874" s="37"/>
      <c r="F2874" s="38"/>
      <c r="G2874" s="38"/>
      <c r="H2874" s="38"/>
      <c r="I2874" s="37"/>
      <c r="J2874" s="38"/>
      <c r="K2874" s="38"/>
      <c r="L2874" s="42"/>
      <c r="M2874" s="42"/>
      <c r="N2874" s="42"/>
      <c r="O2874" s="42"/>
      <c r="R2874" s="37"/>
      <c r="S2874" s="37"/>
      <c r="T2874" s="91"/>
      <c r="U2874" s="91"/>
      <c r="V2874" s="41"/>
      <c r="W2874" s="37"/>
      <c r="X2874" s="37"/>
      <c r="Y2874" s="43"/>
      <c r="Z2874" s="37"/>
      <c r="AA2874" s="37"/>
      <c r="AD2874" s="37"/>
      <c r="AE2874" s="37"/>
      <c r="AF2874" s="37"/>
    </row>
    <row r="2875" spans="1:32" x14ac:dyDescent="0.25">
      <c r="A2875" s="37"/>
      <c r="B2875" s="37"/>
      <c r="C2875" s="37"/>
      <c r="F2875" s="38"/>
      <c r="G2875" s="38"/>
      <c r="H2875" s="38"/>
      <c r="I2875" s="37"/>
      <c r="J2875" s="38"/>
      <c r="K2875" s="38"/>
      <c r="L2875" s="42"/>
      <c r="M2875" s="42"/>
      <c r="N2875" s="42"/>
      <c r="O2875" s="42"/>
      <c r="R2875" s="37"/>
      <c r="S2875" s="37"/>
      <c r="T2875" s="91"/>
      <c r="U2875" s="91"/>
      <c r="V2875" s="41"/>
      <c r="W2875" s="37"/>
      <c r="X2875" s="37"/>
      <c r="Y2875" s="43"/>
      <c r="Z2875" s="37"/>
      <c r="AA2875" s="37"/>
      <c r="AD2875" s="37"/>
      <c r="AE2875" s="37"/>
      <c r="AF2875" s="37"/>
    </row>
    <row r="2876" spans="1:32" x14ac:dyDescent="0.25">
      <c r="A2876" s="37"/>
      <c r="B2876" s="37"/>
      <c r="C2876" s="37"/>
      <c r="F2876" s="38"/>
      <c r="G2876" s="38"/>
      <c r="H2876" s="38"/>
      <c r="I2876" s="37"/>
      <c r="J2876" s="38"/>
      <c r="K2876" s="38"/>
      <c r="L2876" s="42"/>
      <c r="M2876" s="42"/>
      <c r="N2876" s="42"/>
      <c r="O2876" s="42"/>
      <c r="R2876" s="37"/>
      <c r="S2876" s="37"/>
      <c r="T2876" s="91"/>
      <c r="U2876" s="91"/>
      <c r="V2876" s="41"/>
      <c r="W2876" s="37"/>
      <c r="X2876" s="37"/>
      <c r="Y2876" s="43"/>
      <c r="Z2876" s="37"/>
      <c r="AA2876" s="37"/>
      <c r="AD2876" s="37"/>
      <c r="AE2876" s="37"/>
      <c r="AF2876" s="37"/>
    </row>
    <row r="2877" spans="1:32" x14ac:dyDescent="0.25">
      <c r="A2877" s="37"/>
      <c r="B2877" s="37"/>
      <c r="C2877" s="37"/>
      <c r="F2877" s="38"/>
      <c r="G2877" s="38"/>
      <c r="H2877" s="38"/>
      <c r="I2877" s="37"/>
      <c r="J2877" s="38"/>
      <c r="K2877" s="38"/>
      <c r="L2877" s="42"/>
      <c r="M2877" s="42"/>
      <c r="N2877" s="42"/>
      <c r="O2877" s="42"/>
      <c r="R2877" s="37"/>
      <c r="S2877" s="37"/>
      <c r="T2877" s="91"/>
      <c r="U2877" s="91"/>
      <c r="V2877" s="41"/>
      <c r="W2877" s="37"/>
      <c r="X2877" s="37"/>
      <c r="Y2877" s="43"/>
      <c r="Z2877" s="37"/>
      <c r="AA2877" s="37"/>
      <c r="AD2877" s="37"/>
      <c r="AE2877" s="37"/>
      <c r="AF2877" s="37"/>
    </row>
    <row r="2878" spans="1:32" x14ac:dyDescent="0.25">
      <c r="A2878" s="37"/>
      <c r="B2878" s="37"/>
      <c r="C2878" s="37"/>
      <c r="F2878" s="38"/>
      <c r="G2878" s="38"/>
      <c r="H2878" s="38"/>
      <c r="I2878" s="37"/>
      <c r="J2878" s="38"/>
      <c r="K2878" s="38"/>
      <c r="L2878" s="42"/>
      <c r="M2878" s="42"/>
      <c r="N2878" s="42"/>
      <c r="O2878" s="42"/>
      <c r="R2878" s="37"/>
      <c r="S2878" s="37"/>
      <c r="T2878" s="91"/>
      <c r="U2878" s="91"/>
      <c r="V2878" s="41"/>
      <c r="W2878" s="37"/>
      <c r="X2878" s="37"/>
      <c r="Y2878" s="43"/>
      <c r="Z2878" s="37"/>
      <c r="AA2878" s="37"/>
      <c r="AD2878" s="37"/>
      <c r="AE2878" s="37"/>
      <c r="AF2878" s="37"/>
    </row>
    <row r="2879" spans="1:32" x14ac:dyDescent="0.25">
      <c r="A2879" s="37"/>
      <c r="B2879" s="37"/>
      <c r="C2879" s="37"/>
      <c r="F2879" s="38"/>
      <c r="G2879" s="38"/>
      <c r="H2879" s="38"/>
      <c r="I2879" s="37"/>
      <c r="J2879" s="38"/>
      <c r="K2879" s="38"/>
      <c r="L2879" s="42"/>
      <c r="M2879" s="42"/>
      <c r="N2879" s="42"/>
      <c r="O2879" s="42"/>
      <c r="R2879" s="37"/>
      <c r="S2879" s="37"/>
      <c r="T2879" s="91"/>
      <c r="U2879" s="91"/>
      <c r="V2879" s="41"/>
      <c r="W2879" s="37"/>
      <c r="X2879" s="37"/>
      <c r="Y2879" s="43"/>
      <c r="Z2879" s="37"/>
      <c r="AA2879" s="37"/>
      <c r="AD2879" s="37"/>
      <c r="AE2879" s="37"/>
      <c r="AF2879" s="37"/>
    </row>
    <row r="2880" spans="1:32" x14ac:dyDescent="0.25">
      <c r="A2880" s="37"/>
      <c r="B2880" s="37"/>
      <c r="C2880" s="37"/>
      <c r="F2880" s="38"/>
      <c r="G2880" s="38"/>
      <c r="H2880" s="38"/>
      <c r="I2880" s="37"/>
      <c r="J2880" s="38"/>
      <c r="K2880" s="38"/>
      <c r="L2880" s="42"/>
      <c r="M2880" s="42"/>
      <c r="N2880" s="42"/>
      <c r="O2880" s="42"/>
      <c r="R2880" s="37"/>
      <c r="S2880" s="37"/>
      <c r="T2880" s="91"/>
      <c r="U2880" s="91"/>
      <c r="V2880" s="41"/>
      <c r="W2880" s="37"/>
      <c r="X2880" s="37"/>
      <c r="Y2880" s="43"/>
      <c r="Z2880" s="37"/>
      <c r="AA2880" s="37"/>
      <c r="AD2880" s="37"/>
      <c r="AE2880" s="37"/>
      <c r="AF2880" s="37"/>
    </row>
    <row r="2881" spans="1:32" x14ac:dyDescent="0.25">
      <c r="A2881" s="37"/>
      <c r="B2881" s="37"/>
      <c r="C2881" s="37"/>
      <c r="F2881" s="38"/>
      <c r="G2881" s="38"/>
      <c r="H2881" s="38"/>
      <c r="I2881" s="37"/>
      <c r="J2881" s="38"/>
      <c r="K2881" s="38"/>
      <c r="L2881" s="42"/>
      <c r="M2881" s="42"/>
      <c r="N2881" s="42"/>
      <c r="O2881" s="42"/>
      <c r="R2881" s="37"/>
      <c r="S2881" s="37"/>
      <c r="T2881" s="91"/>
      <c r="U2881" s="91"/>
      <c r="V2881" s="41"/>
      <c r="W2881" s="37"/>
      <c r="X2881" s="37"/>
      <c r="Y2881" s="43"/>
      <c r="Z2881" s="37"/>
      <c r="AA2881" s="37"/>
      <c r="AD2881" s="37"/>
      <c r="AE2881" s="37"/>
      <c r="AF2881" s="37"/>
    </row>
    <row r="2882" spans="1:32" x14ac:dyDescent="0.25">
      <c r="A2882" s="37"/>
      <c r="B2882" s="37"/>
      <c r="C2882" s="37"/>
      <c r="F2882" s="38"/>
      <c r="G2882" s="38"/>
      <c r="H2882" s="38"/>
      <c r="I2882" s="37"/>
      <c r="J2882" s="38"/>
      <c r="K2882" s="38"/>
      <c r="L2882" s="42"/>
      <c r="M2882" s="42"/>
      <c r="N2882" s="42"/>
      <c r="O2882" s="42"/>
      <c r="R2882" s="37"/>
      <c r="S2882" s="37"/>
      <c r="T2882" s="91"/>
      <c r="U2882" s="91"/>
      <c r="V2882" s="41"/>
      <c r="W2882" s="37"/>
      <c r="X2882" s="37"/>
      <c r="Y2882" s="43"/>
      <c r="Z2882" s="37"/>
      <c r="AA2882" s="37"/>
      <c r="AD2882" s="37"/>
      <c r="AE2882" s="37"/>
      <c r="AF2882" s="37"/>
    </row>
    <row r="2883" spans="1:32" x14ac:dyDescent="0.25">
      <c r="A2883" s="37"/>
      <c r="B2883" s="37"/>
      <c r="C2883" s="37"/>
      <c r="F2883" s="38"/>
      <c r="G2883" s="38"/>
      <c r="H2883" s="38"/>
      <c r="I2883" s="37"/>
      <c r="J2883" s="38"/>
      <c r="K2883" s="38"/>
      <c r="L2883" s="42"/>
      <c r="M2883" s="42"/>
      <c r="N2883" s="42"/>
      <c r="O2883" s="42"/>
      <c r="R2883" s="37"/>
      <c r="S2883" s="37"/>
      <c r="T2883" s="91"/>
      <c r="U2883" s="91"/>
      <c r="V2883" s="41"/>
      <c r="W2883" s="37"/>
      <c r="X2883" s="37"/>
      <c r="Y2883" s="43"/>
      <c r="Z2883" s="37"/>
      <c r="AA2883" s="37"/>
      <c r="AD2883" s="37"/>
      <c r="AE2883" s="37"/>
      <c r="AF2883" s="37"/>
    </row>
    <row r="2884" spans="1:32" x14ac:dyDescent="0.25">
      <c r="A2884" s="37"/>
      <c r="B2884" s="37"/>
      <c r="C2884" s="37"/>
      <c r="F2884" s="38"/>
      <c r="G2884" s="38"/>
      <c r="H2884" s="38"/>
      <c r="I2884" s="37"/>
      <c r="J2884" s="38"/>
      <c r="K2884" s="38"/>
      <c r="L2884" s="42"/>
      <c r="M2884" s="42"/>
      <c r="N2884" s="42"/>
      <c r="O2884" s="42"/>
      <c r="R2884" s="37"/>
      <c r="S2884" s="37"/>
      <c r="T2884" s="91"/>
      <c r="U2884" s="91"/>
      <c r="V2884" s="41"/>
      <c r="W2884" s="37"/>
      <c r="X2884" s="37"/>
      <c r="Y2884" s="43"/>
      <c r="Z2884" s="37"/>
      <c r="AA2884" s="37"/>
      <c r="AD2884" s="37"/>
      <c r="AE2884" s="37"/>
      <c r="AF2884" s="37"/>
    </row>
    <row r="2885" spans="1:32" x14ac:dyDescent="0.25">
      <c r="A2885" s="37"/>
      <c r="B2885" s="37"/>
      <c r="C2885" s="37"/>
      <c r="F2885" s="38"/>
      <c r="G2885" s="38"/>
      <c r="H2885" s="38"/>
      <c r="I2885" s="37"/>
      <c r="J2885" s="38"/>
      <c r="K2885" s="38"/>
      <c r="L2885" s="42"/>
      <c r="M2885" s="42"/>
      <c r="N2885" s="42"/>
      <c r="O2885" s="42"/>
      <c r="R2885" s="37"/>
      <c r="S2885" s="37"/>
      <c r="T2885" s="91"/>
      <c r="U2885" s="91"/>
      <c r="V2885" s="41"/>
      <c r="W2885" s="37"/>
      <c r="X2885" s="37"/>
      <c r="Y2885" s="43"/>
      <c r="Z2885" s="37"/>
      <c r="AA2885" s="37"/>
      <c r="AD2885" s="37"/>
      <c r="AE2885" s="37"/>
      <c r="AF2885" s="37"/>
    </row>
    <row r="2886" spans="1:32" x14ac:dyDescent="0.25">
      <c r="A2886" s="37"/>
      <c r="B2886" s="37"/>
      <c r="C2886" s="37"/>
      <c r="F2886" s="38"/>
      <c r="G2886" s="38"/>
      <c r="H2886" s="38"/>
      <c r="I2886" s="37"/>
      <c r="J2886" s="38"/>
      <c r="K2886" s="38"/>
      <c r="L2886" s="42"/>
      <c r="M2886" s="42"/>
      <c r="N2886" s="42"/>
      <c r="O2886" s="42"/>
      <c r="R2886" s="37"/>
      <c r="S2886" s="37"/>
      <c r="T2886" s="91"/>
      <c r="U2886" s="91"/>
      <c r="V2886" s="41"/>
      <c r="W2886" s="37"/>
      <c r="X2886" s="37"/>
      <c r="Y2886" s="43"/>
      <c r="Z2886" s="37"/>
      <c r="AA2886" s="37"/>
      <c r="AD2886" s="37"/>
      <c r="AE2886" s="37"/>
      <c r="AF2886" s="37"/>
    </row>
    <row r="2887" spans="1:32" x14ac:dyDescent="0.25">
      <c r="A2887" s="37"/>
      <c r="B2887" s="37"/>
      <c r="C2887" s="37"/>
      <c r="F2887" s="38"/>
      <c r="G2887" s="38"/>
      <c r="H2887" s="38"/>
      <c r="I2887" s="37"/>
      <c r="J2887" s="38"/>
      <c r="K2887" s="38"/>
      <c r="L2887" s="42"/>
      <c r="M2887" s="42"/>
      <c r="N2887" s="42"/>
      <c r="O2887" s="42"/>
      <c r="R2887" s="37"/>
      <c r="S2887" s="37"/>
      <c r="T2887" s="91"/>
      <c r="U2887" s="91"/>
      <c r="V2887" s="41"/>
      <c r="W2887" s="37"/>
      <c r="X2887" s="37"/>
      <c r="Y2887" s="43"/>
      <c r="Z2887" s="37"/>
      <c r="AA2887" s="37"/>
      <c r="AD2887" s="37"/>
      <c r="AE2887" s="37"/>
      <c r="AF2887" s="37"/>
    </row>
    <row r="2888" spans="1:32" x14ac:dyDescent="0.25">
      <c r="A2888" s="37"/>
      <c r="B2888" s="37"/>
      <c r="C2888" s="37"/>
      <c r="F2888" s="38"/>
      <c r="G2888" s="38"/>
      <c r="H2888" s="38"/>
      <c r="I2888" s="37"/>
      <c r="J2888" s="38"/>
      <c r="K2888" s="38"/>
      <c r="L2888" s="42"/>
      <c r="M2888" s="42"/>
      <c r="N2888" s="42"/>
      <c r="O2888" s="42"/>
      <c r="R2888" s="37"/>
      <c r="S2888" s="37"/>
      <c r="T2888" s="91"/>
      <c r="U2888" s="91"/>
      <c r="V2888" s="41"/>
      <c r="W2888" s="37"/>
      <c r="X2888" s="37"/>
      <c r="Y2888" s="43"/>
      <c r="Z2888" s="37"/>
      <c r="AA2888" s="37"/>
      <c r="AD2888" s="37"/>
      <c r="AE2888" s="37"/>
      <c r="AF2888" s="37"/>
    </row>
    <row r="2889" spans="1:32" x14ac:dyDescent="0.25">
      <c r="A2889" s="37"/>
      <c r="B2889" s="37"/>
      <c r="C2889" s="37"/>
      <c r="F2889" s="38"/>
      <c r="G2889" s="38"/>
      <c r="H2889" s="38"/>
      <c r="I2889" s="37"/>
      <c r="J2889" s="38"/>
      <c r="K2889" s="38"/>
      <c r="L2889" s="42"/>
      <c r="M2889" s="42"/>
      <c r="N2889" s="42"/>
      <c r="O2889" s="42"/>
      <c r="R2889" s="37"/>
      <c r="S2889" s="37"/>
      <c r="T2889" s="91"/>
      <c r="U2889" s="91"/>
      <c r="V2889" s="41"/>
      <c r="W2889" s="37"/>
      <c r="X2889" s="37"/>
      <c r="Y2889" s="43"/>
      <c r="Z2889" s="37"/>
      <c r="AA2889" s="37"/>
      <c r="AD2889" s="37"/>
      <c r="AE2889" s="37"/>
      <c r="AF2889" s="37"/>
    </row>
    <row r="2890" spans="1:32" x14ac:dyDescent="0.25">
      <c r="A2890" s="37"/>
      <c r="B2890" s="37"/>
      <c r="C2890" s="37"/>
      <c r="F2890" s="38"/>
      <c r="G2890" s="38"/>
      <c r="H2890" s="38"/>
      <c r="I2890" s="37"/>
      <c r="J2890" s="38"/>
      <c r="K2890" s="38"/>
      <c r="L2890" s="42"/>
      <c r="M2890" s="42"/>
      <c r="N2890" s="42"/>
      <c r="O2890" s="42"/>
      <c r="R2890" s="37"/>
      <c r="S2890" s="37"/>
      <c r="T2890" s="91"/>
      <c r="U2890" s="91"/>
      <c r="V2890" s="41"/>
      <c r="W2890" s="37"/>
      <c r="X2890" s="37"/>
      <c r="Y2890" s="43"/>
      <c r="Z2890" s="37"/>
      <c r="AA2890" s="37"/>
      <c r="AD2890" s="37"/>
      <c r="AE2890" s="37"/>
      <c r="AF2890" s="37"/>
    </row>
    <row r="2891" spans="1:32" x14ac:dyDescent="0.25">
      <c r="A2891" s="37"/>
      <c r="B2891" s="37"/>
      <c r="C2891" s="37"/>
      <c r="F2891" s="38"/>
      <c r="G2891" s="38"/>
      <c r="H2891" s="38"/>
      <c r="I2891" s="37"/>
      <c r="J2891" s="38"/>
      <c r="K2891" s="38"/>
      <c r="L2891" s="42"/>
      <c r="M2891" s="42"/>
      <c r="N2891" s="42"/>
      <c r="O2891" s="42"/>
      <c r="R2891" s="37"/>
      <c r="S2891" s="37"/>
      <c r="T2891" s="91"/>
      <c r="U2891" s="91"/>
      <c r="V2891" s="41"/>
      <c r="W2891" s="37"/>
      <c r="X2891" s="37"/>
      <c r="Y2891" s="43"/>
      <c r="Z2891" s="37"/>
      <c r="AA2891" s="37"/>
      <c r="AD2891" s="37"/>
      <c r="AE2891" s="37"/>
      <c r="AF2891" s="37"/>
    </row>
    <row r="2892" spans="1:32" x14ac:dyDescent="0.25">
      <c r="A2892" s="37"/>
      <c r="B2892" s="37"/>
      <c r="C2892" s="37"/>
      <c r="F2892" s="38"/>
      <c r="G2892" s="38"/>
      <c r="H2892" s="38"/>
      <c r="I2892" s="37"/>
      <c r="J2892" s="38"/>
      <c r="K2892" s="38"/>
      <c r="L2892" s="42"/>
      <c r="M2892" s="42"/>
      <c r="N2892" s="42"/>
      <c r="O2892" s="42"/>
      <c r="R2892" s="37"/>
      <c r="S2892" s="37"/>
      <c r="T2892" s="91"/>
      <c r="U2892" s="91"/>
      <c r="V2892" s="41"/>
      <c r="W2892" s="37"/>
      <c r="X2892" s="37"/>
      <c r="Y2892" s="43"/>
      <c r="Z2892" s="37"/>
      <c r="AA2892" s="37"/>
      <c r="AD2892" s="37"/>
      <c r="AE2892" s="37"/>
      <c r="AF2892" s="37"/>
    </row>
    <row r="2893" spans="1:32" x14ac:dyDescent="0.25">
      <c r="A2893" s="37"/>
      <c r="B2893" s="37"/>
      <c r="C2893" s="37"/>
      <c r="F2893" s="38"/>
      <c r="G2893" s="38"/>
      <c r="H2893" s="38"/>
      <c r="I2893" s="37"/>
      <c r="J2893" s="38"/>
      <c r="K2893" s="38"/>
      <c r="L2893" s="42"/>
      <c r="M2893" s="42"/>
      <c r="N2893" s="42"/>
      <c r="O2893" s="42"/>
      <c r="R2893" s="37"/>
      <c r="S2893" s="37"/>
      <c r="T2893" s="91"/>
      <c r="U2893" s="91"/>
      <c r="V2893" s="41"/>
      <c r="W2893" s="37"/>
      <c r="X2893" s="37"/>
      <c r="Y2893" s="43"/>
      <c r="Z2893" s="37"/>
      <c r="AA2893" s="37"/>
      <c r="AD2893" s="37"/>
      <c r="AE2893" s="37"/>
      <c r="AF2893" s="37"/>
    </row>
    <row r="2894" spans="1:32" x14ac:dyDescent="0.25">
      <c r="A2894" s="37"/>
      <c r="B2894" s="37"/>
      <c r="C2894" s="37"/>
      <c r="F2894" s="38"/>
      <c r="G2894" s="38"/>
      <c r="H2894" s="38"/>
      <c r="I2894" s="37"/>
      <c r="J2894" s="38"/>
      <c r="K2894" s="38"/>
      <c r="L2894" s="42"/>
      <c r="M2894" s="42"/>
      <c r="N2894" s="42"/>
      <c r="O2894" s="42"/>
      <c r="R2894" s="37"/>
      <c r="S2894" s="37"/>
      <c r="T2894" s="91"/>
      <c r="U2894" s="91"/>
      <c r="V2894" s="41"/>
      <c r="W2894" s="37"/>
      <c r="X2894" s="37"/>
      <c r="Y2894" s="43"/>
      <c r="Z2894" s="37"/>
      <c r="AA2894" s="37"/>
      <c r="AD2894" s="37"/>
      <c r="AE2894" s="37"/>
      <c r="AF2894" s="37"/>
    </row>
    <row r="2895" spans="1:32" x14ac:dyDescent="0.25">
      <c r="A2895" s="37"/>
      <c r="B2895" s="37"/>
      <c r="C2895" s="37"/>
      <c r="F2895" s="38"/>
      <c r="G2895" s="38"/>
      <c r="H2895" s="38"/>
      <c r="I2895" s="37"/>
      <c r="J2895" s="38"/>
      <c r="K2895" s="38"/>
      <c r="L2895" s="42"/>
      <c r="M2895" s="42"/>
      <c r="N2895" s="42"/>
      <c r="O2895" s="42"/>
      <c r="R2895" s="37"/>
      <c r="S2895" s="37"/>
      <c r="T2895" s="91"/>
      <c r="U2895" s="91"/>
      <c r="V2895" s="41"/>
      <c r="W2895" s="37"/>
      <c r="X2895" s="37"/>
      <c r="Y2895" s="43"/>
      <c r="Z2895" s="37"/>
      <c r="AA2895" s="37"/>
      <c r="AD2895" s="37"/>
      <c r="AE2895" s="37"/>
      <c r="AF2895" s="37"/>
    </row>
    <row r="2896" spans="1:32" x14ac:dyDescent="0.25">
      <c r="A2896" s="37"/>
      <c r="B2896" s="37"/>
      <c r="C2896" s="37"/>
      <c r="F2896" s="38"/>
      <c r="G2896" s="38"/>
      <c r="H2896" s="38"/>
      <c r="I2896" s="37"/>
      <c r="J2896" s="38"/>
      <c r="K2896" s="38"/>
      <c r="L2896" s="42"/>
      <c r="M2896" s="42"/>
      <c r="N2896" s="42"/>
      <c r="O2896" s="42"/>
      <c r="R2896" s="37"/>
      <c r="S2896" s="37"/>
      <c r="T2896" s="91"/>
      <c r="U2896" s="91"/>
      <c r="V2896" s="41"/>
      <c r="W2896" s="37"/>
      <c r="X2896" s="37"/>
      <c r="Y2896" s="43"/>
      <c r="Z2896" s="37"/>
      <c r="AA2896" s="37"/>
      <c r="AD2896" s="37"/>
      <c r="AE2896" s="37"/>
      <c r="AF2896" s="37"/>
    </row>
    <row r="2897" spans="1:32" x14ac:dyDescent="0.25">
      <c r="A2897" s="37"/>
      <c r="B2897" s="37"/>
      <c r="C2897" s="37"/>
      <c r="F2897" s="38"/>
      <c r="G2897" s="38"/>
      <c r="H2897" s="38"/>
      <c r="I2897" s="37"/>
      <c r="J2897" s="38"/>
      <c r="K2897" s="38"/>
      <c r="L2897" s="42"/>
      <c r="M2897" s="42"/>
      <c r="N2897" s="42"/>
      <c r="O2897" s="42"/>
      <c r="R2897" s="37"/>
      <c r="S2897" s="37"/>
      <c r="T2897" s="91"/>
      <c r="U2897" s="91"/>
      <c r="V2897" s="41"/>
      <c r="W2897" s="37"/>
      <c r="X2897" s="37"/>
      <c r="Y2897" s="43"/>
      <c r="Z2897" s="37"/>
      <c r="AA2897" s="37"/>
      <c r="AD2897" s="37"/>
      <c r="AE2897" s="37"/>
      <c r="AF2897" s="37"/>
    </row>
    <row r="2898" spans="1:32" x14ac:dyDescent="0.25">
      <c r="A2898" s="37"/>
      <c r="B2898" s="37"/>
      <c r="C2898" s="37"/>
      <c r="F2898" s="38"/>
      <c r="G2898" s="38"/>
      <c r="H2898" s="38"/>
      <c r="I2898" s="37"/>
      <c r="J2898" s="38"/>
      <c r="K2898" s="38"/>
      <c r="L2898" s="42"/>
      <c r="M2898" s="42"/>
      <c r="N2898" s="42"/>
      <c r="O2898" s="42"/>
      <c r="R2898" s="37"/>
      <c r="S2898" s="37"/>
      <c r="T2898" s="91"/>
      <c r="U2898" s="91"/>
      <c r="V2898" s="41"/>
      <c r="W2898" s="37"/>
      <c r="X2898" s="37"/>
      <c r="Y2898" s="43"/>
      <c r="Z2898" s="37"/>
      <c r="AA2898" s="37"/>
      <c r="AD2898" s="37"/>
      <c r="AE2898" s="37"/>
      <c r="AF2898" s="37"/>
    </row>
    <row r="2899" spans="1:32" x14ac:dyDescent="0.25">
      <c r="A2899" s="37"/>
      <c r="B2899" s="37"/>
      <c r="C2899" s="37"/>
      <c r="F2899" s="38"/>
      <c r="G2899" s="38"/>
      <c r="H2899" s="38"/>
      <c r="I2899" s="37"/>
      <c r="J2899" s="38"/>
      <c r="K2899" s="38"/>
      <c r="L2899" s="42"/>
      <c r="M2899" s="42"/>
      <c r="N2899" s="42"/>
      <c r="O2899" s="42"/>
      <c r="R2899" s="37"/>
      <c r="S2899" s="37"/>
      <c r="T2899" s="91"/>
      <c r="U2899" s="91"/>
      <c r="V2899" s="41"/>
      <c r="W2899" s="37"/>
      <c r="X2899" s="37"/>
      <c r="Y2899" s="43"/>
      <c r="Z2899" s="37"/>
      <c r="AA2899" s="37"/>
      <c r="AD2899" s="37"/>
      <c r="AE2899" s="37"/>
      <c r="AF2899" s="37"/>
    </row>
    <row r="2900" spans="1:32" x14ac:dyDescent="0.25">
      <c r="A2900" s="37"/>
      <c r="B2900" s="37"/>
      <c r="C2900" s="37"/>
      <c r="F2900" s="38"/>
      <c r="G2900" s="38"/>
      <c r="H2900" s="38"/>
      <c r="I2900" s="37"/>
      <c r="J2900" s="38"/>
      <c r="K2900" s="38"/>
      <c r="L2900" s="42"/>
      <c r="M2900" s="42"/>
      <c r="N2900" s="42"/>
      <c r="O2900" s="42"/>
      <c r="R2900" s="37"/>
      <c r="S2900" s="37"/>
      <c r="T2900" s="91"/>
      <c r="U2900" s="91"/>
      <c r="V2900" s="41"/>
      <c r="W2900" s="37"/>
      <c r="X2900" s="37"/>
      <c r="Y2900" s="43"/>
      <c r="Z2900" s="37"/>
      <c r="AA2900" s="37"/>
      <c r="AD2900" s="37"/>
      <c r="AE2900" s="37"/>
      <c r="AF2900" s="37"/>
    </row>
    <row r="2901" spans="1:32" x14ac:dyDescent="0.25">
      <c r="A2901" s="37"/>
      <c r="B2901" s="37"/>
      <c r="C2901" s="37"/>
      <c r="F2901" s="38"/>
      <c r="G2901" s="38"/>
      <c r="H2901" s="38"/>
      <c r="I2901" s="37"/>
      <c r="J2901" s="38"/>
      <c r="K2901" s="38"/>
      <c r="L2901" s="42"/>
      <c r="M2901" s="42"/>
      <c r="N2901" s="42"/>
      <c r="O2901" s="42"/>
      <c r="R2901" s="37"/>
      <c r="S2901" s="37"/>
      <c r="T2901" s="91"/>
      <c r="U2901" s="91"/>
      <c r="V2901" s="41"/>
      <c r="W2901" s="37"/>
      <c r="X2901" s="37"/>
      <c r="Y2901" s="43"/>
      <c r="Z2901" s="37"/>
      <c r="AA2901" s="37"/>
      <c r="AD2901" s="37"/>
      <c r="AE2901" s="37"/>
      <c r="AF2901" s="37"/>
    </row>
    <row r="2902" spans="1:32" x14ac:dyDescent="0.25">
      <c r="A2902" s="37"/>
      <c r="B2902" s="37"/>
      <c r="C2902" s="37"/>
      <c r="F2902" s="38"/>
      <c r="G2902" s="38"/>
      <c r="H2902" s="38"/>
      <c r="I2902" s="37"/>
      <c r="J2902" s="38"/>
      <c r="K2902" s="38"/>
      <c r="L2902" s="42"/>
      <c r="M2902" s="42"/>
      <c r="N2902" s="42"/>
      <c r="O2902" s="42"/>
      <c r="R2902" s="37"/>
      <c r="S2902" s="37"/>
      <c r="T2902" s="91"/>
      <c r="U2902" s="91"/>
      <c r="V2902" s="41"/>
      <c r="W2902" s="37"/>
      <c r="X2902" s="37"/>
      <c r="Y2902" s="43"/>
      <c r="Z2902" s="37"/>
      <c r="AA2902" s="37"/>
      <c r="AD2902" s="37"/>
      <c r="AE2902" s="37"/>
      <c r="AF2902" s="37"/>
    </row>
    <row r="2903" spans="1:32" x14ac:dyDescent="0.25">
      <c r="A2903" s="37"/>
      <c r="B2903" s="37"/>
      <c r="C2903" s="37"/>
      <c r="F2903" s="38"/>
      <c r="G2903" s="38"/>
      <c r="H2903" s="38"/>
      <c r="I2903" s="37"/>
      <c r="J2903" s="38"/>
      <c r="K2903" s="38"/>
      <c r="L2903" s="42"/>
      <c r="M2903" s="42"/>
      <c r="N2903" s="42"/>
      <c r="O2903" s="42"/>
      <c r="R2903" s="37"/>
      <c r="S2903" s="37"/>
      <c r="T2903" s="91"/>
      <c r="U2903" s="91"/>
      <c r="V2903" s="41"/>
      <c r="W2903" s="37"/>
      <c r="X2903" s="37"/>
      <c r="Y2903" s="43"/>
      <c r="Z2903" s="37"/>
      <c r="AA2903" s="37"/>
      <c r="AD2903" s="37"/>
      <c r="AE2903" s="37"/>
      <c r="AF2903" s="37"/>
    </row>
    <row r="2904" spans="1:32" x14ac:dyDescent="0.25">
      <c r="A2904" s="37"/>
      <c r="B2904" s="37"/>
      <c r="C2904" s="37"/>
      <c r="F2904" s="38"/>
      <c r="G2904" s="38"/>
      <c r="H2904" s="38"/>
      <c r="I2904" s="37"/>
      <c r="J2904" s="38"/>
      <c r="K2904" s="38"/>
      <c r="L2904" s="42"/>
      <c r="M2904" s="42"/>
      <c r="N2904" s="42"/>
      <c r="O2904" s="42"/>
      <c r="R2904" s="37"/>
      <c r="S2904" s="37"/>
      <c r="T2904" s="91"/>
      <c r="U2904" s="91"/>
      <c r="V2904" s="41"/>
      <c r="W2904" s="37"/>
      <c r="X2904" s="37"/>
      <c r="Y2904" s="43"/>
      <c r="Z2904" s="37"/>
      <c r="AA2904" s="37"/>
      <c r="AD2904" s="37"/>
      <c r="AE2904" s="37"/>
      <c r="AF2904" s="37"/>
    </row>
    <row r="2905" spans="1:32" x14ac:dyDescent="0.25">
      <c r="A2905" s="37"/>
      <c r="B2905" s="37"/>
      <c r="C2905" s="37"/>
      <c r="F2905" s="38"/>
      <c r="G2905" s="38"/>
      <c r="H2905" s="38"/>
      <c r="I2905" s="37"/>
      <c r="J2905" s="38"/>
      <c r="K2905" s="38"/>
      <c r="L2905" s="42"/>
      <c r="M2905" s="42"/>
      <c r="N2905" s="42"/>
      <c r="O2905" s="42"/>
      <c r="R2905" s="37"/>
      <c r="S2905" s="37"/>
      <c r="T2905" s="91"/>
      <c r="U2905" s="91"/>
      <c r="V2905" s="41"/>
      <c r="W2905" s="37"/>
      <c r="X2905" s="37"/>
      <c r="Y2905" s="43"/>
      <c r="Z2905" s="37"/>
      <c r="AA2905" s="37"/>
      <c r="AD2905" s="37"/>
      <c r="AE2905" s="37"/>
      <c r="AF2905" s="37"/>
    </row>
    <row r="2906" spans="1:32" x14ac:dyDescent="0.25">
      <c r="A2906" s="37"/>
      <c r="B2906" s="37"/>
      <c r="C2906" s="37"/>
      <c r="F2906" s="38"/>
      <c r="G2906" s="38"/>
      <c r="H2906" s="38"/>
      <c r="I2906" s="37"/>
      <c r="J2906" s="38"/>
      <c r="K2906" s="38"/>
      <c r="L2906" s="42"/>
      <c r="M2906" s="42"/>
      <c r="N2906" s="42"/>
      <c r="O2906" s="42"/>
      <c r="R2906" s="37"/>
      <c r="S2906" s="37"/>
      <c r="T2906" s="91"/>
      <c r="U2906" s="91"/>
      <c r="V2906" s="41"/>
      <c r="W2906" s="37"/>
      <c r="X2906" s="37"/>
      <c r="Y2906" s="43"/>
      <c r="Z2906" s="37"/>
      <c r="AA2906" s="37"/>
      <c r="AD2906" s="37"/>
      <c r="AE2906" s="37"/>
      <c r="AF2906" s="37"/>
    </row>
    <row r="2907" spans="1:32" x14ac:dyDescent="0.25">
      <c r="A2907" s="37"/>
      <c r="B2907" s="37"/>
      <c r="C2907" s="37"/>
      <c r="F2907" s="38"/>
      <c r="G2907" s="38"/>
      <c r="H2907" s="38"/>
      <c r="I2907" s="37"/>
      <c r="J2907" s="38"/>
      <c r="K2907" s="38"/>
      <c r="L2907" s="42"/>
      <c r="M2907" s="42"/>
      <c r="N2907" s="42"/>
      <c r="O2907" s="42"/>
      <c r="R2907" s="37"/>
      <c r="S2907" s="37"/>
      <c r="T2907" s="91"/>
      <c r="U2907" s="91"/>
      <c r="V2907" s="41"/>
      <c r="W2907" s="37"/>
      <c r="X2907" s="37"/>
      <c r="Y2907" s="43"/>
      <c r="Z2907" s="37"/>
      <c r="AA2907" s="37"/>
      <c r="AD2907" s="37"/>
      <c r="AE2907" s="37"/>
      <c r="AF2907" s="37"/>
    </row>
    <row r="2908" spans="1:32" x14ac:dyDescent="0.25">
      <c r="A2908" s="37"/>
      <c r="B2908" s="37"/>
      <c r="C2908" s="37"/>
      <c r="F2908" s="38"/>
      <c r="G2908" s="38"/>
      <c r="H2908" s="38"/>
      <c r="I2908" s="37"/>
      <c r="J2908" s="38"/>
      <c r="K2908" s="38"/>
      <c r="L2908" s="42"/>
      <c r="M2908" s="42"/>
      <c r="N2908" s="42"/>
      <c r="O2908" s="42"/>
      <c r="R2908" s="37"/>
      <c r="S2908" s="37"/>
      <c r="T2908" s="91"/>
      <c r="U2908" s="91"/>
      <c r="V2908" s="41"/>
      <c r="W2908" s="37"/>
      <c r="X2908" s="37"/>
      <c r="Y2908" s="43"/>
      <c r="Z2908" s="37"/>
      <c r="AA2908" s="37"/>
      <c r="AD2908" s="37"/>
      <c r="AE2908" s="37"/>
      <c r="AF2908" s="37"/>
    </row>
    <row r="2909" spans="1:32" x14ac:dyDescent="0.25">
      <c r="A2909" s="37"/>
      <c r="B2909" s="37"/>
      <c r="C2909" s="37"/>
      <c r="F2909" s="38"/>
      <c r="G2909" s="38"/>
      <c r="H2909" s="38"/>
      <c r="I2909" s="37"/>
      <c r="J2909" s="38"/>
      <c r="K2909" s="38"/>
      <c r="L2909" s="42"/>
      <c r="M2909" s="42"/>
      <c r="N2909" s="42"/>
      <c r="O2909" s="42"/>
      <c r="R2909" s="37"/>
      <c r="S2909" s="37"/>
      <c r="T2909" s="91"/>
      <c r="U2909" s="91"/>
      <c r="V2909" s="41"/>
      <c r="W2909" s="37"/>
      <c r="X2909" s="37"/>
      <c r="Y2909" s="43"/>
      <c r="Z2909" s="37"/>
      <c r="AA2909" s="37"/>
      <c r="AD2909" s="37"/>
      <c r="AE2909" s="37"/>
      <c r="AF2909" s="37"/>
    </row>
    <row r="2910" spans="1:32" x14ac:dyDescent="0.25">
      <c r="A2910" s="37"/>
      <c r="B2910" s="37"/>
      <c r="C2910" s="37"/>
      <c r="F2910" s="38"/>
      <c r="G2910" s="38"/>
      <c r="H2910" s="38"/>
      <c r="I2910" s="37"/>
      <c r="J2910" s="38"/>
      <c r="K2910" s="38"/>
      <c r="L2910" s="42"/>
      <c r="M2910" s="42"/>
      <c r="N2910" s="42"/>
      <c r="O2910" s="42"/>
      <c r="R2910" s="37"/>
      <c r="S2910" s="37"/>
      <c r="T2910" s="91"/>
      <c r="U2910" s="91"/>
      <c r="V2910" s="41"/>
      <c r="W2910" s="37"/>
      <c r="X2910" s="37"/>
      <c r="Y2910" s="43"/>
      <c r="Z2910" s="37"/>
      <c r="AA2910" s="37"/>
      <c r="AD2910" s="37"/>
      <c r="AE2910" s="37"/>
      <c r="AF2910" s="37"/>
    </row>
    <row r="2911" spans="1:32" x14ac:dyDescent="0.25">
      <c r="A2911" s="37"/>
      <c r="B2911" s="37"/>
      <c r="C2911" s="37"/>
      <c r="F2911" s="38"/>
      <c r="G2911" s="38"/>
      <c r="H2911" s="38"/>
      <c r="I2911" s="37"/>
      <c r="J2911" s="38"/>
      <c r="K2911" s="38"/>
      <c r="L2911" s="42"/>
      <c r="M2911" s="42"/>
      <c r="N2911" s="42"/>
      <c r="O2911" s="42"/>
      <c r="R2911" s="37"/>
      <c r="S2911" s="37"/>
      <c r="T2911" s="91"/>
      <c r="U2911" s="91"/>
      <c r="V2911" s="41"/>
      <c r="W2911" s="37"/>
      <c r="X2911" s="37"/>
      <c r="Y2911" s="43"/>
      <c r="Z2911" s="37"/>
      <c r="AA2911" s="37"/>
      <c r="AD2911" s="37"/>
      <c r="AE2911" s="37"/>
      <c r="AF2911" s="37"/>
    </row>
    <row r="2912" spans="1:32" x14ac:dyDescent="0.25">
      <c r="A2912" s="37"/>
      <c r="B2912" s="37"/>
      <c r="C2912" s="37"/>
      <c r="F2912" s="38"/>
      <c r="G2912" s="38"/>
      <c r="H2912" s="38"/>
      <c r="I2912" s="37"/>
      <c r="J2912" s="38"/>
      <c r="K2912" s="38"/>
      <c r="L2912" s="42"/>
      <c r="M2912" s="42"/>
      <c r="N2912" s="42"/>
      <c r="O2912" s="42"/>
      <c r="R2912" s="37"/>
      <c r="S2912" s="37"/>
      <c r="T2912" s="91"/>
      <c r="U2912" s="91"/>
      <c r="V2912" s="41"/>
      <c r="W2912" s="37"/>
      <c r="X2912" s="37"/>
      <c r="Y2912" s="43"/>
      <c r="Z2912" s="37"/>
      <c r="AA2912" s="37"/>
      <c r="AD2912" s="37"/>
      <c r="AE2912" s="37"/>
      <c r="AF2912" s="37"/>
    </row>
    <row r="2913" spans="1:32" x14ac:dyDescent="0.25">
      <c r="A2913" s="37"/>
      <c r="B2913" s="37"/>
      <c r="C2913" s="37"/>
      <c r="F2913" s="38"/>
      <c r="G2913" s="38"/>
      <c r="H2913" s="38"/>
      <c r="I2913" s="37"/>
      <c r="J2913" s="38"/>
      <c r="K2913" s="38"/>
      <c r="L2913" s="42"/>
      <c r="M2913" s="42"/>
      <c r="N2913" s="42"/>
      <c r="O2913" s="42"/>
      <c r="R2913" s="37"/>
      <c r="S2913" s="37"/>
      <c r="T2913" s="91"/>
      <c r="U2913" s="91"/>
      <c r="V2913" s="41"/>
      <c r="W2913" s="37"/>
      <c r="X2913" s="37"/>
      <c r="Y2913" s="43"/>
      <c r="Z2913" s="37"/>
      <c r="AA2913" s="37"/>
      <c r="AD2913" s="37"/>
      <c r="AE2913" s="37"/>
      <c r="AF2913" s="37"/>
    </row>
    <row r="2914" spans="1:32" x14ac:dyDescent="0.25">
      <c r="A2914" s="37"/>
      <c r="B2914" s="37"/>
      <c r="C2914" s="37"/>
      <c r="F2914" s="38"/>
      <c r="G2914" s="38"/>
      <c r="H2914" s="38"/>
      <c r="I2914" s="37"/>
      <c r="J2914" s="38"/>
      <c r="K2914" s="38"/>
      <c r="L2914" s="42"/>
      <c r="M2914" s="42"/>
      <c r="N2914" s="42"/>
      <c r="O2914" s="42"/>
      <c r="R2914" s="37"/>
      <c r="S2914" s="37"/>
      <c r="T2914" s="91"/>
      <c r="U2914" s="91"/>
      <c r="V2914" s="41"/>
      <c r="W2914" s="37"/>
      <c r="X2914" s="37"/>
      <c r="Y2914" s="43"/>
      <c r="Z2914" s="37"/>
      <c r="AA2914" s="37"/>
      <c r="AD2914" s="37"/>
      <c r="AE2914" s="37"/>
      <c r="AF2914" s="37"/>
    </row>
    <row r="2915" spans="1:32" x14ac:dyDescent="0.25">
      <c r="A2915" s="37"/>
      <c r="B2915" s="37"/>
      <c r="C2915" s="37"/>
      <c r="F2915" s="38"/>
      <c r="G2915" s="38"/>
      <c r="H2915" s="38"/>
      <c r="I2915" s="37"/>
      <c r="J2915" s="38"/>
      <c r="K2915" s="38"/>
      <c r="L2915" s="42"/>
      <c r="M2915" s="42"/>
      <c r="N2915" s="42"/>
      <c r="O2915" s="42"/>
      <c r="R2915" s="37"/>
      <c r="S2915" s="37"/>
      <c r="T2915" s="91"/>
      <c r="U2915" s="91"/>
      <c r="V2915" s="41"/>
      <c r="W2915" s="37"/>
      <c r="X2915" s="37"/>
      <c r="Y2915" s="43"/>
      <c r="Z2915" s="37"/>
      <c r="AA2915" s="37"/>
      <c r="AD2915" s="37"/>
      <c r="AE2915" s="37"/>
      <c r="AF2915" s="37"/>
    </row>
    <row r="2916" spans="1:32" x14ac:dyDescent="0.25">
      <c r="A2916" s="37"/>
      <c r="B2916" s="37"/>
      <c r="C2916" s="37"/>
      <c r="F2916" s="38"/>
      <c r="G2916" s="38"/>
      <c r="H2916" s="38"/>
      <c r="I2916" s="37"/>
      <c r="J2916" s="38"/>
      <c r="K2916" s="38"/>
      <c r="L2916" s="42"/>
      <c r="M2916" s="42"/>
      <c r="N2916" s="42"/>
      <c r="O2916" s="42"/>
      <c r="R2916" s="37"/>
      <c r="S2916" s="37"/>
      <c r="T2916" s="91"/>
      <c r="U2916" s="91"/>
      <c r="V2916" s="41"/>
      <c r="W2916" s="37"/>
      <c r="X2916" s="37"/>
      <c r="Y2916" s="43"/>
      <c r="Z2916" s="37"/>
      <c r="AA2916" s="37"/>
      <c r="AD2916" s="37"/>
      <c r="AE2916" s="37"/>
      <c r="AF2916" s="37"/>
    </row>
    <row r="2917" spans="1:32" x14ac:dyDescent="0.25">
      <c r="A2917" s="37"/>
      <c r="B2917" s="37"/>
      <c r="C2917" s="37"/>
      <c r="F2917" s="38"/>
      <c r="G2917" s="38"/>
      <c r="H2917" s="38"/>
      <c r="I2917" s="37"/>
      <c r="J2917" s="38"/>
      <c r="K2917" s="38"/>
      <c r="L2917" s="42"/>
      <c r="M2917" s="42"/>
      <c r="N2917" s="42"/>
      <c r="O2917" s="42"/>
      <c r="R2917" s="37"/>
      <c r="S2917" s="37"/>
      <c r="T2917" s="91"/>
      <c r="U2917" s="91"/>
      <c r="V2917" s="41"/>
      <c r="W2917" s="37"/>
      <c r="X2917" s="37"/>
      <c r="Y2917" s="43"/>
      <c r="Z2917" s="37"/>
      <c r="AA2917" s="37"/>
      <c r="AD2917" s="37"/>
      <c r="AE2917" s="37"/>
      <c r="AF2917" s="37"/>
    </row>
    <row r="2918" spans="1:32" x14ac:dyDescent="0.25">
      <c r="A2918" s="37"/>
      <c r="B2918" s="37"/>
      <c r="C2918" s="37"/>
      <c r="F2918" s="38"/>
      <c r="G2918" s="38"/>
      <c r="H2918" s="38"/>
      <c r="I2918" s="37"/>
      <c r="J2918" s="38"/>
      <c r="K2918" s="38"/>
      <c r="L2918" s="42"/>
      <c r="M2918" s="42"/>
      <c r="N2918" s="42"/>
      <c r="O2918" s="42"/>
      <c r="R2918" s="37"/>
      <c r="S2918" s="37"/>
      <c r="T2918" s="91"/>
      <c r="U2918" s="91"/>
      <c r="V2918" s="41"/>
      <c r="W2918" s="37"/>
      <c r="X2918" s="37"/>
      <c r="Y2918" s="43"/>
      <c r="Z2918" s="37"/>
      <c r="AA2918" s="37"/>
      <c r="AD2918" s="37"/>
      <c r="AE2918" s="37"/>
      <c r="AF2918" s="37"/>
    </row>
    <row r="2919" spans="1:32" x14ac:dyDescent="0.25">
      <c r="A2919" s="37"/>
      <c r="B2919" s="37"/>
      <c r="C2919" s="37"/>
      <c r="F2919" s="38"/>
      <c r="G2919" s="38"/>
      <c r="H2919" s="38"/>
      <c r="I2919" s="37"/>
      <c r="J2919" s="38"/>
      <c r="K2919" s="38"/>
      <c r="L2919" s="42"/>
      <c r="M2919" s="42"/>
      <c r="N2919" s="42"/>
      <c r="O2919" s="42"/>
      <c r="R2919" s="37"/>
      <c r="S2919" s="37"/>
      <c r="T2919" s="91"/>
      <c r="U2919" s="91"/>
      <c r="V2919" s="41"/>
      <c r="W2919" s="37"/>
      <c r="X2919" s="37"/>
      <c r="Y2919" s="43"/>
      <c r="Z2919" s="37"/>
      <c r="AA2919" s="37"/>
      <c r="AD2919" s="37"/>
      <c r="AE2919" s="37"/>
      <c r="AF2919" s="37"/>
    </row>
    <row r="2920" spans="1:32" x14ac:dyDescent="0.25">
      <c r="A2920" s="37"/>
      <c r="B2920" s="37"/>
      <c r="C2920" s="37"/>
      <c r="F2920" s="38"/>
      <c r="G2920" s="38"/>
      <c r="H2920" s="38"/>
      <c r="I2920" s="37"/>
      <c r="J2920" s="38"/>
      <c r="K2920" s="38"/>
      <c r="L2920" s="42"/>
      <c r="M2920" s="42"/>
      <c r="N2920" s="42"/>
      <c r="O2920" s="42"/>
      <c r="R2920" s="37"/>
      <c r="S2920" s="37"/>
      <c r="T2920" s="91"/>
      <c r="U2920" s="91"/>
      <c r="V2920" s="41"/>
      <c r="W2920" s="37"/>
      <c r="X2920" s="37"/>
      <c r="Y2920" s="43"/>
      <c r="Z2920" s="37"/>
      <c r="AA2920" s="37"/>
      <c r="AD2920" s="37"/>
      <c r="AE2920" s="37"/>
      <c r="AF2920" s="37"/>
    </row>
    <row r="2921" spans="1:32" x14ac:dyDescent="0.25">
      <c r="A2921" s="37"/>
      <c r="B2921" s="37"/>
      <c r="C2921" s="37"/>
      <c r="F2921" s="38"/>
      <c r="G2921" s="38"/>
      <c r="H2921" s="38"/>
      <c r="I2921" s="37"/>
      <c r="J2921" s="38"/>
      <c r="K2921" s="38"/>
      <c r="L2921" s="42"/>
      <c r="M2921" s="42"/>
      <c r="N2921" s="42"/>
      <c r="O2921" s="42"/>
      <c r="R2921" s="37"/>
      <c r="S2921" s="37"/>
      <c r="T2921" s="91"/>
      <c r="U2921" s="91"/>
      <c r="V2921" s="41"/>
      <c r="W2921" s="37"/>
      <c r="X2921" s="37"/>
      <c r="Y2921" s="43"/>
      <c r="Z2921" s="37"/>
      <c r="AA2921" s="37"/>
      <c r="AD2921" s="37"/>
      <c r="AE2921" s="37"/>
      <c r="AF2921" s="37"/>
    </row>
    <row r="2922" spans="1:32" x14ac:dyDescent="0.25">
      <c r="A2922" s="37"/>
      <c r="B2922" s="37"/>
      <c r="C2922" s="37"/>
      <c r="F2922" s="38"/>
      <c r="G2922" s="38"/>
      <c r="H2922" s="38"/>
      <c r="I2922" s="37"/>
      <c r="J2922" s="38"/>
      <c r="K2922" s="38"/>
      <c r="L2922" s="42"/>
      <c r="M2922" s="42"/>
      <c r="N2922" s="42"/>
      <c r="O2922" s="42"/>
      <c r="R2922" s="37"/>
      <c r="S2922" s="37"/>
      <c r="T2922" s="91"/>
      <c r="U2922" s="91"/>
      <c r="V2922" s="41"/>
      <c r="W2922" s="37"/>
      <c r="X2922" s="37"/>
      <c r="Y2922" s="43"/>
      <c r="Z2922" s="37"/>
      <c r="AA2922" s="37"/>
      <c r="AD2922" s="37"/>
      <c r="AE2922" s="37"/>
      <c r="AF2922" s="37"/>
    </row>
    <row r="2923" spans="1:32" x14ac:dyDescent="0.25">
      <c r="A2923" s="37"/>
      <c r="B2923" s="37"/>
      <c r="C2923" s="37"/>
      <c r="F2923" s="38"/>
      <c r="G2923" s="38"/>
      <c r="H2923" s="38"/>
      <c r="I2923" s="37"/>
      <c r="J2923" s="38"/>
      <c r="K2923" s="38"/>
      <c r="L2923" s="42"/>
      <c r="M2923" s="42"/>
      <c r="N2923" s="42"/>
      <c r="O2923" s="42"/>
      <c r="R2923" s="37"/>
      <c r="S2923" s="37"/>
      <c r="T2923" s="91"/>
      <c r="U2923" s="91"/>
      <c r="V2923" s="41"/>
      <c r="W2923" s="37"/>
      <c r="X2923" s="37"/>
      <c r="Y2923" s="43"/>
      <c r="Z2923" s="37"/>
      <c r="AA2923" s="37"/>
      <c r="AD2923" s="37"/>
      <c r="AE2923" s="37"/>
      <c r="AF2923" s="37"/>
    </row>
    <row r="2924" spans="1:32" x14ac:dyDescent="0.25">
      <c r="A2924" s="37"/>
      <c r="B2924" s="37"/>
      <c r="C2924" s="37"/>
      <c r="F2924" s="38"/>
      <c r="G2924" s="38"/>
      <c r="H2924" s="38"/>
      <c r="I2924" s="37"/>
      <c r="J2924" s="38"/>
      <c r="K2924" s="38"/>
      <c r="L2924" s="42"/>
      <c r="M2924" s="42"/>
      <c r="N2924" s="42"/>
      <c r="O2924" s="42"/>
      <c r="R2924" s="37"/>
      <c r="S2924" s="37"/>
      <c r="T2924" s="91"/>
      <c r="U2924" s="91"/>
      <c r="V2924" s="41"/>
      <c r="W2924" s="37"/>
      <c r="X2924" s="37"/>
      <c r="Y2924" s="43"/>
      <c r="Z2924" s="37"/>
      <c r="AA2924" s="37"/>
      <c r="AD2924" s="37"/>
      <c r="AE2924" s="37"/>
      <c r="AF2924" s="37"/>
    </row>
    <row r="2925" spans="1:32" x14ac:dyDescent="0.25">
      <c r="A2925" s="37"/>
      <c r="B2925" s="37"/>
      <c r="C2925" s="37"/>
      <c r="F2925" s="38"/>
      <c r="G2925" s="38"/>
      <c r="H2925" s="38"/>
      <c r="I2925" s="37"/>
      <c r="J2925" s="38"/>
      <c r="K2925" s="38"/>
      <c r="L2925" s="42"/>
      <c r="M2925" s="42"/>
      <c r="N2925" s="42"/>
      <c r="O2925" s="42"/>
      <c r="R2925" s="37"/>
      <c r="S2925" s="37"/>
      <c r="T2925" s="91"/>
      <c r="U2925" s="91"/>
      <c r="V2925" s="41"/>
      <c r="W2925" s="37"/>
      <c r="X2925" s="37"/>
      <c r="Y2925" s="43"/>
      <c r="Z2925" s="37"/>
      <c r="AA2925" s="37"/>
      <c r="AD2925" s="37"/>
      <c r="AE2925" s="37"/>
      <c r="AF2925" s="37"/>
    </row>
    <row r="2926" spans="1:32" x14ac:dyDescent="0.25">
      <c r="A2926" s="37"/>
      <c r="B2926" s="37"/>
      <c r="C2926" s="37"/>
      <c r="F2926" s="38"/>
      <c r="G2926" s="38"/>
      <c r="H2926" s="38"/>
      <c r="I2926" s="37"/>
      <c r="J2926" s="38"/>
      <c r="K2926" s="38"/>
      <c r="L2926" s="42"/>
      <c r="M2926" s="42"/>
      <c r="N2926" s="42"/>
      <c r="O2926" s="42"/>
      <c r="R2926" s="37"/>
      <c r="S2926" s="37"/>
      <c r="T2926" s="91"/>
      <c r="U2926" s="91"/>
      <c r="V2926" s="41"/>
      <c r="W2926" s="37"/>
      <c r="X2926" s="37"/>
      <c r="Y2926" s="43"/>
      <c r="Z2926" s="37"/>
      <c r="AA2926" s="37"/>
      <c r="AD2926" s="37"/>
      <c r="AE2926" s="37"/>
      <c r="AF2926" s="37"/>
    </row>
    <row r="2927" spans="1:32" x14ac:dyDescent="0.25">
      <c r="A2927" s="37"/>
      <c r="B2927" s="37"/>
      <c r="C2927" s="37"/>
      <c r="F2927" s="38"/>
      <c r="G2927" s="38"/>
      <c r="H2927" s="38"/>
      <c r="I2927" s="37"/>
      <c r="J2927" s="38"/>
      <c r="K2927" s="38"/>
      <c r="L2927" s="42"/>
      <c r="M2927" s="42"/>
      <c r="N2927" s="42"/>
      <c r="O2927" s="42"/>
      <c r="R2927" s="37"/>
      <c r="S2927" s="37"/>
      <c r="T2927" s="91"/>
      <c r="U2927" s="91"/>
      <c r="V2927" s="41"/>
      <c r="W2927" s="37"/>
      <c r="X2927" s="37"/>
      <c r="Y2927" s="43"/>
      <c r="Z2927" s="37"/>
      <c r="AA2927" s="37"/>
      <c r="AD2927" s="37"/>
      <c r="AE2927" s="37"/>
      <c r="AF2927" s="37"/>
    </row>
    <row r="2928" spans="1:32" x14ac:dyDescent="0.25">
      <c r="A2928" s="37"/>
      <c r="B2928" s="37"/>
      <c r="C2928" s="37"/>
      <c r="F2928" s="38"/>
      <c r="G2928" s="38"/>
      <c r="H2928" s="38"/>
      <c r="I2928" s="37"/>
      <c r="J2928" s="38"/>
      <c r="K2928" s="38"/>
      <c r="L2928" s="42"/>
      <c r="M2928" s="42"/>
      <c r="N2928" s="42"/>
      <c r="O2928" s="42"/>
      <c r="R2928" s="37"/>
      <c r="S2928" s="37"/>
      <c r="T2928" s="91"/>
      <c r="U2928" s="91"/>
      <c r="V2928" s="41"/>
      <c r="W2928" s="37"/>
      <c r="X2928" s="37"/>
      <c r="Y2928" s="43"/>
      <c r="Z2928" s="37"/>
      <c r="AA2928" s="37"/>
      <c r="AD2928" s="37"/>
      <c r="AE2928" s="37"/>
      <c r="AF2928" s="37"/>
    </row>
    <row r="2929" spans="1:32" x14ac:dyDescent="0.25">
      <c r="A2929" s="37"/>
      <c r="B2929" s="37"/>
      <c r="C2929" s="37"/>
      <c r="F2929" s="38"/>
      <c r="G2929" s="38"/>
      <c r="H2929" s="38"/>
      <c r="I2929" s="37"/>
      <c r="J2929" s="38"/>
      <c r="K2929" s="38"/>
      <c r="L2929" s="42"/>
      <c r="M2929" s="42"/>
      <c r="N2929" s="42"/>
      <c r="O2929" s="42"/>
      <c r="R2929" s="37"/>
      <c r="S2929" s="37"/>
      <c r="T2929" s="91"/>
      <c r="U2929" s="91"/>
      <c r="V2929" s="41"/>
      <c r="W2929" s="37"/>
      <c r="X2929" s="37"/>
      <c r="Y2929" s="43"/>
      <c r="Z2929" s="37"/>
      <c r="AA2929" s="37"/>
      <c r="AD2929" s="37"/>
      <c r="AE2929" s="37"/>
      <c r="AF2929" s="37"/>
    </row>
    <row r="2930" spans="1:32" x14ac:dyDescent="0.25">
      <c r="A2930" s="37"/>
      <c r="B2930" s="37"/>
      <c r="C2930" s="37"/>
      <c r="F2930" s="38"/>
      <c r="G2930" s="38"/>
      <c r="H2930" s="38"/>
      <c r="I2930" s="37"/>
      <c r="J2930" s="38"/>
      <c r="K2930" s="38"/>
      <c r="L2930" s="42"/>
      <c r="M2930" s="42"/>
      <c r="N2930" s="42"/>
      <c r="O2930" s="42"/>
      <c r="R2930" s="37"/>
      <c r="S2930" s="37"/>
      <c r="T2930" s="91"/>
      <c r="U2930" s="91"/>
      <c r="V2930" s="41"/>
      <c r="W2930" s="37"/>
      <c r="X2930" s="37"/>
      <c r="Y2930" s="43"/>
      <c r="Z2930" s="37"/>
      <c r="AA2930" s="37"/>
      <c r="AD2930" s="37"/>
      <c r="AE2930" s="37"/>
      <c r="AF2930" s="37"/>
    </row>
    <row r="2931" spans="1:32" x14ac:dyDescent="0.25">
      <c r="A2931" s="37"/>
      <c r="B2931" s="37"/>
      <c r="C2931" s="37"/>
      <c r="F2931" s="38"/>
      <c r="G2931" s="38"/>
      <c r="H2931" s="38"/>
      <c r="I2931" s="37"/>
      <c r="J2931" s="38"/>
      <c r="K2931" s="38"/>
      <c r="L2931" s="42"/>
      <c r="M2931" s="42"/>
      <c r="N2931" s="42"/>
      <c r="O2931" s="42"/>
      <c r="R2931" s="37"/>
      <c r="S2931" s="37"/>
      <c r="T2931" s="91"/>
      <c r="U2931" s="91"/>
      <c r="V2931" s="41"/>
      <c r="W2931" s="37"/>
      <c r="X2931" s="37"/>
      <c r="Y2931" s="43"/>
      <c r="Z2931" s="37"/>
      <c r="AA2931" s="37"/>
      <c r="AD2931" s="37"/>
      <c r="AE2931" s="37"/>
      <c r="AF2931" s="37"/>
    </row>
    <row r="2932" spans="1:32" x14ac:dyDescent="0.25">
      <c r="A2932" s="37"/>
      <c r="B2932" s="37"/>
      <c r="C2932" s="37"/>
      <c r="F2932" s="38"/>
      <c r="G2932" s="38"/>
      <c r="H2932" s="38"/>
      <c r="I2932" s="37"/>
      <c r="J2932" s="38"/>
      <c r="K2932" s="38"/>
      <c r="L2932" s="42"/>
      <c r="M2932" s="42"/>
      <c r="N2932" s="42"/>
      <c r="O2932" s="42"/>
      <c r="R2932" s="37"/>
      <c r="S2932" s="37"/>
      <c r="T2932" s="91"/>
      <c r="U2932" s="91"/>
      <c r="V2932" s="41"/>
      <c r="W2932" s="37"/>
      <c r="X2932" s="37"/>
      <c r="Y2932" s="43"/>
      <c r="Z2932" s="37"/>
      <c r="AA2932" s="37"/>
      <c r="AD2932" s="37"/>
      <c r="AE2932" s="37"/>
      <c r="AF2932" s="37"/>
    </row>
    <row r="2933" spans="1:32" x14ac:dyDescent="0.25">
      <c r="A2933" s="37"/>
      <c r="B2933" s="37"/>
      <c r="C2933" s="37"/>
      <c r="F2933" s="38"/>
      <c r="G2933" s="38"/>
      <c r="H2933" s="38"/>
      <c r="I2933" s="37"/>
      <c r="J2933" s="38"/>
      <c r="K2933" s="38"/>
      <c r="L2933" s="42"/>
      <c r="M2933" s="42"/>
      <c r="N2933" s="42"/>
      <c r="O2933" s="42"/>
      <c r="R2933" s="37"/>
      <c r="S2933" s="37"/>
      <c r="T2933" s="91"/>
      <c r="U2933" s="91"/>
      <c r="V2933" s="41"/>
      <c r="W2933" s="37"/>
      <c r="X2933" s="37"/>
      <c r="Y2933" s="43"/>
      <c r="Z2933" s="37"/>
      <c r="AA2933" s="37"/>
      <c r="AD2933" s="37"/>
      <c r="AE2933" s="37"/>
      <c r="AF2933" s="37"/>
    </row>
    <row r="2934" spans="1:32" x14ac:dyDescent="0.25">
      <c r="A2934" s="37"/>
      <c r="B2934" s="37"/>
      <c r="C2934" s="37"/>
      <c r="F2934" s="38"/>
      <c r="G2934" s="38"/>
      <c r="H2934" s="38"/>
      <c r="I2934" s="37"/>
      <c r="J2934" s="38"/>
      <c r="K2934" s="38"/>
      <c r="L2934" s="42"/>
      <c r="M2934" s="42"/>
      <c r="N2934" s="42"/>
      <c r="O2934" s="42"/>
      <c r="R2934" s="37"/>
      <c r="S2934" s="37"/>
      <c r="T2934" s="91"/>
      <c r="U2934" s="91"/>
      <c r="V2934" s="41"/>
      <c r="W2934" s="37"/>
      <c r="X2934" s="37"/>
      <c r="Y2934" s="43"/>
      <c r="Z2934" s="37"/>
      <c r="AA2934" s="37"/>
      <c r="AD2934" s="37"/>
      <c r="AE2934" s="37"/>
      <c r="AF2934" s="37"/>
    </row>
    <row r="2935" spans="1:32" x14ac:dyDescent="0.25">
      <c r="A2935" s="37"/>
      <c r="B2935" s="37"/>
      <c r="C2935" s="37"/>
      <c r="F2935" s="38"/>
      <c r="G2935" s="38"/>
      <c r="H2935" s="38"/>
      <c r="I2935" s="37"/>
      <c r="J2935" s="38"/>
      <c r="K2935" s="38"/>
      <c r="L2935" s="42"/>
      <c r="M2935" s="42"/>
      <c r="N2935" s="42"/>
      <c r="O2935" s="42"/>
      <c r="R2935" s="37"/>
      <c r="S2935" s="37"/>
      <c r="T2935" s="91"/>
      <c r="U2935" s="91"/>
      <c r="V2935" s="41"/>
      <c r="W2935" s="37"/>
      <c r="X2935" s="37"/>
      <c r="Y2935" s="43"/>
      <c r="Z2935" s="37"/>
      <c r="AA2935" s="37"/>
      <c r="AD2935" s="37"/>
      <c r="AE2935" s="37"/>
      <c r="AF2935" s="37"/>
    </row>
    <row r="2936" spans="1:32" x14ac:dyDescent="0.25">
      <c r="A2936" s="37"/>
      <c r="B2936" s="37"/>
      <c r="C2936" s="37"/>
      <c r="F2936" s="38"/>
      <c r="G2936" s="38"/>
      <c r="H2936" s="38"/>
      <c r="I2936" s="37"/>
      <c r="J2936" s="38"/>
      <c r="K2936" s="38"/>
      <c r="L2936" s="42"/>
      <c r="M2936" s="42"/>
      <c r="N2936" s="42"/>
      <c r="O2936" s="42"/>
      <c r="R2936" s="37"/>
      <c r="S2936" s="37"/>
      <c r="T2936" s="91"/>
      <c r="U2936" s="91"/>
      <c r="V2936" s="41"/>
      <c r="W2936" s="37"/>
      <c r="X2936" s="37"/>
      <c r="Y2936" s="43"/>
      <c r="Z2936" s="37"/>
      <c r="AA2936" s="37"/>
      <c r="AD2936" s="37"/>
      <c r="AE2936" s="37"/>
      <c r="AF2936" s="37"/>
    </row>
    <row r="2937" spans="1:32" x14ac:dyDescent="0.25">
      <c r="A2937" s="37"/>
      <c r="B2937" s="37"/>
      <c r="C2937" s="37"/>
      <c r="F2937" s="38"/>
      <c r="G2937" s="38"/>
      <c r="H2937" s="38"/>
      <c r="I2937" s="37"/>
      <c r="J2937" s="38"/>
      <c r="K2937" s="38"/>
      <c r="L2937" s="42"/>
      <c r="M2937" s="42"/>
      <c r="N2937" s="42"/>
      <c r="O2937" s="42"/>
      <c r="R2937" s="37"/>
      <c r="S2937" s="37"/>
      <c r="T2937" s="91"/>
      <c r="U2937" s="91"/>
      <c r="V2937" s="41"/>
      <c r="W2937" s="37"/>
      <c r="X2937" s="37"/>
      <c r="Y2937" s="43"/>
      <c r="Z2937" s="37"/>
      <c r="AA2937" s="37"/>
      <c r="AD2937" s="37"/>
      <c r="AE2937" s="37"/>
      <c r="AF2937" s="37"/>
    </row>
    <row r="2938" spans="1:32" x14ac:dyDescent="0.25">
      <c r="A2938" s="37"/>
      <c r="B2938" s="37"/>
      <c r="C2938" s="37"/>
      <c r="F2938" s="38"/>
      <c r="G2938" s="38"/>
      <c r="H2938" s="38"/>
      <c r="I2938" s="37"/>
      <c r="J2938" s="38"/>
      <c r="K2938" s="38"/>
      <c r="L2938" s="42"/>
      <c r="M2938" s="42"/>
      <c r="N2938" s="42"/>
      <c r="O2938" s="42"/>
      <c r="R2938" s="37"/>
      <c r="S2938" s="37"/>
      <c r="T2938" s="91"/>
      <c r="U2938" s="91"/>
      <c r="V2938" s="41"/>
      <c r="W2938" s="37"/>
      <c r="X2938" s="37"/>
      <c r="Y2938" s="43"/>
      <c r="Z2938" s="37"/>
      <c r="AA2938" s="37"/>
      <c r="AD2938" s="37"/>
      <c r="AE2938" s="37"/>
      <c r="AF2938" s="37"/>
    </row>
    <row r="2939" spans="1:32" x14ac:dyDescent="0.25">
      <c r="A2939" s="37"/>
      <c r="B2939" s="37"/>
      <c r="C2939" s="37"/>
      <c r="F2939" s="38"/>
      <c r="G2939" s="38"/>
      <c r="H2939" s="38"/>
      <c r="I2939" s="37"/>
      <c r="J2939" s="38"/>
      <c r="K2939" s="38"/>
      <c r="L2939" s="42"/>
      <c r="M2939" s="42"/>
      <c r="N2939" s="42"/>
      <c r="O2939" s="42"/>
      <c r="R2939" s="37"/>
      <c r="S2939" s="37"/>
      <c r="T2939" s="91"/>
      <c r="U2939" s="91"/>
      <c r="V2939" s="41"/>
      <c r="W2939" s="37"/>
      <c r="X2939" s="37"/>
      <c r="Y2939" s="43"/>
      <c r="Z2939" s="37"/>
      <c r="AA2939" s="37"/>
      <c r="AD2939" s="37"/>
      <c r="AE2939" s="37"/>
      <c r="AF2939" s="37"/>
    </row>
    <row r="2940" spans="1:32" x14ac:dyDescent="0.25">
      <c r="A2940" s="37"/>
      <c r="B2940" s="37"/>
      <c r="C2940" s="37"/>
      <c r="F2940" s="38"/>
      <c r="G2940" s="38"/>
      <c r="H2940" s="38"/>
      <c r="I2940" s="37"/>
      <c r="J2940" s="38"/>
      <c r="K2940" s="38"/>
      <c r="L2940" s="42"/>
      <c r="M2940" s="42"/>
      <c r="N2940" s="42"/>
      <c r="O2940" s="42"/>
      <c r="R2940" s="37"/>
      <c r="S2940" s="37"/>
      <c r="T2940" s="91"/>
      <c r="U2940" s="91"/>
      <c r="V2940" s="41"/>
      <c r="W2940" s="37"/>
      <c r="X2940" s="37"/>
      <c r="Y2940" s="43"/>
      <c r="Z2940" s="37"/>
      <c r="AA2940" s="37"/>
      <c r="AD2940" s="37"/>
      <c r="AE2940" s="37"/>
      <c r="AF2940" s="37"/>
    </row>
    <row r="2941" spans="1:32" x14ac:dyDescent="0.25">
      <c r="A2941" s="37"/>
      <c r="B2941" s="37"/>
      <c r="C2941" s="37"/>
      <c r="F2941" s="38"/>
      <c r="G2941" s="38"/>
      <c r="H2941" s="38"/>
      <c r="I2941" s="37"/>
      <c r="J2941" s="38"/>
      <c r="K2941" s="38"/>
      <c r="L2941" s="42"/>
      <c r="M2941" s="42"/>
      <c r="N2941" s="42"/>
      <c r="O2941" s="42"/>
      <c r="R2941" s="37"/>
      <c r="S2941" s="37"/>
      <c r="T2941" s="91"/>
      <c r="U2941" s="91"/>
      <c r="V2941" s="41"/>
      <c r="W2941" s="37"/>
      <c r="X2941" s="37"/>
      <c r="Y2941" s="43"/>
      <c r="Z2941" s="37"/>
      <c r="AA2941" s="37"/>
      <c r="AD2941" s="37"/>
      <c r="AE2941" s="37"/>
      <c r="AF2941" s="37"/>
    </row>
    <row r="2942" spans="1:32" x14ac:dyDescent="0.25">
      <c r="A2942" s="37"/>
      <c r="B2942" s="37"/>
      <c r="C2942" s="37"/>
      <c r="F2942" s="38"/>
      <c r="G2942" s="38"/>
      <c r="H2942" s="38"/>
      <c r="I2942" s="37"/>
      <c r="J2942" s="38"/>
      <c r="K2942" s="38"/>
      <c r="L2942" s="42"/>
      <c r="M2942" s="42"/>
      <c r="N2942" s="42"/>
      <c r="O2942" s="42"/>
      <c r="R2942" s="37"/>
      <c r="S2942" s="37"/>
      <c r="T2942" s="91"/>
      <c r="U2942" s="91"/>
      <c r="V2942" s="41"/>
      <c r="W2942" s="37"/>
      <c r="X2942" s="37"/>
      <c r="Y2942" s="43"/>
      <c r="Z2942" s="37"/>
      <c r="AA2942" s="37"/>
      <c r="AD2942" s="37"/>
      <c r="AE2942" s="37"/>
      <c r="AF2942" s="37"/>
    </row>
    <row r="2943" spans="1:32" x14ac:dyDescent="0.25">
      <c r="A2943" s="37"/>
      <c r="B2943" s="37"/>
      <c r="C2943" s="37"/>
      <c r="F2943" s="38"/>
      <c r="G2943" s="38"/>
      <c r="H2943" s="38"/>
      <c r="I2943" s="37"/>
      <c r="J2943" s="38"/>
      <c r="K2943" s="38"/>
      <c r="L2943" s="42"/>
      <c r="M2943" s="42"/>
      <c r="N2943" s="42"/>
      <c r="O2943" s="42"/>
      <c r="R2943" s="37"/>
      <c r="S2943" s="37"/>
      <c r="T2943" s="91"/>
      <c r="U2943" s="91"/>
      <c r="V2943" s="41"/>
      <c r="W2943" s="37"/>
      <c r="X2943" s="37"/>
      <c r="Y2943" s="43"/>
      <c r="Z2943" s="37"/>
      <c r="AA2943" s="37"/>
      <c r="AD2943" s="37"/>
      <c r="AE2943" s="37"/>
      <c r="AF2943" s="37"/>
    </row>
    <row r="2944" spans="1:32" x14ac:dyDescent="0.25">
      <c r="A2944" s="37"/>
      <c r="B2944" s="37"/>
      <c r="C2944" s="37"/>
      <c r="F2944" s="38"/>
      <c r="G2944" s="38"/>
      <c r="H2944" s="38"/>
      <c r="I2944" s="37"/>
      <c r="J2944" s="38"/>
      <c r="K2944" s="38"/>
      <c r="L2944" s="42"/>
      <c r="M2944" s="42"/>
      <c r="N2944" s="42"/>
      <c r="O2944" s="42"/>
      <c r="R2944" s="37"/>
      <c r="S2944" s="37"/>
      <c r="T2944" s="91"/>
      <c r="U2944" s="91"/>
      <c r="V2944" s="41"/>
      <c r="W2944" s="37"/>
      <c r="X2944" s="37"/>
      <c r="Y2944" s="43"/>
      <c r="Z2944" s="37"/>
      <c r="AA2944" s="37"/>
      <c r="AD2944" s="37"/>
      <c r="AE2944" s="37"/>
      <c r="AF2944" s="37"/>
    </row>
    <row r="2945" spans="1:32" x14ac:dyDescent="0.25">
      <c r="A2945" s="37"/>
      <c r="B2945" s="37"/>
      <c r="C2945" s="37"/>
      <c r="F2945" s="38"/>
      <c r="G2945" s="38"/>
      <c r="H2945" s="38"/>
      <c r="I2945" s="37"/>
      <c r="J2945" s="38"/>
      <c r="K2945" s="38"/>
      <c r="L2945" s="42"/>
      <c r="M2945" s="42"/>
      <c r="N2945" s="42"/>
      <c r="O2945" s="42"/>
      <c r="R2945" s="37"/>
      <c r="S2945" s="37"/>
      <c r="T2945" s="91"/>
      <c r="U2945" s="91"/>
      <c r="V2945" s="41"/>
      <c r="W2945" s="37"/>
      <c r="X2945" s="37"/>
      <c r="Y2945" s="43"/>
      <c r="Z2945" s="37"/>
      <c r="AA2945" s="37"/>
      <c r="AD2945" s="37"/>
      <c r="AE2945" s="37"/>
      <c r="AF2945" s="37"/>
    </row>
    <row r="2946" spans="1:32" x14ac:dyDescent="0.25">
      <c r="A2946" s="37"/>
      <c r="B2946" s="37"/>
      <c r="C2946" s="37"/>
      <c r="F2946" s="38"/>
      <c r="G2946" s="38"/>
      <c r="H2946" s="38"/>
      <c r="I2946" s="37"/>
      <c r="J2946" s="38"/>
      <c r="K2946" s="38"/>
      <c r="L2946" s="42"/>
      <c r="M2946" s="42"/>
      <c r="N2946" s="42"/>
      <c r="O2946" s="42"/>
      <c r="R2946" s="37"/>
      <c r="S2946" s="37"/>
      <c r="T2946" s="91"/>
      <c r="U2946" s="91"/>
      <c r="V2946" s="41"/>
      <c r="W2946" s="37"/>
      <c r="X2946" s="37"/>
      <c r="Y2946" s="43"/>
      <c r="Z2946" s="37"/>
      <c r="AA2946" s="37"/>
      <c r="AD2946" s="37"/>
      <c r="AE2946" s="37"/>
      <c r="AF2946" s="37"/>
    </row>
    <row r="2947" spans="1:32" x14ac:dyDescent="0.25">
      <c r="A2947" s="37"/>
      <c r="B2947" s="37"/>
      <c r="C2947" s="37"/>
      <c r="F2947" s="38"/>
      <c r="G2947" s="38"/>
      <c r="H2947" s="38"/>
      <c r="I2947" s="37"/>
      <c r="J2947" s="38"/>
      <c r="K2947" s="38"/>
      <c r="L2947" s="42"/>
      <c r="M2947" s="42"/>
      <c r="N2947" s="42"/>
      <c r="O2947" s="42"/>
      <c r="R2947" s="37"/>
      <c r="S2947" s="37"/>
      <c r="T2947" s="91"/>
      <c r="U2947" s="91"/>
      <c r="V2947" s="41"/>
      <c r="W2947" s="37"/>
      <c r="X2947" s="37"/>
      <c r="Y2947" s="43"/>
      <c r="Z2947" s="37"/>
      <c r="AA2947" s="37"/>
      <c r="AD2947" s="37"/>
      <c r="AE2947" s="37"/>
      <c r="AF2947" s="37"/>
    </row>
    <row r="2948" spans="1:32" x14ac:dyDescent="0.25">
      <c r="A2948" s="37"/>
      <c r="B2948" s="37"/>
      <c r="C2948" s="37"/>
      <c r="F2948" s="38"/>
      <c r="G2948" s="38"/>
      <c r="H2948" s="38"/>
      <c r="I2948" s="37"/>
      <c r="J2948" s="38"/>
      <c r="K2948" s="38"/>
      <c r="L2948" s="42"/>
      <c r="M2948" s="42"/>
      <c r="N2948" s="42"/>
      <c r="O2948" s="42"/>
      <c r="R2948" s="37"/>
      <c r="S2948" s="37"/>
      <c r="T2948" s="91"/>
      <c r="U2948" s="91"/>
      <c r="V2948" s="41"/>
      <c r="W2948" s="37"/>
      <c r="X2948" s="37"/>
      <c r="Y2948" s="43"/>
      <c r="Z2948" s="37"/>
      <c r="AA2948" s="37"/>
      <c r="AD2948" s="37"/>
      <c r="AE2948" s="37"/>
      <c r="AF2948" s="37"/>
    </row>
    <row r="2949" spans="1:32" x14ac:dyDescent="0.25">
      <c r="A2949" s="37"/>
      <c r="B2949" s="37"/>
      <c r="C2949" s="37"/>
      <c r="F2949" s="38"/>
      <c r="G2949" s="38"/>
      <c r="H2949" s="38"/>
      <c r="I2949" s="37"/>
      <c r="J2949" s="38"/>
      <c r="K2949" s="38"/>
      <c r="L2949" s="42"/>
      <c r="M2949" s="42"/>
      <c r="N2949" s="42"/>
      <c r="O2949" s="42"/>
      <c r="R2949" s="37"/>
      <c r="S2949" s="37"/>
      <c r="T2949" s="91"/>
      <c r="U2949" s="91"/>
      <c r="V2949" s="41"/>
      <c r="W2949" s="37"/>
      <c r="X2949" s="37"/>
      <c r="Y2949" s="43"/>
      <c r="Z2949" s="37"/>
      <c r="AA2949" s="37"/>
      <c r="AD2949" s="37"/>
      <c r="AE2949" s="37"/>
      <c r="AF2949" s="37"/>
    </row>
    <row r="2950" spans="1:32" x14ac:dyDescent="0.25">
      <c r="A2950" s="37"/>
      <c r="B2950" s="37"/>
      <c r="C2950" s="37"/>
      <c r="F2950" s="38"/>
      <c r="G2950" s="38"/>
      <c r="H2950" s="38"/>
      <c r="I2950" s="37"/>
      <c r="J2950" s="38"/>
      <c r="K2950" s="38"/>
      <c r="L2950" s="42"/>
      <c r="M2950" s="42"/>
      <c r="N2950" s="42"/>
      <c r="O2950" s="42"/>
      <c r="R2950" s="37"/>
      <c r="S2950" s="37"/>
      <c r="T2950" s="91"/>
      <c r="U2950" s="91"/>
      <c r="V2950" s="41"/>
      <c r="W2950" s="37"/>
      <c r="X2950" s="37"/>
      <c r="Y2950" s="43"/>
      <c r="Z2950" s="37"/>
      <c r="AA2950" s="37"/>
      <c r="AD2950" s="37"/>
      <c r="AE2950" s="37"/>
      <c r="AF2950" s="37"/>
    </row>
    <row r="2951" spans="1:32" x14ac:dyDescent="0.25">
      <c r="A2951" s="37"/>
      <c r="B2951" s="37"/>
      <c r="C2951" s="37"/>
      <c r="F2951" s="38"/>
      <c r="G2951" s="38"/>
      <c r="H2951" s="38"/>
      <c r="I2951" s="37"/>
      <c r="J2951" s="38"/>
      <c r="K2951" s="38"/>
      <c r="L2951" s="42"/>
      <c r="M2951" s="42"/>
      <c r="N2951" s="42"/>
      <c r="O2951" s="42"/>
      <c r="R2951" s="37"/>
      <c r="S2951" s="37"/>
      <c r="T2951" s="91"/>
      <c r="U2951" s="91"/>
      <c r="V2951" s="41"/>
      <c r="W2951" s="37"/>
      <c r="X2951" s="37"/>
      <c r="Y2951" s="43"/>
      <c r="Z2951" s="37"/>
      <c r="AA2951" s="37"/>
      <c r="AD2951" s="37"/>
      <c r="AE2951" s="37"/>
      <c r="AF2951" s="37"/>
    </row>
    <row r="2952" spans="1:32" x14ac:dyDescent="0.25">
      <c r="A2952" s="37"/>
      <c r="B2952" s="37"/>
      <c r="C2952" s="37"/>
      <c r="F2952" s="38"/>
      <c r="G2952" s="38"/>
      <c r="H2952" s="38"/>
      <c r="I2952" s="37"/>
      <c r="J2952" s="38"/>
      <c r="K2952" s="38"/>
      <c r="L2952" s="42"/>
      <c r="M2952" s="42"/>
      <c r="N2952" s="42"/>
      <c r="O2952" s="42"/>
      <c r="R2952" s="37"/>
      <c r="S2952" s="37"/>
      <c r="T2952" s="91"/>
      <c r="U2952" s="91"/>
      <c r="V2952" s="41"/>
      <c r="W2952" s="37"/>
      <c r="X2952" s="37"/>
      <c r="Y2952" s="43"/>
      <c r="Z2952" s="37"/>
      <c r="AA2952" s="37"/>
      <c r="AD2952" s="37"/>
      <c r="AE2952" s="37"/>
      <c r="AF2952" s="37"/>
    </row>
    <row r="2953" spans="1:32" x14ac:dyDescent="0.25">
      <c r="A2953" s="37"/>
      <c r="B2953" s="37"/>
      <c r="C2953" s="37"/>
      <c r="F2953" s="38"/>
      <c r="G2953" s="38"/>
      <c r="H2953" s="38"/>
      <c r="I2953" s="37"/>
      <c r="J2953" s="38"/>
      <c r="K2953" s="38"/>
      <c r="L2953" s="42"/>
      <c r="M2953" s="42"/>
      <c r="N2953" s="42"/>
      <c r="O2953" s="42"/>
      <c r="R2953" s="37"/>
      <c r="S2953" s="37"/>
      <c r="T2953" s="91"/>
      <c r="U2953" s="91"/>
      <c r="V2953" s="41"/>
      <c r="W2953" s="37"/>
      <c r="X2953" s="37"/>
      <c r="Y2953" s="43"/>
      <c r="Z2953" s="37"/>
      <c r="AA2953" s="37"/>
      <c r="AD2953" s="37"/>
      <c r="AE2953" s="37"/>
      <c r="AF2953" s="37"/>
    </row>
    <row r="2954" spans="1:32" x14ac:dyDescent="0.25">
      <c r="A2954" s="37"/>
      <c r="B2954" s="37"/>
      <c r="C2954" s="37"/>
      <c r="F2954" s="38"/>
      <c r="G2954" s="38"/>
      <c r="H2954" s="38"/>
      <c r="I2954" s="37"/>
      <c r="J2954" s="38"/>
      <c r="K2954" s="38"/>
      <c r="L2954" s="42"/>
      <c r="M2954" s="42"/>
      <c r="N2954" s="42"/>
      <c r="O2954" s="42"/>
      <c r="R2954" s="37"/>
      <c r="S2954" s="37"/>
      <c r="T2954" s="91"/>
      <c r="U2954" s="91"/>
      <c r="V2954" s="41"/>
      <c r="W2954" s="37"/>
      <c r="X2954" s="37"/>
      <c r="Y2954" s="43"/>
      <c r="Z2954" s="37"/>
      <c r="AA2954" s="37"/>
      <c r="AD2954" s="37"/>
      <c r="AE2954" s="37"/>
      <c r="AF2954" s="37"/>
    </row>
    <row r="2955" spans="1:32" x14ac:dyDescent="0.25">
      <c r="A2955" s="37"/>
      <c r="B2955" s="37"/>
      <c r="C2955" s="37"/>
      <c r="F2955" s="38"/>
      <c r="G2955" s="38"/>
      <c r="H2955" s="38"/>
      <c r="I2955" s="37"/>
      <c r="J2955" s="38"/>
      <c r="K2955" s="38"/>
      <c r="L2955" s="42"/>
      <c r="M2955" s="42"/>
      <c r="N2955" s="42"/>
      <c r="O2955" s="42"/>
      <c r="R2955" s="37"/>
      <c r="S2955" s="37"/>
      <c r="T2955" s="91"/>
      <c r="U2955" s="91"/>
      <c r="V2955" s="41"/>
      <c r="W2955" s="37"/>
      <c r="X2955" s="37"/>
      <c r="Y2955" s="43"/>
      <c r="Z2955" s="37"/>
      <c r="AA2955" s="37"/>
      <c r="AD2955" s="37"/>
      <c r="AE2955" s="37"/>
      <c r="AF2955" s="37"/>
    </row>
    <row r="2956" spans="1:32" x14ac:dyDescent="0.25">
      <c r="A2956" s="37"/>
      <c r="B2956" s="37"/>
      <c r="C2956" s="37"/>
      <c r="F2956" s="38"/>
      <c r="G2956" s="38"/>
      <c r="H2956" s="38"/>
      <c r="I2956" s="37"/>
      <c r="J2956" s="38"/>
      <c r="K2956" s="38"/>
      <c r="L2956" s="42"/>
      <c r="M2956" s="42"/>
      <c r="N2956" s="42"/>
      <c r="O2956" s="42"/>
      <c r="R2956" s="37"/>
      <c r="S2956" s="37"/>
      <c r="T2956" s="91"/>
      <c r="U2956" s="91"/>
      <c r="V2956" s="41"/>
      <c r="W2956" s="37"/>
      <c r="X2956" s="37"/>
      <c r="Y2956" s="43"/>
      <c r="Z2956" s="37"/>
      <c r="AA2956" s="37"/>
      <c r="AD2956" s="37"/>
      <c r="AE2956" s="37"/>
      <c r="AF2956" s="37"/>
    </row>
    <row r="2957" spans="1:32" x14ac:dyDescent="0.25">
      <c r="A2957" s="37"/>
      <c r="B2957" s="37"/>
      <c r="C2957" s="37"/>
      <c r="F2957" s="38"/>
      <c r="G2957" s="38"/>
      <c r="H2957" s="38"/>
      <c r="I2957" s="37"/>
      <c r="J2957" s="38"/>
      <c r="K2957" s="38"/>
      <c r="L2957" s="42"/>
      <c r="M2957" s="42"/>
      <c r="N2957" s="42"/>
      <c r="O2957" s="42"/>
      <c r="R2957" s="37"/>
      <c r="S2957" s="37"/>
      <c r="T2957" s="91"/>
      <c r="U2957" s="91"/>
      <c r="V2957" s="41"/>
      <c r="W2957" s="37"/>
      <c r="X2957" s="37"/>
      <c r="Y2957" s="43"/>
      <c r="Z2957" s="37"/>
      <c r="AA2957" s="37"/>
      <c r="AD2957" s="37"/>
      <c r="AE2957" s="37"/>
      <c r="AF2957" s="37"/>
    </row>
    <row r="2958" spans="1:32" x14ac:dyDescent="0.25">
      <c r="A2958" s="37"/>
      <c r="B2958" s="37"/>
      <c r="C2958" s="37"/>
      <c r="F2958" s="38"/>
      <c r="G2958" s="38"/>
      <c r="H2958" s="38"/>
      <c r="I2958" s="37"/>
      <c r="J2958" s="38"/>
      <c r="K2958" s="38"/>
      <c r="L2958" s="42"/>
      <c r="M2958" s="42"/>
      <c r="N2958" s="42"/>
      <c r="O2958" s="42"/>
      <c r="R2958" s="37"/>
      <c r="S2958" s="37"/>
      <c r="T2958" s="91"/>
      <c r="U2958" s="91"/>
      <c r="V2958" s="41"/>
      <c r="W2958" s="37"/>
      <c r="X2958" s="37"/>
      <c r="Y2958" s="43"/>
      <c r="Z2958" s="37"/>
      <c r="AA2958" s="37"/>
      <c r="AD2958" s="37"/>
      <c r="AE2958" s="37"/>
      <c r="AF2958" s="37"/>
    </row>
    <row r="2959" spans="1:32" x14ac:dyDescent="0.25">
      <c r="A2959" s="37"/>
      <c r="B2959" s="37"/>
      <c r="C2959" s="37"/>
      <c r="F2959" s="38"/>
      <c r="G2959" s="38"/>
      <c r="H2959" s="38"/>
      <c r="I2959" s="37"/>
      <c r="J2959" s="38"/>
      <c r="K2959" s="38"/>
      <c r="L2959" s="42"/>
      <c r="M2959" s="42"/>
      <c r="N2959" s="42"/>
      <c r="O2959" s="42"/>
      <c r="R2959" s="37"/>
      <c r="S2959" s="37"/>
      <c r="T2959" s="91"/>
      <c r="U2959" s="91"/>
      <c r="V2959" s="41"/>
      <c r="W2959" s="37"/>
      <c r="X2959" s="37"/>
      <c r="Y2959" s="43"/>
      <c r="Z2959" s="37"/>
      <c r="AA2959" s="37"/>
      <c r="AD2959" s="37"/>
      <c r="AE2959" s="37"/>
      <c r="AF2959" s="37"/>
    </row>
    <row r="2960" spans="1:32" x14ac:dyDescent="0.25">
      <c r="A2960" s="37"/>
      <c r="B2960" s="37"/>
      <c r="C2960" s="37"/>
      <c r="F2960" s="38"/>
      <c r="G2960" s="38"/>
      <c r="H2960" s="38"/>
      <c r="I2960" s="37"/>
      <c r="J2960" s="38"/>
      <c r="K2960" s="38"/>
      <c r="L2960" s="42"/>
      <c r="M2960" s="42"/>
      <c r="N2960" s="42"/>
      <c r="O2960" s="42"/>
      <c r="R2960" s="37"/>
      <c r="S2960" s="37"/>
      <c r="T2960" s="91"/>
      <c r="U2960" s="91"/>
      <c r="V2960" s="41"/>
      <c r="W2960" s="37"/>
      <c r="X2960" s="37"/>
      <c r="Y2960" s="43"/>
      <c r="Z2960" s="37"/>
      <c r="AA2960" s="37"/>
      <c r="AD2960" s="37"/>
      <c r="AE2960" s="37"/>
      <c r="AF2960" s="37"/>
    </row>
    <row r="2961" spans="1:32" x14ac:dyDescent="0.25">
      <c r="A2961" s="37"/>
      <c r="B2961" s="37"/>
      <c r="C2961" s="37"/>
      <c r="F2961" s="38"/>
      <c r="G2961" s="38"/>
      <c r="H2961" s="38"/>
      <c r="I2961" s="37"/>
      <c r="J2961" s="38"/>
      <c r="K2961" s="38"/>
      <c r="L2961" s="42"/>
      <c r="M2961" s="42"/>
      <c r="N2961" s="42"/>
      <c r="O2961" s="42"/>
      <c r="R2961" s="37"/>
      <c r="S2961" s="37"/>
      <c r="T2961" s="91"/>
      <c r="U2961" s="91"/>
      <c r="V2961" s="41"/>
      <c r="W2961" s="37"/>
      <c r="X2961" s="37"/>
      <c r="Y2961" s="43"/>
      <c r="Z2961" s="37"/>
      <c r="AA2961" s="37"/>
      <c r="AD2961" s="37"/>
      <c r="AE2961" s="37"/>
      <c r="AF2961" s="37"/>
    </row>
    <row r="2962" spans="1:32" x14ac:dyDescent="0.25">
      <c r="A2962" s="37"/>
      <c r="B2962" s="37"/>
      <c r="C2962" s="37"/>
      <c r="F2962" s="38"/>
      <c r="G2962" s="38"/>
      <c r="H2962" s="38"/>
      <c r="I2962" s="37"/>
      <c r="J2962" s="38"/>
      <c r="K2962" s="38"/>
      <c r="L2962" s="42"/>
      <c r="M2962" s="42"/>
      <c r="N2962" s="42"/>
      <c r="O2962" s="42"/>
      <c r="R2962" s="37"/>
      <c r="S2962" s="37"/>
      <c r="T2962" s="91"/>
      <c r="U2962" s="91"/>
      <c r="V2962" s="41"/>
      <c r="W2962" s="37"/>
      <c r="X2962" s="37"/>
      <c r="Y2962" s="43"/>
      <c r="Z2962" s="37"/>
      <c r="AA2962" s="37"/>
      <c r="AD2962" s="37"/>
      <c r="AE2962" s="37"/>
      <c r="AF2962" s="37"/>
    </row>
    <row r="2963" spans="1:32" x14ac:dyDescent="0.25">
      <c r="A2963" s="37"/>
      <c r="B2963" s="37"/>
      <c r="C2963" s="37"/>
      <c r="F2963" s="38"/>
      <c r="G2963" s="38"/>
      <c r="H2963" s="38"/>
      <c r="I2963" s="37"/>
      <c r="J2963" s="38"/>
      <c r="K2963" s="38"/>
      <c r="L2963" s="42"/>
      <c r="M2963" s="42"/>
      <c r="N2963" s="42"/>
      <c r="O2963" s="42"/>
      <c r="R2963" s="37"/>
      <c r="S2963" s="37"/>
      <c r="T2963" s="91"/>
      <c r="U2963" s="91"/>
      <c r="V2963" s="41"/>
      <c r="W2963" s="37"/>
      <c r="X2963" s="37"/>
      <c r="Y2963" s="43"/>
      <c r="Z2963" s="37"/>
      <c r="AA2963" s="37"/>
      <c r="AD2963" s="37"/>
      <c r="AE2963" s="37"/>
      <c r="AF2963" s="37"/>
    </row>
    <row r="2964" spans="1:32" x14ac:dyDescent="0.25">
      <c r="A2964" s="37"/>
      <c r="B2964" s="37"/>
      <c r="C2964" s="37"/>
      <c r="F2964" s="38"/>
      <c r="G2964" s="38"/>
      <c r="H2964" s="38"/>
      <c r="I2964" s="37"/>
      <c r="J2964" s="38"/>
      <c r="K2964" s="38"/>
      <c r="L2964" s="42"/>
      <c r="M2964" s="42"/>
      <c r="N2964" s="42"/>
      <c r="O2964" s="42"/>
      <c r="R2964" s="37"/>
      <c r="S2964" s="37"/>
      <c r="T2964" s="91"/>
      <c r="U2964" s="91"/>
      <c r="V2964" s="41"/>
      <c r="W2964" s="37"/>
      <c r="X2964" s="37"/>
      <c r="Y2964" s="43"/>
      <c r="Z2964" s="37"/>
      <c r="AA2964" s="37"/>
      <c r="AD2964" s="37"/>
      <c r="AE2964" s="37"/>
      <c r="AF2964" s="37"/>
    </row>
    <row r="2965" spans="1:32" x14ac:dyDescent="0.25">
      <c r="A2965" s="37"/>
      <c r="B2965" s="37"/>
      <c r="C2965" s="37"/>
      <c r="F2965" s="38"/>
      <c r="G2965" s="38"/>
      <c r="H2965" s="38"/>
      <c r="I2965" s="37"/>
      <c r="J2965" s="38"/>
      <c r="K2965" s="38"/>
      <c r="L2965" s="42"/>
      <c r="M2965" s="42"/>
      <c r="N2965" s="42"/>
      <c r="O2965" s="42"/>
      <c r="R2965" s="37"/>
      <c r="S2965" s="37"/>
      <c r="T2965" s="91"/>
      <c r="U2965" s="91"/>
      <c r="V2965" s="41"/>
      <c r="W2965" s="37"/>
      <c r="X2965" s="37"/>
      <c r="Y2965" s="43"/>
      <c r="Z2965" s="37"/>
      <c r="AA2965" s="37"/>
      <c r="AD2965" s="37"/>
      <c r="AE2965" s="37"/>
      <c r="AF2965" s="37"/>
    </row>
    <row r="2966" spans="1:32" x14ac:dyDescent="0.25">
      <c r="A2966" s="37"/>
      <c r="B2966" s="37"/>
      <c r="C2966" s="37"/>
      <c r="F2966" s="38"/>
      <c r="G2966" s="38"/>
      <c r="H2966" s="38"/>
      <c r="I2966" s="37"/>
      <c r="J2966" s="38"/>
      <c r="K2966" s="38"/>
      <c r="L2966" s="42"/>
      <c r="M2966" s="42"/>
      <c r="N2966" s="42"/>
      <c r="O2966" s="42"/>
      <c r="R2966" s="37"/>
      <c r="S2966" s="37"/>
      <c r="T2966" s="91"/>
      <c r="U2966" s="91"/>
      <c r="V2966" s="41"/>
      <c r="W2966" s="37"/>
      <c r="X2966" s="37"/>
      <c r="Y2966" s="43"/>
      <c r="Z2966" s="37"/>
      <c r="AA2966" s="37"/>
      <c r="AD2966" s="37"/>
      <c r="AE2966" s="37"/>
      <c r="AF2966" s="37"/>
    </row>
    <row r="2967" spans="1:32" x14ac:dyDescent="0.25">
      <c r="A2967" s="37"/>
      <c r="B2967" s="37"/>
      <c r="C2967" s="37"/>
      <c r="F2967" s="38"/>
      <c r="G2967" s="38"/>
      <c r="H2967" s="38"/>
      <c r="I2967" s="37"/>
      <c r="J2967" s="38"/>
      <c r="K2967" s="38"/>
      <c r="L2967" s="42"/>
      <c r="M2967" s="42"/>
      <c r="N2967" s="42"/>
      <c r="O2967" s="42"/>
      <c r="R2967" s="37"/>
      <c r="S2967" s="37"/>
      <c r="T2967" s="91"/>
      <c r="U2967" s="91"/>
      <c r="V2967" s="41"/>
      <c r="W2967" s="37"/>
      <c r="X2967" s="37"/>
      <c r="Y2967" s="43"/>
      <c r="Z2967" s="37"/>
      <c r="AA2967" s="37"/>
      <c r="AD2967" s="37"/>
      <c r="AE2967" s="37"/>
      <c r="AF2967" s="37"/>
    </row>
    <row r="2968" spans="1:32" x14ac:dyDescent="0.25">
      <c r="A2968" s="37"/>
      <c r="B2968" s="37"/>
      <c r="C2968" s="37"/>
      <c r="F2968" s="38"/>
      <c r="G2968" s="38"/>
      <c r="H2968" s="38"/>
      <c r="I2968" s="37"/>
      <c r="J2968" s="38"/>
      <c r="K2968" s="38"/>
      <c r="L2968" s="42"/>
      <c r="M2968" s="42"/>
      <c r="N2968" s="42"/>
      <c r="O2968" s="42"/>
      <c r="R2968" s="37"/>
      <c r="S2968" s="37"/>
      <c r="T2968" s="91"/>
      <c r="U2968" s="91"/>
      <c r="V2968" s="41"/>
      <c r="W2968" s="37"/>
      <c r="X2968" s="37"/>
      <c r="Y2968" s="43"/>
      <c r="Z2968" s="37"/>
      <c r="AA2968" s="37"/>
      <c r="AD2968" s="37"/>
      <c r="AE2968" s="37"/>
      <c r="AF2968" s="37"/>
    </row>
    <row r="2969" spans="1:32" x14ac:dyDescent="0.25">
      <c r="A2969" s="37"/>
      <c r="B2969" s="37"/>
      <c r="C2969" s="37"/>
      <c r="F2969" s="38"/>
      <c r="G2969" s="38"/>
      <c r="H2969" s="38"/>
      <c r="I2969" s="37"/>
      <c r="J2969" s="38"/>
      <c r="K2969" s="38"/>
      <c r="L2969" s="42"/>
      <c r="M2969" s="42"/>
      <c r="N2969" s="42"/>
      <c r="O2969" s="42"/>
      <c r="R2969" s="37"/>
      <c r="S2969" s="37"/>
      <c r="T2969" s="91"/>
      <c r="U2969" s="91"/>
      <c r="V2969" s="41"/>
      <c r="W2969" s="37"/>
      <c r="X2969" s="37"/>
      <c r="Y2969" s="43"/>
      <c r="Z2969" s="37"/>
      <c r="AA2969" s="37"/>
      <c r="AD2969" s="37"/>
      <c r="AE2969" s="37"/>
      <c r="AF2969" s="37"/>
    </row>
    <row r="2970" spans="1:32" x14ac:dyDescent="0.25">
      <c r="A2970" s="37"/>
      <c r="B2970" s="37"/>
      <c r="C2970" s="37"/>
      <c r="F2970" s="38"/>
      <c r="G2970" s="38"/>
      <c r="H2970" s="38"/>
      <c r="I2970" s="37"/>
      <c r="J2970" s="38"/>
      <c r="K2970" s="38"/>
      <c r="L2970" s="42"/>
      <c r="M2970" s="42"/>
      <c r="N2970" s="42"/>
      <c r="O2970" s="42"/>
      <c r="R2970" s="37"/>
      <c r="S2970" s="37"/>
      <c r="T2970" s="91"/>
      <c r="U2970" s="91"/>
      <c r="V2970" s="41"/>
      <c r="W2970" s="37"/>
      <c r="X2970" s="37"/>
      <c r="Y2970" s="43"/>
      <c r="Z2970" s="37"/>
      <c r="AA2970" s="37"/>
      <c r="AD2970" s="37"/>
      <c r="AE2970" s="37"/>
      <c r="AF2970" s="37"/>
    </row>
    <row r="2971" spans="1:32" x14ac:dyDescent="0.25">
      <c r="A2971" s="37"/>
      <c r="B2971" s="37"/>
      <c r="C2971" s="37"/>
      <c r="F2971" s="38"/>
      <c r="G2971" s="38"/>
      <c r="H2971" s="38"/>
      <c r="I2971" s="37"/>
      <c r="J2971" s="38"/>
      <c r="K2971" s="38"/>
      <c r="L2971" s="42"/>
      <c r="M2971" s="42"/>
      <c r="N2971" s="42"/>
      <c r="O2971" s="42"/>
      <c r="R2971" s="37"/>
      <c r="S2971" s="37"/>
      <c r="T2971" s="91"/>
      <c r="U2971" s="91"/>
      <c r="V2971" s="41"/>
      <c r="W2971" s="37"/>
      <c r="X2971" s="37"/>
      <c r="Y2971" s="43"/>
      <c r="Z2971" s="37"/>
      <c r="AA2971" s="37"/>
      <c r="AD2971" s="37"/>
      <c r="AE2971" s="37"/>
      <c r="AF2971" s="37"/>
    </row>
    <row r="2972" spans="1:32" x14ac:dyDescent="0.25">
      <c r="A2972" s="37"/>
      <c r="B2972" s="37"/>
      <c r="C2972" s="37"/>
      <c r="F2972" s="38"/>
      <c r="G2972" s="38"/>
      <c r="H2972" s="38"/>
      <c r="I2972" s="37"/>
      <c r="J2972" s="38"/>
      <c r="K2972" s="38"/>
      <c r="L2972" s="42"/>
      <c r="M2972" s="42"/>
      <c r="N2972" s="42"/>
      <c r="O2972" s="42"/>
      <c r="R2972" s="37"/>
      <c r="S2972" s="37"/>
      <c r="T2972" s="91"/>
      <c r="U2972" s="91"/>
      <c r="V2972" s="41"/>
      <c r="W2972" s="37"/>
      <c r="X2972" s="37"/>
      <c r="Y2972" s="43"/>
      <c r="Z2972" s="37"/>
      <c r="AA2972" s="37"/>
      <c r="AD2972" s="37"/>
      <c r="AE2972" s="37"/>
      <c r="AF2972" s="37"/>
    </row>
    <row r="2973" spans="1:32" x14ac:dyDescent="0.25">
      <c r="A2973" s="37"/>
      <c r="B2973" s="37"/>
      <c r="C2973" s="37"/>
      <c r="F2973" s="38"/>
      <c r="G2973" s="38"/>
      <c r="H2973" s="38"/>
      <c r="I2973" s="37"/>
      <c r="J2973" s="38"/>
      <c r="K2973" s="38"/>
      <c r="L2973" s="42"/>
      <c r="M2973" s="42"/>
      <c r="N2973" s="42"/>
      <c r="O2973" s="42"/>
      <c r="R2973" s="37"/>
      <c r="S2973" s="37"/>
      <c r="T2973" s="91"/>
      <c r="U2973" s="91"/>
      <c r="V2973" s="41"/>
      <c r="W2973" s="37"/>
      <c r="X2973" s="37"/>
      <c r="Y2973" s="43"/>
      <c r="Z2973" s="37"/>
      <c r="AA2973" s="37"/>
      <c r="AD2973" s="37"/>
      <c r="AE2973" s="37"/>
      <c r="AF2973" s="37"/>
    </row>
    <row r="2974" spans="1:32" x14ac:dyDescent="0.25">
      <c r="A2974" s="37"/>
      <c r="B2974" s="37"/>
      <c r="C2974" s="37"/>
      <c r="F2974" s="38"/>
      <c r="G2974" s="38"/>
      <c r="H2974" s="38"/>
      <c r="I2974" s="37"/>
      <c r="J2974" s="38"/>
      <c r="K2974" s="38"/>
      <c r="L2974" s="42"/>
      <c r="M2974" s="42"/>
      <c r="N2974" s="42"/>
      <c r="O2974" s="42"/>
      <c r="R2974" s="37"/>
      <c r="S2974" s="37"/>
      <c r="T2974" s="91"/>
      <c r="U2974" s="91"/>
      <c r="V2974" s="41"/>
      <c r="W2974" s="37"/>
      <c r="X2974" s="37"/>
      <c r="Y2974" s="43"/>
      <c r="Z2974" s="37"/>
      <c r="AA2974" s="37"/>
      <c r="AD2974" s="37"/>
      <c r="AE2974" s="37"/>
      <c r="AF2974" s="37"/>
    </row>
    <row r="2975" spans="1:32" x14ac:dyDescent="0.25">
      <c r="A2975" s="37"/>
      <c r="B2975" s="37"/>
      <c r="C2975" s="37"/>
      <c r="F2975" s="38"/>
      <c r="G2975" s="38"/>
      <c r="H2975" s="38"/>
      <c r="I2975" s="37"/>
      <c r="J2975" s="38"/>
      <c r="K2975" s="38"/>
      <c r="L2975" s="42"/>
      <c r="M2975" s="42"/>
      <c r="N2975" s="42"/>
      <c r="O2975" s="42"/>
      <c r="R2975" s="37"/>
      <c r="S2975" s="37"/>
      <c r="T2975" s="91"/>
      <c r="U2975" s="91"/>
      <c r="V2975" s="41"/>
      <c r="W2975" s="37"/>
      <c r="X2975" s="37"/>
      <c r="Y2975" s="43"/>
      <c r="Z2975" s="37"/>
      <c r="AA2975" s="37"/>
      <c r="AD2975" s="37"/>
      <c r="AE2975" s="37"/>
      <c r="AF2975" s="37"/>
    </row>
    <row r="2976" spans="1:32" x14ac:dyDescent="0.25">
      <c r="A2976" s="37"/>
      <c r="B2976" s="37"/>
      <c r="C2976" s="37"/>
      <c r="F2976" s="38"/>
      <c r="G2976" s="38"/>
      <c r="H2976" s="38"/>
      <c r="I2976" s="37"/>
      <c r="J2976" s="38"/>
      <c r="K2976" s="38"/>
      <c r="L2976" s="42"/>
      <c r="M2976" s="42"/>
      <c r="N2976" s="42"/>
      <c r="O2976" s="42"/>
      <c r="R2976" s="37"/>
      <c r="S2976" s="37"/>
      <c r="T2976" s="91"/>
      <c r="U2976" s="91"/>
      <c r="V2976" s="41"/>
      <c r="W2976" s="37"/>
      <c r="X2976" s="37"/>
      <c r="Y2976" s="43"/>
      <c r="Z2976" s="37"/>
      <c r="AA2976" s="37"/>
      <c r="AD2976" s="37"/>
      <c r="AE2976" s="37"/>
      <c r="AF2976" s="37"/>
    </row>
    <row r="2977" spans="1:32" x14ac:dyDescent="0.25">
      <c r="A2977" s="37"/>
      <c r="B2977" s="37"/>
      <c r="C2977" s="37"/>
      <c r="F2977" s="38"/>
      <c r="G2977" s="38"/>
      <c r="H2977" s="38"/>
      <c r="I2977" s="37"/>
      <c r="J2977" s="38"/>
      <c r="K2977" s="38"/>
      <c r="L2977" s="42"/>
      <c r="M2977" s="42"/>
      <c r="N2977" s="42"/>
      <c r="O2977" s="42"/>
      <c r="R2977" s="37"/>
      <c r="S2977" s="37"/>
      <c r="T2977" s="91"/>
      <c r="U2977" s="91"/>
      <c r="V2977" s="41"/>
      <c r="W2977" s="37"/>
      <c r="X2977" s="37"/>
      <c r="Y2977" s="43"/>
      <c r="Z2977" s="37"/>
      <c r="AA2977" s="37"/>
      <c r="AD2977" s="37"/>
      <c r="AE2977" s="37"/>
      <c r="AF2977" s="37"/>
    </row>
    <row r="2978" spans="1:32" x14ac:dyDescent="0.25">
      <c r="A2978" s="37"/>
      <c r="B2978" s="37"/>
      <c r="C2978" s="37"/>
      <c r="F2978" s="38"/>
      <c r="G2978" s="38"/>
      <c r="H2978" s="38"/>
      <c r="I2978" s="37"/>
      <c r="J2978" s="38"/>
      <c r="K2978" s="38"/>
      <c r="L2978" s="42"/>
      <c r="M2978" s="42"/>
      <c r="N2978" s="42"/>
      <c r="O2978" s="42"/>
      <c r="R2978" s="37"/>
      <c r="S2978" s="37"/>
      <c r="T2978" s="91"/>
      <c r="U2978" s="91"/>
      <c r="V2978" s="41"/>
      <c r="W2978" s="37"/>
      <c r="X2978" s="37"/>
      <c r="Y2978" s="43"/>
      <c r="Z2978" s="37"/>
      <c r="AA2978" s="37"/>
      <c r="AD2978" s="37"/>
      <c r="AE2978" s="37"/>
      <c r="AF2978" s="37"/>
    </row>
    <row r="2979" spans="1:32" x14ac:dyDescent="0.25">
      <c r="A2979" s="37"/>
      <c r="B2979" s="37"/>
      <c r="C2979" s="37"/>
      <c r="F2979" s="38"/>
      <c r="G2979" s="38"/>
      <c r="H2979" s="38"/>
      <c r="I2979" s="37"/>
      <c r="J2979" s="38"/>
      <c r="K2979" s="38"/>
      <c r="L2979" s="42"/>
      <c r="M2979" s="42"/>
      <c r="N2979" s="42"/>
      <c r="O2979" s="42"/>
      <c r="R2979" s="37"/>
      <c r="S2979" s="37"/>
      <c r="T2979" s="91"/>
      <c r="U2979" s="91"/>
      <c r="V2979" s="41"/>
      <c r="W2979" s="37"/>
      <c r="X2979" s="37"/>
      <c r="Y2979" s="43"/>
      <c r="Z2979" s="37"/>
      <c r="AA2979" s="37"/>
      <c r="AD2979" s="37"/>
      <c r="AE2979" s="37"/>
      <c r="AF2979" s="37"/>
    </row>
    <row r="2980" spans="1:32" x14ac:dyDescent="0.25">
      <c r="A2980" s="37"/>
      <c r="B2980" s="37"/>
      <c r="C2980" s="37"/>
      <c r="F2980" s="38"/>
      <c r="G2980" s="38"/>
      <c r="H2980" s="38"/>
      <c r="I2980" s="37"/>
      <c r="J2980" s="38"/>
      <c r="K2980" s="38"/>
      <c r="L2980" s="42"/>
      <c r="M2980" s="42"/>
      <c r="N2980" s="42"/>
      <c r="O2980" s="42"/>
      <c r="R2980" s="37"/>
      <c r="S2980" s="37"/>
      <c r="T2980" s="91"/>
      <c r="U2980" s="91"/>
      <c r="V2980" s="41"/>
      <c r="W2980" s="37"/>
      <c r="X2980" s="37"/>
      <c r="Y2980" s="43"/>
      <c r="Z2980" s="37"/>
      <c r="AA2980" s="37"/>
      <c r="AD2980" s="37"/>
      <c r="AE2980" s="37"/>
      <c r="AF2980" s="37"/>
    </row>
    <row r="2981" spans="1:32" x14ac:dyDescent="0.25">
      <c r="A2981" s="37"/>
      <c r="B2981" s="37"/>
      <c r="C2981" s="37"/>
      <c r="F2981" s="38"/>
      <c r="G2981" s="38"/>
      <c r="H2981" s="38"/>
      <c r="I2981" s="37"/>
      <c r="J2981" s="38"/>
      <c r="K2981" s="38"/>
      <c r="L2981" s="42"/>
      <c r="M2981" s="42"/>
      <c r="N2981" s="42"/>
      <c r="O2981" s="42"/>
      <c r="R2981" s="37"/>
      <c r="S2981" s="37"/>
      <c r="T2981" s="91"/>
      <c r="U2981" s="91"/>
      <c r="V2981" s="41"/>
      <c r="W2981" s="37"/>
      <c r="X2981" s="37"/>
      <c r="Y2981" s="43"/>
      <c r="Z2981" s="37"/>
      <c r="AA2981" s="37"/>
      <c r="AD2981" s="37"/>
      <c r="AE2981" s="37"/>
      <c r="AF2981" s="37"/>
    </row>
    <row r="2982" spans="1:32" x14ac:dyDescent="0.25">
      <c r="A2982" s="37"/>
      <c r="B2982" s="37"/>
      <c r="C2982" s="37"/>
      <c r="F2982" s="38"/>
      <c r="G2982" s="38"/>
      <c r="H2982" s="38"/>
      <c r="I2982" s="37"/>
      <c r="J2982" s="38"/>
      <c r="K2982" s="38"/>
      <c r="L2982" s="42"/>
      <c r="M2982" s="42"/>
      <c r="N2982" s="42"/>
      <c r="O2982" s="42"/>
      <c r="R2982" s="37"/>
      <c r="S2982" s="37"/>
      <c r="T2982" s="91"/>
      <c r="U2982" s="91"/>
      <c r="V2982" s="41"/>
      <c r="W2982" s="37"/>
      <c r="X2982" s="37"/>
      <c r="Y2982" s="43"/>
      <c r="Z2982" s="37"/>
      <c r="AA2982" s="37"/>
      <c r="AD2982" s="37"/>
      <c r="AE2982" s="37"/>
      <c r="AF2982" s="37"/>
    </row>
    <row r="2983" spans="1:32" x14ac:dyDescent="0.25">
      <c r="A2983" s="37"/>
      <c r="B2983" s="37"/>
      <c r="C2983" s="37"/>
      <c r="F2983" s="38"/>
      <c r="G2983" s="38"/>
      <c r="H2983" s="38"/>
      <c r="I2983" s="37"/>
      <c r="J2983" s="38"/>
      <c r="K2983" s="38"/>
      <c r="L2983" s="42"/>
      <c r="M2983" s="42"/>
      <c r="N2983" s="42"/>
      <c r="O2983" s="42"/>
      <c r="R2983" s="37"/>
      <c r="S2983" s="37"/>
      <c r="T2983" s="91"/>
      <c r="U2983" s="91"/>
      <c r="V2983" s="41"/>
      <c r="W2983" s="37"/>
      <c r="X2983" s="37"/>
      <c r="Y2983" s="43"/>
      <c r="Z2983" s="37"/>
      <c r="AA2983" s="37"/>
      <c r="AD2983" s="37"/>
      <c r="AE2983" s="37"/>
      <c r="AF2983" s="37"/>
    </row>
    <row r="2984" spans="1:32" x14ac:dyDescent="0.25">
      <c r="A2984" s="37"/>
      <c r="B2984" s="37"/>
      <c r="C2984" s="37"/>
      <c r="F2984" s="38"/>
      <c r="G2984" s="38"/>
      <c r="H2984" s="38"/>
      <c r="I2984" s="37"/>
      <c r="J2984" s="38"/>
      <c r="K2984" s="38"/>
      <c r="L2984" s="42"/>
      <c r="M2984" s="42"/>
      <c r="N2984" s="42"/>
      <c r="O2984" s="42"/>
      <c r="R2984" s="37"/>
      <c r="S2984" s="37"/>
      <c r="T2984" s="91"/>
      <c r="U2984" s="91"/>
      <c r="V2984" s="41"/>
      <c r="W2984" s="37"/>
      <c r="X2984" s="37"/>
      <c r="Y2984" s="43"/>
      <c r="Z2984" s="37"/>
      <c r="AA2984" s="37"/>
      <c r="AD2984" s="37"/>
      <c r="AE2984" s="37"/>
      <c r="AF2984" s="37"/>
    </row>
    <row r="2985" spans="1:32" x14ac:dyDescent="0.25">
      <c r="A2985" s="37"/>
      <c r="B2985" s="37"/>
      <c r="C2985" s="37"/>
      <c r="F2985" s="38"/>
      <c r="G2985" s="38"/>
      <c r="H2985" s="38"/>
      <c r="I2985" s="37"/>
      <c r="J2985" s="38"/>
      <c r="K2985" s="38"/>
      <c r="L2985" s="42"/>
      <c r="M2985" s="42"/>
      <c r="N2985" s="42"/>
      <c r="O2985" s="42"/>
      <c r="R2985" s="37"/>
      <c r="S2985" s="37"/>
      <c r="T2985" s="91"/>
      <c r="U2985" s="91"/>
      <c r="V2985" s="41"/>
      <c r="W2985" s="37"/>
      <c r="X2985" s="37"/>
      <c r="Y2985" s="43"/>
      <c r="Z2985" s="37"/>
      <c r="AA2985" s="37"/>
      <c r="AD2985" s="37"/>
      <c r="AE2985" s="37"/>
      <c r="AF2985" s="37"/>
    </row>
    <row r="2986" spans="1:32" x14ac:dyDescent="0.25">
      <c r="A2986" s="37"/>
      <c r="B2986" s="37"/>
      <c r="C2986" s="37"/>
      <c r="F2986" s="38"/>
      <c r="G2986" s="38"/>
      <c r="H2986" s="38"/>
      <c r="I2986" s="37"/>
      <c r="J2986" s="38"/>
      <c r="K2986" s="38"/>
      <c r="L2986" s="42"/>
      <c r="M2986" s="42"/>
      <c r="N2986" s="42"/>
      <c r="O2986" s="42"/>
      <c r="R2986" s="37"/>
      <c r="S2986" s="37"/>
      <c r="T2986" s="91"/>
      <c r="U2986" s="91"/>
      <c r="V2986" s="41"/>
      <c r="W2986" s="37"/>
      <c r="X2986" s="37"/>
      <c r="Y2986" s="43"/>
      <c r="Z2986" s="37"/>
      <c r="AA2986" s="37"/>
      <c r="AD2986" s="37"/>
      <c r="AE2986" s="37"/>
      <c r="AF2986" s="37"/>
    </row>
    <row r="2987" spans="1:32" x14ac:dyDescent="0.25">
      <c r="A2987" s="37"/>
      <c r="B2987" s="37"/>
      <c r="C2987" s="37"/>
      <c r="F2987" s="38"/>
      <c r="G2987" s="38"/>
      <c r="H2987" s="38"/>
      <c r="I2987" s="37"/>
      <c r="J2987" s="38"/>
      <c r="K2987" s="38"/>
      <c r="L2987" s="42"/>
      <c r="M2987" s="42"/>
      <c r="N2987" s="42"/>
      <c r="O2987" s="42"/>
      <c r="R2987" s="37"/>
      <c r="S2987" s="37"/>
      <c r="T2987" s="91"/>
      <c r="U2987" s="91"/>
      <c r="V2987" s="41"/>
      <c r="W2987" s="37"/>
      <c r="X2987" s="37"/>
      <c r="Y2987" s="43"/>
      <c r="Z2987" s="37"/>
      <c r="AA2987" s="37"/>
      <c r="AD2987" s="37"/>
      <c r="AE2987" s="37"/>
      <c r="AF2987" s="37"/>
    </row>
    <row r="2988" spans="1:32" x14ac:dyDescent="0.25">
      <c r="A2988" s="37"/>
      <c r="B2988" s="37"/>
      <c r="C2988" s="37"/>
      <c r="F2988" s="38"/>
      <c r="G2988" s="38"/>
      <c r="H2988" s="38"/>
      <c r="I2988" s="37"/>
      <c r="J2988" s="38"/>
      <c r="K2988" s="38"/>
      <c r="L2988" s="42"/>
      <c r="M2988" s="42"/>
      <c r="N2988" s="42"/>
      <c r="O2988" s="42"/>
      <c r="R2988" s="37"/>
      <c r="S2988" s="37"/>
      <c r="T2988" s="91"/>
      <c r="U2988" s="91"/>
      <c r="V2988" s="41"/>
      <c r="W2988" s="37"/>
      <c r="X2988" s="37"/>
      <c r="Y2988" s="43"/>
      <c r="Z2988" s="37"/>
      <c r="AA2988" s="37"/>
      <c r="AD2988" s="37"/>
      <c r="AE2988" s="37"/>
      <c r="AF2988" s="37"/>
    </row>
    <row r="2989" spans="1:32" x14ac:dyDescent="0.25">
      <c r="A2989" s="37"/>
      <c r="B2989" s="37"/>
      <c r="C2989" s="37"/>
      <c r="F2989" s="38"/>
      <c r="G2989" s="38"/>
      <c r="H2989" s="38"/>
      <c r="I2989" s="37"/>
      <c r="J2989" s="38"/>
      <c r="K2989" s="38"/>
      <c r="L2989" s="42"/>
      <c r="M2989" s="42"/>
      <c r="N2989" s="42"/>
      <c r="O2989" s="42"/>
      <c r="R2989" s="37"/>
      <c r="S2989" s="37"/>
      <c r="T2989" s="91"/>
      <c r="U2989" s="91"/>
      <c r="V2989" s="41"/>
      <c r="W2989" s="37"/>
      <c r="X2989" s="37"/>
      <c r="Y2989" s="43"/>
      <c r="Z2989" s="37"/>
      <c r="AA2989" s="37"/>
      <c r="AD2989" s="37"/>
      <c r="AE2989" s="37"/>
      <c r="AF2989" s="37"/>
    </row>
    <row r="2990" spans="1:32" x14ac:dyDescent="0.25">
      <c r="A2990" s="37"/>
      <c r="B2990" s="37"/>
      <c r="C2990" s="37"/>
      <c r="F2990" s="38"/>
      <c r="G2990" s="38"/>
      <c r="H2990" s="38"/>
      <c r="I2990" s="37"/>
      <c r="J2990" s="38"/>
      <c r="K2990" s="38"/>
      <c r="L2990" s="42"/>
      <c r="M2990" s="42"/>
      <c r="N2990" s="42"/>
      <c r="O2990" s="42"/>
      <c r="R2990" s="37"/>
      <c r="S2990" s="37"/>
      <c r="T2990" s="91"/>
      <c r="U2990" s="91"/>
      <c r="V2990" s="41"/>
      <c r="W2990" s="37"/>
      <c r="X2990" s="37"/>
      <c r="Y2990" s="43"/>
      <c r="Z2990" s="37"/>
      <c r="AA2990" s="37"/>
      <c r="AD2990" s="37"/>
      <c r="AE2990" s="37"/>
      <c r="AF2990" s="37"/>
    </row>
    <row r="2991" spans="1:32" x14ac:dyDescent="0.25">
      <c r="A2991" s="37"/>
      <c r="B2991" s="37"/>
      <c r="C2991" s="37"/>
      <c r="F2991" s="38"/>
      <c r="G2991" s="38"/>
      <c r="H2991" s="38"/>
      <c r="I2991" s="37"/>
      <c r="J2991" s="38"/>
      <c r="K2991" s="38"/>
      <c r="L2991" s="42"/>
      <c r="M2991" s="42"/>
      <c r="N2991" s="42"/>
      <c r="O2991" s="42"/>
      <c r="R2991" s="37"/>
      <c r="S2991" s="37"/>
      <c r="T2991" s="91"/>
      <c r="U2991" s="91"/>
      <c r="V2991" s="41"/>
      <c r="W2991" s="37"/>
      <c r="X2991" s="37"/>
      <c r="Y2991" s="43"/>
      <c r="Z2991" s="37"/>
      <c r="AA2991" s="37"/>
      <c r="AD2991" s="37"/>
      <c r="AE2991" s="37"/>
      <c r="AF2991" s="37"/>
    </row>
    <row r="2992" spans="1:32" x14ac:dyDescent="0.25">
      <c r="A2992" s="37"/>
      <c r="B2992" s="37"/>
      <c r="C2992" s="37"/>
      <c r="F2992" s="38"/>
      <c r="G2992" s="38"/>
      <c r="H2992" s="38"/>
      <c r="I2992" s="37"/>
      <c r="J2992" s="38"/>
      <c r="K2992" s="38"/>
      <c r="L2992" s="42"/>
      <c r="M2992" s="42"/>
      <c r="N2992" s="42"/>
      <c r="O2992" s="42"/>
      <c r="R2992" s="37"/>
      <c r="S2992" s="37"/>
      <c r="T2992" s="91"/>
      <c r="U2992" s="91"/>
      <c r="V2992" s="41"/>
      <c r="W2992" s="37"/>
      <c r="X2992" s="37"/>
      <c r="Y2992" s="43"/>
      <c r="Z2992" s="37"/>
      <c r="AA2992" s="37"/>
      <c r="AD2992" s="37"/>
      <c r="AE2992" s="37"/>
      <c r="AF2992" s="37"/>
    </row>
    <row r="2993" spans="1:32" x14ac:dyDescent="0.25">
      <c r="A2993" s="37"/>
      <c r="B2993" s="37"/>
      <c r="C2993" s="37"/>
      <c r="F2993" s="38"/>
      <c r="G2993" s="38"/>
      <c r="H2993" s="38"/>
      <c r="I2993" s="37"/>
      <c r="J2993" s="38"/>
      <c r="K2993" s="38"/>
      <c r="L2993" s="42"/>
      <c r="M2993" s="42"/>
      <c r="N2993" s="42"/>
      <c r="O2993" s="42"/>
      <c r="R2993" s="37"/>
      <c r="S2993" s="37"/>
      <c r="T2993" s="91"/>
      <c r="U2993" s="91"/>
      <c r="V2993" s="41"/>
      <c r="W2993" s="37"/>
      <c r="X2993" s="37"/>
      <c r="Y2993" s="43"/>
      <c r="Z2993" s="37"/>
      <c r="AA2993" s="37"/>
      <c r="AD2993" s="37"/>
      <c r="AE2993" s="37"/>
      <c r="AF2993" s="37"/>
    </row>
    <row r="2994" spans="1:32" x14ac:dyDescent="0.25">
      <c r="A2994" s="37"/>
      <c r="B2994" s="37"/>
      <c r="C2994" s="37"/>
      <c r="F2994" s="38"/>
      <c r="G2994" s="38"/>
      <c r="H2994" s="38"/>
      <c r="I2994" s="37"/>
      <c r="J2994" s="38"/>
      <c r="K2994" s="38"/>
      <c r="L2994" s="42"/>
      <c r="M2994" s="42"/>
      <c r="N2994" s="42"/>
      <c r="O2994" s="42"/>
      <c r="R2994" s="37"/>
      <c r="S2994" s="37"/>
      <c r="T2994" s="91"/>
      <c r="U2994" s="91"/>
      <c r="V2994" s="41"/>
      <c r="W2994" s="37"/>
      <c r="X2994" s="37"/>
      <c r="Y2994" s="43"/>
      <c r="Z2994" s="37"/>
      <c r="AA2994" s="37"/>
      <c r="AD2994" s="37"/>
      <c r="AE2994" s="37"/>
      <c r="AF2994" s="37"/>
    </row>
    <row r="2995" spans="1:32" x14ac:dyDescent="0.25">
      <c r="A2995" s="37"/>
      <c r="B2995" s="37"/>
      <c r="C2995" s="37"/>
      <c r="F2995" s="38"/>
      <c r="G2995" s="38"/>
      <c r="H2995" s="38"/>
      <c r="I2995" s="37"/>
      <c r="J2995" s="38"/>
      <c r="K2995" s="38"/>
      <c r="L2995" s="42"/>
      <c r="M2995" s="42"/>
      <c r="N2995" s="42"/>
      <c r="O2995" s="42"/>
      <c r="R2995" s="37"/>
      <c r="S2995" s="37"/>
      <c r="T2995" s="91"/>
      <c r="U2995" s="91"/>
      <c r="V2995" s="41"/>
      <c r="W2995" s="37"/>
      <c r="X2995" s="37"/>
      <c r="Y2995" s="43"/>
      <c r="Z2995" s="37"/>
      <c r="AA2995" s="37"/>
      <c r="AD2995" s="37"/>
      <c r="AE2995" s="37"/>
      <c r="AF2995" s="37"/>
    </row>
    <row r="2996" spans="1:32" x14ac:dyDescent="0.25">
      <c r="A2996" s="37"/>
      <c r="B2996" s="37"/>
      <c r="C2996" s="37"/>
      <c r="F2996" s="38"/>
      <c r="G2996" s="38"/>
      <c r="H2996" s="38"/>
      <c r="I2996" s="37"/>
      <c r="J2996" s="38"/>
      <c r="K2996" s="38"/>
      <c r="L2996" s="42"/>
      <c r="M2996" s="42"/>
      <c r="N2996" s="42"/>
      <c r="O2996" s="42"/>
      <c r="R2996" s="37"/>
      <c r="S2996" s="37"/>
      <c r="T2996" s="91"/>
      <c r="U2996" s="91"/>
      <c r="V2996" s="41"/>
      <c r="W2996" s="37"/>
      <c r="X2996" s="37"/>
      <c r="Y2996" s="43"/>
      <c r="Z2996" s="37"/>
      <c r="AA2996" s="37"/>
      <c r="AD2996" s="37"/>
      <c r="AE2996" s="37"/>
      <c r="AF2996" s="37"/>
    </row>
    <row r="2997" spans="1:32" x14ac:dyDescent="0.25">
      <c r="A2997" s="37"/>
      <c r="B2997" s="37"/>
      <c r="C2997" s="37"/>
      <c r="F2997" s="38"/>
      <c r="G2997" s="38"/>
      <c r="H2997" s="38"/>
      <c r="I2997" s="37"/>
      <c r="J2997" s="38"/>
      <c r="K2997" s="38"/>
      <c r="L2997" s="42"/>
      <c r="M2997" s="42"/>
      <c r="N2997" s="42"/>
      <c r="O2997" s="42"/>
      <c r="R2997" s="37"/>
      <c r="S2997" s="37"/>
      <c r="T2997" s="91"/>
      <c r="U2997" s="91"/>
      <c r="V2997" s="41"/>
      <c r="W2997" s="37"/>
      <c r="X2997" s="37"/>
      <c r="Y2997" s="43"/>
      <c r="Z2997" s="37"/>
      <c r="AA2997" s="37"/>
      <c r="AD2997" s="37"/>
      <c r="AE2997" s="37"/>
      <c r="AF2997" s="37"/>
    </row>
    <row r="2998" spans="1:32" x14ac:dyDescent="0.25">
      <c r="A2998" s="37"/>
      <c r="B2998" s="37"/>
      <c r="C2998" s="37"/>
      <c r="F2998" s="38"/>
      <c r="G2998" s="38"/>
      <c r="H2998" s="38"/>
      <c r="I2998" s="37"/>
      <c r="J2998" s="38"/>
      <c r="K2998" s="38"/>
      <c r="L2998" s="42"/>
      <c r="M2998" s="42"/>
      <c r="N2998" s="42"/>
      <c r="O2998" s="42"/>
      <c r="R2998" s="37"/>
      <c r="S2998" s="37"/>
      <c r="T2998" s="91"/>
      <c r="U2998" s="91"/>
      <c r="V2998" s="41"/>
      <c r="W2998" s="37"/>
      <c r="X2998" s="37"/>
      <c r="Y2998" s="43"/>
      <c r="Z2998" s="37"/>
      <c r="AA2998" s="37"/>
      <c r="AD2998" s="37"/>
      <c r="AE2998" s="37"/>
      <c r="AF2998" s="37"/>
    </row>
    <row r="2999" spans="1:32" x14ac:dyDescent="0.25">
      <c r="A2999" s="37"/>
      <c r="B2999" s="37"/>
      <c r="C2999" s="37"/>
      <c r="F2999" s="38"/>
      <c r="G2999" s="38"/>
      <c r="H2999" s="38"/>
      <c r="I2999" s="37"/>
      <c r="J2999" s="38"/>
      <c r="K2999" s="38"/>
      <c r="L2999" s="42"/>
      <c r="M2999" s="42"/>
      <c r="N2999" s="42"/>
      <c r="O2999" s="42"/>
      <c r="R2999" s="37"/>
      <c r="S2999" s="37"/>
      <c r="T2999" s="91"/>
      <c r="U2999" s="91"/>
      <c r="V2999" s="41"/>
      <c r="W2999" s="37"/>
      <c r="X2999" s="37"/>
      <c r="Y2999" s="43"/>
      <c r="Z2999" s="37"/>
      <c r="AA2999" s="37"/>
      <c r="AD2999" s="37"/>
      <c r="AE2999" s="37"/>
      <c r="AF2999" s="37"/>
    </row>
    <row r="3000" spans="1:32" x14ac:dyDescent="0.25">
      <c r="A3000" s="37"/>
      <c r="B3000" s="37"/>
      <c r="C3000" s="37"/>
      <c r="F3000" s="38"/>
      <c r="G3000" s="38"/>
      <c r="H3000" s="38"/>
      <c r="I3000" s="37"/>
      <c r="J3000" s="38"/>
      <c r="K3000" s="38"/>
      <c r="L3000" s="42"/>
      <c r="M3000" s="42"/>
      <c r="N3000" s="42"/>
      <c r="O3000" s="42"/>
      <c r="R3000" s="37"/>
      <c r="S3000" s="37"/>
      <c r="T3000" s="91"/>
      <c r="U3000" s="91"/>
      <c r="V3000" s="41"/>
      <c r="W3000" s="37"/>
      <c r="X3000" s="37"/>
      <c r="Y3000" s="43"/>
      <c r="Z3000" s="37"/>
      <c r="AA3000" s="37"/>
      <c r="AD3000" s="37"/>
      <c r="AE3000" s="37"/>
      <c r="AF3000" s="37"/>
    </row>
    <row r="3001" spans="1:32" x14ac:dyDescent="0.25">
      <c r="A3001" s="37"/>
      <c r="B3001" s="37"/>
      <c r="C3001" s="37"/>
      <c r="F3001" s="38"/>
      <c r="G3001" s="38"/>
      <c r="H3001" s="38"/>
      <c r="I3001" s="37"/>
      <c r="J3001" s="38"/>
      <c r="K3001" s="38"/>
      <c r="L3001" s="42"/>
      <c r="M3001" s="42"/>
      <c r="N3001" s="42"/>
      <c r="O3001" s="42"/>
      <c r="R3001" s="37"/>
      <c r="S3001" s="37"/>
      <c r="T3001" s="91"/>
      <c r="U3001" s="91"/>
      <c r="V3001" s="41"/>
      <c r="W3001" s="37"/>
      <c r="X3001" s="37"/>
      <c r="Y3001" s="43"/>
      <c r="Z3001" s="37"/>
      <c r="AA3001" s="37"/>
      <c r="AD3001" s="37"/>
      <c r="AE3001" s="37"/>
      <c r="AF3001" s="37"/>
    </row>
    <row r="3002" spans="1:32" x14ac:dyDescent="0.25">
      <c r="A3002" s="37"/>
      <c r="B3002" s="37"/>
      <c r="C3002" s="37"/>
      <c r="F3002" s="38"/>
      <c r="G3002" s="38"/>
      <c r="H3002" s="38"/>
      <c r="I3002" s="37"/>
      <c r="J3002" s="38"/>
      <c r="K3002" s="38"/>
      <c r="L3002" s="42"/>
      <c r="M3002" s="42"/>
      <c r="N3002" s="42"/>
      <c r="O3002" s="42"/>
      <c r="R3002" s="37"/>
      <c r="S3002" s="37"/>
      <c r="T3002" s="91"/>
      <c r="U3002" s="91"/>
      <c r="V3002" s="41"/>
      <c r="W3002" s="37"/>
      <c r="X3002" s="37"/>
      <c r="Y3002" s="43"/>
      <c r="Z3002" s="37"/>
      <c r="AA3002" s="37"/>
      <c r="AD3002" s="37"/>
      <c r="AE3002" s="37"/>
      <c r="AF3002" s="37"/>
    </row>
    <row r="3003" spans="1:32" x14ac:dyDescent="0.25">
      <c r="A3003" s="37"/>
      <c r="B3003" s="37"/>
      <c r="C3003" s="37"/>
      <c r="F3003" s="38"/>
      <c r="G3003" s="38"/>
      <c r="H3003" s="38"/>
      <c r="I3003" s="37"/>
      <c r="J3003" s="38"/>
      <c r="K3003" s="38"/>
      <c r="L3003" s="42"/>
      <c r="M3003" s="42"/>
      <c r="N3003" s="42"/>
      <c r="O3003" s="42"/>
      <c r="R3003" s="37"/>
      <c r="S3003" s="37"/>
      <c r="T3003" s="91"/>
      <c r="U3003" s="91"/>
      <c r="V3003" s="41"/>
      <c r="W3003" s="37"/>
      <c r="X3003" s="37"/>
      <c r="Y3003" s="43"/>
      <c r="Z3003" s="37"/>
      <c r="AA3003" s="37"/>
      <c r="AD3003" s="37"/>
      <c r="AE3003" s="37"/>
      <c r="AF3003" s="37"/>
    </row>
    <row r="3004" spans="1:32" x14ac:dyDescent="0.25">
      <c r="A3004" s="37"/>
      <c r="B3004" s="37"/>
      <c r="C3004" s="37"/>
      <c r="F3004" s="38"/>
      <c r="G3004" s="38"/>
      <c r="H3004" s="38"/>
      <c r="I3004" s="37"/>
      <c r="J3004" s="38"/>
      <c r="K3004" s="38"/>
      <c r="L3004" s="42"/>
      <c r="M3004" s="42"/>
      <c r="N3004" s="42"/>
      <c r="O3004" s="42"/>
      <c r="R3004" s="37"/>
      <c r="S3004" s="37"/>
      <c r="T3004" s="91"/>
      <c r="U3004" s="91"/>
      <c r="V3004" s="41"/>
      <c r="W3004" s="37"/>
      <c r="X3004" s="37"/>
      <c r="Y3004" s="43"/>
      <c r="Z3004" s="37"/>
      <c r="AA3004" s="37"/>
      <c r="AD3004" s="37"/>
      <c r="AE3004" s="37"/>
      <c r="AF3004" s="37"/>
    </row>
    <row r="3005" spans="1:32" x14ac:dyDescent="0.25">
      <c r="A3005" s="37"/>
      <c r="B3005" s="37"/>
      <c r="C3005" s="37"/>
      <c r="F3005" s="38"/>
      <c r="G3005" s="38"/>
      <c r="H3005" s="38"/>
      <c r="I3005" s="37"/>
      <c r="J3005" s="38"/>
      <c r="K3005" s="38"/>
      <c r="L3005" s="42"/>
      <c r="M3005" s="42"/>
      <c r="N3005" s="42"/>
      <c r="O3005" s="42"/>
      <c r="R3005" s="37"/>
      <c r="S3005" s="37"/>
      <c r="T3005" s="91"/>
      <c r="U3005" s="91"/>
      <c r="V3005" s="41"/>
      <c r="W3005" s="37"/>
      <c r="X3005" s="37"/>
      <c r="Y3005" s="43"/>
      <c r="Z3005" s="37"/>
      <c r="AA3005" s="37"/>
      <c r="AD3005" s="37"/>
      <c r="AE3005" s="37"/>
      <c r="AF3005" s="37"/>
    </row>
    <row r="3006" spans="1:32" x14ac:dyDescent="0.25">
      <c r="A3006" s="37"/>
      <c r="B3006" s="37"/>
      <c r="C3006" s="37"/>
      <c r="F3006" s="38"/>
      <c r="G3006" s="38"/>
      <c r="H3006" s="38"/>
      <c r="I3006" s="37"/>
      <c r="J3006" s="38"/>
      <c r="K3006" s="38"/>
      <c r="L3006" s="42"/>
      <c r="M3006" s="42"/>
      <c r="N3006" s="42"/>
      <c r="O3006" s="42"/>
      <c r="R3006" s="37"/>
      <c r="S3006" s="37"/>
      <c r="T3006" s="91"/>
      <c r="U3006" s="91"/>
      <c r="V3006" s="41"/>
      <c r="W3006" s="37"/>
      <c r="X3006" s="37"/>
      <c r="Y3006" s="43"/>
      <c r="Z3006" s="37"/>
      <c r="AA3006" s="37"/>
      <c r="AD3006" s="37"/>
      <c r="AE3006" s="37"/>
      <c r="AF3006" s="37"/>
    </row>
    <row r="3007" spans="1:32" x14ac:dyDescent="0.25">
      <c r="A3007" s="37"/>
      <c r="B3007" s="37"/>
      <c r="C3007" s="37"/>
      <c r="F3007" s="38"/>
      <c r="G3007" s="38"/>
      <c r="H3007" s="38"/>
      <c r="I3007" s="37"/>
      <c r="J3007" s="38"/>
      <c r="K3007" s="38"/>
      <c r="L3007" s="42"/>
      <c r="M3007" s="42"/>
      <c r="N3007" s="42"/>
      <c r="O3007" s="42"/>
      <c r="R3007" s="37"/>
      <c r="S3007" s="37"/>
      <c r="T3007" s="91"/>
      <c r="U3007" s="91"/>
      <c r="V3007" s="41"/>
      <c r="W3007" s="37"/>
      <c r="X3007" s="37"/>
      <c r="Y3007" s="43"/>
      <c r="Z3007" s="37"/>
      <c r="AA3007" s="37"/>
      <c r="AD3007" s="37"/>
      <c r="AE3007" s="37"/>
      <c r="AF3007" s="37"/>
    </row>
    <row r="3008" spans="1:32" x14ac:dyDescent="0.25">
      <c r="A3008" s="37"/>
      <c r="B3008" s="37"/>
      <c r="C3008" s="37"/>
      <c r="F3008" s="38"/>
      <c r="G3008" s="38"/>
      <c r="H3008" s="38"/>
      <c r="I3008" s="37"/>
      <c r="J3008" s="38"/>
      <c r="K3008" s="38"/>
      <c r="L3008" s="42"/>
      <c r="M3008" s="42"/>
      <c r="N3008" s="42"/>
      <c r="O3008" s="42"/>
      <c r="R3008" s="37"/>
      <c r="S3008" s="37"/>
      <c r="T3008" s="91"/>
      <c r="U3008" s="91"/>
      <c r="V3008" s="41"/>
      <c r="W3008" s="37"/>
      <c r="X3008" s="37"/>
      <c r="Y3008" s="43"/>
      <c r="Z3008" s="37"/>
      <c r="AA3008" s="37"/>
      <c r="AD3008" s="37"/>
      <c r="AE3008" s="37"/>
      <c r="AF3008" s="37"/>
    </row>
    <row r="3009" spans="1:32" x14ac:dyDescent="0.25">
      <c r="A3009" s="37"/>
      <c r="B3009" s="37"/>
      <c r="C3009" s="37"/>
      <c r="F3009" s="38"/>
      <c r="G3009" s="38"/>
      <c r="H3009" s="38"/>
      <c r="I3009" s="37"/>
      <c r="J3009" s="38"/>
      <c r="K3009" s="38"/>
      <c r="L3009" s="42"/>
      <c r="M3009" s="42"/>
      <c r="N3009" s="42"/>
      <c r="O3009" s="42"/>
      <c r="R3009" s="37"/>
      <c r="S3009" s="37"/>
      <c r="T3009" s="91"/>
      <c r="U3009" s="91"/>
      <c r="V3009" s="41"/>
      <c r="W3009" s="37"/>
      <c r="X3009" s="37"/>
      <c r="Y3009" s="43"/>
      <c r="Z3009" s="37"/>
      <c r="AA3009" s="37"/>
      <c r="AD3009" s="37"/>
      <c r="AE3009" s="37"/>
      <c r="AF3009" s="37"/>
    </row>
    <row r="3010" spans="1:32" x14ac:dyDescent="0.25">
      <c r="A3010" s="37"/>
      <c r="B3010" s="37"/>
      <c r="C3010" s="37"/>
      <c r="F3010" s="38"/>
      <c r="G3010" s="38"/>
      <c r="H3010" s="38"/>
      <c r="I3010" s="37"/>
      <c r="J3010" s="38"/>
      <c r="K3010" s="38"/>
      <c r="L3010" s="42"/>
      <c r="M3010" s="42"/>
      <c r="N3010" s="42"/>
      <c r="O3010" s="42"/>
      <c r="R3010" s="37"/>
      <c r="S3010" s="37"/>
      <c r="T3010" s="91"/>
      <c r="U3010" s="91"/>
      <c r="V3010" s="41"/>
      <c r="W3010" s="37"/>
      <c r="X3010" s="37"/>
      <c r="Y3010" s="43"/>
      <c r="Z3010" s="37"/>
      <c r="AA3010" s="37"/>
      <c r="AD3010" s="37"/>
      <c r="AE3010" s="37"/>
      <c r="AF3010" s="37"/>
    </row>
    <row r="3011" spans="1:32" x14ac:dyDescent="0.25">
      <c r="A3011" s="37"/>
      <c r="B3011" s="37"/>
      <c r="C3011" s="37"/>
      <c r="F3011" s="38"/>
      <c r="G3011" s="38"/>
      <c r="H3011" s="38"/>
      <c r="I3011" s="37"/>
      <c r="J3011" s="38"/>
      <c r="K3011" s="38"/>
      <c r="L3011" s="42"/>
      <c r="M3011" s="42"/>
      <c r="N3011" s="42"/>
      <c r="O3011" s="42"/>
      <c r="R3011" s="37"/>
      <c r="S3011" s="37"/>
      <c r="T3011" s="91"/>
      <c r="U3011" s="91"/>
      <c r="V3011" s="41"/>
      <c r="W3011" s="37"/>
      <c r="X3011" s="37"/>
      <c r="Y3011" s="43"/>
      <c r="Z3011" s="37"/>
      <c r="AA3011" s="37"/>
      <c r="AD3011" s="37"/>
      <c r="AE3011" s="37"/>
      <c r="AF3011" s="37"/>
    </row>
    <row r="3012" spans="1:32" x14ac:dyDescent="0.25">
      <c r="A3012" s="37"/>
      <c r="B3012" s="37"/>
      <c r="C3012" s="37"/>
      <c r="F3012" s="38"/>
      <c r="G3012" s="38"/>
      <c r="H3012" s="38"/>
      <c r="I3012" s="37"/>
      <c r="J3012" s="38"/>
      <c r="K3012" s="38"/>
      <c r="L3012" s="42"/>
      <c r="M3012" s="42"/>
      <c r="N3012" s="42"/>
      <c r="O3012" s="42"/>
      <c r="R3012" s="37"/>
      <c r="S3012" s="37"/>
      <c r="T3012" s="91"/>
      <c r="U3012" s="91"/>
      <c r="V3012" s="41"/>
      <c r="W3012" s="37"/>
      <c r="X3012" s="37"/>
      <c r="Y3012" s="43"/>
      <c r="Z3012" s="37"/>
      <c r="AA3012" s="37"/>
      <c r="AD3012" s="37"/>
      <c r="AE3012" s="37"/>
      <c r="AF3012" s="37"/>
    </row>
    <row r="3013" spans="1:32" x14ac:dyDescent="0.25">
      <c r="A3013" s="37"/>
      <c r="B3013" s="37"/>
      <c r="C3013" s="37"/>
      <c r="F3013" s="38"/>
      <c r="G3013" s="38"/>
      <c r="H3013" s="38"/>
      <c r="I3013" s="37"/>
      <c r="J3013" s="38"/>
      <c r="K3013" s="38"/>
      <c r="L3013" s="42"/>
      <c r="M3013" s="42"/>
      <c r="N3013" s="42"/>
      <c r="O3013" s="42"/>
      <c r="R3013" s="37"/>
      <c r="S3013" s="37"/>
      <c r="T3013" s="91"/>
      <c r="U3013" s="91"/>
      <c r="V3013" s="41"/>
      <c r="W3013" s="37"/>
      <c r="X3013" s="37"/>
      <c r="Y3013" s="43"/>
      <c r="Z3013" s="37"/>
      <c r="AA3013" s="37"/>
      <c r="AD3013" s="37"/>
      <c r="AE3013" s="37"/>
      <c r="AF3013" s="37"/>
    </row>
    <row r="3014" spans="1:32" x14ac:dyDescent="0.25">
      <c r="A3014" s="37"/>
      <c r="B3014" s="37"/>
      <c r="C3014" s="37"/>
      <c r="F3014" s="38"/>
      <c r="G3014" s="38"/>
      <c r="H3014" s="38"/>
      <c r="I3014" s="37"/>
      <c r="J3014" s="38"/>
      <c r="K3014" s="38"/>
      <c r="L3014" s="42"/>
      <c r="M3014" s="42"/>
      <c r="N3014" s="42"/>
      <c r="O3014" s="42"/>
      <c r="R3014" s="37"/>
      <c r="S3014" s="37"/>
      <c r="T3014" s="91"/>
      <c r="U3014" s="91"/>
      <c r="V3014" s="41"/>
      <c r="W3014" s="37"/>
      <c r="X3014" s="37"/>
      <c r="Y3014" s="43"/>
      <c r="Z3014" s="37"/>
      <c r="AA3014" s="37"/>
      <c r="AD3014" s="37"/>
      <c r="AE3014" s="37"/>
      <c r="AF3014" s="37"/>
    </row>
    <row r="3015" spans="1:32" x14ac:dyDescent="0.25">
      <c r="A3015" s="37"/>
      <c r="B3015" s="37"/>
      <c r="C3015" s="37"/>
      <c r="F3015" s="38"/>
      <c r="G3015" s="38"/>
      <c r="H3015" s="38"/>
      <c r="I3015" s="37"/>
      <c r="J3015" s="38"/>
      <c r="K3015" s="38"/>
      <c r="L3015" s="42"/>
      <c r="M3015" s="42"/>
      <c r="N3015" s="42"/>
      <c r="O3015" s="42"/>
      <c r="R3015" s="37"/>
      <c r="S3015" s="37"/>
      <c r="T3015" s="91"/>
      <c r="U3015" s="91"/>
      <c r="V3015" s="41"/>
      <c r="W3015" s="37"/>
      <c r="X3015" s="37"/>
      <c r="Y3015" s="43"/>
      <c r="Z3015" s="37"/>
      <c r="AA3015" s="37"/>
      <c r="AD3015" s="37"/>
      <c r="AE3015" s="37"/>
      <c r="AF3015" s="37"/>
    </row>
    <row r="3016" spans="1:32" x14ac:dyDescent="0.25">
      <c r="A3016" s="37"/>
      <c r="B3016" s="37"/>
      <c r="C3016" s="37"/>
      <c r="F3016" s="38"/>
      <c r="G3016" s="38"/>
      <c r="H3016" s="38"/>
      <c r="I3016" s="37"/>
      <c r="J3016" s="38"/>
      <c r="K3016" s="38"/>
      <c r="L3016" s="42"/>
      <c r="M3016" s="42"/>
      <c r="N3016" s="42"/>
      <c r="O3016" s="42"/>
      <c r="R3016" s="37"/>
      <c r="S3016" s="37"/>
      <c r="T3016" s="91"/>
      <c r="U3016" s="91"/>
      <c r="V3016" s="41"/>
      <c r="W3016" s="37"/>
      <c r="X3016" s="37"/>
      <c r="Y3016" s="43"/>
      <c r="Z3016" s="37"/>
      <c r="AA3016" s="37"/>
      <c r="AD3016" s="37"/>
      <c r="AE3016" s="37"/>
      <c r="AF3016" s="37"/>
    </row>
    <row r="3017" spans="1:32" x14ac:dyDescent="0.25">
      <c r="A3017" s="37"/>
      <c r="B3017" s="37"/>
      <c r="C3017" s="37"/>
      <c r="F3017" s="38"/>
      <c r="G3017" s="38"/>
      <c r="H3017" s="38"/>
      <c r="I3017" s="37"/>
      <c r="J3017" s="38"/>
      <c r="K3017" s="38"/>
      <c r="L3017" s="42"/>
      <c r="M3017" s="42"/>
      <c r="N3017" s="42"/>
      <c r="O3017" s="42"/>
      <c r="R3017" s="37"/>
      <c r="S3017" s="37"/>
      <c r="T3017" s="91"/>
      <c r="U3017" s="91"/>
      <c r="V3017" s="41"/>
      <c r="W3017" s="37"/>
      <c r="X3017" s="37"/>
      <c r="Y3017" s="43"/>
      <c r="Z3017" s="37"/>
      <c r="AA3017" s="37"/>
      <c r="AD3017" s="37"/>
      <c r="AE3017" s="37"/>
      <c r="AF3017" s="37"/>
    </row>
    <row r="3018" spans="1:32" x14ac:dyDescent="0.25">
      <c r="A3018" s="37"/>
      <c r="B3018" s="37"/>
      <c r="C3018" s="37"/>
      <c r="F3018" s="38"/>
      <c r="G3018" s="38"/>
      <c r="H3018" s="38"/>
      <c r="I3018" s="37"/>
      <c r="J3018" s="38"/>
      <c r="K3018" s="38"/>
      <c r="L3018" s="42"/>
      <c r="M3018" s="42"/>
      <c r="N3018" s="42"/>
      <c r="O3018" s="42"/>
      <c r="R3018" s="37"/>
      <c r="S3018" s="37"/>
      <c r="T3018" s="91"/>
      <c r="U3018" s="91"/>
      <c r="V3018" s="41"/>
      <c r="W3018" s="37"/>
      <c r="X3018" s="37"/>
      <c r="Y3018" s="43"/>
      <c r="Z3018" s="37"/>
      <c r="AA3018" s="37"/>
      <c r="AD3018" s="37"/>
      <c r="AE3018" s="37"/>
      <c r="AF3018" s="37"/>
    </row>
    <row r="3019" spans="1:32" x14ac:dyDescent="0.25">
      <c r="A3019" s="37"/>
      <c r="B3019" s="37"/>
      <c r="C3019" s="37"/>
      <c r="F3019" s="38"/>
      <c r="G3019" s="38"/>
      <c r="H3019" s="38"/>
      <c r="I3019" s="37"/>
      <c r="J3019" s="38"/>
      <c r="K3019" s="38"/>
      <c r="L3019" s="42"/>
      <c r="M3019" s="42"/>
      <c r="N3019" s="42"/>
      <c r="O3019" s="42"/>
      <c r="R3019" s="37"/>
      <c r="S3019" s="37"/>
      <c r="T3019" s="91"/>
      <c r="U3019" s="91"/>
      <c r="V3019" s="41"/>
      <c r="W3019" s="37"/>
      <c r="X3019" s="37"/>
      <c r="Y3019" s="43"/>
      <c r="Z3019" s="37"/>
      <c r="AA3019" s="37"/>
      <c r="AD3019" s="37"/>
      <c r="AE3019" s="37"/>
      <c r="AF3019" s="37"/>
    </row>
    <row r="3020" spans="1:32" x14ac:dyDescent="0.25">
      <c r="A3020" s="37"/>
      <c r="B3020" s="37"/>
      <c r="C3020" s="37"/>
      <c r="F3020" s="38"/>
      <c r="G3020" s="38"/>
      <c r="H3020" s="38"/>
      <c r="I3020" s="37"/>
      <c r="J3020" s="38"/>
      <c r="K3020" s="38"/>
      <c r="L3020" s="42"/>
      <c r="M3020" s="42"/>
      <c r="N3020" s="42"/>
      <c r="O3020" s="42"/>
      <c r="R3020" s="37"/>
      <c r="S3020" s="37"/>
      <c r="T3020" s="91"/>
      <c r="U3020" s="91"/>
      <c r="V3020" s="41"/>
      <c r="W3020" s="37"/>
      <c r="X3020" s="37"/>
      <c r="Y3020" s="43"/>
      <c r="Z3020" s="37"/>
      <c r="AA3020" s="37"/>
      <c r="AD3020" s="37"/>
      <c r="AE3020" s="37"/>
      <c r="AF3020" s="37"/>
    </row>
    <row r="3021" spans="1:32" x14ac:dyDescent="0.25">
      <c r="A3021" s="37"/>
      <c r="B3021" s="37"/>
      <c r="C3021" s="37"/>
      <c r="F3021" s="38"/>
      <c r="G3021" s="38"/>
      <c r="H3021" s="38"/>
      <c r="I3021" s="37"/>
      <c r="J3021" s="38"/>
      <c r="K3021" s="38"/>
      <c r="L3021" s="42"/>
      <c r="M3021" s="42"/>
      <c r="N3021" s="42"/>
      <c r="O3021" s="42"/>
      <c r="R3021" s="37"/>
      <c r="S3021" s="37"/>
      <c r="T3021" s="91"/>
      <c r="U3021" s="91"/>
      <c r="V3021" s="41"/>
      <c r="W3021" s="37"/>
      <c r="X3021" s="37"/>
      <c r="Y3021" s="43"/>
      <c r="Z3021" s="37"/>
      <c r="AA3021" s="37"/>
      <c r="AD3021" s="37"/>
      <c r="AE3021" s="37"/>
      <c r="AF3021" s="37"/>
    </row>
    <row r="3022" spans="1:32" x14ac:dyDescent="0.25">
      <c r="A3022" s="37"/>
      <c r="B3022" s="37"/>
      <c r="C3022" s="37"/>
      <c r="F3022" s="38"/>
      <c r="G3022" s="38"/>
      <c r="H3022" s="38"/>
      <c r="I3022" s="37"/>
      <c r="J3022" s="38"/>
      <c r="K3022" s="38"/>
      <c r="L3022" s="42"/>
      <c r="M3022" s="42"/>
      <c r="N3022" s="42"/>
      <c r="O3022" s="42"/>
      <c r="R3022" s="37"/>
      <c r="S3022" s="37"/>
      <c r="T3022" s="91"/>
      <c r="U3022" s="91"/>
      <c r="V3022" s="41"/>
      <c r="W3022" s="37"/>
      <c r="X3022" s="37"/>
      <c r="Y3022" s="43"/>
      <c r="Z3022" s="37"/>
      <c r="AA3022" s="37"/>
      <c r="AD3022" s="37"/>
      <c r="AE3022" s="37"/>
      <c r="AF3022" s="37"/>
    </row>
    <row r="3023" spans="1:32" x14ac:dyDescent="0.25">
      <c r="A3023" s="37"/>
      <c r="B3023" s="37"/>
      <c r="C3023" s="37"/>
      <c r="F3023" s="38"/>
      <c r="G3023" s="38"/>
      <c r="H3023" s="38"/>
      <c r="I3023" s="37"/>
      <c r="J3023" s="38"/>
      <c r="K3023" s="38"/>
      <c r="L3023" s="42"/>
      <c r="M3023" s="42"/>
      <c r="N3023" s="42"/>
      <c r="O3023" s="42"/>
      <c r="R3023" s="37"/>
      <c r="S3023" s="37"/>
      <c r="T3023" s="91"/>
      <c r="U3023" s="91"/>
      <c r="V3023" s="41"/>
      <c r="W3023" s="37"/>
      <c r="X3023" s="37"/>
      <c r="Y3023" s="43"/>
      <c r="Z3023" s="37"/>
      <c r="AA3023" s="37"/>
      <c r="AD3023" s="37"/>
      <c r="AE3023" s="37"/>
      <c r="AF3023" s="37"/>
    </row>
    <row r="3024" spans="1:32" x14ac:dyDescent="0.25">
      <c r="A3024" s="37"/>
      <c r="B3024" s="37"/>
      <c r="C3024" s="37"/>
      <c r="F3024" s="38"/>
      <c r="G3024" s="38"/>
      <c r="H3024" s="38"/>
      <c r="I3024" s="37"/>
      <c r="J3024" s="38"/>
      <c r="K3024" s="38"/>
      <c r="L3024" s="42"/>
      <c r="M3024" s="42"/>
      <c r="N3024" s="42"/>
      <c r="O3024" s="42"/>
      <c r="R3024" s="37"/>
      <c r="S3024" s="37"/>
      <c r="T3024" s="91"/>
      <c r="U3024" s="91"/>
      <c r="V3024" s="41"/>
      <c r="W3024" s="37"/>
      <c r="X3024" s="37"/>
      <c r="Y3024" s="43"/>
      <c r="Z3024" s="37"/>
      <c r="AA3024" s="37"/>
      <c r="AD3024" s="37"/>
      <c r="AE3024" s="37"/>
      <c r="AF3024" s="37"/>
    </row>
    <row r="3025" spans="1:32" x14ac:dyDescent="0.25">
      <c r="A3025" s="37"/>
      <c r="B3025" s="37"/>
      <c r="C3025" s="37"/>
      <c r="F3025" s="38"/>
      <c r="G3025" s="38"/>
      <c r="H3025" s="38"/>
      <c r="I3025" s="37"/>
      <c r="J3025" s="38"/>
      <c r="K3025" s="38"/>
      <c r="L3025" s="42"/>
      <c r="M3025" s="42"/>
      <c r="N3025" s="42"/>
      <c r="O3025" s="42"/>
      <c r="R3025" s="37"/>
      <c r="S3025" s="37"/>
      <c r="T3025" s="91"/>
      <c r="U3025" s="91"/>
      <c r="V3025" s="41"/>
      <c r="W3025" s="37"/>
      <c r="X3025" s="37"/>
      <c r="Y3025" s="43"/>
      <c r="Z3025" s="37"/>
      <c r="AA3025" s="37"/>
      <c r="AD3025" s="37"/>
      <c r="AE3025" s="37"/>
      <c r="AF3025" s="37"/>
    </row>
    <row r="3026" spans="1:32" x14ac:dyDescent="0.25">
      <c r="A3026" s="37"/>
      <c r="B3026" s="37"/>
      <c r="C3026" s="37"/>
      <c r="F3026" s="38"/>
      <c r="G3026" s="38"/>
      <c r="H3026" s="38"/>
      <c r="I3026" s="37"/>
      <c r="J3026" s="38"/>
      <c r="K3026" s="38"/>
      <c r="L3026" s="42"/>
      <c r="M3026" s="42"/>
      <c r="N3026" s="42"/>
      <c r="O3026" s="42"/>
      <c r="R3026" s="37"/>
      <c r="S3026" s="37"/>
      <c r="T3026" s="91"/>
      <c r="U3026" s="91"/>
      <c r="V3026" s="41"/>
      <c r="W3026" s="37"/>
      <c r="X3026" s="37"/>
      <c r="Y3026" s="43"/>
      <c r="Z3026" s="37"/>
      <c r="AA3026" s="37"/>
      <c r="AD3026" s="37"/>
      <c r="AE3026" s="37"/>
      <c r="AF3026" s="37"/>
    </row>
    <row r="3027" spans="1:32" x14ac:dyDescent="0.25">
      <c r="A3027" s="37"/>
      <c r="B3027" s="37"/>
      <c r="C3027" s="37"/>
      <c r="F3027" s="38"/>
      <c r="G3027" s="38"/>
      <c r="H3027" s="38"/>
      <c r="I3027" s="37"/>
      <c r="J3027" s="38"/>
      <c r="K3027" s="38"/>
      <c r="L3027" s="42"/>
      <c r="M3027" s="42"/>
      <c r="N3027" s="42"/>
      <c r="O3027" s="42"/>
      <c r="R3027" s="37"/>
      <c r="S3027" s="37"/>
      <c r="T3027" s="91"/>
      <c r="U3027" s="91"/>
      <c r="V3027" s="41"/>
      <c r="W3027" s="37"/>
      <c r="X3027" s="37"/>
      <c r="Y3027" s="43"/>
      <c r="Z3027" s="37"/>
      <c r="AA3027" s="37"/>
      <c r="AD3027" s="37"/>
      <c r="AE3027" s="37"/>
      <c r="AF3027" s="37"/>
    </row>
    <row r="3028" spans="1:32" x14ac:dyDescent="0.25">
      <c r="A3028" s="37"/>
      <c r="B3028" s="37"/>
      <c r="C3028" s="37"/>
      <c r="F3028" s="38"/>
      <c r="G3028" s="38"/>
      <c r="H3028" s="38"/>
      <c r="I3028" s="37"/>
      <c r="J3028" s="38"/>
      <c r="K3028" s="38"/>
      <c r="L3028" s="42"/>
      <c r="M3028" s="42"/>
      <c r="N3028" s="42"/>
      <c r="O3028" s="42"/>
      <c r="R3028" s="37"/>
      <c r="S3028" s="37"/>
      <c r="T3028" s="91"/>
      <c r="U3028" s="91"/>
      <c r="V3028" s="41"/>
      <c r="W3028" s="37"/>
      <c r="X3028" s="37"/>
      <c r="Y3028" s="43"/>
      <c r="Z3028" s="37"/>
      <c r="AA3028" s="37"/>
      <c r="AD3028" s="37"/>
      <c r="AE3028" s="37"/>
      <c r="AF3028" s="37"/>
    </row>
    <row r="3029" spans="1:32" x14ac:dyDescent="0.25">
      <c r="A3029" s="37"/>
      <c r="B3029" s="37"/>
      <c r="C3029" s="37"/>
      <c r="F3029" s="38"/>
      <c r="G3029" s="38"/>
      <c r="H3029" s="38"/>
      <c r="I3029" s="37"/>
      <c r="J3029" s="38"/>
      <c r="K3029" s="38"/>
      <c r="L3029" s="42"/>
      <c r="M3029" s="42"/>
      <c r="N3029" s="42"/>
      <c r="O3029" s="42"/>
      <c r="R3029" s="37"/>
      <c r="S3029" s="37"/>
      <c r="T3029" s="91"/>
      <c r="U3029" s="91"/>
      <c r="V3029" s="41"/>
      <c r="W3029" s="37"/>
      <c r="X3029" s="37"/>
      <c r="Y3029" s="43"/>
      <c r="Z3029" s="37"/>
      <c r="AA3029" s="37"/>
      <c r="AD3029" s="37"/>
      <c r="AE3029" s="37"/>
      <c r="AF3029" s="37"/>
    </row>
    <row r="3030" spans="1:32" x14ac:dyDescent="0.25">
      <c r="A3030" s="37"/>
      <c r="B3030" s="37"/>
      <c r="C3030" s="37"/>
      <c r="F3030" s="38"/>
      <c r="G3030" s="38"/>
      <c r="H3030" s="38"/>
      <c r="I3030" s="37"/>
      <c r="J3030" s="38"/>
      <c r="K3030" s="38"/>
      <c r="L3030" s="42"/>
      <c r="M3030" s="42"/>
      <c r="N3030" s="42"/>
      <c r="O3030" s="42"/>
      <c r="R3030" s="37"/>
      <c r="S3030" s="37"/>
      <c r="T3030" s="91"/>
      <c r="U3030" s="91"/>
      <c r="V3030" s="41"/>
      <c r="W3030" s="37"/>
      <c r="X3030" s="37"/>
      <c r="Y3030" s="43"/>
      <c r="Z3030" s="37"/>
      <c r="AA3030" s="37"/>
      <c r="AD3030" s="37"/>
      <c r="AE3030" s="37"/>
      <c r="AF3030" s="37"/>
    </row>
    <row r="3031" spans="1:32" x14ac:dyDescent="0.25">
      <c r="A3031" s="37"/>
      <c r="B3031" s="37"/>
      <c r="C3031" s="37"/>
      <c r="F3031" s="38"/>
      <c r="G3031" s="38"/>
      <c r="H3031" s="38"/>
      <c r="I3031" s="37"/>
      <c r="J3031" s="38"/>
      <c r="K3031" s="38"/>
      <c r="L3031" s="42"/>
      <c r="M3031" s="42"/>
      <c r="N3031" s="42"/>
      <c r="O3031" s="42"/>
      <c r="R3031" s="37"/>
      <c r="S3031" s="37"/>
      <c r="T3031" s="91"/>
      <c r="U3031" s="91"/>
      <c r="V3031" s="41"/>
      <c r="W3031" s="37"/>
      <c r="X3031" s="37"/>
      <c r="Y3031" s="43"/>
      <c r="Z3031" s="37"/>
      <c r="AA3031" s="37"/>
      <c r="AD3031" s="37"/>
      <c r="AE3031" s="37"/>
      <c r="AF3031" s="37"/>
    </row>
    <row r="3032" spans="1:32" x14ac:dyDescent="0.25">
      <c r="A3032" s="37"/>
      <c r="B3032" s="37"/>
      <c r="C3032" s="37"/>
      <c r="F3032" s="38"/>
      <c r="G3032" s="38"/>
      <c r="H3032" s="38"/>
      <c r="I3032" s="37"/>
      <c r="J3032" s="38"/>
      <c r="K3032" s="38"/>
      <c r="L3032" s="42"/>
      <c r="M3032" s="42"/>
      <c r="N3032" s="42"/>
      <c r="O3032" s="42"/>
      <c r="R3032" s="37"/>
      <c r="S3032" s="37"/>
      <c r="T3032" s="91"/>
      <c r="U3032" s="91"/>
      <c r="V3032" s="41"/>
      <c r="W3032" s="37"/>
      <c r="X3032" s="37"/>
      <c r="Y3032" s="43"/>
      <c r="Z3032" s="37"/>
      <c r="AA3032" s="37"/>
      <c r="AD3032" s="37"/>
      <c r="AE3032" s="37"/>
      <c r="AF3032" s="37"/>
    </row>
    <row r="3033" spans="1:32" x14ac:dyDescent="0.25">
      <c r="A3033" s="37"/>
      <c r="B3033" s="37"/>
      <c r="C3033" s="37"/>
      <c r="F3033" s="38"/>
      <c r="G3033" s="38"/>
      <c r="H3033" s="38"/>
      <c r="I3033" s="37"/>
      <c r="J3033" s="38"/>
      <c r="K3033" s="38"/>
      <c r="L3033" s="42"/>
      <c r="M3033" s="42"/>
      <c r="N3033" s="42"/>
      <c r="O3033" s="42"/>
      <c r="R3033" s="37"/>
      <c r="S3033" s="37"/>
      <c r="T3033" s="91"/>
      <c r="U3033" s="91"/>
      <c r="V3033" s="41"/>
      <c r="W3033" s="37"/>
      <c r="X3033" s="37"/>
      <c r="Y3033" s="43"/>
      <c r="Z3033" s="37"/>
      <c r="AA3033" s="37"/>
      <c r="AD3033" s="37"/>
      <c r="AE3033" s="37"/>
      <c r="AF3033" s="37"/>
    </row>
    <row r="3034" spans="1:32" x14ac:dyDescent="0.25">
      <c r="A3034" s="37"/>
      <c r="B3034" s="37"/>
      <c r="C3034" s="37"/>
      <c r="F3034" s="38"/>
      <c r="G3034" s="38"/>
      <c r="H3034" s="38"/>
      <c r="I3034" s="37"/>
      <c r="J3034" s="38"/>
      <c r="K3034" s="38"/>
      <c r="L3034" s="42"/>
      <c r="M3034" s="42"/>
      <c r="N3034" s="42"/>
      <c r="O3034" s="42"/>
      <c r="R3034" s="37"/>
      <c r="S3034" s="37"/>
      <c r="T3034" s="91"/>
      <c r="U3034" s="91"/>
      <c r="V3034" s="41"/>
      <c r="W3034" s="37"/>
      <c r="X3034" s="37"/>
      <c r="Y3034" s="43"/>
      <c r="Z3034" s="37"/>
      <c r="AA3034" s="37"/>
      <c r="AD3034" s="37"/>
      <c r="AE3034" s="37"/>
      <c r="AF3034" s="37"/>
    </row>
    <row r="3035" spans="1:32" x14ac:dyDescent="0.25">
      <c r="A3035" s="37"/>
      <c r="B3035" s="37"/>
      <c r="C3035" s="37"/>
      <c r="F3035" s="38"/>
      <c r="G3035" s="38"/>
      <c r="H3035" s="38"/>
      <c r="I3035" s="37"/>
      <c r="J3035" s="38"/>
      <c r="K3035" s="38"/>
      <c r="L3035" s="42"/>
      <c r="M3035" s="42"/>
      <c r="N3035" s="42"/>
      <c r="O3035" s="42"/>
      <c r="R3035" s="37"/>
      <c r="S3035" s="37"/>
      <c r="T3035" s="91"/>
      <c r="U3035" s="91"/>
      <c r="V3035" s="41"/>
      <c r="W3035" s="37"/>
      <c r="X3035" s="37"/>
      <c r="Y3035" s="43"/>
      <c r="Z3035" s="37"/>
      <c r="AA3035" s="37"/>
      <c r="AD3035" s="37"/>
      <c r="AE3035" s="37"/>
      <c r="AF3035" s="37"/>
    </row>
    <row r="3036" spans="1:32" x14ac:dyDescent="0.25">
      <c r="A3036" s="37"/>
      <c r="B3036" s="37"/>
      <c r="C3036" s="37"/>
      <c r="F3036" s="38"/>
      <c r="G3036" s="38"/>
      <c r="H3036" s="38"/>
      <c r="I3036" s="37"/>
      <c r="J3036" s="38"/>
      <c r="K3036" s="38"/>
      <c r="L3036" s="42"/>
      <c r="M3036" s="42"/>
      <c r="N3036" s="42"/>
      <c r="O3036" s="42"/>
      <c r="R3036" s="37"/>
      <c r="S3036" s="37"/>
      <c r="T3036" s="91"/>
      <c r="U3036" s="91"/>
      <c r="V3036" s="41"/>
      <c r="W3036" s="37"/>
      <c r="X3036" s="37"/>
      <c r="Y3036" s="43"/>
      <c r="Z3036" s="37"/>
      <c r="AA3036" s="37"/>
      <c r="AD3036" s="37"/>
      <c r="AE3036" s="37"/>
      <c r="AF3036" s="37"/>
    </row>
    <row r="3037" spans="1:32" x14ac:dyDescent="0.25">
      <c r="A3037" s="37"/>
      <c r="B3037" s="37"/>
      <c r="C3037" s="37"/>
      <c r="F3037" s="38"/>
      <c r="G3037" s="38"/>
      <c r="H3037" s="38"/>
      <c r="I3037" s="37"/>
      <c r="J3037" s="38"/>
      <c r="K3037" s="38"/>
      <c r="L3037" s="42"/>
      <c r="M3037" s="42"/>
      <c r="N3037" s="42"/>
      <c r="O3037" s="42"/>
      <c r="R3037" s="37"/>
      <c r="S3037" s="37"/>
      <c r="T3037" s="91"/>
      <c r="U3037" s="91"/>
      <c r="V3037" s="41"/>
      <c r="W3037" s="37"/>
      <c r="X3037" s="37"/>
      <c r="Y3037" s="43"/>
      <c r="Z3037" s="37"/>
      <c r="AA3037" s="37"/>
      <c r="AD3037" s="37"/>
      <c r="AE3037" s="37"/>
      <c r="AF3037" s="37"/>
    </row>
    <row r="3038" spans="1:32" x14ac:dyDescent="0.25">
      <c r="A3038" s="37"/>
      <c r="B3038" s="37"/>
      <c r="C3038" s="37"/>
      <c r="F3038" s="38"/>
      <c r="G3038" s="38"/>
      <c r="H3038" s="38"/>
      <c r="I3038" s="37"/>
      <c r="J3038" s="38"/>
      <c r="K3038" s="38"/>
      <c r="L3038" s="42"/>
      <c r="M3038" s="42"/>
      <c r="N3038" s="42"/>
      <c r="O3038" s="42"/>
      <c r="R3038" s="37"/>
      <c r="S3038" s="37"/>
      <c r="T3038" s="91"/>
      <c r="U3038" s="91"/>
      <c r="V3038" s="41"/>
      <c r="W3038" s="37"/>
      <c r="X3038" s="37"/>
      <c r="Y3038" s="43"/>
      <c r="Z3038" s="37"/>
      <c r="AA3038" s="37"/>
      <c r="AD3038" s="37"/>
      <c r="AE3038" s="37"/>
      <c r="AF3038" s="37"/>
    </row>
    <row r="3039" spans="1:32" x14ac:dyDescent="0.25">
      <c r="A3039" s="37"/>
      <c r="B3039" s="37"/>
      <c r="C3039" s="37"/>
      <c r="F3039" s="38"/>
      <c r="G3039" s="38"/>
      <c r="H3039" s="38"/>
      <c r="I3039" s="37"/>
      <c r="J3039" s="38"/>
      <c r="K3039" s="38"/>
      <c r="L3039" s="42"/>
      <c r="M3039" s="42"/>
      <c r="N3039" s="42"/>
      <c r="O3039" s="42"/>
      <c r="R3039" s="37"/>
      <c r="S3039" s="37"/>
      <c r="T3039" s="91"/>
      <c r="U3039" s="91"/>
      <c r="V3039" s="41"/>
      <c r="W3039" s="37"/>
      <c r="X3039" s="37"/>
      <c r="Y3039" s="43"/>
      <c r="Z3039" s="37"/>
      <c r="AA3039" s="37"/>
      <c r="AD3039" s="37"/>
      <c r="AE3039" s="37"/>
      <c r="AF3039" s="37"/>
    </row>
    <row r="3040" spans="1:32" x14ac:dyDescent="0.25">
      <c r="A3040" s="37"/>
      <c r="B3040" s="37"/>
      <c r="C3040" s="37"/>
      <c r="F3040" s="38"/>
      <c r="G3040" s="38"/>
      <c r="H3040" s="38"/>
      <c r="I3040" s="37"/>
      <c r="J3040" s="38"/>
      <c r="K3040" s="38"/>
      <c r="L3040" s="42"/>
      <c r="M3040" s="42"/>
      <c r="N3040" s="42"/>
      <c r="O3040" s="42"/>
      <c r="R3040" s="37"/>
      <c r="S3040" s="37"/>
      <c r="T3040" s="91"/>
      <c r="U3040" s="91"/>
      <c r="V3040" s="41"/>
      <c r="W3040" s="37"/>
      <c r="X3040" s="37"/>
      <c r="Y3040" s="43"/>
      <c r="Z3040" s="37"/>
      <c r="AA3040" s="37"/>
      <c r="AD3040" s="37"/>
      <c r="AE3040" s="37"/>
      <c r="AF3040" s="37"/>
    </row>
    <row r="3041" spans="1:32" x14ac:dyDescent="0.25">
      <c r="A3041" s="37"/>
      <c r="B3041" s="37"/>
      <c r="C3041" s="37"/>
      <c r="F3041" s="38"/>
      <c r="G3041" s="38"/>
      <c r="H3041" s="38"/>
      <c r="I3041" s="37"/>
      <c r="J3041" s="38"/>
      <c r="K3041" s="38"/>
      <c r="L3041" s="42"/>
      <c r="M3041" s="42"/>
      <c r="N3041" s="42"/>
      <c r="O3041" s="42"/>
      <c r="R3041" s="37"/>
      <c r="S3041" s="37"/>
      <c r="T3041" s="91"/>
      <c r="U3041" s="91"/>
      <c r="V3041" s="41"/>
      <c r="W3041" s="37"/>
      <c r="X3041" s="37"/>
      <c r="Y3041" s="43"/>
      <c r="Z3041" s="37"/>
      <c r="AA3041" s="37"/>
      <c r="AD3041" s="37"/>
      <c r="AE3041" s="37"/>
      <c r="AF3041" s="37"/>
    </row>
    <row r="3042" spans="1:32" x14ac:dyDescent="0.25">
      <c r="A3042" s="37"/>
      <c r="B3042" s="37"/>
      <c r="C3042" s="37"/>
      <c r="F3042" s="38"/>
      <c r="G3042" s="38"/>
      <c r="H3042" s="38"/>
      <c r="I3042" s="37"/>
      <c r="J3042" s="38"/>
      <c r="K3042" s="38"/>
      <c r="L3042" s="42"/>
      <c r="M3042" s="42"/>
      <c r="N3042" s="42"/>
      <c r="O3042" s="42"/>
      <c r="R3042" s="37"/>
      <c r="S3042" s="37"/>
      <c r="T3042" s="91"/>
      <c r="U3042" s="91"/>
      <c r="V3042" s="41"/>
      <c r="W3042" s="37"/>
      <c r="X3042" s="37"/>
      <c r="Y3042" s="43"/>
      <c r="Z3042" s="37"/>
      <c r="AA3042" s="37"/>
      <c r="AD3042" s="37"/>
      <c r="AE3042" s="37"/>
      <c r="AF3042" s="37"/>
    </row>
    <row r="3043" spans="1:32" x14ac:dyDescent="0.25">
      <c r="A3043" s="37"/>
      <c r="B3043" s="37"/>
      <c r="C3043" s="37"/>
      <c r="F3043" s="38"/>
      <c r="G3043" s="38"/>
      <c r="H3043" s="38"/>
      <c r="I3043" s="37"/>
      <c r="J3043" s="38"/>
      <c r="K3043" s="38"/>
      <c r="L3043" s="42"/>
      <c r="M3043" s="42"/>
      <c r="N3043" s="42"/>
      <c r="O3043" s="42"/>
      <c r="R3043" s="37"/>
      <c r="S3043" s="37"/>
      <c r="T3043" s="91"/>
      <c r="U3043" s="91"/>
      <c r="V3043" s="41"/>
      <c r="W3043" s="37"/>
      <c r="X3043" s="37"/>
      <c r="Y3043" s="43"/>
      <c r="Z3043" s="37"/>
      <c r="AA3043" s="37"/>
      <c r="AD3043" s="37"/>
      <c r="AE3043" s="37"/>
      <c r="AF3043" s="37"/>
    </row>
    <row r="3044" spans="1:32" x14ac:dyDescent="0.25">
      <c r="A3044" s="37"/>
      <c r="B3044" s="37"/>
      <c r="C3044" s="37"/>
      <c r="F3044" s="38"/>
      <c r="G3044" s="38"/>
      <c r="H3044" s="38"/>
      <c r="I3044" s="37"/>
      <c r="J3044" s="38"/>
      <c r="K3044" s="38"/>
      <c r="L3044" s="42"/>
      <c r="M3044" s="42"/>
      <c r="N3044" s="42"/>
      <c r="O3044" s="42"/>
      <c r="R3044" s="37"/>
      <c r="S3044" s="37"/>
      <c r="T3044" s="91"/>
      <c r="U3044" s="91"/>
      <c r="V3044" s="41"/>
      <c r="W3044" s="37"/>
      <c r="X3044" s="37"/>
      <c r="Y3044" s="43"/>
      <c r="Z3044" s="37"/>
      <c r="AA3044" s="37"/>
      <c r="AD3044" s="37"/>
      <c r="AE3044" s="37"/>
      <c r="AF3044" s="37"/>
    </row>
    <row r="3045" spans="1:32" x14ac:dyDescent="0.25">
      <c r="A3045" s="37"/>
      <c r="B3045" s="37"/>
      <c r="C3045" s="37"/>
      <c r="F3045" s="38"/>
      <c r="G3045" s="38"/>
      <c r="H3045" s="38"/>
      <c r="I3045" s="37"/>
      <c r="J3045" s="38"/>
      <c r="K3045" s="38"/>
      <c r="L3045" s="42"/>
      <c r="M3045" s="42"/>
      <c r="N3045" s="42"/>
      <c r="O3045" s="42"/>
      <c r="R3045" s="37"/>
      <c r="S3045" s="37"/>
      <c r="T3045" s="91"/>
      <c r="U3045" s="91"/>
      <c r="V3045" s="41"/>
      <c r="W3045" s="37"/>
      <c r="X3045" s="37"/>
      <c r="Y3045" s="43"/>
      <c r="Z3045" s="37"/>
      <c r="AA3045" s="37"/>
      <c r="AD3045" s="37"/>
      <c r="AE3045" s="37"/>
      <c r="AF3045" s="37"/>
    </row>
    <row r="3046" spans="1:32" x14ac:dyDescent="0.25">
      <c r="A3046" s="37"/>
      <c r="B3046" s="37"/>
      <c r="C3046" s="37"/>
      <c r="F3046" s="38"/>
      <c r="G3046" s="38"/>
      <c r="H3046" s="38"/>
      <c r="I3046" s="37"/>
      <c r="J3046" s="38"/>
      <c r="K3046" s="38"/>
      <c r="L3046" s="42"/>
      <c r="M3046" s="42"/>
      <c r="N3046" s="42"/>
      <c r="O3046" s="42"/>
      <c r="R3046" s="37"/>
      <c r="S3046" s="37"/>
      <c r="T3046" s="91"/>
      <c r="U3046" s="91"/>
      <c r="V3046" s="41"/>
      <c r="W3046" s="37"/>
      <c r="X3046" s="37"/>
      <c r="Y3046" s="43"/>
      <c r="Z3046" s="37"/>
      <c r="AA3046" s="37"/>
      <c r="AD3046" s="37"/>
      <c r="AE3046" s="37"/>
      <c r="AF3046" s="37"/>
    </row>
    <row r="3047" spans="1:32" x14ac:dyDescent="0.25">
      <c r="A3047" s="37"/>
      <c r="B3047" s="37"/>
      <c r="C3047" s="37"/>
      <c r="F3047" s="38"/>
      <c r="G3047" s="38"/>
      <c r="H3047" s="38"/>
      <c r="I3047" s="37"/>
      <c r="J3047" s="38"/>
      <c r="K3047" s="38"/>
      <c r="L3047" s="42"/>
      <c r="M3047" s="42"/>
      <c r="N3047" s="42"/>
      <c r="O3047" s="42"/>
      <c r="R3047" s="37"/>
      <c r="S3047" s="37"/>
      <c r="T3047" s="91"/>
      <c r="U3047" s="91"/>
      <c r="V3047" s="41"/>
      <c r="W3047" s="37"/>
      <c r="X3047" s="37"/>
      <c r="Y3047" s="43"/>
      <c r="Z3047" s="37"/>
      <c r="AA3047" s="37"/>
      <c r="AD3047" s="37"/>
      <c r="AE3047" s="37"/>
      <c r="AF3047" s="37"/>
    </row>
    <row r="3048" spans="1:32" x14ac:dyDescent="0.25">
      <c r="A3048" s="37"/>
      <c r="B3048" s="37"/>
      <c r="C3048" s="37"/>
      <c r="F3048" s="38"/>
      <c r="G3048" s="38"/>
      <c r="H3048" s="38"/>
      <c r="I3048" s="37"/>
      <c r="J3048" s="38"/>
      <c r="K3048" s="38"/>
      <c r="L3048" s="42"/>
      <c r="M3048" s="42"/>
      <c r="N3048" s="42"/>
      <c r="O3048" s="42"/>
      <c r="R3048" s="37"/>
      <c r="S3048" s="37"/>
      <c r="T3048" s="91"/>
      <c r="U3048" s="91"/>
      <c r="V3048" s="41"/>
      <c r="W3048" s="37"/>
      <c r="X3048" s="37"/>
      <c r="Y3048" s="43"/>
      <c r="Z3048" s="37"/>
      <c r="AA3048" s="37"/>
      <c r="AD3048" s="37"/>
      <c r="AE3048" s="37"/>
      <c r="AF3048" s="37"/>
    </row>
    <row r="3049" spans="1:32" x14ac:dyDescent="0.25">
      <c r="A3049" s="37"/>
      <c r="B3049" s="37"/>
      <c r="C3049" s="37"/>
      <c r="F3049" s="38"/>
      <c r="G3049" s="38"/>
      <c r="H3049" s="38"/>
      <c r="I3049" s="37"/>
      <c r="J3049" s="38"/>
      <c r="K3049" s="38"/>
      <c r="L3049" s="42"/>
      <c r="M3049" s="42"/>
      <c r="N3049" s="42"/>
      <c r="O3049" s="42"/>
      <c r="R3049" s="37"/>
      <c r="S3049" s="37"/>
      <c r="T3049" s="91"/>
      <c r="U3049" s="91"/>
      <c r="V3049" s="41"/>
      <c r="W3049" s="37"/>
      <c r="X3049" s="37"/>
      <c r="Y3049" s="43"/>
      <c r="Z3049" s="37"/>
      <c r="AA3049" s="37"/>
      <c r="AD3049" s="37"/>
      <c r="AE3049" s="37"/>
      <c r="AF3049" s="37"/>
    </row>
    <row r="3050" spans="1:32" x14ac:dyDescent="0.25">
      <c r="A3050" s="37"/>
      <c r="B3050" s="37"/>
      <c r="C3050" s="37"/>
      <c r="F3050" s="38"/>
      <c r="G3050" s="38"/>
      <c r="H3050" s="38"/>
      <c r="I3050" s="37"/>
      <c r="J3050" s="38"/>
      <c r="K3050" s="38"/>
      <c r="L3050" s="42"/>
      <c r="M3050" s="42"/>
      <c r="N3050" s="42"/>
      <c r="O3050" s="42"/>
      <c r="R3050" s="37"/>
      <c r="S3050" s="37"/>
      <c r="T3050" s="91"/>
      <c r="U3050" s="91"/>
      <c r="V3050" s="41"/>
      <c r="W3050" s="37"/>
      <c r="X3050" s="37"/>
      <c r="Y3050" s="43"/>
      <c r="Z3050" s="37"/>
      <c r="AA3050" s="37"/>
      <c r="AD3050" s="37"/>
      <c r="AE3050" s="37"/>
      <c r="AF3050" s="37"/>
    </row>
    <row r="3051" spans="1:32" x14ac:dyDescent="0.25">
      <c r="A3051" s="37"/>
      <c r="B3051" s="37"/>
      <c r="C3051" s="37"/>
      <c r="F3051" s="38"/>
      <c r="G3051" s="38"/>
      <c r="H3051" s="38"/>
      <c r="I3051" s="37"/>
      <c r="J3051" s="38"/>
      <c r="K3051" s="38"/>
      <c r="L3051" s="42"/>
      <c r="M3051" s="42"/>
      <c r="N3051" s="42"/>
      <c r="O3051" s="42"/>
      <c r="R3051" s="37"/>
      <c r="S3051" s="37"/>
      <c r="T3051" s="91"/>
      <c r="U3051" s="91"/>
      <c r="V3051" s="41"/>
      <c r="W3051" s="37"/>
      <c r="X3051" s="37"/>
      <c r="Y3051" s="43"/>
      <c r="Z3051" s="37"/>
      <c r="AA3051" s="37"/>
      <c r="AD3051" s="37"/>
      <c r="AE3051" s="37"/>
      <c r="AF3051" s="37"/>
    </row>
    <row r="3052" spans="1:32" x14ac:dyDescent="0.25">
      <c r="A3052" s="37"/>
      <c r="B3052" s="37"/>
      <c r="C3052" s="37"/>
      <c r="F3052" s="38"/>
      <c r="G3052" s="38"/>
      <c r="H3052" s="38"/>
      <c r="I3052" s="37"/>
      <c r="J3052" s="38"/>
      <c r="K3052" s="38"/>
      <c r="L3052" s="42"/>
      <c r="M3052" s="42"/>
      <c r="N3052" s="42"/>
      <c r="O3052" s="42"/>
      <c r="R3052" s="37"/>
      <c r="S3052" s="37"/>
      <c r="T3052" s="91"/>
      <c r="U3052" s="91"/>
      <c r="V3052" s="41"/>
      <c r="W3052" s="37"/>
      <c r="X3052" s="37"/>
      <c r="Y3052" s="43"/>
      <c r="Z3052" s="37"/>
      <c r="AA3052" s="37"/>
      <c r="AD3052" s="37"/>
      <c r="AE3052" s="37"/>
      <c r="AF3052" s="37"/>
    </row>
    <row r="3053" spans="1:32" x14ac:dyDescent="0.25">
      <c r="A3053" s="37"/>
      <c r="B3053" s="37"/>
      <c r="C3053" s="37"/>
      <c r="F3053" s="38"/>
      <c r="G3053" s="38"/>
      <c r="H3053" s="38"/>
      <c r="I3053" s="37"/>
      <c r="J3053" s="38"/>
      <c r="K3053" s="38"/>
      <c r="L3053" s="42"/>
      <c r="M3053" s="42"/>
      <c r="N3053" s="42"/>
      <c r="O3053" s="42"/>
      <c r="R3053" s="37"/>
      <c r="S3053" s="37"/>
      <c r="T3053" s="91"/>
      <c r="U3053" s="91"/>
      <c r="V3053" s="41"/>
      <c r="W3053" s="37"/>
      <c r="X3053" s="37"/>
      <c r="Y3053" s="43"/>
      <c r="Z3053" s="37"/>
      <c r="AA3053" s="37"/>
      <c r="AD3053" s="37"/>
      <c r="AE3053" s="37"/>
      <c r="AF3053" s="37"/>
    </row>
    <row r="3054" spans="1:32" x14ac:dyDescent="0.25">
      <c r="A3054" s="37"/>
      <c r="B3054" s="37"/>
      <c r="C3054" s="37"/>
      <c r="F3054" s="38"/>
      <c r="G3054" s="38"/>
      <c r="H3054" s="38"/>
      <c r="I3054" s="37"/>
      <c r="J3054" s="38"/>
      <c r="K3054" s="38"/>
      <c r="L3054" s="42"/>
      <c r="M3054" s="42"/>
      <c r="N3054" s="42"/>
      <c r="O3054" s="42"/>
      <c r="R3054" s="37"/>
      <c r="S3054" s="37"/>
      <c r="T3054" s="91"/>
      <c r="U3054" s="91"/>
      <c r="V3054" s="41"/>
      <c r="W3054" s="37"/>
      <c r="X3054" s="37"/>
      <c r="Y3054" s="43"/>
      <c r="Z3054" s="37"/>
      <c r="AA3054" s="37"/>
      <c r="AD3054" s="37"/>
      <c r="AE3054" s="37"/>
      <c r="AF3054" s="37"/>
    </row>
    <row r="3055" spans="1:32" x14ac:dyDescent="0.25">
      <c r="A3055" s="37"/>
      <c r="B3055" s="37"/>
      <c r="C3055" s="37"/>
      <c r="F3055" s="38"/>
      <c r="G3055" s="38"/>
      <c r="H3055" s="38"/>
      <c r="I3055" s="37"/>
      <c r="J3055" s="38"/>
      <c r="K3055" s="38"/>
      <c r="L3055" s="42"/>
      <c r="M3055" s="42"/>
      <c r="N3055" s="42"/>
      <c r="O3055" s="42"/>
      <c r="R3055" s="37"/>
      <c r="S3055" s="37"/>
      <c r="T3055" s="91"/>
      <c r="U3055" s="91"/>
      <c r="V3055" s="41"/>
      <c r="W3055" s="37"/>
      <c r="X3055" s="37"/>
      <c r="Y3055" s="43"/>
      <c r="Z3055" s="37"/>
      <c r="AA3055" s="37"/>
      <c r="AD3055" s="37"/>
      <c r="AE3055" s="37"/>
      <c r="AF3055" s="37"/>
    </row>
    <row r="3056" spans="1:32" x14ac:dyDescent="0.25">
      <c r="A3056" s="37"/>
      <c r="B3056" s="37"/>
      <c r="C3056" s="37"/>
      <c r="F3056" s="38"/>
      <c r="G3056" s="38"/>
      <c r="H3056" s="38"/>
      <c r="I3056" s="37"/>
      <c r="J3056" s="38"/>
      <c r="K3056" s="38"/>
      <c r="L3056" s="42"/>
      <c r="M3056" s="42"/>
      <c r="N3056" s="42"/>
      <c r="O3056" s="42"/>
      <c r="R3056" s="37"/>
      <c r="S3056" s="37"/>
      <c r="T3056" s="91"/>
      <c r="U3056" s="91"/>
      <c r="V3056" s="41"/>
      <c r="W3056" s="37"/>
      <c r="X3056" s="37"/>
      <c r="Y3056" s="43"/>
      <c r="Z3056" s="37"/>
      <c r="AA3056" s="37"/>
      <c r="AD3056" s="37"/>
      <c r="AE3056" s="37"/>
      <c r="AF3056" s="37"/>
    </row>
    <row r="3057" spans="1:32" x14ac:dyDescent="0.25">
      <c r="A3057" s="37"/>
      <c r="B3057" s="37"/>
      <c r="C3057" s="37"/>
      <c r="F3057" s="38"/>
      <c r="G3057" s="38"/>
      <c r="H3057" s="38"/>
      <c r="I3057" s="37"/>
      <c r="J3057" s="38"/>
      <c r="K3057" s="38"/>
      <c r="L3057" s="42"/>
      <c r="M3057" s="42"/>
      <c r="N3057" s="42"/>
      <c r="O3057" s="42"/>
      <c r="R3057" s="37"/>
      <c r="S3057" s="37"/>
      <c r="T3057" s="91"/>
      <c r="U3057" s="91"/>
      <c r="V3057" s="41"/>
      <c r="W3057" s="37"/>
      <c r="X3057" s="37"/>
      <c r="Y3057" s="43"/>
      <c r="Z3057" s="37"/>
      <c r="AA3057" s="37"/>
      <c r="AD3057" s="37"/>
      <c r="AE3057" s="37"/>
      <c r="AF3057" s="37"/>
    </row>
    <row r="3058" spans="1:32" x14ac:dyDescent="0.25">
      <c r="A3058" s="37"/>
      <c r="B3058" s="37"/>
      <c r="C3058" s="37"/>
      <c r="F3058" s="38"/>
      <c r="G3058" s="38"/>
      <c r="H3058" s="38"/>
      <c r="I3058" s="37"/>
      <c r="J3058" s="38"/>
      <c r="K3058" s="38"/>
      <c r="L3058" s="42"/>
      <c r="M3058" s="42"/>
      <c r="N3058" s="42"/>
      <c r="O3058" s="42"/>
      <c r="R3058" s="37"/>
      <c r="S3058" s="37"/>
      <c r="T3058" s="91"/>
      <c r="U3058" s="91"/>
      <c r="V3058" s="41"/>
      <c r="W3058" s="37"/>
      <c r="X3058" s="37"/>
      <c r="Y3058" s="43"/>
      <c r="Z3058" s="37"/>
      <c r="AA3058" s="37"/>
      <c r="AD3058" s="37"/>
      <c r="AE3058" s="37"/>
      <c r="AF3058" s="37"/>
    </row>
    <row r="3059" spans="1:32" x14ac:dyDescent="0.25">
      <c r="A3059" s="37"/>
      <c r="B3059" s="37"/>
      <c r="C3059" s="37"/>
      <c r="F3059" s="38"/>
      <c r="G3059" s="38"/>
      <c r="H3059" s="38"/>
      <c r="I3059" s="37"/>
      <c r="J3059" s="38"/>
      <c r="K3059" s="38"/>
      <c r="L3059" s="42"/>
      <c r="M3059" s="42"/>
      <c r="N3059" s="42"/>
      <c r="O3059" s="42"/>
      <c r="R3059" s="37"/>
      <c r="S3059" s="37"/>
      <c r="T3059" s="91"/>
      <c r="U3059" s="91"/>
      <c r="V3059" s="41"/>
      <c r="W3059" s="37"/>
      <c r="X3059" s="37"/>
      <c r="Y3059" s="43"/>
      <c r="Z3059" s="37"/>
      <c r="AA3059" s="37"/>
      <c r="AD3059" s="37"/>
      <c r="AE3059" s="37"/>
      <c r="AF3059" s="37"/>
    </row>
    <row r="3060" spans="1:32" x14ac:dyDescent="0.25">
      <c r="A3060" s="37"/>
      <c r="B3060" s="37"/>
      <c r="C3060" s="37"/>
      <c r="F3060" s="38"/>
      <c r="G3060" s="38"/>
      <c r="H3060" s="38"/>
      <c r="I3060" s="37"/>
      <c r="J3060" s="38"/>
      <c r="K3060" s="38"/>
      <c r="L3060" s="42"/>
      <c r="M3060" s="42"/>
      <c r="N3060" s="42"/>
      <c r="O3060" s="42"/>
      <c r="R3060" s="37"/>
      <c r="S3060" s="37"/>
      <c r="T3060" s="91"/>
      <c r="U3060" s="91"/>
      <c r="V3060" s="41"/>
      <c r="W3060" s="37"/>
      <c r="X3060" s="37"/>
      <c r="Y3060" s="43"/>
      <c r="Z3060" s="37"/>
      <c r="AA3060" s="37"/>
      <c r="AD3060" s="37"/>
      <c r="AE3060" s="37"/>
      <c r="AF3060" s="37"/>
    </row>
    <row r="3061" spans="1:32" x14ac:dyDescent="0.25">
      <c r="A3061" s="37"/>
      <c r="B3061" s="37"/>
      <c r="C3061" s="37"/>
      <c r="F3061" s="38"/>
      <c r="G3061" s="38"/>
      <c r="H3061" s="38"/>
      <c r="I3061" s="37"/>
      <c r="J3061" s="38"/>
      <c r="K3061" s="38"/>
      <c r="L3061" s="42"/>
      <c r="M3061" s="42"/>
      <c r="N3061" s="42"/>
      <c r="O3061" s="42"/>
      <c r="R3061" s="37"/>
      <c r="S3061" s="37"/>
      <c r="T3061" s="91"/>
      <c r="U3061" s="91"/>
      <c r="V3061" s="41"/>
      <c r="W3061" s="37"/>
      <c r="X3061" s="37"/>
      <c r="Y3061" s="43"/>
      <c r="Z3061" s="37"/>
      <c r="AA3061" s="37"/>
      <c r="AD3061" s="37"/>
      <c r="AE3061" s="37"/>
      <c r="AF3061" s="37"/>
    </row>
    <row r="3062" spans="1:32" x14ac:dyDescent="0.25">
      <c r="A3062" s="37"/>
      <c r="B3062" s="37"/>
      <c r="C3062" s="37"/>
      <c r="F3062" s="38"/>
      <c r="G3062" s="38"/>
      <c r="H3062" s="38"/>
      <c r="I3062" s="37"/>
      <c r="J3062" s="38"/>
      <c r="K3062" s="38"/>
      <c r="L3062" s="42"/>
      <c r="M3062" s="42"/>
      <c r="N3062" s="42"/>
      <c r="O3062" s="42"/>
      <c r="R3062" s="37"/>
      <c r="S3062" s="37"/>
      <c r="T3062" s="91"/>
      <c r="U3062" s="91"/>
      <c r="V3062" s="41"/>
      <c r="W3062" s="37"/>
      <c r="X3062" s="37"/>
      <c r="Y3062" s="43"/>
      <c r="Z3062" s="37"/>
      <c r="AA3062" s="37"/>
      <c r="AD3062" s="37"/>
      <c r="AE3062" s="37"/>
      <c r="AF3062" s="37"/>
    </row>
    <row r="3063" spans="1:32" x14ac:dyDescent="0.25">
      <c r="A3063" s="37"/>
      <c r="B3063" s="37"/>
      <c r="C3063" s="37"/>
      <c r="F3063" s="38"/>
      <c r="G3063" s="38"/>
      <c r="H3063" s="38"/>
      <c r="I3063" s="37"/>
      <c r="J3063" s="38"/>
      <c r="K3063" s="38"/>
      <c r="L3063" s="42"/>
      <c r="M3063" s="42"/>
      <c r="N3063" s="42"/>
      <c r="O3063" s="42"/>
      <c r="R3063" s="37"/>
      <c r="S3063" s="37"/>
      <c r="T3063" s="91"/>
      <c r="U3063" s="91"/>
      <c r="V3063" s="41"/>
      <c r="W3063" s="37"/>
      <c r="X3063" s="37"/>
      <c r="Y3063" s="43"/>
      <c r="Z3063" s="37"/>
      <c r="AA3063" s="37"/>
      <c r="AD3063" s="37"/>
      <c r="AE3063" s="37"/>
      <c r="AF3063" s="37"/>
    </row>
    <row r="3064" spans="1:32" x14ac:dyDescent="0.25">
      <c r="A3064" s="37"/>
      <c r="B3064" s="37"/>
      <c r="C3064" s="37"/>
      <c r="F3064" s="38"/>
      <c r="G3064" s="38"/>
      <c r="H3064" s="38"/>
      <c r="I3064" s="37"/>
      <c r="J3064" s="38"/>
      <c r="K3064" s="38"/>
      <c r="L3064" s="42"/>
      <c r="M3064" s="42"/>
      <c r="N3064" s="42"/>
      <c r="O3064" s="42"/>
      <c r="R3064" s="37"/>
      <c r="S3064" s="37"/>
      <c r="T3064" s="91"/>
      <c r="U3064" s="91"/>
      <c r="V3064" s="41"/>
      <c r="W3064" s="37"/>
      <c r="X3064" s="37"/>
      <c r="Y3064" s="43"/>
      <c r="Z3064" s="37"/>
      <c r="AA3064" s="37"/>
      <c r="AD3064" s="37"/>
      <c r="AE3064" s="37"/>
      <c r="AF3064" s="37"/>
    </row>
    <row r="3065" spans="1:32" x14ac:dyDescent="0.25">
      <c r="A3065" s="37"/>
      <c r="B3065" s="37"/>
      <c r="C3065" s="37"/>
      <c r="F3065" s="38"/>
      <c r="G3065" s="38"/>
      <c r="H3065" s="38"/>
      <c r="I3065" s="37"/>
      <c r="J3065" s="38"/>
      <c r="K3065" s="38"/>
      <c r="L3065" s="42"/>
      <c r="M3065" s="42"/>
      <c r="N3065" s="42"/>
      <c r="O3065" s="42"/>
      <c r="R3065" s="37"/>
      <c r="S3065" s="37"/>
      <c r="T3065" s="91"/>
      <c r="U3065" s="91"/>
      <c r="V3065" s="41"/>
      <c r="W3065" s="37"/>
      <c r="X3065" s="37"/>
      <c r="Y3065" s="43"/>
      <c r="Z3065" s="37"/>
      <c r="AA3065" s="37"/>
      <c r="AD3065" s="37"/>
      <c r="AE3065" s="37"/>
      <c r="AF3065" s="37"/>
    </row>
    <row r="3066" spans="1:32" x14ac:dyDescent="0.25">
      <c r="A3066" s="37"/>
      <c r="B3066" s="37"/>
      <c r="C3066" s="37"/>
      <c r="F3066" s="38"/>
      <c r="G3066" s="38"/>
      <c r="H3066" s="38"/>
      <c r="I3066" s="37"/>
      <c r="J3066" s="38"/>
      <c r="K3066" s="38"/>
      <c r="L3066" s="42"/>
      <c r="M3066" s="42"/>
      <c r="N3066" s="42"/>
      <c r="O3066" s="42"/>
      <c r="R3066" s="37"/>
      <c r="S3066" s="37"/>
      <c r="T3066" s="91"/>
      <c r="U3066" s="91"/>
      <c r="V3066" s="41"/>
      <c r="W3066" s="37"/>
      <c r="X3066" s="37"/>
      <c r="Y3066" s="43"/>
      <c r="Z3066" s="37"/>
      <c r="AA3066" s="37"/>
      <c r="AD3066" s="37"/>
      <c r="AE3066" s="37"/>
      <c r="AF3066" s="37"/>
    </row>
    <row r="3067" spans="1:32" x14ac:dyDescent="0.25">
      <c r="A3067" s="37"/>
      <c r="B3067" s="37"/>
      <c r="C3067" s="37"/>
      <c r="F3067" s="38"/>
      <c r="G3067" s="38"/>
      <c r="H3067" s="38"/>
      <c r="I3067" s="37"/>
      <c r="J3067" s="38"/>
      <c r="K3067" s="38"/>
      <c r="L3067" s="42"/>
      <c r="M3067" s="42"/>
      <c r="N3067" s="42"/>
      <c r="O3067" s="42"/>
      <c r="R3067" s="37"/>
      <c r="S3067" s="37"/>
      <c r="T3067" s="91"/>
      <c r="U3067" s="91"/>
      <c r="V3067" s="41"/>
      <c r="W3067" s="37"/>
      <c r="X3067" s="37"/>
      <c r="Y3067" s="43"/>
      <c r="Z3067" s="37"/>
      <c r="AA3067" s="37"/>
      <c r="AD3067" s="37"/>
      <c r="AE3067" s="37"/>
      <c r="AF3067" s="37"/>
    </row>
    <row r="3068" spans="1:32" x14ac:dyDescent="0.25">
      <c r="A3068" s="37"/>
      <c r="B3068" s="37"/>
      <c r="C3068" s="37"/>
      <c r="F3068" s="38"/>
      <c r="G3068" s="38"/>
      <c r="H3068" s="38"/>
      <c r="I3068" s="37"/>
      <c r="J3068" s="38"/>
      <c r="K3068" s="38"/>
      <c r="L3068" s="42"/>
      <c r="M3068" s="42"/>
      <c r="N3068" s="42"/>
      <c r="O3068" s="42"/>
      <c r="R3068" s="37"/>
      <c r="S3068" s="37"/>
      <c r="T3068" s="91"/>
      <c r="U3068" s="91"/>
      <c r="V3068" s="41"/>
      <c r="W3068" s="37"/>
      <c r="X3068" s="37"/>
      <c r="Y3068" s="43"/>
      <c r="Z3068" s="37"/>
      <c r="AA3068" s="37"/>
      <c r="AD3068" s="37"/>
      <c r="AE3068" s="37"/>
      <c r="AF3068" s="37"/>
    </row>
    <row r="3069" spans="1:32" x14ac:dyDescent="0.25">
      <c r="A3069" s="37"/>
      <c r="B3069" s="37"/>
      <c r="C3069" s="37"/>
      <c r="F3069" s="38"/>
      <c r="G3069" s="38"/>
      <c r="H3069" s="38"/>
      <c r="I3069" s="37"/>
      <c r="J3069" s="38"/>
      <c r="K3069" s="38"/>
      <c r="L3069" s="42"/>
      <c r="M3069" s="42"/>
      <c r="N3069" s="42"/>
      <c r="O3069" s="42"/>
      <c r="R3069" s="37"/>
      <c r="S3069" s="37"/>
      <c r="T3069" s="91"/>
      <c r="U3069" s="91"/>
      <c r="V3069" s="41"/>
      <c r="W3069" s="37"/>
      <c r="X3069" s="37"/>
      <c r="Y3069" s="43"/>
      <c r="Z3069" s="37"/>
      <c r="AA3069" s="37"/>
      <c r="AD3069" s="37"/>
      <c r="AE3069" s="37"/>
      <c r="AF3069" s="37"/>
    </row>
    <row r="3070" spans="1:32" x14ac:dyDescent="0.25">
      <c r="A3070" s="37"/>
      <c r="B3070" s="37"/>
      <c r="C3070" s="37"/>
      <c r="F3070" s="38"/>
      <c r="G3070" s="38"/>
      <c r="H3070" s="38"/>
      <c r="I3070" s="37"/>
      <c r="J3070" s="38"/>
      <c r="K3070" s="38"/>
      <c r="L3070" s="42"/>
      <c r="M3070" s="42"/>
      <c r="N3070" s="42"/>
      <c r="O3070" s="42"/>
      <c r="R3070" s="37"/>
      <c r="S3070" s="37"/>
      <c r="T3070" s="91"/>
      <c r="U3070" s="91"/>
      <c r="V3070" s="41"/>
      <c r="W3070" s="37"/>
      <c r="X3070" s="37"/>
      <c r="Y3070" s="43"/>
      <c r="Z3070" s="37"/>
      <c r="AA3070" s="37"/>
      <c r="AD3070" s="37"/>
      <c r="AE3070" s="37"/>
      <c r="AF3070" s="37"/>
    </row>
    <row r="3071" spans="1:32" x14ac:dyDescent="0.25">
      <c r="A3071" s="37"/>
      <c r="B3071" s="37"/>
      <c r="C3071" s="37"/>
      <c r="F3071" s="38"/>
      <c r="G3071" s="38"/>
      <c r="H3071" s="38"/>
      <c r="I3071" s="37"/>
      <c r="J3071" s="38"/>
      <c r="K3071" s="38"/>
      <c r="L3071" s="42"/>
      <c r="M3071" s="42"/>
      <c r="N3071" s="42"/>
      <c r="O3071" s="42"/>
      <c r="R3071" s="37"/>
      <c r="S3071" s="37"/>
      <c r="T3071" s="91"/>
      <c r="U3071" s="91"/>
      <c r="V3071" s="41"/>
      <c r="W3071" s="37"/>
      <c r="X3071" s="37"/>
      <c r="Y3071" s="43"/>
      <c r="Z3071" s="37"/>
      <c r="AA3071" s="37"/>
      <c r="AD3071" s="37"/>
      <c r="AE3071" s="37"/>
      <c r="AF3071" s="37"/>
    </row>
    <row r="3072" spans="1:32" x14ac:dyDescent="0.25">
      <c r="A3072" s="37"/>
      <c r="B3072" s="37"/>
      <c r="C3072" s="37"/>
      <c r="F3072" s="38"/>
      <c r="G3072" s="38"/>
      <c r="H3072" s="38"/>
      <c r="I3072" s="37"/>
      <c r="J3072" s="38"/>
      <c r="K3072" s="38"/>
      <c r="L3072" s="42"/>
      <c r="M3072" s="42"/>
      <c r="N3072" s="42"/>
      <c r="O3072" s="42"/>
      <c r="R3072" s="37"/>
      <c r="S3072" s="37"/>
      <c r="T3072" s="91"/>
      <c r="U3072" s="91"/>
      <c r="V3072" s="41"/>
      <c r="W3072" s="37"/>
      <c r="X3072" s="37"/>
      <c r="Y3072" s="43"/>
      <c r="Z3072" s="37"/>
      <c r="AA3072" s="37"/>
      <c r="AD3072" s="37"/>
      <c r="AE3072" s="37"/>
      <c r="AF3072" s="37"/>
    </row>
    <row r="3073" spans="1:32" x14ac:dyDescent="0.25">
      <c r="A3073" s="37"/>
      <c r="B3073" s="37"/>
      <c r="C3073" s="37"/>
      <c r="F3073" s="38"/>
      <c r="G3073" s="38"/>
      <c r="H3073" s="38"/>
      <c r="I3073" s="37"/>
      <c r="J3073" s="38"/>
      <c r="K3073" s="38"/>
      <c r="L3073" s="42"/>
      <c r="M3073" s="42"/>
      <c r="N3073" s="42"/>
      <c r="O3073" s="42"/>
      <c r="R3073" s="37"/>
      <c r="S3073" s="37"/>
      <c r="T3073" s="91"/>
      <c r="U3073" s="91"/>
      <c r="V3073" s="41"/>
      <c r="W3073" s="37"/>
      <c r="X3073" s="37"/>
      <c r="Y3073" s="43"/>
      <c r="Z3073" s="37"/>
      <c r="AA3073" s="37"/>
      <c r="AD3073" s="37"/>
      <c r="AE3073" s="37"/>
      <c r="AF3073" s="37"/>
    </row>
    <row r="3074" spans="1:32" x14ac:dyDescent="0.25">
      <c r="A3074" s="37"/>
      <c r="B3074" s="37"/>
      <c r="C3074" s="37"/>
      <c r="F3074" s="38"/>
      <c r="G3074" s="38"/>
      <c r="H3074" s="38"/>
      <c r="I3074" s="37"/>
      <c r="J3074" s="38"/>
      <c r="K3074" s="38"/>
      <c r="L3074" s="42"/>
      <c r="M3074" s="42"/>
      <c r="N3074" s="42"/>
      <c r="O3074" s="42"/>
      <c r="R3074" s="37"/>
      <c r="S3074" s="37"/>
      <c r="T3074" s="91"/>
      <c r="U3074" s="91"/>
      <c r="V3074" s="41"/>
      <c r="W3074" s="37"/>
      <c r="X3074" s="37"/>
      <c r="Y3074" s="43"/>
      <c r="Z3074" s="37"/>
      <c r="AA3074" s="37"/>
      <c r="AD3074" s="37"/>
      <c r="AE3074" s="37"/>
      <c r="AF3074" s="37"/>
    </row>
    <row r="3075" spans="1:32" x14ac:dyDescent="0.25">
      <c r="A3075" s="37"/>
      <c r="B3075" s="37"/>
      <c r="C3075" s="37"/>
      <c r="F3075" s="38"/>
      <c r="G3075" s="38"/>
      <c r="H3075" s="38"/>
      <c r="I3075" s="37"/>
      <c r="J3075" s="38"/>
      <c r="K3075" s="38"/>
      <c r="L3075" s="42"/>
      <c r="M3075" s="42"/>
      <c r="N3075" s="42"/>
      <c r="O3075" s="42"/>
      <c r="R3075" s="37"/>
      <c r="S3075" s="37"/>
      <c r="T3075" s="91"/>
      <c r="U3075" s="91"/>
      <c r="V3075" s="41"/>
      <c r="W3075" s="37"/>
      <c r="X3075" s="37"/>
      <c r="Y3075" s="43"/>
      <c r="Z3075" s="37"/>
      <c r="AA3075" s="37"/>
      <c r="AD3075" s="37"/>
      <c r="AE3075" s="37"/>
      <c r="AF3075" s="37"/>
    </row>
    <row r="3076" spans="1:32" x14ac:dyDescent="0.25">
      <c r="A3076" s="37"/>
      <c r="B3076" s="37"/>
      <c r="C3076" s="37"/>
      <c r="F3076" s="38"/>
      <c r="G3076" s="38"/>
      <c r="H3076" s="38"/>
      <c r="I3076" s="37"/>
      <c r="J3076" s="38"/>
      <c r="K3076" s="38"/>
      <c r="L3076" s="42"/>
      <c r="M3076" s="42"/>
      <c r="N3076" s="42"/>
      <c r="O3076" s="42"/>
      <c r="R3076" s="37"/>
      <c r="S3076" s="37"/>
      <c r="T3076" s="91"/>
      <c r="U3076" s="91"/>
      <c r="V3076" s="41"/>
      <c r="W3076" s="37"/>
      <c r="X3076" s="37"/>
      <c r="Y3076" s="43"/>
      <c r="Z3076" s="37"/>
      <c r="AA3076" s="37"/>
      <c r="AD3076" s="37"/>
      <c r="AE3076" s="37"/>
      <c r="AF3076" s="37"/>
    </row>
    <row r="3077" spans="1:32" x14ac:dyDescent="0.25">
      <c r="A3077" s="37"/>
      <c r="B3077" s="37"/>
      <c r="C3077" s="37"/>
      <c r="F3077" s="38"/>
      <c r="G3077" s="38"/>
      <c r="H3077" s="38"/>
      <c r="I3077" s="37"/>
      <c r="J3077" s="38"/>
      <c r="K3077" s="38"/>
      <c r="L3077" s="42"/>
      <c r="M3077" s="42"/>
      <c r="N3077" s="42"/>
      <c r="O3077" s="42"/>
      <c r="R3077" s="37"/>
      <c r="S3077" s="37"/>
      <c r="T3077" s="91"/>
      <c r="U3077" s="91"/>
      <c r="V3077" s="41"/>
      <c r="W3077" s="37"/>
      <c r="X3077" s="37"/>
      <c r="Y3077" s="43"/>
      <c r="Z3077" s="37"/>
      <c r="AA3077" s="37"/>
      <c r="AD3077" s="37"/>
      <c r="AE3077" s="37"/>
      <c r="AF3077" s="37"/>
    </row>
    <row r="3078" spans="1:32" x14ac:dyDescent="0.25">
      <c r="A3078" s="37"/>
      <c r="B3078" s="37"/>
      <c r="C3078" s="37"/>
      <c r="F3078" s="38"/>
      <c r="G3078" s="38"/>
      <c r="H3078" s="38"/>
      <c r="I3078" s="37"/>
      <c r="J3078" s="38"/>
      <c r="K3078" s="38"/>
      <c r="L3078" s="42"/>
      <c r="M3078" s="42"/>
      <c r="N3078" s="42"/>
      <c r="O3078" s="42"/>
      <c r="R3078" s="37"/>
      <c r="S3078" s="37"/>
      <c r="T3078" s="91"/>
      <c r="U3078" s="91"/>
      <c r="V3078" s="41"/>
      <c r="W3078" s="37"/>
      <c r="X3078" s="37"/>
      <c r="Y3078" s="43"/>
      <c r="Z3078" s="37"/>
      <c r="AA3078" s="37"/>
      <c r="AD3078" s="37"/>
      <c r="AE3078" s="37"/>
      <c r="AF3078" s="37"/>
    </row>
    <row r="3079" spans="1:32" x14ac:dyDescent="0.25">
      <c r="A3079" s="37"/>
      <c r="B3079" s="37"/>
      <c r="C3079" s="37"/>
      <c r="F3079" s="38"/>
      <c r="G3079" s="38"/>
      <c r="H3079" s="38"/>
      <c r="I3079" s="37"/>
      <c r="J3079" s="38"/>
      <c r="K3079" s="38"/>
      <c r="L3079" s="42"/>
      <c r="M3079" s="42"/>
      <c r="N3079" s="42"/>
      <c r="O3079" s="42"/>
      <c r="R3079" s="37"/>
      <c r="S3079" s="37"/>
      <c r="T3079" s="91"/>
      <c r="U3079" s="91"/>
      <c r="V3079" s="41"/>
      <c r="W3079" s="37"/>
      <c r="X3079" s="37"/>
      <c r="Y3079" s="43"/>
      <c r="Z3079" s="37"/>
      <c r="AA3079" s="37"/>
      <c r="AD3079" s="37"/>
      <c r="AE3079" s="37"/>
      <c r="AF3079" s="37"/>
    </row>
    <row r="3080" spans="1:32" x14ac:dyDescent="0.25">
      <c r="A3080" s="37"/>
      <c r="B3080" s="37"/>
      <c r="C3080" s="37"/>
      <c r="F3080" s="38"/>
      <c r="G3080" s="38"/>
      <c r="H3080" s="38"/>
      <c r="I3080" s="37"/>
      <c r="J3080" s="38"/>
      <c r="K3080" s="38"/>
      <c r="L3080" s="42"/>
      <c r="M3080" s="42"/>
      <c r="N3080" s="42"/>
      <c r="O3080" s="42"/>
      <c r="R3080" s="37"/>
      <c r="S3080" s="37"/>
      <c r="T3080" s="91"/>
      <c r="U3080" s="91"/>
      <c r="V3080" s="41"/>
      <c r="W3080" s="37"/>
      <c r="X3080" s="37"/>
      <c r="Y3080" s="43"/>
      <c r="Z3080" s="37"/>
      <c r="AA3080" s="37"/>
      <c r="AD3080" s="37"/>
      <c r="AE3080" s="37"/>
      <c r="AF3080" s="37"/>
    </row>
    <row r="3081" spans="1:32" x14ac:dyDescent="0.25">
      <c r="A3081" s="37"/>
      <c r="B3081" s="37"/>
      <c r="C3081" s="37"/>
      <c r="F3081" s="38"/>
      <c r="G3081" s="38"/>
      <c r="H3081" s="38"/>
      <c r="I3081" s="37"/>
      <c r="J3081" s="38"/>
      <c r="K3081" s="38"/>
      <c r="L3081" s="42"/>
      <c r="M3081" s="42"/>
      <c r="N3081" s="42"/>
      <c r="O3081" s="42"/>
      <c r="R3081" s="37"/>
      <c r="S3081" s="37"/>
      <c r="T3081" s="91"/>
      <c r="U3081" s="91"/>
      <c r="V3081" s="41"/>
      <c r="W3081" s="37"/>
      <c r="X3081" s="37"/>
      <c r="Y3081" s="43"/>
      <c r="Z3081" s="37"/>
      <c r="AA3081" s="37"/>
      <c r="AD3081" s="37"/>
      <c r="AE3081" s="37"/>
      <c r="AF3081" s="37"/>
    </row>
    <row r="3082" spans="1:32" x14ac:dyDescent="0.25">
      <c r="A3082" s="37"/>
      <c r="B3082" s="37"/>
      <c r="C3082" s="37"/>
      <c r="F3082" s="38"/>
      <c r="G3082" s="38"/>
      <c r="H3082" s="38"/>
      <c r="I3082" s="37"/>
      <c r="J3082" s="38"/>
      <c r="K3082" s="38"/>
      <c r="L3082" s="42"/>
      <c r="M3082" s="42"/>
      <c r="N3082" s="42"/>
      <c r="O3082" s="42"/>
      <c r="R3082" s="37"/>
      <c r="S3082" s="37"/>
      <c r="T3082" s="91"/>
      <c r="U3082" s="91"/>
      <c r="V3082" s="41"/>
      <c r="W3082" s="37"/>
      <c r="X3082" s="37"/>
      <c r="Y3082" s="43"/>
      <c r="Z3082" s="37"/>
      <c r="AA3082" s="37"/>
      <c r="AD3082" s="37"/>
      <c r="AE3082" s="37"/>
      <c r="AF3082" s="37"/>
    </row>
    <row r="3083" spans="1:32" x14ac:dyDescent="0.25">
      <c r="A3083" s="37"/>
      <c r="B3083" s="37"/>
      <c r="C3083" s="37"/>
      <c r="F3083" s="38"/>
      <c r="G3083" s="38"/>
      <c r="H3083" s="38"/>
      <c r="I3083" s="37"/>
      <c r="J3083" s="38"/>
      <c r="K3083" s="38"/>
      <c r="L3083" s="42"/>
      <c r="M3083" s="42"/>
      <c r="N3083" s="42"/>
      <c r="O3083" s="42"/>
      <c r="R3083" s="37"/>
      <c r="S3083" s="37"/>
      <c r="T3083" s="91"/>
      <c r="U3083" s="91"/>
      <c r="V3083" s="41"/>
      <c r="W3083" s="37"/>
      <c r="X3083" s="37"/>
      <c r="Y3083" s="43"/>
      <c r="Z3083" s="37"/>
      <c r="AA3083" s="37"/>
      <c r="AD3083" s="37"/>
      <c r="AE3083" s="37"/>
      <c r="AF3083" s="37"/>
    </row>
    <row r="3084" spans="1:32" x14ac:dyDescent="0.25">
      <c r="A3084" s="37"/>
      <c r="B3084" s="37"/>
      <c r="C3084" s="37"/>
      <c r="F3084" s="38"/>
      <c r="G3084" s="38"/>
      <c r="H3084" s="38"/>
      <c r="I3084" s="37"/>
      <c r="J3084" s="38"/>
      <c r="K3084" s="38"/>
      <c r="L3084" s="42"/>
      <c r="M3084" s="42"/>
      <c r="N3084" s="42"/>
      <c r="O3084" s="42"/>
      <c r="R3084" s="37"/>
      <c r="S3084" s="37"/>
      <c r="T3084" s="91"/>
      <c r="U3084" s="91"/>
      <c r="V3084" s="41"/>
      <c r="W3084" s="37"/>
      <c r="X3084" s="37"/>
      <c r="Y3084" s="43"/>
      <c r="Z3084" s="37"/>
      <c r="AA3084" s="37"/>
      <c r="AD3084" s="37"/>
      <c r="AE3084" s="37"/>
      <c r="AF3084" s="37"/>
    </row>
    <row r="3085" spans="1:32" x14ac:dyDescent="0.25">
      <c r="A3085" s="37"/>
      <c r="B3085" s="37"/>
      <c r="C3085" s="37"/>
      <c r="F3085" s="38"/>
      <c r="G3085" s="38"/>
      <c r="H3085" s="38"/>
      <c r="I3085" s="37"/>
      <c r="J3085" s="38"/>
      <c r="K3085" s="38"/>
      <c r="L3085" s="42"/>
      <c r="M3085" s="42"/>
      <c r="N3085" s="42"/>
      <c r="O3085" s="42"/>
      <c r="R3085" s="37"/>
      <c r="S3085" s="37"/>
      <c r="T3085" s="91"/>
      <c r="U3085" s="91"/>
      <c r="V3085" s="41"/>
      <c r="W3085" s="37"/>
      <c r="X3085" s="37"/>
      <c r="Y3085" s="43"/>
      <c r="Z3085" s="37"/>
      <c r="AA3085" s="37"/>
      <c r="AD3085" s="37"/>
      <c r="AE3085" s="37"/>
      <c r="AF3085" s="37"/>
    </row>
    <row r="3086" spans="1:32" x14ac:dyDescent="0.25">
      <c r="A3086" s="37"/>
      <c r="B3086" s="37"/>
      <c r="C3086" s="37"/>
      <c r="F3086" s="38"/>
      <c r="G3086" s="38"/>
      <c r="H3086" s="38"/>
      <c r="I3086" s="37"/>
      <c r="J3086" s="38"/>
      <c r="K3086" s="38"/>
      <c r="L3086" s="42"/>
      <c r="M3086" s="42"/>
      <c r="N3086" s="42"/>
      <c r="O3086" s="42"/>
      <c r="R3086" s="37"/>
      <c r="S3086" s="37"/>
      <c r="T3086" s="91"/>
      <c r="U3086" s="91"/>
      <c r="V3086" s="41"/>
      <c r="W3086" s="37"/>
      <c r="X3086" s="37"/>
      <c r="Y3086" s="43"/>
      <c r="Z3086" s="37"/>
      <c r="AA3086" s="37"/>
      <c r="AD3086" s="37"/>
      <c r="AE3086" s="37"/>
      <c r="AF3086" s="37"/>
    </row>
    <row r="3087" spans="1:32" x14ac:dyDescent="0.25">
      <c r="A3087" s="37"/>
      <c r="B3087" s="37"/>
      <c r="C3087" s="37"/>
      <c r="F3087" s="38"/>
      <c r="G3087" s="38"/>
      <c r="H3087" s="38"/>
      <c r="I3087" s="37"/>
      <c r="J3087" s="38"/>
      <c r="K3087" s="38"/>
      <c r="L3087" s="42"/>
      <c r="M3087" s="42"/>
      <c r="N3087" s="42"/>
      <c r="O3087" s="42"/>
      <c r="R3087" s="37"/>
      <c r="S3087" s="37"/>
      <c r="T3087" s="91"/>
      <c r="U3087" s="91"/>
      <c r="V3087" s="41"/>
      <c r="W3087" s="37"/>
      <c r="X3087" s="37"/>
      <c r="Y3087" s="43"/>
      <c r="Z3087" s="37"/>
      <c r="AA3087" s="37"/>
      <c r="AD3087" s="37"/>
      <c r="AE3087" s="37"/>
      <c r="AF3087" s="37"/>
    </row>
    <row r="3088" spans="1:32" x14ac:dyDescent="0.25">
      <c r="A3088" s="37"/>
      <c r="B3088" s="37"/>
      <c r="C3088" s="37"/>
      <c r="F3088" s="38"/>
      <c r="G3088" s="38"/>
      <c r="H3088" s="38"/>
      <c r="I3088" s="37"/>
      <c r="J3088" s="38"/>
      <c r="K3088" s="38"/>
      <c r="L3088" s="42"/>
      <c r="M3088" s="42"/>
      <c r="N3088" s="42"/>
      <c r="O3088" s="42"/>
      <c r="R3088" s="37"/>
      <c r="S3088" s="37"/>
      <c r="T3088" s="91"/>
      <c r="U3088" s="91"/>
      <c r="V3088" s="41"/>
      <c r="W3088" s="37"/>
      <c r="X3088" s="37"/>
      <c r="Y3088" s="43"/>
      <c r="Z3088" s="37"/>
      <c r="AA3088" s="37"/>
      <c r="AD3088" s="37"/>
      <c r="AE3088" s="37"/>
      <c r="AF3088" s="37"/>
    </row>
    <row r="3089" spans="1:32" x14ac:dyDescent="0.25">
      <c r="A3089" s="37"/>
      <c r="B3089" s="37"/>
      <c r="C3089" s="37"/>
      <c r="F3089" s="38"/>
      <c r="G3089" s="38"/>
      <c r="H3089" s="38"/>
      <c r="I3089" s="37"/>
      <c r="J3089" s="38"/>
      <c r="K3089" s="38"/>
      <c r="L3089" s="42"/>
      <c r="M3089" s="42"/>
      <c r="N3089" s="42"/>
      <c r="O3089" s="42"/>
      <c r="R3089" s="37"/>
      <c r="S3089" s="37"/>
      <c r="T3089" s="91"/>
      <c r="U3089" s="91"/>
      <c r="V3089" s="41"/>
      <c r="W3089" s="37"/>
      <c r="X3089" s="37"/>
      <c r="Y3089" s="43"/>
      <c r="Z3089" s="37"/>
      <c r="AA3089" s="37"/>
      <c r="AD3089" s="37"/>
      <c r="AE3089" s="37"/>
      <c r="AF3089" s="37"/>
    </row>
    <row r="3090" spans="1:32" x14ac:dyDescent="0.25">
      <c r="A3090" s="37"/>
      <c r="B3090" s="37"/>
      <c r="C3090" s="37"/>
      <c r="F3090" s="38"/>
      <c r="G3090" s="38"/>
      <c r="H3090" s="38"/>
      <c r="I3090" s="37"/>
      <c r="J3090" s="38"/>
      <c r="K3090" s="38"/>
      <c r="L3090" s="42"/>
      <c r="M3090" s="42"/>
      <c r="N3090" s="42"/>
      <c r="O3090" s="42"/>
      <c r="R3090" s="37"/>
      <c r="S3090" s="37"/>
      <c r="T3090" s="91"/>
      <c r="U3090" s="91"/>
      <c r="V3090" s="41"/>
      <c r="W3090" s="37"/>
      <c r="X3090" s="37"/>
      <c r="Y3090" s="43"/>
      <c r="Z3090" s="37"/>
      <c r="AA3090" s="37"/>
      <c r="AD3090" s="37"/>
      <c r="AE3090" s="37"/>
      <c r="AF3090" s="37"/>
    </row>
    <row r="3091" spans="1:32" x14ac:dyDescent="0.25">
      <c r="A3091" s="37"/>
      <c r="B3091" s="37"/>
      <c r="C3091" s="37"/>
      <c r="F3091" s="38"/>
      <c r="G3091" s="38"/>
      <c r="H3091" s="38"/>
      <c r="I3091" s="37"/>
      <c r="J3091" s="38"/>
      <c r="K3091" s="38"/>
      <c r="L3091" s="42"/>
      <c r="M3091" s="42"/>
      <c r="N3091" s="42"/>
      <c r="O3091" s="42"/>
      <c r="R3091" s="37"/>
      <c r="S3091" s="37"/>
      <c r="T3091" s="91"/>
      <c r="U3091" s="91"/>
      <c r="V3091" s="41"/>
      <c r="W3091" s="37"/>
      <c r="X3091" s="37"/>
      <c r="Y3091" s="43"/>
      <c r="Z3091" s="37"/>
      <c r="AA3091" s="37"/>
      <c r="AD3091" s="37"/>
      <c r="AE3091" s="37"/>
      <c r="AF3091" s="37"/>
    </row>
    <row r="3092" spans="1:32" x14ac:dyDescent="0.25">
      <c r="A3092" s="37"/>
      <c r="B3092" s="37"/>
      <c r="C3092" s="37"/>
      <c r="F3092" s="38"/>
      <c r="G3092" s="38"/>
      <c r="H3092" s="38"/>
      <c r="I3092" s="37"/>
      <c r="J3092" s="38"/>
      <c r="K3092" s="38"/>
      <c r="L3092" s="42"/>
      <c r="M3092" s="42"/>
      <c r="N3092" s="42"/>
      <c r="O3092" s="42"/>
      <c r="R3092" s="37"/>
      <c r="S3092" s="37"/>
      <c r="T3092" s="91"/>
      <c r="U3092" s="91"/>
      <c r="V3092" s="41"/>
      <c r="W3092" s="37"/>
      <c r="X3092" s="37"/>
      <c r="Y3092" s="43"/>
      <c r="Z3092" s="37"/>
      <c r="AA3092" s="37"/>
      <c r="AD3092" s="37"/>
      <c r="AE3092" s="37"/>
      <c r="AF3092" s="37"/>
    </row>
    <row r="3093" spans="1:32" x14ac:dyDescent="0.25">
      <c r="A3093" s="37"/>
      <c r="B3093" s="37"/>
      <c r="C3093" s="37"/>
      <c r="F3093" s="38"/>
      <c r="G3093" s="38"/>
      <c r="H3093" s="38"/>
      <c r="I3093" s="37"/>
      <c r="J3093" s="38"/>
      <c r="K3093" s="38"/>
      <c r="L3093" s="42"/>
      <c r="M3093" s="42"/>
      <c r="N3093" s="42"/>
      <c r="O3093" s="42"/>
      <c r="R3093" s="37"/>
      <c r="S3093" s="37"/>
      <c r="T3093" s="91"/>
      <c r="U3093" s="91"/>
      <c r="V3093" s="41"/>
      <c r="W3093" s="37"/>
      <c r="X3093" s="37"/>
      <c r="Y3093" s="43"/>
      <c r="Z3093" s="37"/>
      <c r="AA3093" s="37"/>
      <c r="AD3093" s="37"/>
      <c r="AE3093" s="37"/>
      <c r="AF3093" s="37"/>
    </row>
    <row r="3094" spans="1:32" x14ac:dyDescent="0.25">
      <c r="A3094" s="37"/>
      <c r="B3094" s="37"/>
      <c r="C3094" s="37"/>
      <c r="F3094" s="38"/>
      <c r="G3094" s="38"/>
      <c r="H3094" s="38"/>
      <c r="I3094" s="37"/>
      <c r="J3094" s="38"/>
      <c r="K3094" s="38"/>
      <c r="L3094" s="42"/>
      <c r="M3094" s="42"/>
      <c r="N3094" s="42"/>
      <c r="O3094" s="42"/>
      <c r="R3094" s="37"/>
      <c r="S3094" s="37"/>
      <c r="T3094" s="91"/>
      <c r="U3094" s="91"/>
      <c r="V3094" s="41"/>
      <c r="W3094" s="37"/>
      <c r="X3094" s="37"/>
      <c r="Y3094" s="43"/>
      <c r="Z3094" s="37"/>
      <c r="AA3094" s="37"/>
      <c r="AD3094" s="37"/>
      <c r="AE3094" s="37"/>
      <c r="AF3094" s="37"/>
    </row>
    <row r="3095" spans="1:32" x14ac:dyDescent="0.25">
      <c r="A3095" s="37"/>
      <c r="B3095" s="37"/>
      <c r="C3095" s="37"/>
      <c r="F3095" s="38"/>
      <c r="G3095" s="38"/>
      <c r="H3095" s="38"/>
      <c r="I3095" s="37"/>
      <c r="J3095" s="38"/>
      <c r="K3095" s="38"/>
      <c r="L3095" s="42"/>
      <c r="M3095" s="42"/>
      <c r="N3095" s="42"/>
      <c r="O3095" s="42"/>
      <c r="R3095" s="37"/>
      <c r="S3095" s="37"/>
      <c r="T3095" s="91"/>
      <c r="U3095" s="91"/>
      <c r="V3095" s="41"/>
      <c r="W3095" s="37"/>
      <c r="X3095" s="37"/>
      <c r="Y3095" s="43"/>
      <c r="Z3095" s="37"/>
      <c r="AA3095" s="37"/>
      <c r="AD3095" s="37"/>
      <c r="AE3095" s="37"/>
      <c r="AF3095" s="37"/>
    </row>
    <row r="3096" spans="1:32" x14ac:dyDescent="0.25">
      <c r="A3096" s="37"/>
      <c r="B3096" s="37"/>
      <c r="C3096" s="37"/>
      <c r="F3096" s="38"/>
      <c r="G3096" s="38"/>
      <c r="H3096" s="38"/>
      <c r="I3096" s="37"/>
      <c r="J3096" s="38"/>
      <c r="K3096" s="38"/>
      <c r="L3096" s="42"/>
      <c r="M3096" s="42"/>
      <c r="N3096" s="42"/>
      <c r="O3096" s="42"/>
      <c r="R3096" s="37"/>
      <c r="S3096" s="37"/>
      <c r="T3096" s="91"/>
      <c r="U3096" s="91"/>
      <c r="V3096" s="41"/>
      <c r="W3096" s="37"/>
      <c r="X3096" s="37"/>
      <c r="Y3096" s="43"/>
      <c r="Z3096" s="37"/>
      <c r="AA3096" s="37"/>
      <c r="AD3096" s="37"/>
      <c r="AE3096" s="37"/>
      <c r="AF3096" s="37"/>
    </row>
    <row r="3097" spans="1:32" x14ac:dyDescent="0.25">
      <c r="A3097" s="37"/>
      <c r="B3097" s="37"/>
      <c r="C3097" s="37"/>
      <c r="F3097" s="38"/>
      <c r="G3097" s="38"/>
      <c r="H3097" s="38"/>
      <c r="I3097" s="37"/>
      <c r="J3097" s="38"/>
      <c r="K3097" s="38"/>
      <c r="L3097" s="42"/>
      <c r="M3097" s="42"/>
      <c r="N3097" s="42"/>
      <c r="O3097" s="42"/>
      <c r="R3097" s="37"/>
      <c r="S3097" s="37"/>
      <c r="T3097" s="91"/>
      <c r="U3097" s="91"/>
      <c r="V3097" s="41"/>
      <c r="W3097" s="37"/>
      <c r="X3097" s="37"/>
      <c r="Y3097" s="43"/>
      <c r="Z3097" s="37"/>
      <c r="AA3097" s="37"/>
      <c r="AD3097" s="37"/>
      <c r="AE3097" s="37"/>
      <c r="AF3097" s="37"/>
    </row>
    <row r="3098" spans="1:32" x14ac:dyDescent="0.25">
      <c r="A3098" s="37"/>
      <c r="B3098" s="37"/>
      <c r="C3098" s="37"/>
      <c r="F3098" s="38"/>
      <c r="G3098" s="38"/>
      <c r="H3098" s="38"/>
      <c r="I3098" s="37"/>
      <c r="J3098" s="38"/>
      <c r="K3098" s="38"/>
      <c r="L3098" s="42"/>
      <c r="M3098" s="42"/>
      <c r="N3098" s="42"/>
      <c r="O3098" s="42"/>
      <c r="R3098" s="37"/>
      <c r="S3098" s="37"/>
      <c r="T3098" s="91"/>
      <c r="U3098" s="91"/>
      <c r="V3098" s="41"/>
      <c r="W3098" s="37"/>
      <c r="X3098" s="37"/>
      <c r="Y3098" s="43"/>
      <c r="Z3098" s="37"/>
      <c r="AA3098" s="37"/>
      <c r="AD3098" s="37"/>
      <c r="AE3098" s="37"/>
      <c r="AF3098" s="37"/>
    </row>
    <row r="3099" spans="1:32" x14ac:dyDescent="0.25">
      <c r="A3099" s="37"/>
      <c r="B3099" s="37"/>
      <c r="C3099" s="37"/>
      <c r="F3099" s="38"/>
      <c r="G3099" s="38"/>
      <c r="H3099" s="38"/>
      <c r="I3099" s="37"/>
      <c r="J3099" s="38"/>
      <c r="K3099" s="38"/>
      <c r="L3099" s="42"/>
      <c r="M3099" s="42"/>
      <c r="N3099" s="42"/>
      <c r="O3099" s="42"/>
      <c r="R3099" s="37"/>
      <c r="S3099" s="37"/>
      <c r="T3099" s="91"/>
      <c r="U3099" s="91"/>
      <c r="V3099" s="41"/>
      <c r="W3099" s="37"/>
      <c r="X3099" s="37"/>
      <c r="Y3099" s="43"/>
      <c r="Z3099" s="37"/>
      <c r="AA3099" s="37"/>
      <c r="AD3099" s="37"/>
      <c r="AE3099" s="37"/>
      <c r="AF3099" s="37"/>
    </row>
    <row r="3100" spans="1:32" x14ac:dyDescent="0.25">
      <c r="A3100" s="37"/>
      <c r="B3100" s="37"/>
      <c r="C3100" s="37"/>
      <c r="F3100" s="38"/>
      <c r="G3100" s="38"/>
      <c r="H3100" s="38"/>
      <c r="I3100" s="37"/>
      <c r="J3100" s="38"/>
      <c r="K3100" s="38"/>
      <c r="L3100" s="42"/>
      <c r="M3100" s="42"/>
      <c r="N3100" s="42"/>
      <c r="O3100" s="42"/>
      <c r="R3100" s="37"/>
      <c r="S3100" s="37"/>
      <c r="T3100" s="91"/>
      <c r="U3100" s="91"/>
      <c r="V3100" s="41"/>
      <c r="W3100" s="37"/>
      <c r="X3100" s="37"/>
      <c r="Y3100" s="43"/>
      <c r="Z3100" s="37"/>
      <c r="AA3100" s="37"/>
      <c r="AD3100" s="37"/>
      <c r="AE3100" s="37"/>
      <c r="AF3100" s="37"/>
    </row>
    <row r="3101" spans="1:32" x14ac:dyDescent="0.25">
      <c r="A3101" s="37"/>
      <c r="B3101" s="37"/>
      <c r="C3101" s="37"/>
      <c r="F3101" s="38"/>
      <c r="G3101" s="38"/>
      <c r="H3101" s="38"/>
      <c r="I3101" s="37"/>
      <c r="J3101" s="38"/>
      <c r="K3101" s="38"/>
      <c r="L3101" s="42"/>
      <c r="M3101" s="42"/>
      <c r="N3101" s="42"/>
      <c r="O3101" s="42"/>
      <c r="R3101" s="37"/>
      <c r="S3101" s="37"/>
      <c r="T3101" s="91"/>
      <c r="U3101" s="91"/>
      <c r="V3101" s="41"/>
      <c r="W3101" s="37"/>
      <c r="X3101" s="37"/>
      <c r="Y3101" s="43"/>
      <c r="Z3101" s="37"/>
      <c r="AA3101" s="37"/>
      <c r="AD3101" s="37"/>
      <c r="AE3101" s="37"/>
      <c r="AF3101" s="37"/>
    </row>
    <row r="3102" spans="1:32" x14ac:dyDescent="0.25">
      <c r="A3102" s="37"/>
      <c r="B3102" s="37"/>
      <c r="C3102" s="37"/>
      <c r="F3102" s="38"/>
      <c r="G3102" s="38"/>
      <c r="H3102" s="38"/>
      <c r="I3102" s="37"/>
      <c r="J3102" s="38"/>
      <c r="K3102" s="38"/>
      <c r="L3102" s="42"/>
      <c r="M3102" s="42"/>
      <c r="N3102" s="42"/>
      <c r="O3102" s="42"/>
      <c r="R3102" s="37"/>
      <c r="S3102" s="37"/>
      <c r="T3102" s="91"/>
      <c r="U3102" s="91"/>
      <c r="V3102" s="41"/>
      <c r="W3102" s="37"/>
      <c r="X3102" s="37"/>
      <c r="Y3102" s="43"/>
      <c r="Z3102" s="37"/>
      <c r="AA3102" s="37"/>
      <c r="AD3102" s="37"/>
      <c r="AE3102" s="37"/>
      <c r="AF3102" s="37"/>
    </row>
    <row r="3103" spans="1:32" x14ac:dyDescent="0.25">
      <c r="A3103" s="37"/>
      <c r="B3103" s="37"/>
      <c r="C3103" s="37"/>
      <c r="F3103" s="38"/>
      <c r="G3103" s="38"/>
      <c r="H3103" s="38"/>
      <c r="I3103" s="37"/>
      <c r="J3103" s="38"/>
      <c r="K3103" s="38"/>
      <c r="L3103" s="42"/>
      <c r="M3103" s="42"/>
      <c r="N3103" s="42"/>
      <c r="O3103" s="42"/>
      <c r="R3103" s="37"/>
      <c r="S3103" s="37"/>
      <c r="T3103" s="91"/>
      <c r="U3103" s="91"/>
      <c r="V3103" s="41"/>
      <c r="W3103" s="37"/>
      <c r="X3103" s="37"/>
      <c r="Y3103" s="43"/>
      <c r="Z3103" s="37"/>
      <c r="AA3103" s="37"/>
      <c r="AD3103" s="37"/>
      <c r="AE3103" s="37"/>
      <c r="AF3103" s="37"/>
    </row>
    <row r="3104" spans="1:32" x14ac:dyDescent="0.25">
      <c r="A3104" s="37"/>
      <c r="B3104" s="37"/>
      <c r="C3104" s="37"/>
      <c r="F3104" s="38"/>
      <c r="G3104" s="38"/>
      <c r="H3104" s="38"/>
      <c r="I3104" s="37"/>
      <c r="J3104" s="38"/>
      <c r="K3104" s="38"/>
      <c r="L3104" s="42"/>
      <c r="M3104" s="42"/>
      <c r="N3104" s="42"/>
      <c r="O3104" s="42"/>
      <c r="R3104" s="37"/>
      <c r="S3104" s="37"/>
      <c r="T3104" s="91"/>
      <c r="U3104" s="91"/>
      <c r="V3104" s="41"/>
      <c r="W3104" s="37"/>
      <c r="X3104" s="37"/>
      <c r="Y3104" s="43"/>
      <c r="Z3104" s="37"/>
      <c r="AA3104" s="37"/>
      <c r="AD3104" s="37"/>
      <c r="AE3104" s="37"/>
      <c r="AF3104" s="37"/>
    </row>
    <row r="3105" spans="1:32" x14ac:dyDescent="0.25">
      <c r="A3105" s="37"/>
      <c r="B3105" s="37"/>
      <c r="C3105" s="37"/>
      <c r="F3105" s="38"/>
      <c r="G3105" s="38"/>
      <c r="H3105" s="38"/>
      <c r="I3105" s="37"/>
      <c r="J3105" s="38"/>
      <c r="K3105" s="38"/>
      <c r="L3105" s="42"/>
      <c r="M3105" s="42"/>
      <c r="N3105" s="42"/>
      <c r="O3105" s="42"/>
      <c r="R3105" s="37"/>
      <c r="S3105" s="37"/>
      <c r="T3105" s="91"/>
      <c r="U3105" s="91"/>
      <c r="V3105" s="41"/>
      <c r="W3105" s="37"/>
      <c r="X3105" s="37"/>
      <c r="Y3105" s="43"/>
      <c r="Z3105" s="37"/>
      <c r="AA3105" s="37"/>
      <c r="AD3105" s="37"/>
      <c r="AE3105" s="37"/>
      <c r="AF3105" s="37"/>
    </row>
    <row r="3106" spans="1:32" x14ac:dyDescent="0.25">
      <c r="A3106" s="37"/>
      <c r="B3106" s="37"/>
      <c r="C3106" s="37"/>
      <c r="F3106" s="38"/>
      <c r="G3106" s="38"/>
      <c r="H3106" s="38"/>
      <c r="I3106" s="37"/>
      <c r="J3106" s="38"/>
      <c r="K3106" s="38"/>
      <c r="L3106" s="42"/>
      <c r="M3106" s="42"/>
      <c r="N3106" s="42"/>
      <c r="O3106" s="42"/>
      <c r="R3106" s="37"/>
      <c r="S3106" s="37"/>
      <c r="T3106" s="91"/>
      <c r="U3106" s="91"/>
      <c r="V3106" s="41"/>
      <c r="W3106" s="37"/>
      <c r="X3106" s="37"/>
      <c r="Y3106" s="43"/>
      <c r="Z3106" s="37"/>
      <c r="AA3106" s="37"/>
      <c r="AD3106" s="37"/>
      <c r="AE3106" s="37"/>
      <c r="AF3106" s="37"/>
    </row>
    <row r="3107" spans="1:32" x14ac:dyDescent="0.25">
      <c r="A3107" s="37"/>
      <c r="B3107" s="37"/>
      <c r="C3107" s="37"/>
      <c r="F3107" s="38"/>
      <c r="G3107" s="38"/>
      <c r="H3107" s="38"/>
      <c r="I3107" s="37"/>
      <c r="J3107" s="38"/>
      <c r="K3107" s="38"/>
      <c r="L3107" s="42"/>
      <c r="M3107" s="42"/>
      <c r="N3107" s="42"/>
      <c r="O3107" s="42"/>
      <c r="R3107" s="37"/>
      <c r="S3107" s="37"/>
      <c r="T3107" s="91"/>
      <c r="U3107" s="91"/>
      <c r="V3107" s="41"/>
      <c r="W3107" s="37"/>
      <c r="X3107" s="37"/>
      <c r="Y3107" s="43"/>
      <c r="Z3107" s="37"/>
      <c r="AA3107" s="37"/>
      <c r="AD3107" s="37"/>
      <c r="AE3107" s="37"/>
      <c r="AF3107" s="37"/>
    </row>
    <row r="3108" spans="1:32" x14ac:dyDescent="0.25">
      <c r="A3108" s="37"/>
      <c r="B3108" s="37"/>
      <c r="C3108" s="37"/>
      <c r="F3108" s="38"/>
      <c r="G3108" s="38"/>
      <c r="H3108" s="38"/>
      <c r="I3108" s="37"/>
      <c r="J3108" s="38"/>
      <c r="K3108" s="38"/>
      <c r="L3108" s="42"/>
      <c r="M3108" s="42"/>
      <c r="N3108" s="42"/>
      <c r="O3108" s="42"/>
      <c r="R3108" s="37"/>
      <c r="S3108" s="37"/>
      <c r="T3108" s="91"/>
      <c r="U3108" s="91"/>
      <c r="V3108" s="41"/>
      <c r="W3108" s="37"/>
      <c r="X3108" s="37"/>
      <c r="Y3108" s="43"/>
      <c r="Z3108" s="37"/>
      <c r="AA3108" s="37"/>
      <c r="AD3108" s="37"/>
      <c r="AE3108" s="37"/>
      <c r="AF3108" s="37"/>
    </row>
    <row r="3109" spans="1:32" x14ac:dyDescent="0.25">
      <c r="A3109" s="37"/>
      <c r="B3109" s="37"/>
      <c r="C3109" s="37"/>
      <c r="F3109" s="38"/>
      <c r="G3109" s="38"/>
      <c r="H3109" s="38"/>
      <c r="I3109" s="37"/>
      <c r="J3109" s="38"/>
      <c r="K3109" s="38"/>
      <c r="L3109" s="42"/>
      <c r="M3109" s="42"/>
      <c r="N3109" s="42"/>
      <c r="O3109" s="42"/>
      <c r="R3109" s="37"/>
      <c r="S3109" s="37"/>
      <c r="T3109" s="91"/>
      <c r="U3109" s="91"/>
      <c r="V3109" s="41"/>
      <c r="W3109" s="37"/>
      <c r="X3109" s="37"/>
      <c r="Y3109" s="43"/>
      <c r="Z3109" s="37"/>
      <c r="AA3109" s="37"/>
      <c r="AD3109" s="37"/>
      <c r="AE3109" s="37"/>
      <c r="AF3109" s="37"/>
    </row>
    <row r="3110" spans="1:32" x14ac:dyDescent="0.25">
      <c r="A3110" s="37"/>
      <c r="B3110" s="37"/>
      <c r="C3110" s="37"/>
      <c r="F3110" s="38"/>
      <c r="G3110" s="38"/>
      <c r="H3110" s="38"/>
      <c r="I3110" s="37"/>
      <c r="J3110" s="38"/>
      <c r="K3110" s="38"/>
      <c r="L3110" s="42"/>
      <c r="M3110" s="42"/>
      <c r="N3110" s="42"/>
      <c r="O3110" s="42"/>
      <c r="R3110" s="37"/>
      <c r="S3110" s="37"/>
      <c r="T3110" s="91"/>
      <c r="U3110" s="91"/>
      <c r="V3110" s="41"/>
      <c r="W3110" s="37"/>
      <c r="X3110" s="37"/>
      <c r="Y3110" s="43"/>
      <c r="Z3110" s="37"/>
      <c r="AA3110" s="37"/>
      <c r="AD3110" s="37"/>
      <c r="AE3110" s="37"/>
      <c r="AF3110" s="37"/>
    </row>
    <row r="3111" spans="1:32" x14ac:dyDescent="0.25">
      <c r="A3111" s="37"/>
      <c r="B3111" s="37"/>
      <c r="C3111" s="37"/>
      <c r="F3111" s="38"/>
      <c r="G3111" s="38"/>
      <c r="H3111" s="38"/>
      <c r="I3111" s="37"/>
      <c r="J3111" s="38"/>
      <c r="K3111" s="38"/>
      <c r="L3111" s="42"/>
      <c r="M3111" s="42"/>
      <c r="N3111" s="42"/>
      <c r="O3111" s="42"/>
      <c r="R3111" s="37"/>
      <c r="S3111" s="37"/>
      <c r="T3111" s="91"/>
      <c r="U3111" s="91"/>
      <c r="V3111" s="41"/>
      <c r="W3111" s="37"/>
      <c r="X3111" s="37"/>
      <c r="Y3111" s="43"/>
      <c r="Z3111" s="37"/>
      <c r="AA3111" s="37"/>
      <c r="AD3111" s="37"/>
      <c r="AE3111" s="37"/>
      <c r="AF3111" s="37"/>
    </row>
    <row r="3112" spans="1:32" x14ac:dyDescent="0.25">
      <c r="A3112" s="37"/>
      <c r="B3112" s="37"/>
      <c r="C3112" s="37"/>
      <c r="F3112" s="38"/>
      <c r="G3112" s="38"/>
      <c r="H3112" s="38"/>
      <c r="I3112" s="37"/>
      <c r="J3112" s="38"/>
      <c r="K3112" s="38"/>
      <c r="L3112" s="42"/>
      <c r="M3112" s="42"/>
      <c r="N3112" s="42"/>
      <c r="O3112" s="42"/>
      <c r="R3112" s="37"/>
      <c r="S3112" s="37"/>
      <c r="T3112" s="91"/>
      <c r="U3112" s="91"/>
      <c r="V3112" s="41"/>
      <c r="W3112" s="37"/>
      <c r="X3112" s="37"/>
      <c r="Y3112" s="43"/>
      <c r="Z3112" s="37"/>
      <c r="AA3112" s="37"/>
      <c r="AD3112" s="37"/>
      <c r="AE3112" s="37"/>
      <c r="AF3112" s="37"/>
    </row>
    <row r="3113" spans="1:32" x14ac:dyDescent="0.25">
      <c r="A3113" s="37"/>
      <c r="B3113" s="37"/>
      <c r="C3113" s="37"/>
      <c r="F3113" s="38"/>
      <c r="G3113" s="38"/>
      <c r="H3113" s="38"/>
      <c r="I3113" s="37"/>
      <c r="J3113" s="38"/>
      <c r="K3113" s="38"/>
      <c r="L3113" s="42"/>
      <c r="M3113" s="42"/>
      <c r="N3113" s="42"/>
      <c r="O3113" s="42"/>
      <c r="R3113" s="37"/>
      <c r="S3113" s="37"/>
      <c r="T3113" s="91"/>
      <c r="U3113" s="91"/>
      <c r="V3113" s="41"/>
      <c r="W3113" s="37"/>
      <c r="X3113" s="37"/>
      <c r="Y3113" s="43"/>
      <c r="Z3113" s="37"/>
      <c r="AA3113" s="37"/>
      <c r="AD3113" s="37"/>
      <c r="AE3113" s="37"/>
      <c r="AF3113" s="37"/>
    </row>
    <row r="3114" spans="1:32" x14ac:dyDescent="0.25">
      <c r="A3114" s="37"/>
      <c r="B3114" s="37"/>
      <c r="C3114" s="37"/>
      <c r="F3114" s="38"/>
      <c r="G3114" s="38"/>
      <c r="H3114" s="38"/>
      <c r="I3114" s="37"/>
      <c r="J3114" s="38"/>
      <c r="K3114" s="38"/>
      <c r="L3114" s="42"/>
      <c r="M3114" s="42"/>
      <c r="N3114" s="42"/>
      <c r="O3114" s="42"/>
      <c r="R3114" s="37"/>
      <c r="S3114" s="37"/>
      <c r="T3114" s="91"/>
      <c r="U3114" s="91"/>
      <c r="V3114" s="41"/>
      <c r="W3114" s="37"/>
      <c r="X3114" s="37"/>
      <c r="Y3114" s="43"/>
      <c r="Z3114" s="37"/>
      <c r="AA3114" s="37"/>
      <c r="AD3114" s="37"/>
      <c r="AE3114" s="37"/>
      <c r="AF3114" s="37"/>
    </row>
    <row r="3115" spans="1:32" x14ac:dyDescent="0.25">
      <c r="A3115" s="37"/>
      <c r="B3115" s="37"/>
      <c r="C3115" s="37"/>
      <c r="F3115" s="38"/>
      <c r="G3115" s="38"/>
      <c r="H3115" s="38"/>
      <c r="I3115" s="37"/>
      <c r="J3115" s="38"/>
      <c r="K3115" s="38"/>
      <c r="L3115" s="42"/>
      <c r="M3115" s="42"/>
      <c r="N3115" s="42"/>
      <c r="O3115" s="42"/>
      <c r="R3115" s="37"/>
      <c r="S3115" s="37"/>
      <c r="T3115" s="91"/>
      <c r="U3115" s="91"/>
      <c r="V3115" s="41"/>
      <c r="W3115" s="37"/>
      <c r="X3115" s="37"/>
      <c r="Y3115" s="43"/>
      <c r="Z3115" s="37"/>
      <c r="AA3115" s="37"/>
      <c r="AD3115" s="37"/>
      <c r="AE3115" s="37"/>
      <c r="AF3115" s="37"/>
    </row>
    <row r="3116" spans="1:32" x14ac:dyDescent="0.25">
      <c r="A3116" s="37"/>
      <c r="B3116" s="37"/>
      <c r="C3116" s="37"/>
      <c r="F3116" s="38"/>
      <c r="G3116" s="38"/>
      <c r="H3116" s="38"/>
      <c r="I3116" s="37"/>
      <c r="J3116" s="38"/>
      <c r="K3116" s="38"/>
      <c r="L3116" s="42"/>
      <c r="M3116" s="42"/>
      <c r="N3116" s="42"/>
      <c r="O3116" s="42"/>
      <c r="R3116" s="37"/>
      <c r="S3116" s="37"/>
      <c r="T3116" s="91"/>
      <c r="U3116" s="91"/>
      <c r="V3116" s="41"/>
      <c r="W3116" s="37"/>
      <c r="X3116" s="37"/>
      <c r="Y3116" s="43"/>
      <c r="Z3116" s="37"/>
      <c r="AA3116" s="37"/>
      <c r="AD3116" s="37"/>
      <c r="AE3116" s="37"/>
      <c r="AF3116" s="37"/>
    </row>
    <row r="3117" spans="1:32" x14ac:dyDescent="0.25">
      <c r="A3117" s="37"/>
      <c r="B3117" s="37"/>
      <c r="C3117" s="37"/>
      <c r="F3117" s="38"/>
      <c r="G3117" s="38"/>
      <c r="H3117" s="38"/>
      <c r="I3117" s="37"/>
      <c r="J3117" s="38"/>
      <c r="K3117" s="38"/>
      <c r="L3117" s="42"/>
      <c r="M3117" s="42"/>
      <c r="N3117" s="42"/>
      <c r="O3117" s="42"/>
      <c r="R3117" s="37"/>
      <c r="S3117" s="37"/>
      <c r="T3117" s="91"/>
      <c r="U3117" s="91"/>
      <c r="V3117" s="41"/>
      <c r="W3117" s="37"/>
      <c r="X3117" s="37"/>
      <c r="Y3117" s="43"/>
      <c r="Z3117" s="37"/>
      <c r="AA3117" s="37"/>
      <c r="AD3117" s="37"/>
      <c r="AE3117" s="37"/>
      <c r="AF3117" s="37"/>
    </row>
    <row r="3118" spans="1:32" x14ac:dyDescent="0.25">
      <c r="A3118" s="37"/>
      <c r="B3118" s="37"/>
      <c r="C3118" s="37"/>
      <c r="F3118" s="38"/>
      <c r="G3118" s="38"/>
      <c r="H3118" s="38"/>
      <c r="I3118" s="37"/>
      <c r="J3118" s="38"/>
      <c r="K3118" s="38"/>
      <c r="L3118" s="42"/>
      <c r="M3118" s="42"/>
      <c r="N3118" s="42"/>
      <c r="O3118" s="42"/>
      <c r="R3118" s="37"/>
      <c r="S3118" s="37"/>
      <c r="T3118" s="91"/>
      <c r="U3118" s="91"/>
      <c r="V3118" s="41"/>
      <c r="W3118" s="37"/>
      <c r="X3118" s="37"/>
      <c r="Y3118" s="43"/>
      <c r="Z3118" s="37"/>
      <c r="AA3118" s="37"/>
      <c r="AD3118" s="37"/>
      <c r="AE3118" s="37"/>
      <c r="AF3118" s="37"/>
    </row>
    <row r="3119" spans="1:32" x14ac:dyDescent="0.25">
      <c r="A3119" s="37"/>
      <c r="B3119" s="37"/>
      <c r="C3119" s="37"/>
      <c r="F3119" s="38"/>
      <c r="G3119" s="38"/>
      <c r="H3119" s="38"/>
      <c r="I3119" s="37"/>
      <c r="J3119" s="38"/>
      <c r="K3119" s="38"/>
      <c r="L3119" s="42"/>
      <c r="M3119" s="42"/>
      <c r="N3119" s="42"/>
      <c r="O3119" s="42"/>
      <c r="R3119" s="37"/>
      <c r="S3119" s="37"/>
      <c r="T3119" s="91"/>
      <c r="U3119" s="91"/>
      <c r="V3119" s="41"/>
      <c r="W3119" s="37"/>
      <c r="X3119" s="37"/>
      <c r="Y3119" s="43"/>
      <c r="Z3119" s="37"/>
      <c r="AA3119" s="37"/>
      <c r="AD3119" s="37"/>
      <c r="AE3119" s="37"/>
      <c r="AF3119" s="37"/>
    </row>
    <row r="3120" spans="1:32" x14ac:dyDescent="0.25">
      <c r="A3120" s="37"/>
      <c r="B3120" s="37"/>
      <c r="C3120" s="37"/>
      <c r="F3120" s="38"/>
      <c r="G3120" s="38"/>
      <c r="H3120" s="38"/>
      <c r="I3120" s="37"/>
      <c r="J3120" s="38"/>
      <c r="K3120" s="38"/>
      <c r="L3120" s="42"/>
      <c r="M3120" s="42"/>
      <c r="N3120" s="42"/>
      <c r="O3120" s="42"/>
      <c r="R3120" s="37"/>
      <c r="S3120" s="37"/>
      <c r="T3120" s="91"/>
      <c r="U3120" s="91"/>
      <c r="V3120" s="41"/>
      <c r="W3120" s="37"/>
      <c r="X3120" s="37"/>
      <c r="Y3120" s="43"/>
      <c r="Z3120" s="37"/>
      <c r="AA3120" s="37"/>
      <c r="AD3120" s="37"/>
      <c r="AE3120" s="37"/>
      <c r="AF3120" s="37"/>
    </row>
    <row r="3121" spans="1:32" x14ac:dyDescent="0.25">
      <c r="A3121" s="37"/>
      <c r="B3121" s="37"/>
      <c r="C3121" s="37"/>
      <c r="F3121" s="38"/>
      <c r="G3121" s="38"/>
      <c r="H3121" s="38"/>
      <c r="I3121" s="37"/>
      <c r="J3121" s="38"/>
      <c r="K3121" s="38"/>
      <c r="L3121" s="42"/>
      <c r="M3121" s="42"/>
      <c r="N3121" s="42"/>
      <c r="O3121" s="42"/>
      <c r="R3121" s="37"/>
      <c r="S3121" s="37"/>
      <c r="T3121" s="91"/>
      <c r="U3121" s="91"/>
      <c r="V3121" s="41"/>
      <c r="W3121" s="37"/>
      <c r="X3121" s="37"/>
      <c r="Y3121" s="43"/>
      <c r="Z3121" s="37"/>
      <c r="AA3121" s="37"/>
      <c r="AD3121" s="37"/>
      <c r="AE3121" s="37"/>
      <c r="AF3121" s="37"/>
    </row>
    <row r="3122" spans="1:32" x14ac:dyDescent="0.25">
      <c r="A3122" s="37"/>
      <c r="B3122" s="37"/>
      <c r="C3122" s="37"/>
      <c r="F3122" s="38"/>
      <c r="G3122" s="38"/>
      <c r="H3122" s="38"/>
      <c r="I3122" s="37"/>
      <c r="J3122" s="38"/>
      <c r="K3122" s="38"/>
      <c r="L3122" s="42"/>
      <c r="M3122" s="42"/>
      <c r="N3122" s="42"/>
      <c r="O3122" s="42"/>
      <c r="R3122" s="37"/>
      <c r="S3122" s="37"/>
      <c r="T3122" s="91"/>
      <c r="U3122" s="91"/>
      <c r="V3122" s="41"/>
      <c r="W3122" s="37"/>
      <c r="X3122" s="37"/>
      <c r="Y3122" s="43"/>
      <c r="Z3122" s="37"/>
      <c r="AA3122" s="37"/>
      <c r="AD3122" s="37"/>
      <c r="AE3122" s="37"/>
      <c r="AF3122" s="37"/>
    </row>
    <row r="3123" spans="1:32" x14ac:dyDescent="0.25">
      <c r="A3123" s="37"/>
      <c r="B3123" s="37"/>
      <c r="C3123" s="37"/>
      <c r="F3123" s="38"/>
      <c r="G3123" s="38"/>
      <c r="H3123" s="38"/>
      <c r="I3123" s="37"/>
      <c r="J3123" s="38"/>
      <c r="K3123" s="38"/>
      <c r="L3123" s="42"/>
      <c r="M3123" s="42"/>
      <c r="N3123" s="42"/>
      <c r="O3123" s="42"/>
      <c r="R3123" s="37"/>
      <c r="S3123" s="37"/>
      <c r="T3123" s="91"/>
      <c r="U3123" s="91"/>
      <c r="V3123" s="41"/>
      <c r="W3123" s="37"/>
      <c r="X3123" s="37"/>
      <c r="Y3123" s="43"/>
      <c r="Z3123" s="37"/>
      <c r="AA3123" s="37"/>
      <c r="AD3123" s="37"/>
      <c r="AE3123" s="37"/>
      <c r="AF3123" s="37"/>
    </row>
    <row r="3124" spans="1:32" x14ac:dyDescent="0.25">
      <c r="A3124" s="37"/>
      <c r="B3124" s="37"/>
      <c r="C3124" s="37"/>
      <c r="F3124" s="38"/>
      <c r="G3124" s="38"/>
      <c r="H3124" s="38"/>
      <c r="I3124" s="37"/>
      <c r="J3124" s="38"/>
      <c r="K3124" s="38"/>
      <c r="L3124" s="42"/>
      <c r="M3124" s="42"/>
      <c r="N3124" s="42"/>
      <c r="O3124" s="42"/>
      <c r="R3124" s="37"/>
      <c r="S3124" s="37"/>
      <c r="T3124" s="91"/>
      <c r="U3124" s="91"/>
      <c r="V3124" s="41"/>
      <c r="W3124" s="37"/>
      <c r="X3124" s="37"/>
      <c r="Y3124" s="43"/>
      <c r="Z3124" s="37"/>
      <c r="AA3124" s="37"/>
      <c r="AD3124" s="37"/>
      <c r="AE3124" s="37"/>
      <c r="AF3124" s="37"/>
    </row>
    <row r="3125" spans="1:32" x14ac:dyDescent="0.25">
      <c r="A3125" s="37"/>
      <c r="B3125" s="37"/>
      <c r="C3125" s="37"/>
      <c r="F3125" s="38"/>
      <c r="G3125" s="38"/>
      <c r="H3125" s="38"/>
      <c r="I3125" s="37"/>
      <c r="J3125" s="38"/>
      <c r="K3125" s="38"/>
      <c r="L3125" s="42"/>
      <c r="M3125" s="42"/>
      <c r="N3125" s="42"/>
      <c r="O3125" s="42"/>
      <c r="R3125" s="37"/>
      <c r="S3125" s="37"/>
      <c r="T3125" s="91"/>
      <c r="U3125" s="91"/>
      <c r="V3125" s="41"/>
      <c r="W3125" s="37"/>
      <c r="X3125" s="37"/>
      <c r="Y3125" s="43"/>
      <c r="Z3125" s="37"/>
      <c r="AA3125" s="37"/>
      <c r="AD3125" s="37"/>
      <c r="AE3125" s="37"/>
      <c r="AF3125" s="37"/>
    </row>
    <row r="3126" spans="1:32" x14ac:dyDescent="0.25">
      <c r="A3126" s="37"/>
      <c r="B3126" s="37"/>
      <c r="C3126" s="37"/>
      <c r="F3126" s="38"/>
      <c r="G3126" s="38"/>
      <c r="H3126" s="38"/>
      <c r="I3126" s="37"/>
      <c r="J3126" s="38"/>
      <c r="K3126" s="38"/>
      <c r="L3126" s="42"/>
      <c r="M3126" s="42"/>
      <c r="N3126" s="42"/>
      <c r="O3126" s="42"/>
      <c r="R3126" s="37"/>
      <c r="S3126" s="37"/>
      <c r="T3126" s="91"/>
      <c r="U3126" s="91"/>
      <c r="V3126" s="41"/>
      <c r="W3126" s="37"/>
      <c r="X3126" s="37"/>
      <c r="Y3126" s="43"/>
      <c r="Z3126" s="37"/>
      <c r="AA3126" s="37"/>
      <c r="AD3126" s="37"/>
      <c r="AE3126" s="37"/>
      <c r="AF3126" s="37"/>
    </row>
    <row r="3127" spans="1:32" x14ac:dyDescent="0.25">
      <c r="A3127" s="37"/>
      <c r="B3127" s="37"/>
      <c r="C3127" s="37"/>
      <c r="F3127" s="38"/>
      <c r="G3127" s="38"/>
      <c r="H3127" s="38"/>
      <c r="I3127" s="37"/>
      <c r="J3127" s="38"/>
      <c r="K3127" s="38"/>
      <c r="L3127" s="42"/>
      <c r="M3127" s="42"/>
      <c r="N3127" s="42"/>
      <c r="O3127" s="42"/>
      <c r="R3127" s="37"/>
      <c r="S3127" s="37"/>
      <c r="T3127" s="91"/>
      <c r="U3127" s="91"/>
      <c r="V3127" s="41"/>
      <c r="W3127" s="37"/>
      <c r="X3127" s="37"/>
      <c r="Y3127" s="43"/>
      <c r="Z3127" s="37"/>
      <c r="AA3127" s="37"/>
      <c r="AD3127" s="37"/>
      <c r="AE3127" s="37"/>
      <c r="AF3127" s="37"/>
    </row>
    <row r="3128" spans="1:32" x14ac:dyDescent="0.25">
      <c r="A3128" s="37"/>
      <c r="B3128" s="37"/>
      <c r="C3128" s="37"/>
      <c r="F3128" s="38"/>
      <c r="G3128" s="38"/>
      <c r="H3128" s="38"/>
      <c r="I3128" s="37"/>
      <c r="J3128" s="38"/>
      <c r="K3128" s="38"/>
      <c r="L3128" s="42"/>
      <c r="M3128" s="42"/>
      <c r="N3128" s="42"/>
      <c r="O3128" s="42"/>
      <c r="R3128" s="37"/>
      <c r="S3128" s="37"/>
      <c r="T3128" s="91"/>
      <c r="U3128" s="91"/>
      <c r="V3128" s="41"/>
      <c r="W3128" s="37"/>
      <c r="X3128" s="37"/>
      <c r="Y3128" s="43"/>
      <c r="Z3128" s="37"/>
      <c r="AA3128" s="37"/>
      <c r="AD3128" s="37"/>
      <c r="AE3128" s="37"/>
      <c r="AF3128" s="37"/>
    </row>
    <row r="3129" spans="1:32" x14ac:dyDescent="0.25">
      <c r="A3129" s="37"/>
      <c r="B3129" s="37"/>
      <c r="C3129" s="37"/>
      <c r="F3129" s="38"/>
      <c r="G3129" s="38"/>
      <c r="H3129" s="38"/>
      <c r="I3129" s="37"/>
      <c r="J3129" s="38"/>
      <c r="K3129" s="38"/>
      <c r="L3129" s="42"/>
      <c r="M3129" s="42"/>
      <c r="N3129" s="42"/>
      <c r="O3129" s="42"/>
      <c r="R3129" s="37"/>
      <c r="S3129" s="37"/>
      <c r="T3129" s="91"/>
      <c r="U3129" s="91"/>
      <c r="V3129" s="41"/>
      <c r="W3129" s="37"/>
      <c r="X3129" s="37"/>
      <c r="Y3129" s="43"/>
      <c r="Z3129" s="37"/>
      <c r="AA3129" s="37"/>
      <c r="AD3129" s="37"/>
      <c r="AE3129" s="37"/>
      <c r="AF3129" s="37"/>
    </row>
    <row r="3130" spans="1:32" x14ac:dyDescent="0.25">
      <c r="A3130" s="37"/>
      <c r="B3130" s="37"/>
      <c r="C3130" s="37"/>
      <c r="F3130" s="38"/>
      <c r="G3130" s="38"/>
      <c r="H3130" s="38"/>
      <c r="I3130" s="37"/>
      <c r="J3130" s="38"/>
      <c r="K3130" s="38"/>
      <c r="L3130" s="42"/>
      <c r="M3130" s="42"/>
      <c r="N3130" s="42"/>
      <c r="O3130" s="42"/>
      <c r="R3130" s="37"/>
      <c r="S3130" s="37"/>
      <c r="T3130" s="91"/>
      <c r="U3130" s="91"/>
      <c r="V3130" s="41"/>
      <c r="W3130" s="37"/>
      <c r="X3130" s="37"/>
      <c r="Y3130" s="43"/>
      <c r="Z3130" s="37"/>
      <c r="AA3130" s="37"/>
      <c r="AD3130" s="37"/>
      <c r="AE3130" s="37"/>
      <c r="AF3130" s="37"/>
    </row>
    <row r="3131" spans="1:32" x14ac:dyDescent="0.25">
      <c r="A3131" s="37"/>
      <c r="B3131" s="37"/>
      <c r="C3131" s="37"/>
      <c r="F3131" s="38"/>
      <c r="G3131" s="38"/>
      <c r="H3131" s="38"/>
      <c r="I3131" s="37"/>
      <c r="J3131" s="38"/>
      <c r="K3131" s="38"/>
      <c r="L3131" s="42"/>
      <c r="M3131" s="42"/>
      <c r="N3131" s="42"/>
      <c r="O3131" s="42"/>
      <c r="R3131" s="37"/>
      <c r="S3131" s="37"/>
      <c r="T3131" s="91"/>
      <c r="U3131" s="91"/>
      <c r="V3131" s="41"/>
      <c r="W3131" s="37"/>
      <c r="X3131" s="37"/>
      <c r="Y3131" s="43"/>
      <c r="Z3131" s="37"/>
      <c r="AA3131" s="37"/>
      <c r="AD3131" s="37"/>
      <c r="AE3131" s="37"/>
      <c r="AF3131" s="37"/>
    </row>
    <row r="3132" spans="1:32" x14ac:dyDescent="0.25">
      <c r="A3132" s="37"/>
      <c r="B3132" s="37"/>
      <c r="C3132" s="37"/>
      <c r="F3132" s="38"/>
      <c r="G3132" s="38"/>
      <c r="H3132" s="38"/>
      <c r="I3132" s="37"/>
      <c r="J3132" s="38"/>
      <c r="K3132" s="38"/>
      <c r="L3132" s="42"/>
      <c r="M3132" s="42"/>
      <c r="N3132" s="42"/>
      <c r="O3132" s="42"/>
      <c r="R3132" s="37"/>
      <c r="S3132" s="37"/>
      <c r="T3132" s="91"/>
      <c r="U3132" s="91"/>
      <c r="V3132" s="41"/>
      <c r="W3132" s="37"/>
      <c r="X3132" s="37"/>
      <c r="Y3132" s="43"/>
      <c r="Z3132" s="37"/>
      <c r="AA3132" s="37"/>
      <c r="AD3132" s="37"/>
      <c r="AE3132" s="37"/>
      <c r="AF3132" s="37"/>
    </row>
    <row r="3133" spans="1:32" x14ac:dyDescent="0.25">
      <c r="A3133" s="37"/>
      <c r="B3133" s="37"/>
      <c r="C3133" s="37"/>
      <c r="F3133" s="38"/>
      <c r="G3133" s="38"/>
      <c r="H3133" s="38"/>
      <c r="I3133" s="37"/>
      <c r="J3133" s="38"/>
      <c r="K3133" s="38"/>
      <c r="L3133" s="42"/>
      <c r="M3133" s="42"/>
      <c r="N3133" s="42"/>
      <c r="O3133" s="42"/>
      <c r="R3133" s="37"/>
      <c r="S3133" s="37"/>
      <c r="T3133" s="91"/>
      <c r="U3133" s="91"/>
      <c r="V3133" s="41"/>
      <c r="W3133" s="37"/>
      <c r="X3133" s="37"/>
      <c r="Y3133" s="43"/>
      <c r="Z3133" s="37"/>
      <c r="AA3133" s="37"/>
      <c r="AD3133" s="37"/>
      <c r="AE3133" s="37"/>
      <c r="AF3133" s="37"/>
    </row>
    <row r="3134" spans="1:32" x14ac:dyDescent="0.25">
      <c r="A3134" s="37"/>
      <c r="B3134" s="37"/>
      <c r="C3134" s="37"/>
      <c r="F3134" s="38"/>
      <c r="G3134" s="38"/>
      <c r="H3134" s="38"/>
      <c r="I3134" s="37"/>
      <c r="J3134" s="38"/>
      <c r="K3134" s="38"/>
      <c r="L3134" s="42"/>
      <c r="M3134" s="42"/>
      <c r="N3134" s="42"/>
      <c r="O3134" s="42"/>
      <c r="R3134" s="37"/>
      <c r="S3134" s="37"/>
      <c r="T3134" s="91"/>
      <c r="U3134" s="91"/>
      <c r="V3134" s="41"/>
      <c r="W3134" s="37"/>
      <c r="X3134" s="37"/>
      <c r="Y3134" s="43"/>
      <c r="Z3134" s="37"/>
      <c r="AA3134" s="37"/>
      <c r="AD3134" s="37"/>
      <c r="AE3134" s="37"/>
      <c r="AF3134" s="37"/>
    </row>
    <row r="3135" spans="1:32" x14ac:dyDescent="0.25">
      <c r="A3135" s="37"/>
      <c r="B3135" s="37"/>
      <c r="C3135" s="37"/>
      <c r="F3135" s="38"/>
      <c r="G3135" s="38"/>
      <c r="H3135" s="38"/>
      <c r="I3135" s="37"/>
      <c r="J3135" s="38"/>
      <c r="K3135" s="38"/>
      <c r="L3135" s="42"/>
      <c r="M3135" s="42"/>
      <c r="N3135" s="42"/>
      <c r="O3135" s="42"/>
      <c r="R3135" s="37"/>
      <c r="S3135" s="37"/>
      <c r="T3135" s="91"/>
      <c r="U3135" s="91"/>
      <c r="V3135" s="41"/>
      <c r="W3135" s="37"/>
      <c r="X3135" s="37"/>
      <c r="Y3135" s="43"/>
      <c r="Z3135" s="37"/>
      <c r="AA3135" s="37"/>
      <c r="AD3135" s="37"/>
      <c r="AE3135" s="37"/>
      <c r="AF3135" s="37"/>
    </row>
    <row r="3136" spans="1:32" x14ac:dyDescent="0.25">
      <c r="A3136" s="37"/>
      <c r="B3136" s="37"/>
      <c r="C3136" s="37"/>
      <c r="F3136" s="38"/>
      <c r="G3136" s="38"/>
      <c r="H3136" s="38"/>
      <c r="I3136" s="37"/>
      <c r="J3136" s="38"/>
      <c r="K3136" s="38"/>
      <c r="L3136" s="42"/>
      <c r="M3136" s="42"/>
      <c r="N3136" s="42"/>
      <c r="O3136" s="42"/>
      <c r="R3136" s="37"/>
      <c r="S3136" s="37"/>
      <c r="T3136" s="91"/>
      <c r="U3136" s="91"/>
      <c r="V3136" s="41"/>
      <c r="W3136" s="37"/>
      <c r="X3136" s="37"/>
      <c r="Y3136" s="43"/>
      <c r="Z3136" s="37"/>
      <c r="AA3136" s="37"/>
      <c r="AD3136" s="37"/>
      <c r="AE3136" s="37"/>
      <c r="AF3136" s="37"/>
    </row>
    <row r="3137" spans="1:32" x14ac:dyDescent="0.25">
      <c r="A3137" s="37"/>
      <c r="B3137" s="37"/>
      <c r="C3137" s="37"/>
      <c r="F3137" s="38"/>
      <c r="G3137" s="38"/>
      <c r="H3137" s="38"/>
      <c r="I3137" s="37"/>
      <c r="J3137" s="38"/>
      <c r="K3137" s="38"/>
      <c r="L3137" s="42"/>
      <c r="M3137" s="42"/>
      <c r="N3137" s="42"/>
      <c r="O3137" s="42"/>
      <c r="R3137" s="37"/>
      <c r="S3137" s="37"/>
      <c r="T3137" s="91"/>
      <c r="U3137" s="91"/>
      <c r="V3137" s="41"/>
      <c r="W3137" s="37"/>
      <c r="X3137" s="37"/>
      <c r="Y3137" s="43"/>
      <c r="Z3137" s="37"/>
      <c r="AA3137" s="37"/>
      <c r="AD3137" s="37"/>
      <c r="AE3137" s="37"/>
      <c r="AF3137" s="37"/>
    </row>
    <row r="3138" spans="1:32" x14ac:dyDescent="0.25">
      <c r="A3138" s="37"/>
      <c r="B3138" s="37"/>
      <c r="C3138" s="37"/>
      <c r="F3138" s="38"/>
      <c r="G3138" s="38"/>
      <c r="H3138" s="38"/>
      <c r="I3138" s="37"/>
      <c r="J3138" s="38"/>
      <c r="K3138" s="38"/>
      <c r="L3138" s="42"/>
      <c r="M3138" s="42"/>
      <c r="N3138" s="42"/>
      <c r="O3138" s="42"/>
      <c r="R3138" s="37"/>
      <c r="S3138" s="37"/>
      <c r="T3138" s="91"/>
      <c r="U3138" s="91"/>
      <c r="V3138" s="41"/>
      <c r="W3138" s="37"/>
      <c r="X3138" s="37"/>
      <c r="Y3138" s="43"/>
      <c r="Z3138" s="37"/>
      <c r="AA3138" s="37"/>
      <c r="AD3138" s="37"/>
      <c r="AE3138" s="37"/>
      <c r="AF3138" s="37"/>
    </row>
    <row r="3139" spans="1:32" x14ac:dyDescent="0.25">
      <c r="A3139" s="37"/>
      <c r="B3139" s="37"/>
      <c r="C3139" s="37"/>
      <c r="F3139" s="38"/>
      <c r="G3139" s="38"/>
      <c r="H3139" s="38"/>
      <c r="I3139" s="37"/>
      <c r="J3139" s="38"/>
      <c r="K3139" s="38"/>
      <c r="L3139" s="42"/>
      <c r="M3139" s="42"/>
      <c r="N3139" s="42"/>
      <c r="O3139" s="42"/>
      <c r="R3139" s="37"/>
      <c r="S3139" s="37"/>
      <c r="T3139" s="91"/>
      <c r="U3139" s="91"/>
      <c r="V3139" s="41"/>
      <c r="W3139" s="37"/>
      <c r="X3139" s="37"/>
      <c r="Y3139" s="43"/>
      <c r="Z3139" s="37"/>
      <c r="AA3139" s="37"/>
      <c r="AD3139" s="37"/>
      <c r="AE3139" s="37"/>
      <c r="AF3139" s="37"/>
    </row>
    <row r="3140" spans="1:32" x14ac:dyDescent="0.25">
      <c r="A3140" s="37"/>
      <c r="B3140" s="37"/>
      <c r="C3140" s="37"/>
      <c r="F3140" s="38"/>
      <c r="G3140" s="38"/>
      <c r="H3140" s="38"/>
      <c r="I3140" s="37"/>
      <c r="J3140" s="38"/>
      <c r="K3140" s="38"/>
      <c r="L3140" s="42"/>
      <c r="M3140" s="42"/>
      <c r="N3140" s="42"/>
      <c r="O3140" s="42"/>
      <c r="R3140" s="37"/>
      <c r="S3140" s="37"/>
      <c r="T3140" s="91"/>
      <c r="U3140" s="91"/>
      <c r="V3140" s="41"/>
      <c r="W3140" s="37"/>
      <c r="X3140" s="37"/>
      <c r="Y3140" s="43"/>
      <c r="Z3140" s="37"/>
      <c r="AA3140" s="37"/>
      <c r="AD3140" s="37"/>
      <c r="AE3140" s="37"/>
      <c r="AF3140" s="37"/>
    </row>
    <row r="3141" spans="1:32" x14ac:dyDescent="0.25">
      <c r="A3141" s="37"/>
      <c r="B3141" s="37"/>
      <c r="C3141" s="37"/>
      <c r="F3141" s="38"/>
      <c r="G3141" s="38"/>
      <c r="H3141" s="38"/>
      <c r="I3141" s="37"/>
      <c r="J3141" s="38"/>
      <c r="K3141" s="38"/>
      <c r="L3141" s="42"/>
      <c r="M3141" s="42"/>
      <c r="N3141" s="42"/>
      <c r="O3141" s="42"/>
      <c r="R3141" s="37"/>
      <c r="S3141" s="37"/>
      <c r="T3141" s="91"/>
      <c r="U3141" s="91"/>
      <c r="V3141" s="41"/>
      <c r="W3141" s="37"/>
      <c r="X3141" s="37"/>
      <c r="Y3141" s="43"/>
      <c r="Z3141" s="37"/>
      <c r="AA3141" s="37"/>
      <c r="AD3141" s="37"/>
      <c r="AE3141" s="37"/>
      <c r="AF3141" s="37"/>
    </row>
    <row r="3142" spans="1:32" x14ac:dyDescent="0.25">
      <c r="A3142" s="37"/>
      <c r="B3142" s="37"/>
      <c r="C3142" s="37"/>
      <c r="F3142" s="38"/>
      <c r="G3142" s="38"/>
      <c r="H3142" s="38"/>
      <c r="I3142" s="37"/>
      <c r="J3142" s="38"/>
      <c r="K3142" s="38"/>
      <c r="L3142" s="42"/>
      <c r="M3142" s="42"/>
      <c r="N3142" s="42"/>
      <c r="O3142" s="42"/>
      <c r="R3142" s="37"/>
      <c r="S3142" s="37"/>
      <c r="T3142" s="91"/>
      <c r="U3142" s="91"/>
      <c r="V3142" s="41"/>
      <c r="W3142" s="37"/>
      <c r="X3142" s="37"/>
      <c r="Y3142" s="43"/>
      <c r="Z3142" s="37"/>
      <c r="AA3142" s="37"/>
      <c r="AD3142" s="37"/>
      <c r="AE3142" s="37"/>
      <c r="AF3142" s="37"/>
    </row>
    <row r="3143" spans="1:32" x14ac:dyDescent="0.25">
      <c r="A3143" s="37"/>
      <c r="B3143" s="37"/>
      <c r="C3143" s="37"/>
      <c r="F3143" s="38"/>
      <c r="G3143" s="38"/>
      <c r="H3143" s="38"/>
      <c r="I3143" s="37"/>
      <c r="J3143" s="38"/>
      <c r="K3143" s="38"/>
      <c r="L3143" s="42"/>
      <c r="M3143" s="42"/>
      <c r="N3143" s="42"/>
      <c r="O3143" s="42"/>
      <c r="R3143" s="37"/>
      <c r="S3143" s="37"/>
      <c r="T3143" s="91"/>
      <c r="U3143" s="91"/>
      <c r="V3143" s="41"/>
      <c r="W3143" s="37"/>
      <c r="X3143" s="37"/>
      <c r="Y3143" s="43"/>
      <c r="Z3143" s="37"/>
      <c r="AA3143" s="37"/>
      <c r="AD3143" s="37"/>
      <c r="AE3143" s="37"/>
      <c r="AF3143" s="37"/>
    </row>
    <row r="3144" spans="1:32" x14ac:dyDescent="0.25">
      <c r="A3144" s="37"/>
      <c r="B3144" s="37"/>
      <c r="C3144" s="37"/>
      <c r="F3144" s="38"/>
      <c r="G3144" s="38"/>
      <c r="H3144" s="38"/>
      <c r="I3144" s="37"/>
      <c r="J3144" s="38"/>
      <c r="K3144" s="38"/>
      <c r="L3144" s="42"/>
      <c r="M3144" s="42"/>
      <c r="N3144" s="42"/>
      <c r="O3144" s="42"/>
      <c r="R3144" s="37"/>
      <c r="S3144" s="37"/>
      <c r="T3144" s="91"/>
      <c r="U3144" s="91"/>
      <c r="V3144" s="41"/>
      <c r="W3144" s="37"/>
      <c r="X3144" s="37"/>
      <c r="Y3144" s="43"/>
      <c r="Z3144" s="37"/>
      <c r="AA3144" s="37"/>
      <c r="AD3144" s="37"/>
      <c r="AE3144" s="37"/>
      <c r="AF3144" s="37"/>
    </row>
    <row r="3145" spans="1:32" x14ac:dyDescent="0.25">
      <c r="A3145" s="37"/>
      <c r="B3145" s="37"/>
      <c r="C3145" s="37"/>
      <c r="F3145" s="38"/>
      <c r="G3145" s="38"/>
      <c r="H3145" s="38"/>
      <c r="I3145" s="37"/>
      <c r="J3145" s="38"/>
      <c r="K3145" s="38"/>
      <c r="L3145" s="42"/>
      <c r="M3145" s="42"/>
      <c r="N3145" s="42"/>
      <c r="O3145" s="42"/>
      <c r="R3145" s="37"/>
      <c r="S3145" s="37"/>
      <c r="T3145" s="91"/>
      <c r="U3145" s="91"/>
      <c r="V3145" s="41"/>
      <c r="W3145" s="37"/>
      <c r="X3145" s="37"/>
      <c r="Y3145" s="43"/>
      <c r="Z3145" s="37"/>
      <c r="AA3145" s="37"/>
      <c r="AD3145" s="37"/>
      <c r="AE3145" s="37"/>
      <c r="AF3145" s="37"/>
    </row>
    <row r="3146" spans="1:32" x14ac:dyDescent="0.25">
      <c r="A3146" s="37"/>
      <c r="B3146" s="37"/>
      <c r="C3146" s="37"/>
      <c r="F3146" s="38"/>
      <c r="G3146" s="38"/>
      <c r="H3146" s="38"/>
      <c r="I3146" s="37"/>
      <c r="J3146" s="38"/>
      <c r="K3146" s="38"/>
      <c r="L3146" s="42"/>
      <c r="M3146" s="42"/>
      <c r="N3146" s="42"/>
      <c r="O3146" s="42"/>
      <c r="R3146" s="37"/>
      <c r="S3146" s="37"/>
      <c r="T3146" s="91"/>
      <c r="U3146" s="91"/>
      <c r="V3146" s="41"/>
      <c r="W3146" s="37"/>
      <c r="X3146" s="37"/>
      <c r="Y3146" s="43"/>
      <c r="Z3146" s="37"/>
      <c r="AA3146" s="37"/>
      <c r="AD3146" s="37"/>
      <c r="AE3146" s="37"/>
      <c r="AF3146" s="37"/>
    </row>
    <row r="3147" spans="1:32" x14ac:dyDescent="0.25">
      <c r="A3147" s="37"/>
      <c r="B3147" s="37"/>
      <c r="C3147" s="37"/>
      <c r="F3147" s="38"/>
      <c r="G3147" s="38"/>
      <c r="H3147" s="38"/>
      <c r="I3147" s="37"/>
      <c r="J3147" s="38"/>
      <c r="K3147" s="38"/>
      <c r="L3147" s="42"/>
      <c r="M3147" s="42"/>
      <c r="N3147" s="42"/>
      <c r="O3147" s="42"/>
      <c r="R3147" s="37"/>
      <c r="S3147" s="37"/>
      <c r="T3147" s="91"/>
      <c r="U3147" s="91"/>
      <c r="V3147" s="41"/>
      <c r="W3147" s="37"/>
      <c r="X3147" s="37"/>
      <c r="Y3147" s="43"/>
      <c r="Z3147" s="37"/>
      <c r="AA3147" s="37"/>
      <c r="AD3147" s="37"/>
      <c r="AE3147" s="37"/>
      <c r="AF3147" s="37"/>
    </row>
    <row r="3148" spans="1:32" x14ac:dyDescent="0.25">
      <c r="A3148" s="37"/>
      <c r="B3148" s="37"/>
      <c r="C3148" s="37"/>
      <c r="F3148" s="38"/>
      <c r="G3148" s="38"/>
      <c r="H3148" s="38"/>
      <c r="I3148" s="37"/>
      <c r="J3148" s="38"/>
      <c r="K3148" s="38"/>
      <c r="L3148" s="42"/>
      <c r="M3148" s="42"/>
      <c r="N3148" s="42"/>
      <c r="O3148" s="42"/>
      <c r="R3148" s="37"/>
      <c r="S3148" s="37"/>
      <c r="T3148" s="91"/>
      <c r="U3148" s="91"/>
      <c r="V3148" s="41"/>
      <c r="W3148" s="37"/>
      <c r="X3148" s="37"/>
      <c r="Y3148" s="43"/>
      <c r="Z3148" s="37"/>
      <c r="AA3148" s="37"/>
      <c r="AD3148" s="37"/>
      <c r="AE3148" s="37"/>
      <c r="AF3148" s="37"/>
    </row>
    <row r="3149" spans="1:32" x14ac:dyDescent="0.25">
      <c r="A3149" s="37"/>
      <c r="B3149" s="37"/>
      <c r="C3149" s="37"/>
      <c r="F3149" s="38"/>
      <c r="G3149" s="38"/>
      <c r="H3149" s="38"/>
      <c r="I3149" s="37"/>
      <c r="J3149" s="38"/>
      <c r="K3149" s="38"/>
      <c r="L3149" s="42"/>
      <c r="M3149" s="42"/>
      <c r="N3149" s="42"/>
      <c r="O3149" s="42"/>
      <c r="R3149" s="37"/>
      <c r="S3149" s="37"/>
      <c r="T3149" s="91"/>
      <c r="U3149" s="91"/>
      <c r="V3149" s="41"/>
      <c r="W3149" s="37"/>
      <c r="X3149" s="37"/>
      <c r="Y3149" s="43"/>
      <c r="Z3149" s="37"/>
      <c r="AA3149" s="37"/>
      <c r="AD3149" s="37"/>
      <c r="AE3149" s="37"/>
      <c r="AF3149" s="37"/>
    </row>
    <row r="3150" spans="1:32" x14ac:dyDescent="0.25">
      <c r="A3150" s="37"/>
      <c r="B3150" s="37"/>
      <c r="C3150" s="37"/>
      <c r="F3150" s="38"/>
      <c r="G3150" s="38"/>
      <c r="H3150" s="38"/>
      <c r="I3150" s="37"/>
      <c r="J3150" s="38"/>
      <c r="K3150" s="38"/>
      <c r="L3150" s="42"/>
      <c r="M3150" s="42"/>
      <c r="N3150" s="42"/>
      <c r="O3150" s="42"/>
      <c r="R3150" s="37"/>
      <c r="S3150" s="37"/>
      <c r="T3150" s="91"/>
      <c r="U3150" s="91"/>
      <c r="V3150" s="41"/>
      <c r="W3150" s="37"/>
      <c r="X3150" s="37"/>
      <c r="Y3150" s="43"/>
      <c r="Z3150" s="37"/>
      <c r="AA3150" s="37"/>
      <c r="AD3150" s="37"/>
      <c r="AE3150" s="37"/>
      <c r="AF3150" s="37"/>
    </row>
    <row r="3151" spans="1:32" x14ac:dyDescent="0.25">
      <c r="A3151" s="37"/>
      <c r="B3151" s="37"/>
      <c r="C3151" s="37"/>
      <c r="F3151" s="38"/>
      <c r="G3151" s="38"/>
      <c r="H3151" s="38"/>
      <c r="I3151" s="37"/>
      <c r="J3151" s="38"/>
      <c r="K3151" s="38"/>
      <c r="L3151" s="42"/>
      <c r="M3151" s="42"/>
      <c r="N3151" s="42"/>
      <c r="O3151" s="42"/>
      <c r="R3151" s="37"/>
      <c r="S3151" s="37"/>
      <c r="T3151" s="91"/>
      <c r="U3151" s="91"/>
      <c r="V3151" s="41"/>
      <c r="W3151" s="37"/>
      <c r="X3151" s="37"/>
      <c r="Y3151" s="43"/>
      <c r="Z3151" s="37"/>
      <c r="AA3151" s="37"/>
      <c r="AD3151" s="37"/>
      <c r="AE3151" s="37"/>
      <c r="AF3151" s="37"/>
    </row>
    <row r="3152" spans="1:32" x14ac:dyDescent="0.25">
      <c r="A3152" s="37"/>
      <c r="B3152" s="37"/>
      <c r="C3152" s="37"/>
      <c r="F3152" s="38"/>
      <c r="G3152" s="38"/>
      <c r="H3152" s="38"/>
      <c r="I3152" s="37"/>
      <c r="J3152" s="38"/>
      <c r="K3152" s="38"/>
      <c r="L3152" s="42"/>
      <c r="M3152" s="42"/>
      <c r="N3152" s="42"/>
      <c r="O3152" s="42"/>
      <c r="R3152" s="37"/>
      <c r="S3152" s="37"/>
      <c r="T3152" s="91"/>
      <c r="U3152" s="91"/>
      <c r="V3152" s="41"/>
      <c r="W3152" s="37"/>
      <c r="X3152" s="37"/>
      <c r="Y3152" s="43"/>
      <c r="Z3152" s="37"/>
      <c r="AA3152" s="37"/>
      <c r="AD3152" s="37"/>
      <c r="AE3152" s="37"/>
      <c r="AF3152" s="37"/>
    </row>
    <row r="3153" spans="1:32" x14ac:dyDescent="0.25">
      <c r="A3153" s="37"/>
      <c r="B3153" s="37"/>
      <c r="C3153" s="37"/>
      <c r="F3153" s="38"/>
      <c r="G3153" s="38"/>
      <c r="H3153" s="38"/>
      <c r="I3153" s="37"/>
      <c r="J3153" s="38"/>
      <c r="K3153" s="38"/>
      <c r="L3153" s="42"/>
      <c r="M3153" s="42"/>
      <c r="N3153" s="42"/>
      <c r="O3153" s="42"/>
      <c r="R3153" s="37"/>
      <c r="S3153" s="37"/>
      <c r="T3153" s="91"/>
      <c r="U3153" s="91"/>
      <c r="V3153" s="41"/>
      <c r="W3153" s="37"/>
      <c r="X3153" s="37"/>
      <c r="Y3153" s="43"/>
      <c r="Z3153" s="37"/>
      <c r="AA3153" s="37"/>
      <c r="AD3153" s="37"/>
      <c r="AE3153" s="37"/>
      <c r="AF3153" s="37"/>
    </row>
    <row r="3154" spans="1:32" x14ac:dyDescent="0.25">
      <c r="A3154" s="37"/>
      <c r="B3154" s="37"/>
      <c r="C3154" s="37"/>
      <c r="F3154" s="38"/>
      <c r="G3154" s="38"/>
      <c r="H3154" s="38"/>
      <c r="I3154" s="37"/>
      <c r="J3154" s="38"/>
      <c r="K3154" s="38"/>
      <c r="L3154" s="42"/>
      <c r="M3154" s="42"/>
      <c r="N3154" s="42"/>
      <c r="O3154" s="42"/>
      <c r="R3154" s="37"/>
      <c r="S3154" s="37"/>
      <c r="T3154" s="91"/>
      <c r="U3154" s="91"/>
      <c r="V3154" s="41"/>
      <c r="W3154" s="37"/>
      <c r="X3154" s="37"/>
      <c r="Y3154" s="43"/>
      <c r="Z3154" s="37"/>
      <c r="AA3154" s="37"/>
      <c r="AD3154" s="37"/>
      <c r="AE3154" s="37"/>
      <c r="AF3154" s="37"/>
    </row>
    <row r="3155" spans="1:32" x14ac:dyDescent="0.25">
      <c r="A3155" s="37"/>
      <c r="B3155" s="37"/>
      <c r="C3155" s="37"/>
      <c r="F3155" s="38"/>
      <c r="G3155" s="38"/>
      <c r="H3155" s="38"/>
      <c r="I3155" s="37"/>
      <c r="J3155" s="38"/>
      <c r="K3155" s="38"/>
      <c r="L3155" s="42"/>
      <c r="M3155" s="42"/>
      <c r="N3155" s="42"/>
      <c r="O3155" s="42"/>
      <c r="R3155" s="37"/>
      <c r="S3155" s="37"/>
      <c r="T3155" s="91"/>
      <c r="U3155" s="91"/>
      <c r="V3155" s="41"/>
      <c r="W3155" s="37"/>
      <c r="X3155" s="37"/>
      <c r="Y3155" s="43"/>
      <c r="Z3155" s="37"/>
      <c r="AA3155" s="37"/>
      <c r="AD3155" s="37"/>
      <c r="AE3155" s="37"/>
      <c r="AF3155" s="37"/>
    </row>
    <row r="3156" spans="1:32" x14ac:dyDescent="0.25">
      <c r="A3156" s="37"/>
      <c r="B3156" s="37"/>
      <c r="C3156" s="37"/>
      <c r="F3156" s="38"/>
      <c r="G3156" s="38"/>
      <c r="H3156" s="38"/>
      <c r="I3156" s="37"/>
      <c r="J3156" s="38"/>
      <c r="K3156" s="38"/>
      <c r="L3156" s="42"/>
      <c r="M3156" s="42"/>
      <c r="N3156" s="42"/>
      <c r="O3156" s="42"/>
      <c r="R3156" s="37"/>
      <c r="S3156" s="37"/>
      <c r="T3156" s="91"/>
      <c r="U3156" s="91"/>
      <c r="V3156" s="41"/>
      <c r="W3156" s="37"/>
      <c r="X3156" s="37"/>
      <c r="Y3156" s="43"/>
      <c r="Z3156" s="37"/>
      <c r="AA3156" s="37"/>
      <c r="AD3156" s="37"/>
      <c r="AE3156" s="37"/>
      <c r="AF3156" s="37"/>
    </row>
    <row r="3157" spans="1:32" x14ac:dyDescent="0.25">
      <c r="A3157" s="37"/>
      <c r="B3157" s="37"/>
      <c r="C3157" s="37"/>
      <c r="F3157" s="38"/>
      <c r="G3157" s="38"/>
      <c r="H3157" s="38"/>
      <c r="I3157" s="37"/>
      <c r="J3157" s="38"/>
      <c r="K3157" s="38"/>
      <c r="L3157" s="42"/>
      <c r="M3157" s="42"/>
      <c r="N3157" s="42"/>
      <c r="O3157" s="42"/>
      <c r="R3157" s="37"/>
      <c r="S3157" s="37"/>
      <c r="T3157" s="91"/>
      <c r="U3157" s="91"/>
      <c r="V3157" s="41"/>
      <c r="W3157" s="37"/>
      <c r="X3157" s="37"/>
      <c r="Y3157" s="43"/>
      <c r="Z3157" s="37"/>
      <c r="AA3157" s="37"/>
      <c r="AD3157" s="37"/>
      <c r="AE3157" s="37"/>
      <c r="AF3157" s="37"/>
    </row>
    <row r="3158" spans="1:32" x14ac:dyDescent="0.25">
      <c r="A3158" s="37"/>
      <c r="B3158" s="37"/>
      <c r="C3158" s="37"/>
      <c r="F3158" s="38"/>
      <c r="G3158" s="38"/>
      <c r="H3158" s="38"/>
      <c r="I3158" s="37"/>
      <c r="J3158" s="38"/>
      <c r="K3158" s="38"/>
      <c r="L3158" s="42"/>
      <c r="M3158" s="42"/>
      <c r="N3158" s="42"/>
      <c r="O3158" s="42"/>
      <c r="R3158" s="37"/>
      <c r="S3158" s="37"/>
      <c r="T3158" s="91"/>
      <c r="U3158" s="91"/>
      <c r="V3158" s="41"/>
      <c r="W3158" s="37"/>
      <c r="X3158" s="37"/>
      <c r="Y3158" s="43"/>
      <c r="Z3158" s="37"/>
      <c r="AA3158" s="37"/>
      <c r="AD3158" s="37"/>
      <c r="AE3158" s="37"/>
      <c r="AF3158" s="37"/>
    </row>
    <row r="3159" spans="1:32" x14ac:dyDescent="0.25">
      <c r="A3159" s="37"/>
      <c r="B3159" s="37"/>
      <c r="C3159" s="37"/>
      <c r="F3159" s="38"/>
      <c r="G3159" s="38"/>
      <c r="H3159" s="38"/>
      <c r="I3159" s="37"/>
      <c r="J3159" s="38"/>
      <c r="K3159" s="38"/>
      <c r="L3159" s="42"/>
      <c r="M3159" s="42"/>
      <c r="N3159" s="42"/>
      <c r="O3159" s="42"/>
      <c r="R3159" s="37"/>
      <c r="S3159" s="37"/>
      <c r="T3159" s="91"/>
      <c r="U3159" s="91"/>
      <c r="V3159" s="41"/>
      <c r="W3159" s="37"/>
      <c r="X3159" s="37"/>
      <c r="Y3159" s="43"/>
      <c r="Z3159" s="37"/>
      <c r="AA3159" s="37"/>
      <c r="AD3159" s="37"/>
      <c r="AE3159" s="37"/>
      <c r="AF3159" s="37"/>
    </row>
    <row r="3160" spans="1:32" x14ac:dyDescent="0.25">
      <c r="A3160" s="37"/>
      <c r="B3160" s="37"/>
      <c r="C3160" s="37"/>
      <c r="F3160" s="38"/>
      <c r="G3160" s="38"/>
      <c r="H3160" s="38"/>
      <c r="I3160" s="37"/>
      <c r="J3160" s="38"/>
      <c r="K3160" s="38"/>
      <c r="L3160" s="42"/>
      <c r="M3160" s="42"/>
      <c r="N3160" s="42"/>
      <c r="O3160" s="42"/>
      <c r="R3160" s="37"/>
      <c r="S3160" s="37"/>
      <c r="T3160" s="91"/>
      <c r="U3160" s="91"/>
      <c r="V3160" s="41"/>
      <c r="W3160" s="37"/>
      <c r="X3160" s="37"/>
      <c r="Y3160" s="43"/>
      <c r="Z3160" s="37"/>
      <c r="AA3160" s="37"/>
      <c r="AD3160" s="37"/>
      <c r="AE3160" s="37"/>
      <c r="AF3160" s="37"/>
    </row>
    <row r="3161" spans="1:32" x14ac:dyDescent="0.25">
      <c r="A3161" s="37"/>
      <c r="B3161" s="37"/>
      <c r="C3161" s="37"/>
      <c r="F3161" s="38"/>
      <c r="G3161" s="38"/>
      <c r="H3161" s="38"/>
      <c r="I3161" s="37"/>
      <c r="J3161" s="38"/>
      <c r="K3161" s="38"/>
      <c r="L3161" s="42"/>
      <c r="M3161" s="42"/>
      <c r="N3161" s="42"/>
      <c r="O3161" s="42"/>
      <c r="R3161" s="37"/>
      <c r="S3161" s="37"/>
      <c r="T3161" s="91"/>
      <c r="U3161" s="91"/>
      <c r="V3161" s="41"/>
      <c r="W3161" s="37"/>
      <c r="X3161" s="37"/>
      <c r="Y3161" s="43"/>
      <c r="Z3161" s="37"/>
      <c r="AA3161" s="37"/>
      <c r="AD3161" s="37"/>
      <c r="AE3161" s="37"/>
      <c r="AF3161" s="37"/>
    </row>
    <row r="3162" spans="1:32" x14ac:dyDescent="0.25">
      <c r="A3162" s="37"/>
      <c r="B3162" s="37"/>
      <c r="C3162" s="37"/>
      <c r="F3162" s="38"/>
      <c r="G3162" s="38"/>
      <c r="H3162" s="38"/>
      <c r="I3162" s="37"/>
      <c r="J3162" s="38"/>
      <c r="K3162" s="38"/>
      <c r="L3162" s="42"/>
      <c r="M3162" s="42"/>
      <c r="N3162" s="42"/>
      <c r="O3162" s="42"/>
      <c r="R3162" s="37"/>
      <c r="S3162" s="37"/>
      <c r="T3162" s="91"/>
      <c r="U3162" s="91"/>
      <c r="V3162" s="41"/>
      <c r="W3162" s="37"/>
      <c r="X3162" s="37"/>
      <c r="Y3162" s="43"/>
      <c r="Z3162" s="37"/>
      <c r="AA3162" s="37"/>
      <c r="AD3162" s="37"/>
      <c r="AE3162" s="37"/>
      <c r="AF3162" s="37"/>
    </row>
    <row r="3163" spans="1:32" x14ac:dyDescent="0.25">
      <c r="A3163" s="37"/>
      <c r="B3163" s="37"/>
      <c r="C3163" s="37"/>
      <c r="F3163" s="38"/>
      <c r="G3163" s="38"/>
      <c r="H3163" s="38"/>
      <c r="I3163" s="37"/>
      <c r="J3163" s="38"/>
      <c r="K3163" s="38"/>
      <c r="L3163" s="42"/>
      <c r="M3163" s="42"/>
      <c r="N3163" s="42"/>
      <c r="O3163" s="42"/>
      <c r="R3163" s="37"/>
      <c r="S3163" s="37"/>
      <c r="T3163" s="91"/>
      <c r="U3163" s="91"/>
      <c r="V3163" s="41"/>
      <c r="W3163" s="37"/>
      <c r="X3163" s="37"/>
      <c r="Y3163" s="43"/>
      <c r="Z3163" s="37"/>
      <c r="AA3163" s="37"/>
      <c r="AD3163" s="37"/>
      <c r="AE3163" s="37"/>
      <c r="AF3163" s="37"/>
    </row>
    <row r="3164" spans="1:32" x14ac:dyDescent="0.25">
      <c r="A3164" s="37"/>
      <c r="B3164" s="37"/>
      <c r="C3164" s="37"/>
      <c r="F3164" s="38"/>
      <c r="G3164" s="38"/>
      <c r="H3164" s="38"/>
      <c r="I3164" s="37"/>
      <c r="J3164" s="38"/>
      <c r="K3164" s="38"/>
      <c r="L3164" s="42"/>
      <c r="M3164" s="42"/>
      <c r="N3164" s="42"/>
      <c r="O3164" s="42"/>
      <c r="R3164" s="37"/>
      <c r="S3164" s="37"/>
      <c r="T3164" s="91"/>
      <c r="U3164" s="91"/>
      <c r="V3164" s="41"/>
      <c r="W3164" s="37"/>
      <c r="X3164" s="37"/>
      <c r="Y3164" s="43"/>
      <c r="Z3164" s="37"/>
      <c r="AA3164" s="37"/>
      <c r="AD3164" s="37"/>
      <c r="AE3164" s="37"/>
      <c r="AF3164" s="37"/>
    </row>
    <row r="3165" spans="1:32" x14ac:dyDescent="0.25">
      <c r="A3165" s="37"/>
      <c r="B3165" s="37"/>
      <c r="C3165" s="37"/>
      <c r="F3165" s="38"/>
      <c r="G3165" s="38"/>
      <c r="H3165" s="38"/>
      <c r="I3165" s="37"/>
      <c r="J3165" s="38"/>
      <c r="K3165" s="38"/>
      <c r="L3165" s="42"/>
      <c r="M3165" s="42"/>
      <c r="N3165" s="42"/>
      <c r="O3165" s="42"/>
      <c r="R3165" s="37"/>
      <c r="S3165" s="37"/>
      <c r="T3165" s="91"/>
      <c r="U3165" s="91"/>
      <c r="V3165" s="41"/>
      <c r="W3165" s="37"/>
      <c r="X3165" s="37"/>
      <c r="Y3165" s="43"/>
      <c r="Z3165" s="37"/>
      <c r="AA3165" s="37"/>
      <c r="AD3165" s="37"/>
      <c r="AE3165" s="37"/>
      <c r="AF3165" s="37"/>
    </row>
    <row r="3166" spans="1:32" x14ac:dyDescent="0.25">
      <c r="A3166" s="37"/>
      <c r="B3166" s="37"/>
      <c r="C3166" s="37"/>
      <c r="F3166" s="38"/>
      <c r="G3166" s="38"/>
      <c r="H3166" s="38"/>
      <c r="I3166" s="37"/>
      <c r="J3166" s="38"/>
      <c r="K3166" s="38"/>
      <c r="L3166" s="42"/>
      <c r="M3166" s="42"/>
      <c r="N3166" s="42"/>
      <c r="O3166" s="42"/>
      <c r="R3166" s="37"/>
      <c r="S3166" s="37"/>
      <c r="T3166" s="91"/>
      <c r="U3166" s="91"/>
      <c r="V3166" s="41"/>
      <c r="W3166" s="37"/>
      <c r="X3166" s="37"/>
      <c r="Y3166" s="43"/>
      <c r="Z3166" s="37"/>
      <c r="AA3166" s="37"/>
      <c r="AD3166" s="37"/>
      <c r="AE3166" s="37"/>
      <c r="AF3166" s="37"/>
    </row>
    <row r="3167" spans="1:32" x14ac:dyDescent="0.25">
      <c r="A3167" s="37"/>
      <c r="B3167" s="37"/>
      <c r="C3167" s="37"/>
      <c r="F3167" s="38"/>
      <c r="G3167" s="38"/>
      <c r="H3167" s="38"/>
      <c r="I3167" s="37"/>
      <c r="J3167" s="38"/>
      <c r="K3167" s="38"/>
      <c r="L3167" s="42"/>
      <c r="M3167" s="42"/>
      <c r="N3167" s="42"/>
      <c r="O3167" s="42"/>
      <c r="R3167" s="37"/>
      <c r="S3167" s="37"/>
      <c r="T3167" s="91"/>
      <c r="U3167" s="91"/>
      <c r="V3167" s="41"/>
      <c r="W3167" s="37"/>
      <c r="X3167" s="37"/>
      <c r="Y3167" s="43"/>
      <c r="Z3167" s="37"/>
      <c r="AA3167" s="37"/>
      <c r="AD3167" s="37"/>
      <c r="AE3167" s="37"/>
      <c r="AF3167" s="37"/>
    </row>
    <row r="3168" spans="1:32" x14ac:dyDescent="0.25">
      <c r="A3168" s="37"/>
      <c r="B3168" s="37"/>
      <c r="C3168" s="37"/>
      <c r="F3168" s="38"/>
      <c r="G3168" s="38"/>
      <c r="H3168" s="38"/>
      <c r="I3168" s="37"/>
      <c r="J3168" s="38"/>
      <c r="K3168" s="38"/>
      <c r="L3168" s="42"/>
      <c r="M3168" s="42"/>
      <c r="N3168" s="42"/>
      <c r="O3168" s="42"/>
      <c r="R3168" s="37"/>
      <c r="S3168" s="37"/>
      <c r="T3168" s="91"/>
      <c r="U3168" s="91"/>
      <c r="V3168" s="41"/>
      <c r="W3168" s="37"/>
      <c r="X3168" s="37"/>
      <c r="Y3168" s="43"/>
      <c r="Z3168" s="37"/>
      <c r="AA3168" s="37"/>
      <c r="AD3168" s="37"/>
      <c r="AE3168" s="37"/>
      <c r="AF3168" s="37"/>
    </row>
    <row r="3169" spans="1:32" x14ac:dyDescent="0.25">
      <c r="A3169" s="37"/>
      <c r="B3169" s="37"/>
      <c r="C3169" s="37"/>
      <c r="F3169" s="38"/>
      <c r="G3169" s="38"/>
      <c r="H3169" s="38"/>
      <c r="I3169" s="37"/>
      <c r="J3169" s="38"/>
      <c r="K3169" s="38"/>
      <c r="L3169" s="42"/>
      <c r="M3169" s="42"/>
      <c r="N3169" s="42"/>
      <c r="O3169" s="42"/>
      <c r="R3169" s="37"/>
      <c r="S3169" s="37"/>
      <c r="T3169" s="91"/>
      <c r="U3169" s="91"/>
      <c r="V3169" s="41"/>
      <c r="W3169" s="37"/>
      <c r="X3169" s="37"/>
      <c r="Y3169" s="43"/>
      <c r="Z3169" s="37"/>
      <c r="AA3169" s="37"/>
      <c r="AD3169" s="37"/>
      <c r="AE3169" s="37"/>
      <c r="AF3169" s="37"/>
    </row>
    <row r="3170" spans="1:32" x14ac:dyDescent="0.25">
      <c r="A3170" s="37"/>
      <c r="B3170" s="37"/>
      <c r="C3170" s="37"/>
      <c r="F3170" s="38"/>
      <c r="G3170" s="38"/>
      <c r="H3170" s="38"/>
      <c r="I3170" s="37"/>
      <c r="J3170" s="38"/>
      <c r="K3170" s="38"/>
      <c r="L3170" s="42"/>
      <c r="M3170" s="42"/>
      <c r="N3170" s="42"/>
      <c r="O3170" s="42"/>
      <c r="R3170" s="37"/>
      <c r="S3170" s="37"/>
      <c r="T3170" s="91"/>
      <c r="U3170" s="91"/>
      <c r="V3170" s="41"/>
      <c r="W3170" s="37"/>
      <c r="X3170" s="37"/>
      <c r="Y3170" s="43"/>
      <c r="Z3170" s="37"/>
      <c r="AA3170" s="37"/>
      <c r="AD3170" s="37"/>
      <c r="AE3170" s="37"/>
      <c r="AF3170" s="37"/>
    </row>
    <row r="3171" spans="1:32" x14ac:dyDescent="0.25">
      <c r="A3171" s="37"/>
      <c r="B3171" s="37"/>
      <c r="C3171" s="37"/>
      <c r="F3171" s="38"/>
      <c r="G3171" s="38"/>
      <c r="H3171" s="38"/>
      <c r="I3171" s="37"/>
      <c r="J3171" s="38"/>
      <c r="K3171" s="38"/>
      <c r="L3171" s="42"/>
      <c r="M3171" s="42"/>
      <c r="N3171" s="42"/>
      <c r="O3171" s="42"/>
      <c r="R3171" s="37"/>
      <c r="S3171" s="37"/>
      <c r="T3171" s="91"/>
      <c r="U3171" s="91"/>
      <c r="V3171" s="41"/>
      <c r="W3171" s="37"/>
      <c r="X3171" s="37"/>
      <c r="Y3171" s="43"/>
      <c r="Z3171" s="37"/>
      <c r="AA3171" s="37"/>
      <c r="AD3171" s="37"/>
      <c r="AE3171" s="37"/>
      <c r="AF3171" s="37"/>
    </row>
    <row r="3172" spans="1:32" x14ac:dyDescent="0.25">
      <c r="A3172" s="37"/>
      <c r="B3172" s="37"/>
      <c r="C3172" s="37"/>
      <c r="F3172" s="38"/>
      <c r="G3172" s="38"/>
      <c r="H3172" s="38"/>
      <c r="I3172" s="37"/>
      <c r="J3172" s="38"/>
      <c r="K3172" s="38"/>
      <c r="L3172" s="42"/>
      <c r="M3172" s="42"/>
      <c r="N3172" s="42"/>
      <c r="O3172" s="42"/>
      <c r="R3172" s="37"/>
      <c r="S3172" s="37"/>
      <c r="T3172" s="91"/>
      <c r="U3172" s="91"/>
      <c r="V3172" s="41"/>
      <c r="W3172" s="37"/>
      <c r="X3172" s="37"/>
      <c r="Y3172" s="43"/>
      <c r="Z3172" s="37"/>
      <c r="AA3172" s="37"/>
      <c r="AD3172" s="37"/>
      <c r="AE3172" s="37"/>
      <c r="AF3172" s="37"/>
    </row>
    <row r="3173" spans="1:32" x14ac:dyDescent="0.25">
      <c r="A3173" s="37"/>
      <c r="B3173" s="37"/>
      <c r="C3173" s="37"/>
      <c r="F3173" s="38"/>
      <c r="G3173" s="38"/>
      <c r="H3173" s="38"/>
      <c r="I3173" s="37"/>
      <c r="J3173" s="38"/>
      <c r="K3173" s="38"/>
      <c r="L3173" s="42"/>
      <c r="M3173" s="42"/>
      <c r="N3173" s="42"/>
      <c r="O3173" s="42"/>
      <c r="R3173" s="37"/>
      <c r="S3173" s="37"/>
      <c r="T3173" s="91"/>
      <c r="U3173" s="91"/>
      <c r="V3173" s="41"/>
      <c r="W3173" s="37"/>
      <c r="X3173" s="37"/>
      <c r="Y3173" s="43"/>
      <c r="Z3173" s="37"/>
      <c r="AA3173" s="37"/>
      <c r="AD3173" s="37"/>
      <c r="AE3173" s="37"/>
      <c r="AF3173" s="37"/>
    </row>
    <row r="3174" spans="1:32" x14ac:dyDescent="0.25">
      <c r="A3174" s="37"/>
      <c r="B3174" s="37"/>
      <c r="C3174" s="37"/>
      <c r="F3174" s="38"/>
      <c r="G3174" s="38"/>
      <c r="H3174" s="38"/>
      <c r="I3174" s="37"/>
      <c r="J3174" s="38"/>
      <c r="K3174" s="38"/>
      <c r="L3174" s="42"/>
      <c r="M3174" s="42"/>
      <c r="N3174" s="42"/>
      <c r="O3174" s="42"/>
      <c r="R3174" s="37"/>
      <c r="S3174" s="37"/>
      <c r="T3174" s="91"/>
      <c r="U3174" s="91"/>
      <c r="V3174" s="41"/>
      <c r="W3174" s="37"/>
      <c r="X3174" s="37"/>
      <c r="Y3174" s="43"/>
      <c r="Z3174" s="37"/>
      <c r="AA3174" s="37"/>
      <c r="AD3174" s="37"/>
      <c r="AE3174" s="37"/>
      <c r="AF3174" s="37"/>
    </row>
    <row r="3175" spans="1:32" x14ac:dyDescent="0.25">
      <c r="A3175" s="37"/>
      <c r="B3175" s="37"/>
      <c r="C3175" s="37"/>
      <c r="F3175" s="38"/>
      <c r="G3175" s="38"/>
      <c r="H3175" s="38"/>
      <c r="I3175" s="37"/>
      <c r="J3175" s="38"/>
      <c r="K3175" s="38"/>
      <c r="L3175" s="42"/>
      <c r="M3175" s="42"/>
      <c r="N3175" s="42"/>
      <c r="O3175" s="42"/>
      <c r="R3175" s="37"/>
      <c r="S3175" s="37"/>
      <c r="T3175" s="91"/>
      <c r="U3175" s="91"/>
      <c r="V3175" s="41"/>
      <c r="W3175" s="37"/>
      <c r="X3175" s="37"/>
      <c r="Y3175" s="43"/>
      <c r="Z3175" s="37"/>
      <c r="AA3175" s="37"/>
      <c r="AD3175" s="37"/>
      <c r="AE3175" s="37"/>
      <c r="AF3175" s="37"/>
    </row>
    <row r="3176" spans="1:32" x14ac:dyDescent="0.25">
      <c r="A3176" s="37"/>
      <c r="B3176" s="37"/>
      <c r="C3176" s="37"/>
      <c r="F3176" s="38"/>
      <c r="G3176" s="38"/>
      <c r="H3176" s="38"/>
      <c r="I3176" s="37"/>
      <c r="J3176" s="38"/>
      <c r="K3176" s="38"/>
      <c r="L3176" s="42"/>
      <c r="M3176" s="42"/>
      <c r="N3176" s="42"/>
      <c r="O3176" s="42"/>
      <c r="R3176" s="37"/>
      <c r="S3176" s="37"/>
      <c r="T3176" s="91"/>
      <c r="U3176" s="91"/>
      <c r="V3176" s="41"/>
      <c r="W3176" s="37"/>
      <c r="X3176" s="37"/>
      <c r="Y3176" s="43"/>
      <c r="Z3176" s="37"/>
      <c r="AA3176" s="37"/>
      <c r="AD3176" s="37"/>
      <c r="AE3176" s="37"/>
      <c r="AF3176" s="37"/>
    </row>
    <row r="3177" spans="1:32" x14ac:dyDescent="0.25">
      <c r="A3177" s="37"/>
      <c r="B3177" s="37"/>
      <c r="C3177" s="37"/>
      <c r="F3177" s="38"/>
      <c r="G3177" s="38"/>
      <c r="H3177" s="38"/>
      <c r="I3177" s="37"/>
      <c r="J3177" s="38"/>
      <c r="K3177" s="38"/>
      <c r="L3177" s="42"/>
      <c r="M3177" s="42"/>
      <c r="N3177" s="42"/>
      <c r="O3177" s="42"/>
      <c r="R3177" s="37"/>
      <c r="S3177" s="37"/>
      <c r="T3177" s="91"/>
      <c r="U3177" s="91"/>
      <c r="V3177" s="41"/>
      <c r="W3177" s="37"/>
      <c r="X3177" s="37"/>
      <c r="Y3177" s="43"/>
      <c r="Z3177" s="37"/>
      <c r="AA3177" s="37"/>
      <c r="AD3177" s="37"/>
      <c r="AE3177" s="37"/>
      <c r="AF3177" s="37"/>
    </row>
    <row r="3178" spans="1:32" x14ac:dyDescent="0.25">
      <c r="A3178" s="37"/>
      <c r="B3178" s="37"/>
      <c r="C3178" s="37"/>
      <c r="F3178" s="38"/>
      <c r="G3178" s="38"/>
      <c r="H3178" s="38"/>
      <c r="I3178" s="37"/>
      <c r="J3178" s="38"/>
      <c r="K3178" s="38"/>
      <c r="L3178" s="42"/>
      <c r="M3178" s="42"/>
      <c r="N3178" s="42"/>
      <c r="O3178" s="42"/>
      <c r="R3178" s="37"/>
      <c r="S3178" s="37"/>
      <c r="T3178" s="91"/>
      <c r="U3178" s="91"/>
      <c r="V3178" s="41"/>
      <c r="W3178" s="37"/>
      <c r="X3178" s="37"/>
      <c r="Y3178" s="43"/>
      <c r="Z3178" s="37"/>
      <c r="AA3178" s="37"/>
      <c r="AD3178" s="37"/>
      <c r="AE3178" s="37"/>
      <c r="AF3178" s="37"/>
    </row>
    <row r="3179" spans="1:32" x14ac:dyDescent="0.25">
      <c r="A3179" s="37"/>
      <c r="B3179" s="37"/>
      <c r="C3179" s="37"/>
      <c r="F3179" s="38"/>
      <c r="G3179" s="38"/>
      <c r="H3179" s="38"/>
      <c r="I3179" s="37"/>
      <c r="J3179" s="38"/>
      <c r="K3179" s="38"/>
      <c r="L3179" s="42"/>
      <c r="M3179" s="42"/>
      <c r="N3179" s="42"/>
      <c r="O3179" s="42"/>
      <c r="R3179" s="37"/>
      <c r="S3179" s="37"/>
      <c r="T3179" s="91"/>
      <c r="U3179" s="91"/>
      <c r="V3179" s="41"/>
      <c r="W3179" s="37"/>
      <c r="X3179" s="37"/>
      <c r="Y3179" s="43"/>
      <c r="Z3179" s="37"/>
      <c r="AA3179" s="37"/>
      <c r="AD3179" s="37"/>
      <c r="AE3179" s="37"/>
      <c r="AF3179" s="37"/>
    </row>
    <row r="3180" spans="1:32" x14ac:dyDescent="0.25">
      <c r="A3180" s="37"/>
      <c r="B3180" s="37"/>
      <c r="C3180" s="37"/>
      <c r="F3180" s="38"/>
      <c r="G3180" s="38"/>
      <c r="H3180" s="38"/>
      <c r="I3180" s="37"/>
      <c r="J3180" s="38"/>
      <c r="K3180" s="38"/>
      <c r="L3180" s="42"/>
      <c r="M3180" s="42"/>
      <c r="N3180" s="42"/>
      <c r="O3180" s="42"/>
      <c r="R3180" s="37"/>
      <c r="S3180" s="37"/>
      <c r="T3180" s="91"/>
      <c r="U3180" s="91"/>
      <c r="V3180" s="41"/>
      <c r="W3180" s="37"/>
      <c r="X3180" s="37"/>
      <c r="Y3180" s="43"/>
      <c r="Z3180" s="37"/>
      <c r="AA3180" s="37"/>
      <c r="AD3180" s="37"/>
      <c r="AE3180" s="37"/>
      <c r="AF3180" s="37"/>
    </row>
    <row r="3181" spans="1:32" x14ac:dyDescent="0.25">
      <c r="A3181" s="37"/>
      <c r="B3181" s="37"/>
      <c r="C3181" s="37"/>
      <c r="F3181" s="38"/>
      <c r="G3181" s="38"/>
      <c r="H3181" s="38"/>
      <c r="I3181" s="37"/>
      <c r="J3181" s="38"/>
      <c r="K3181" s="38"/>
      <c r="L3181" s="42"/>
      <c r="M3181" s="42"/>
      <c r="N3181" s="42"/>
      <c r="O3181" s="42"/>
      <c r="R3181" s="37"/>
      <c r="S3181" s="37"/>
      <c r="T3181" s="91"/>
      <c r="U3181" s="91"/>
      <c r="V3181" s="41"/>
      <c r="W3181" s="37"/>
      <c r="X3181" s="37"/>
      <c r="Y3181" s="43"/>
      <c r="Z3181" s="37"/>
      <c r="AA3181" s="37"/>
      <c r="AD3181" s="37"/>
      <c r="AE3181" s="37"/>
      <c r="AF3181" s="37"/>
    </row>
    <row r="3182" spans="1:32" x14ac:dyDescent="0.25">
      <c r="A3182" s="37"/>
      <c r="B3182" s="37"/>
      <c r="C3182" s="37"/>
      <c r="F3182" s="38"/>
      <c r="G3182" s="38"/>
      <c r="H3182" s="38"/>
      <c r="I3182" s="37"/>
      <c r="J3182" s="38"/>
      <c r="K3182" s="38"/>
      <c r="L3182" s="42"/>
      <c r="M3182" s="42"/>
      <c r="N3182" s="42"/>
      <c r="O3182" s="42"/>
      <c r="R3182" s="37"/>
      <c r="S3182" s="37"/>
      <c r="T3182" s="91"/>
      <c r="U3182" s="91"/>
      <c r="V3182" s="41"/>
      <c r="W3182" s="37"/>
      <c r="X3182" s="37"/>
      <c r="Y3182" s="43"/>
      <c r="Z3182" s="37"/>
      <c r="AA3182" s="37"/>
      <c r="AD3182" s="37"/>
      <c r="AE3182" s="37"/>
      <c r="AF3182" s="37"/>
    </row>
    <row r="3183" spans="1:32" x14ac:dyDescent="0.25">
      <c r="A3183" s="37"/>
      <c r="B3183" s="37"/>
      <c r="C3183" s="37"/>
      <c r="F3183" s="38"/>
      <c r="G3183" s="38"/>
      <c r="H3183" s="38"/>
      <c r="I3183" s="37"/>
      <c r="J3183" s="38"/>
      <c r="K3183" s="38"/>
      <c r="L3183" s="42"/>
      <c r="M3183" s="42"/>
      <c r="N3183" s="42"/>
      <c r="O3183" s="42"/>
      <c r="R3183" s="37"/>
      <c r="S3183" s="37"/>
      <c r="T3183" s="91"/>
      <c r="U3183" s="91"/>
      <c r="V3183" s="41"/>
      <c r="W3183" s="37"/>
      <c r="X3183" s="37"/>
      <c r="Y3183" s="43"/>
      <c r="Z3183" s="37"/>
      <c r="AA3183" s="37"/>
      <c r="AD3183" s="37"/>
      <c r="AE3183" s="37"/>
      <c r="AF3183" s="37"/>
    </row>
    <row r="3184" spans="1:32" x14ac:dyDescent="0.25">
      <c r="A3184" s="37"/>
      <c r="B3184" s="37"/>
      <c r="C3184" s="37"/>
      <c r="F3184" s="38"/>
      <c r="G3184" s="38"/>
      <c r="H3184" s="38"/>
      <c r="I3184" s="37"/>
      <c r="J3184" s="38"/>
      <c r="K3184" s="38"/>
      <c r="L3184" s="42"/>
      <c r="M3184" s="42"/>
      <c r="N3184" s="42"/>
      <c r="O3184" s="42"/>
      <c r="R3184" s="37"/>
      <c r="S3184" s="37"/>
      <c r="T3184" s="91"/>
      <c r="U3184" s="91"/>
      <c r="V3184" s="41"/>
      <c r="W3184" s="37"/>
      <c r="X3184" s="37"/>
      <c r="Y3184" s="43"/>
      <c r="Z3184" s="37"/>
      <c r="AA3184" s="37"/>
      <c r="AD3184" s="37"/>
      <c r="AE3184" s="37"/>
      <c r="AF3184" s="37"/>
    </row>
    <row r="3185" spans="1:32" x14ac:dyDescent="0.25">
      <c r="A3185" s="37"/>
      <c r="B3185" s="37"/>
      <c r="C3185" s="37"/>
      <c r="F3185" s="38"/>
      <c r="G3185" s="38"/>
      <c r="H3185" s="38"/>
      <c r="I3185" s="37"/>
      <c r="J3185" s="38"/>
      <c r="K3185" s="38"/>
      <c r="L3185" s="42"/>
      <c r="M3185" s="42"/>
      <c r="N3185" s="42"/>
      <c r="O3185" s="42"/>
      <c r="R3185" s="37"/>
      <c r="S3185" s="37"/>
      <c r="T3185" s="91"/>
      <c r="U3185" s="91"/>
      <c r="V3185" s="41"/>
      <c r="W3185" s="37"/>
      <c r="X3185" s="37"/>
      <c r="Y3185" s="43"/>
      <c r="Z3185" s="37"/>
      <c r="AA3185" s="37"/>
      <c r="AD3185" s="37"/>
      <c r="AE3185" s="37"/>
      <c r="AF3185" s="37"/>
    </row>
    <row r="3186" spans="1:32" x14ac:dyDescent="0.25">
      <c r="A3186" s="37"/>
      <c r="B3186" s="37"/>
      <c r="C3186" s="37"/>
      <c r="F3186" s="38"/>
      <c r="G3186" s="38"/>
      <c r="H3186" s="38"/>
      <c r="I3186" s="37"/>
      <c r="J3186" s="38"/>
      <c r="K3186" s="38"/>
      <c r="L3186" s="42"/>
      <c r="M3186" s="42"/>
      <c r="N3186" s="42"/>
      <c r="O3186" s="42"/>
      <c r="R3186" s="37"/>
      <c r="S3186" s="37"/>
      <c r="T3186" s="91"/>
      <c r="U3186" s="91"/>
      <c r="V3186" s="41"/>
      <c r="W3186" s="37"/>
      <c r="X3186" s="37"/>
      <c r="Y3186" s="43"/>
      <c r="Z3186" s="37"/>
      <c r="AA3186" s="37"/>
      <c r="AD3186" s="37"/>
      <c r="AE3186" s="37"/>
      <c r="AF3186" s="37"/>
    </row>
    <row r="3187" spans="1:32" x14ac:dyDescent="0.25">
      <c r="A3187" s="37"/>
      <c r="B3187" s="37"/>
      <c r="C3187" s="37"/>
      <c r="F3187" s="38"/>
      <c r="G3187" s="38"/>
      <c r="H3187" s="38"/>
      <c r="I3187" s="37"/>
      <c r="J3187" s="38"/>
      <c r="K3187" s="38"/>
      <c r="L3187" s="42"/>
      <c r="M3187" s="42"/>
      <c r="N3187" s="42"/>
      <c r="O3187" s="42"/>
      <c r="R3187" s="37"/>
      <c r="S3187" s="37"/>
      <c r="T3187" s="91"/>
      <c r="U3187" s="91"/>
      <c r="V3187" s="41"/>
      <c r="W3187" s="37"/>
      <c r="X3187" s="37"/>
      <c r="Y3187" s="43"/>
      <c r="Z3187" s="37"/>
      <c r="AA3187" s="37"/>
      <c r="AD3187" s="37"/>
      <c r="AE3187" s="37"/>
      <c r="AF3187" s="37"/>
    </row>
    <row r="3188" spans="1:32" x14ac:dyDescent="0.25">
      <c r="A3188" s="37"/>
      <c r="B3188" s="37"/>
      <c r="C3188" s="37"/>
      <c r="F3188" s="38"/>
      <c r="G3188" s="38"/>
      <c r="H3188" s="38"/>
      <c r="I3188" s="37"/>
      <c r="J3188" s="38"/>
      <c r="K3188" s="38"/>
      <c r="L3188" s="42"/>
      <c r="M3188" s="42"/>
      <c r="N3188" s="42"/>
      <c r="O3188" s="42"/>
      <c r="R3188" s="37"/>
      <c r="S3188" s="37"/>
      <c r="T3188" s="91"/>
      <c r="U3188" s="91"/>
      <c r="V3188" s="41"/>
      <c r="W3188" s="37"/>
      <c r="X3188" s="37"/>
      <c r="Y3188" s="43"/>
      <c r="Z3188" s="37"/>
      <c r="AA3188" s="37"/>
      <c r="AD3188" s="37"/>
      <c r="AE3188" s="37"/>
      <c r="AF3188" s="37"/>
    </row>
    <row r="3189" spans="1:32" x14ac:dyDescent="0.25">
      <c r="A3189" s="37"/>
      <c r="B3189" s="37"/>
      <c r="C3189" s="37"/>
      <c r="F3189" s="38"/>
      <c r="G3189" s="38"/>
      <c r="H3189" s="38"/>
      <c r="I3189" s="37"/>
      <c r="J3189" s="38"/>
      <c r="K3189" s="38"/>
      <c r="L3189" s="42"/>
      <c r="M3189" s="42"/>
      <c r="N3189" s="42"/>
      <c r="O3189" s="42"/>
      <c r="R3189" s="37"/>
      <c r="S3189" s="37"/>
      <c r="T3189" s="91"/>
      <c r="U3189" s="91"/>
      <c r="V3189" s="41"/>
      <c r="W3189" s="37"/>
      <c r="X3189" s="37"/>
      <c r="Y3189" s="43"/>
      <c r="Z3189" s="37"/>
      <c r="AA3189" s="37"/>
      <c r="AD3189" s="37"/>
      <c r="AE3189" s="37"/>
      <c r="AF3189" s="37"/>
    </row>
    <row r="3190" spans="1:32" x14ac:dyDescent="0.25">
      <c r="A3190" s="37"/>
      <c r="B3190" s="37"/>
      <c r="C3190" s="37"/>
      <c r="F3190" s="38"/>
      <c r="G3190" s="38"/>
      <c r="H3190" s="38"/>
      <c r="I3190" s="37"/>
      <c r="J3190" s="38"/>
      <c r="K3190" s="38"/>
      <c r="L3190" s="42"/>
      <c r="M3190" s="42"/>
      <c r="N3190" s="42"/>
      <c r="O3190" s="42"/>
      <c r="R3190" s="37"/>
      <c r="S3190" s="37"/>
      <c r="T3190" s="91"/>
      <c r="U3190" s="91"/>
      <c r="V3190" s="41"/>
      <c r="W3190" s="37"/>
      <c r="X3190" s="37"/>
      <c r="Y3190" s="43"/>
      <c r="Z3190" s="37"/>
      <c r="AA3190" s="37"/>
      <c r="AD3190" s="37"/>
      <c r="AE3190" s="37"/>
      <c r="AF3190" s="37"/>
    </row>
    <row r="3191" spans="1:32" x14ac:dyDescent="0.25">
      <c r="A3191" s="37"/>
      <c r="B3191" s="37"/>
      <c r="C3191" s="37"/>
      <c r="F3191" s="38"/>
      <c r="G3191" s="38"/>
      <c r="H3191" s="38"/>
      <c r="I3191" s="37"/>
      <c r="J3191" s="38"/>
      <c r="K3191" s="38"/>
      <c r="L3191" s="42"/>
      <c r="M3191" s="42"/>
      <c r="N3191" s="42"/>
      <c r="O3191" s="42"/>
      <c r="R3191" s="37"/>
      <c r="S3191" s="37"/>
      <c r="T3191" s="91"/>
      <c r="U3191" s="91"/>
      <c r="V3191" s="41"/>
      <c r="W3191" s="37"/>
      <c r="X3191" s="37"/>
      <c r="Y3191" s="43"/>
      <c r="Z3191" s="37"/>
      <c r="AA3191" s="37"/>
      <c r="AD3191" s="37"/>
      <c r="AE3191" s="37"/>
      <c r="AF3191" s="37"/>
    </row>
    <row r="3192" spans="1:32" x14ac:dyDescent="0.25">
      <c r="A3192" s="37"/>
      <c r="B3192" s="37"/>
      <c r="C3192" s="37"/>
      <c r="F3192" s="38"/>
      <c r="G3192" s="38"/>
      <c r="H3192" s="38"/>
      <c r="I3192" s="37"/>
      <c r="J3192" s="38"/>
      <c r="K3192" s="38"/>
      <c r="L3192" s="42"/>
      <c r="M3192" s="42"/>
      <c r="N3192" s="42"/>
      <c r="O3192" s="42"/>
      <c r="R3192" s="37"/>
      <c r="S3192" s="37"/>
      <c r="T3192" s="91"/>
      <c r="U3192" s="91"/>
      <c r="V3192" s="41"/>
      <c r="W3192" s="37"/>
      <c r="X3192" s="37"/>
      <c r="Y3192" s="43"/>
      <c r="Z3192" s="37"/>
      <c r="AA3192" s="37"/>
      <c r="AD3192" s="37"/>
      <c r="AE3192" s="37"/>
      <c r="AF3192" s="37"/>
    </row>
    <row r="3193" spans="1:32" x14ac:dyDescent="0.25">
      <c r="A3193" s="37"/>
      <c r="B3193" s="37"/>
      <c r="C3193" s="37"/>
      <c r="F3193" s="38"/>
      <c r="G3193" s="38"/>
      <c r="H3193" s="38"/>
      <c r="I3193" s="37"/>
      <c r="J3193" s="38"/>
      <c r="K3193" s="38"/>
      <c r="L3193" s="42"/>
      <c r="M3193" s="42"/>
      <c r="N3193" s="42"/>
      <c r="O3193" s="42"/>
      <c r="R3193" s="37"/>
      <c r="S3193" s="37"/>
      <c r="T3193" s="91"/>
      <c r="U3193" s="91"/>
      <c r="V3193" s="41"/>
      <c r="W3193" s="37"/>
      <c r="X3193" s="37"/>
      <c r="Y3193" s="43"/>
      <c r="Z3193" s="37"/>
      <c r="AA3193" s="37"/>
      <c r="AD3193" s="37"/>
      <c r="AE3193" s="37"/>
      <c r="AF3193" s="37"/>
    </row>
    <row r="3194" spans="1:32" x14ac:dyDescent="0.25">
      <c r="A3194" s="37"/>
      <c r="B3194" s="37"/>
      <c r="C3194" s="37"/>
      <c r="F3194" s="38"/>
      <c r="G3194" s="38"/>
      <c r="H3194" s="38"/>
      <c r="I3194" s="37"/>
      <c r="J3194" s="38"/>
      <c r="K3194" s="38"/>
      <c r="L3194" s="42"/>
      <c r="M3194" s="42"/>
      <c r="N3194" s="42"/>
      <c r="O3194" s="42"/>
      <c r="R3194" s="37"/>
      <c r="S3194" s="37"/>
      <c r="T3194" s="91"/>
      <c r="U3194" s="91"/>
      <c r="V3194" s="41"/>
      <c r="W3194" s="37"/>
      <c r="X3194" s="37"/>
      <c r="Y3194" s="43"/>
      <c r="Z3194" s="37"/>
      <c r="AA3194" s="37"/>
      <c r="AD3194" s="37"/>
      <c r="AE3194" s="37"/>
      <c r="AF3194" s="37"/>
    </row>
    <row r="3195" spans="1:32" x14ac:dyDescent="0.25">
      <c r="A3195" s="37"/>
      <c r="B3195" s="37"/>
      <c r="C3195" s="37"/>
      <c r="F3195" s="38"/>
      <c r="G3195" s="38"/>
      <c r="H3195" s="38"/>
      <c r="I3195" s="37"/>
      <c r="J3195" s="38"/>
      <c r="K3195" s="38"/>
      <c r="L3195" s="42"/>
      <c r="M3195" s="42"/>
      <c r="N3195" s="42"/>
      <c r="O3195" s="42"/>
      <c r="R3195" s="37"/>
      <c r="S3195" s="37"/>
      <c r="T3195" s="91"/>
      <c r="U3195" s="91"/>
      <c r="V3195" s="41"/>
      <c r="W3195" s="37"/>
      <c r="X3195" s="37"/>
      <c r="Y3195" s="43"/>
      <c r="Z3195" s="37"/>
      <c r="AA3195" s="37"/>
      <c r="AD3195" s="37"/>
      <c r="AE3195" s="37"/>
      <c r="AF3195" s="37"/>
    </row>
    <row r="3196" spans="1:32" x14ac:dyDescent="0.25">
      <c r="A3196" s="37"/>
      <c r="B3196" s="37"/>
      <c r="C3196" s="37"/>
      <c r="F3196" s="38"/>
      <c r="G3196" s="38"/>
      <c r="H3196" s="38"/>
      <c r="I3196" s="37"/>
      <c r="J3196" s="38"/>
      <c r="K3196" s="38"/>
      <c r="L3196" s="42"/>
      <c r="M3196" s="42"/>
      <c r="N3196" s="42"/>
      <c r="O3196" s="42"/>
      <c r="R3196" s="37"/>
      <c r="S3196" s="37"/>
      <c r="T3196" s="91"/>
      <c r="U3196" s="91"/>
      <c r="V3196" s="41"/>
      <c r="W3196" s="37"/>
      <c r="X3196" s="37"/>
      <c r="Y3196" s="43"/>
      <c r="Z3196" s="37"/>
      <c r="AA3196" s="37"/>
      <c r="AD3196" s="37"/>
      <c r="AE3196" s="37"/>
      <c r="AF3196" s="37"/>
    </row>
    <row r="3197" spans="1:32" x14ac:dyDescent="0.25">
      <c r="A3197" s="37"/>
      <c r="B3197" s="37"/>
      <c r="C3197" s="37"/>
      <c r="F3197" s="38"/>
      <c r="G3197" s="38"/>
      <c r="H3197" s="38"/>
      <c r="I3197" s="37"/>
      <c r="J3197" s="38"/>
      <c r="K3197" s="38"/>
      <c r="L3197" s="42"/>
      <c r="M3197" s="42"/>
      <c r="N3197" s="42"/>
      <c r="O3197" s="42"/>
      <c r="R3197" s="37"/>
      <c r="S3197" s="37"/>
      <c r="T3197" s="91"/>
      <c r="U3197" s="91"/>
      <c r="V3197" s="41"/>
      <c r="W3197" s="37"/>
      <c r="X3197" s="37"/>
      <c r="Y3197" s="43"/>
      <c r="Z3197" s="37"/>
      <c r="AA3197" s="37"/>
      <c r="AD3197" s="37"/>
      <c r="AE3197" s="37"/>
      <c r="AF3197" s="37"/>
    </row>
    <row r="3198" spans="1:32" x14ac:dyDescent="0.25">
      <c r="A3198" s="37"/>
      <c r="B3198" s="37"/>
      <c r="C3198" s="37"/>
      <c r="F3198" s="38"/>
      <c r="G3198" s="38"/>
      <c r="H3198" s="38"/>
      <c r="I3198" s="37"/>
      <c r="J3198" s="38"/>
      <c r="K3198" s="38"/>
      <c r="L3198" s="42"/>
      <c r="M3198" s="42"/>
      <c r="N3198" s="42"/>
      <c r="O3198" s="42"/>
      <c r="R3198" s="37"/>
      <c r="S3198" s="37"/>
      <c r="T3198" s="91"/>
      <c r="U3198" s="91"/>
      <c r="V3198" s="41"/>
      <c r="W3198" s="37"/>
      <c r="X3198" s="37"/>
      <c r="Y3198" s="43"/>
      <c r="Z3198" s="37"/>
      <c r="AA3198" s="37"/>
      <c r="AD3198" s="37"/>
      <c r="AE3198" s="37"/>
      <c r="AF3198" s="37"/>
    </row>
    <row r="3199" spans="1:32" x14ac:dyDescent="0.25">
      <c r="A3199" s="37"/>
      <c r="B3199" s="37"/>
      <c r="C3199" s="37"/>
      <c r="F3199" s="38"/>
      <c r="G3199" s="38"/>
      <c r="H3199" s="38"/>
      <c r="I3199" s="37"/>
      <c r="J3199" s="38"/>
      <c r="K3199" s="38"/>
      <c r="L3199" s="42"/>
      <c r="M3199" s="42"/>
      <c r="N3199" s="42"/>
      <c r="O3199" s="42"/>
      <c r="R3199" s="37"/>
      <c r="S3199" s="37"/>
      <c r="T3199" s="91"/>
      <c r="U3199" s="91"/>
      <c r="V3199" s="41"/>
      <c r="W3199" s="37"/>
      <c r="X3199" s="37"/>
      <c r="Y3199" s="43"/>
      <c r="Z3199" s="37"/>
      <c r="AA3199" s="37"/>
      <c r="AD3199" s="37"/>
      <c r="AE3199" s="37"/>
      <c r="AF3199" s="37"/>
    </row>
    <row r="3200" spans="1:32" x14ac:dyDescent="0.25">
      <c r="A3200" s="37"/>
      <c r="B3200" s="37"/>
      <c r="C3200" s="37"/>
      <c r="F3200" s="38"/>
      <c r="G3200" s="38"/>
      <c r="H3200" s="38"/>
      <c r="I3200" s="37"/>
      <c r="J3200" s="38"/>
      <c r="K3200" s="38"/>
      <c r="L3200" s="42"/>
      <c r="M3200" s="42"/>
      <c r="N3200" s="42"/>
      <c r="O3200" s="42"/>
      <c r="R3200" s="37"/>
      <c r="S3200" s="37"/>
      <c r="T3200" s="91"/>
      <c r="U3200" s="91"/>
      <c r="V3200" s="41"/>
      <c r="W3200" s="37"/>
      <c r="X3200" s="37"/>
      <c r="Y3200" s="43"/>
      <c r="Z3200" s="37"/>
      <c r="AA3200" s="37"/>
      <c r="AD3200" s="37"/>
      <c r="AE3200" s="37"/>
      <c r="AF3200" s="37"/>
    </row>
    <row r="3201" spans="1:32" x14ac:dyDescent="0.25">
      <c r="A3201" s="37"/>
      <c r="B3201" s="37"/>
      <c r="C3201" s="37"/>
      <c r="F3201" s="38"/>
      <c r="G3201" s="38"/>
      <c r="H3201" s="38"/>
      <c r="I3201" s="37"/>
      <c r="J3201" s="38"/>
      <c r="K3201" s="38"/>
      <c r="L3201" s="42"/>
      <c r="M3201" s="42"/>
      <c r="N3201" s="42"/>
      <c r="O3201" s="42"/>
      <c r="R3201" s="37"/>
      <c r="S3201" s="37"/>
      <c r="T3201" s="91"/>
      <c r="U3201" s="91"/>
      <c r="V3201" s="41"/>
      <c r="W3201" s="37"/>
      <c r="X3201" s="37"/>
      <c r="Y3201" s="43"/>
      <c r="Z3201" s="37"/>
      <c r="AA3201" s="37"/>
      <c r="AD3201" s="37"/>
      <c r="AE3201" s="37"/>
      <c r="AF3201" s="37"/>
    </row>
    <row r="3202" spans="1:32" x14ac:dyDescent="0.25">
      <c r="A3202" s="37"/>
      <c r="B3202" s="37"/>
      <c r="C3202" s="37"/>
      <c r="F3202" s="38"/>
      <c r="G3202" s="38"/>
      <c r="H3202" s="38"/>
      <c r="I3202" s="37"/>
      <c r="J3202" s="38"/>
      <c r="K3202" s="38"/>
      <c r="L3202" s="42"/>
      <c r="M3202" s="42"/>
      <c r="N3202" s="42"/>
      <c r="O3202" s="42"/>
      <c r="R3202" s="37"/>
      <c r="S3202" s="37"/>
      <c r="T3202" s="91"/>
      <c r="U3202" s="91"/>
      <c r="V3202" s="41"/>
      <c r="W3202" s="37"/>
      <c r="X3202" s="37"/>
      <c r="Y3202" s="43"/>
      <c r="Z3202" s="37"/>
      <c r="AA3202" s="37"/>
      <c r="AD3202" s="37"/>
      <c r="AE3202" s="37"/>
      <c r="AF3202" s="37"/>
    </row>
    <row r="3203" spans="1:32" x14ac:dyDescent="0.25">
      <c r="A3203" s="37"/>
      <c r="B3203" s="37"/>
      <c r="C3203" s="37"/>
      <c r="F3203" s="38"/>
      <c r="G3203" s="38"/>
      <c r="H3203" s="38"/>
      <c r="I3203" s="37"/>
      <c r="J3203" s="38"/>
      <c r="K3203" s="38"/>
      <c r="L3203" s="42"/>
      <c r="M3203" s="42"/>
      <c r="N3203" s="42"/>
      <c r="O3203" s="42"/>
      <c r="R3203" s="37"/>
      <c r="S3203" s="37"/>
      <c r="T3203" s="91"/>
      <c r="U3203" s="91"/>
      <c r="V3203" s="41"/>
      <c r="W3203" s="37"/>
      <c r="X3203" s="37"/>
      <c r="Y3203" s="43"/>
      <c r="Z3203" s="37"/>
      <c r="AA3203" s="37"/>
      <c r="AD3203" s="37"/>
      <c r="AE3203" s="37"/>
      <c r="AF3203" s="37"/>
    </row>
    <row r="3204" spans="1:32" x14ac:dyDescent="0.25">
      <c r="A3204" s="37"/>
      <c r="B3204" s="37"/>
      <c r="C3204" s="37"/>
      <c r="F3204" s="38"/>
      <c r="G3204" s="38"/>
      <c r="H3204" s="38"/>
      <c r="I3204" s="37"/>
      <c r="J3204" s="38"/>
      <c r="K3204" s="38"/>
      <c r="L3204" s="42"/>
      <c r="M3204" s="42"/>
      <c r="N3204" s="42"/>
      <c r="O3204" s="42"/>
      <c r="R3204" s="37"/>
      <c r="S3204" s="37"/>
      <c r="T3204" s="91"/>
      <c r="U3204" s="91"/>
      <c r="V3204" s="41"/>
      <c r="W3204" s="37"/>
      <c r="X3204" s="37"/>
      <c r="Y3204" s="43"/>
      <c r="Z3204" s="37"/>
      <c r="AA3204" s="37"/>
      <c r="AD3204" s="37"/>
      <c r="AE3204" s="37"/>
      <c r="AF3204" s="37"/>
    </row>
    <row r="3205" spans="1:32" x14ac:dyDescent="0.25">
      <c r="A3205" s="37"/>
      <c r="B3205" s="37"/>
      <c r="C3205" s="37"/>
      <c r="F3205" s="38"/>
      <c r="G3205" s="38"/>
      <c r="H3205" s="38"/>
      <c r="I3205" s="37"/>
      <c r="J3205" s="38"/>
      <c r="K3205" s="38"/>
      <c r="L3205" s="42"/>
      <c r="M3205" s="42"/>
      <c r="N3205" s="42"/>
      <c r="O3205" s="42"/>
      <c r="R3205" s="37"/>
      <c r="S3205" s="37"/>
      <c r="T3205" s="91"/>
      <c r="U3205" s="91"/>
      <c r="V3205" s="41"/>
      <c r="W3205" s="37"/>
      <c r="X3205" s="37"/>
      <c r="Y3205" s="43"/>
      <c r="Z3205" s="37"/>
      <c r="AA3205" s="37"/>
      <c r="AD3205" s="37"/>
      <c r="AE3205" s="37"/>
      <c r="AF3205" s="37"/>
    </row>
    <row r="3206" spans="1:32" x14ac:dyDescent="0.25">
      <c r="A3206" s="37"/>
      <c r="B3206" s="37"/>
      <c r="C3206" s="37"/>
      <c r="F3206" s="38"/>
      <c r="G3206" s="38"/>
      <c r="H3206" s="38"/>
      <c r="I3206" s="37"/>
      <c r="J3206" s="38"/>
      <c r="K3206" s="38"/>
      <c r="L3206" s="42"/>
      <c r="M3206" s="42"/>
      <c r="N3206" s="42"/>
      <c r="O3206" s="42"/>
      <c r="R3206" s="37"/>
      <c r="S3206" s="37"/>
      <c r="T3206" s="91"/>
      <c r="U3206" s="91"/>
      <c r="V3206" s="41"/>
      <c r="W3206" s="37"/>
      <c r="X3206" s="37"/>
      <c r="Y3206" s="43"/>
      <c r="Z3206" s="37"/>
      <c r="AA3206" s="37"/>
      <c r="AD3206" s="37"/>
      <c r="AE3206" s="37"/>
      <c r="AF3206" s="37"/>
    </row>
    <row r="3207" spans="1:32" x14ac:dyDescent="0.25">
      <c r="A3207" s="37"/>
      <c r="B3207" s="37"/>
      <c r="C3207" s="37"/>
      <c r="F3207" s="38"/>
      <c r="G3207" s="38"/>
      <c r="H3207" s="38"/>
      <c r="I3207" s="37"/>
      <c r="J3207" s="38"/>
      <c r="K3207" s="38"/>
      <c r="L3207" s="42"/>
      <c r="M3207" s="42"/>
      <c r="N3207" s="42"/>
      <c r="O3207" s="42"/>
      <c r="R3207" s="37"/>
      <c r="S3207" s="37"/>
      <c r="T3207" s="91"/>
      <c r="U3207" s="91"/>
      <c r="V3207" s="41"/>
      <c r="W3207" s="37"/>
      <c r="X3207" s="37"/>
      <c r="Y3207" s="43"/>
      <c r="Z3207" s="37"/>
      <c r="AA3207" s="37"/>
      <c r="AD3207" s="37"/>
      <c r="AE3207" s="37"/>
      <c r="AF3207" s="37"/>
    </row>
    <row r="3208" spans="1:32" x14ac:dyDescent="0.25">
      <c r="A3208" s="37"/>
      <c r="B3208" s="37"/>
      <c r="C3208" s="37"/>
      <c r="F3208" s="38"/>
      <c r="G3208" s="38"/>
      <c r="H3208" s="38"/>
      <c r="I3208" s="37"/>
      <c r="J3208" s="38"/>
      <c r="K3208" s="38"/>
      <c r="L3208" s="42"/>
      <c r="M3208" s="42"/>
      <c r="N3208" s="42"/>
      <c r="O3208" s="42"/>
      <c r="R3208" s="37"/>
      <c r="S3208" s="37"/>
      <c r="T3208" s="91"/>
      <c r="U3208" s="91"/>
      <c r="V3208" s="41"/>
      <c r="W3208" s="37"/>
      <c r="X3208" s="37"/>
      <c r="Y3208" s="43"/>
      <c r="Z3208" s="37"/>
      <c r="AA3208" s="37"/>
      <c r="AD3208" s="37"/>
      <c r="AE3208" s="37"/>
      <c r="AF3208" s="37"/>
    </row>
    <row r="3209" spans="1:32" x14ac:dyDescent="0.25">
      <c r="A3209" s="37"/>
      <c r="B3209" s="37"/>
      <c r="C3209" s="37"/>
      <c r="F3209" s="38"/>
      <c r="G3209" s="38"/>
      <c r="H3209" s="38"/>
      <c r="I3209" s="37"/>
      <c r="J3209" s="38"/>
      <c r="K3209" s="38"/>
      <c r="L3209" s="42"/>
      <c r="M3209" s="42"/>
      <c r="N3209" s="42"/>
      <c r="O3209" s="42"/>
      <c r="R3209" s="37"/>
      <c r="S3209" s="37"/>
      <c r="T3209" s="91"/>
      <c r="U3209" s="91"/>
      <c r="V3209" s="41"/>
      <c r="W3209" s="37"/>
      <c r="X3209" s="37"/>
      <c r="Y3209" s="43"/>
      <c r="Z3209" s="37"/>
      <c r="AA3209" s="37"/>
      <c r="AD3209" s="37"/>
      <c r="AE3209" s="37"/>
      <c r="AF3209" s="37"/>
    </row>
    <row r="3210" spans="1:32" x14ac:dyDescent="0.25">
      <c r="A3210" s="37"/>
      <c r="B3210" s="37"/>
      <c r="C3210" s="37"/>
      <c r="F3210" s="38"/>
      <c r="G3210" s="38"/>
      <c r="H3210" s="38"/>
      <c r="I3210" s="37"/>
      <c r="J3210" s="38"/>
      <c r="K3210" s="38"/>
      <c r="L3210" s="42"/>
      <c r="M3210" s="42"/>
      <c r="N3210" s="42"/>
      <c r="O3210" s="42"/>
      <c r="R3210" s="37"/>
      <c r="S3210" s="37"/>
      <c r="T3210" s="91"/>
      <c r="U3210" s="91"/>
      <c r="V3210" s="41"/>
      <c r="W3210" s="37"/>
      <c r="X3210" s="37"/>
      <c r="Y3210" s="43"/>
      <c r="Z3210" s="37"/>
      <c r="AA3210" s="37"/>
      <c r="AD3210" s="37"/>
      <c r="AE3210" s="37"/>
      <c r="AF3210" s="37"/>
    </row>
    <row r="3211" spans="1:32" x14ac:dyDescent="0.25">
      <c r="A3211" s="37"/>
      <c r="B3211" s="37"/>
      <c r="C3211" s="37"/>
      <c r="F3211" s="38"/>
      <c r="G3211" s="38"/>
      <c r="H3211" s="38"/>
      <c r="I3211" s="37"/>
      <c r="J3211" s="38"/>
      <c r="K3211" s="38"/>
      <c r="L3211" s="42"/>
      <c r="M3211" s="42"/>
      <c r="N3211" s="42"/>
      <c r="O3211" s="42"/>
      <c r="R3211" s="37"/>
      <c r="S3211" s="37"/>
      <c r="T3211" s="91"/>
      <c r="U3211" s="91"/>
      <c r="V3211" s="41"/>
      <c r="W3211" s="37"/>
      <c r="X3211" s="37"/>
      <c r="Y3211" s="43"/>
      <c r="Z3211" s="37"/>
      <c r="AA3211" s="37"/>
      <c r="AD3211" s="37"/>
      <c r="AE3211" s="37"/>
      <c r="AF3211" s="37"/>
    </row>
    <row r="3212" spans="1:32" x14ac:dyDescent="0.25">
      <c r="A3212" s="37"/>
      <c r="B3212" s="37"/>
      <c r="C3212" s="37"/>
      <c r="F3212" s="38"/>
      <c r="G3212" s="38"/>
      <c r="H3212" s="38"/>
      <c r="I3212" s="37"/>
      <c r="J3212" s="38"/>
      <c r="K3212" s="38"/>
      <c r="L3212" s="42"/>
      <c r="M3212" s="42"/>
      <c r="N3212" s="42"/>
      <c r="O3212" s="42"/>
      <c r="R3212" s="37"/>
      <c r="S3212" s="37"/>
      <c r="T3212" s="91"/>
      <c r="U3212" s="91"/>
      <c r="V3212" s="41"/>
      <c r="W3212" s="37"/>
      <c r="X3212" s="37"/>
      <c r="Y3212" s="43"/>
      <c r="Z3212" s="37"/>
      <c r="AA3212" s="37"/>
      <c r="AD3212" s="37"/>
      <c r="AE3212" s="37"/>
      <c r="AF3212" s="37"/>
    </row>
    <row r="3213" spans="1:32" x14ac:dyDescent="0.25">
      <c r="A3213" s="37"/>
      <c r="B3213" s="37"/>
      <c r="C3213" s="37"/>
      <c r="F3213" s="38"/>
      <c r="G3213" s="38"/>
      <c r="H3213" s="38"/>
      <c r="I3213" s="37"/>
      <c r="J3213" s="38"/>
      <c r="K3213" s="38"/>
      <c r="L3213" s="42"/>
      <c r="M3213" s="42"/>
      <c r="N3213" s="42"/>
      <c r="O3213" s="42"/>
      <c r="R3213" s="37"/>
      <c r="S3213" s="37"/>
      <c r="T3213" s="91"/>
      <c r="U3213" s="91"/>
      <c r="V3213" s="41"/>
      <c r="W3213" s="37"/>
      <c r="X3213" s="37"/>
      <c r="Y3213" s="43"/>
      <c r="Z3213" s="37"/>
      <c r="AA3213" s="37"/>
      <c r="AD3213" s="37"/>
      <c r="AE3213" s="37"/>
      <c r="AF3213" s="37"/>
    </row>
    <row r="3214" spans="1:32" x14ac:dyDescent="0.25">
      <c r="A3214" s="37"/>
      <c r="B3214" s="37"/>
      <c r="C3214" s="37"/>
      <c r="F3214" s="38"/>
      <c r="G3214" s="38"/>
      <c r="H3214" s="38"/>
      <c r="I3214" s="37"/>
      <c r="J3214" s="38"/>
      <c r="K3214" s="38"/>
      <c r="L3214" s="42"/>
      <c r="M3214" s="42"/>
      <c r="N3214" s="42"/>
      <c r="O3214" s="42"/>
      <c r="R3214" s="37"/>
      <c r="S3214" s="37"/>
      <c r="T3214" s="91"/>
      <c r="U3214" s="91"/>
      <c r="V3214" s="41"/>
      <c r="W3214" s="37"/>
      <c r="X3214" s="37"/>
      <c r="Y3214" s="43"/>
      <c r="Z3214" s="37"/>
      <c r="AA3214" s="37"/>
      <c r="AD3214" s="37"/>
      <c r="AE3214" s="37"/>
      <c r="AF3214" s="37"/>
    </row>
    <row r="3215" spans="1:32" x14ac:dyDescent="0.25">
      <c r="A3215" s="37"/>
      <c r="B3215" s="37"/>
      <c r="C3215" s="37"/>
      <c r="F3215" s="38"/>
      <c r="G3215" s="38"/>
      <c r="H3215" s="38"/>
      <c r="I3215" s="37"/>
      <c r="J3215" s="38"/>
      <c r="K3215" s="38"/>
      <c r="L3215" s="42"/>
      <c r="M3215" s="42"/>
      <c r="N3215" s="42"/>
      <c r="O3215" s="42"/>
      <c r="R3215" s="37"/>
      <c r="S3215" s="37"/>
      <c r="T3215" s="91"/>
      <c r="U3215" s="91"/>
      <c r="V3215" s="41"/>
      <c r="W3215" s="37"/>
      <c r="X3215" s="37"/>
      <c r="Y3215" s="43"/>
      <c r="Z3215" s="37"/>
      <c r="AA3215" s="37"/>
      <c r="AD3215" s="37"/>
      <c r="AE3215" s="37"/>
      <c r="AF3215" s="37"/>
    </row>
    <row r="3216" spans="1:32" x14ac:dyDescent="0.25">
      <c r="A3216" s="37"/>
      <c r="B3216" s="37"/>
      <c r="C3216" s="37"/>
      <c r="F3216" s="38"/>
      <c r="G3216" s="38"/>
      <c r="H3216" s="38"/>
      <c r="I3216" s="37"/>
      <c r="J3216" s="38"/>
      <c r="K3216" s="38"/>
      <c r="L3216" s="42"/>
      <c r="M3216" s="42"/>
      <c r="N3216" s="42"/>
      <c r="O3216" s="42"/>
      <c r="R3216" s="37"/>
      <c r="S3216" s="37"/>
      <c r="T3216" s="91"/>
      <c r="U3216" s="91"/>
      <c r="V3216" s="41"/>
      <c r="W3216" s="37"/>
      <c r="X3216" s="37"/>
      <c r="Y3216" s="43"/>
      <c r="Z3216" s="37"/>
      <c r="AA3216" s="37"/>
      <c r="AD3216" s="37"/>
      <c r="AE3216" s="37"/>
      <c r="AF3216" s="37"/>
    </row>
    <row r="3217" spans="1:32" x14ac:dyDescent="0.25">
      <c r="A3217" s="37"/>
      <c r="B3217" s="37"/>
      <c r="C3217" s="37"/>
      <c r="F3217" s="38"/>
      <c r="G3217" s="38"/>
      <c r="H3217" s="38"/>
      <c r="I3217" s="37"/>
      <c r="J3217" s="38"/>
      <c r="K3217" s="38"/>
      <c r="L3217" s="42"/>
      <c r="M3217" s="42"/>
      <c r="N3217" s="42"/>
      <c r="O3217" s="42"/>
      <c r="R3217" s="37"/>
      <c r="S3217" s="37"/>
      <c r="T3217" s="91"/>
      <c r="U3217" s="91"/>
      <c r="V3217" s="41"/>
      <c r="W3217" s="37"/>
      <c r="X3217" s="37"/>
      <c r="Y3217" s="43"/>
      <c r="Z3217" s="37"/>
      <c r="AA3217" s="37"/>
      <c r="AD3217" s="37"/>
      <c r="AE3217" s="37"/>
      <c r="AF3217" s="37"/>
    </row>
    <row r="3218" spans="1:32" x14ac:dyDescent="0.25">
      <c r="A3218" s="37"/>
      <c r="B3218" s="37"/>
      <c r="C3218" s="37"/>
      <c r="F3218" s="38"/>
      <c r="G3218" s="38"/>
      <c r="H3218" s="38"/>
      <c r="I3218" s="37"/>
      <c r="J3218" s="38"/>
      <c r="K3218" s="38"/>
      <c r="L3218" s="42"/>
      <c r="M3218" s="42"/>
      <c r="N3218" s="42"/>
      <c r="O3218" s="42"/>
      <c r="R3218" s="37"/>
      <c r="S3218" s="37"/>
      <c r="T3218" s="91"/>
      <c r="U3218" s="91"/>
      <c r="V3218" s="41"/>
      <c r="W3218" s="37"/>
      <c r="X3218" s="37"/>
      <c r="Y3218" s="43"/>
      <c r="Z3218" s="37"/>
      <c r="AA3218" s="37"/>
      <c r="AD3218" s="37"/>
      <c r="AE3218" s="37"/>
      <c r="AF3218" s="37"/>
    </row>
    <row r="3219" spans="1:32" x14ac:dyDescent="0.25">
      <c r="A3219" s="37"/>
      <c r="B3219" s="37"/>
      <c r="C3219" s="37"/>
      <c r="F3219" s="38"/>
      <c r="G3219" s="38"/>
      <c r="H3219" s="38"/>
      <c r="I3219" s="37"/>
      <c r="J3219" s="38"/>
      <c r="K3219" s="38"/>
      <c r="L3219" s="42"/>
      <c r="M3219" s="42"/>
      <c r="N3219" s="42"/>
      <c r="O3219" s="42"/>
      <c r="R3219" s="37"/>
      <c r="S3219" s="37"/>
      <c r="T3219" s="91"/>
      <c r="U3219" s="91"/>
      <c r="V3219" s="41"/>
      <c r="W3219" s="37"/>
      <c r="X3219" s="37"/>
      <c r="Y3219" s="43"/>
      <c r="Z3219" s="37"/>
      <c r="AA3219" s="37"/>
      <c r="AD3219" s="37"/>
      <c r="AE3219" s="37"/>
      <c r="AF3219" s="37"/>
    </row>
    <row r="3220" spans="1:32" x14ac:dyDescent="0.25">
      <c r="A3220" s="37"/>
      <c r="B3220" s="37"/>
      <c r="C3220" s="37"/>
      <c r="F3220" s="38"/>
      <c r="G3220" s="38"/>
      <c r="H3220" s="38"/>
      <c r="I3220" s="37"/>
      <c r="J3220" s="38"/>
      <c r="K3220" s="38"/>
      <c r="L3220" s="42"/>
      <c r="M3220" s="42"/>
      <c r="N3220" s="42"/>
      <c r="O3220" s="42"/>
      <c r="R3220" s="37"/>
      <c r="S3220" s="37"/>
      <c r="T3220" s="91"/>
      <c r="U3220" s="91"/>
      <c r="V3220" s="41"/>
      <c r="W3220" s="37"/>
      <c r="X3220" s="37"/>
      <c r="Y3220" s="43"/>
      <c r="Z3220" s="37"/>
      <c r="AA3220" s="37"/>
      <c r="AD3220" s="37"/>
      <c r="AE3220" s="37"/>
      <c r="AF3220" s="37"/>
    </row>
    <row r="3221" spans="1:32" x14ac:dyDescent="0.25">
      <c r="A3221" s="37"/>
      <c r="B3221" s="37"/>
      <c r="C3221" s="37"/>
      <c r="F3221" s="38"/>
      <c r="G3221" s="38"/>
      <c r="H3221" s="38"/>
      <c r="I3221" s="37"/>
      <c r="J3221" s="38"/>
      <c r="K3221" s="38"/>
      <c r="L3221" s="42"/>
      <c r="M3221" s="42"/>
      <c r="N3221" s="42"/>
      <c r="O3221" s="42"/>
      <c r="R3221" s="37"/>
      <c r="S3221" s="37"/>
      <c r="T3221" s="91"/>
      <c r="U3221" s="91"/>
      <c r="V3221" s="41"/>
      <c r="W3221" s="37"/>
      <c r="X3221" s="37"/>
      <c r="Y3221" s="43"/>
      <c r="Z3221" s="37"/>
      <c r="AA3221" s="37"/>
      <c r="AD3221" s="37"/>
      <c r="AE3221" s="37"/>
      <c r="AF3221" s="37"/>
    </row>
    <row r="3222" spans="1:32" x14ac:dyDescent="0.25">
      <c r="A3222" s="37"/>
      <c r="B3222" s="37"/>
      <c r="C3222" s="37"/>
      <c r="F3222" s="38"/>
      <c r="G3222" s="38"/>
      <c r="H3222" s="38"/>
      <c r="I3222" s="37"/>
      <c r="J3222" s="38"/>
      <c r="K3222" s="38"/>
      <c r="L3222" s="42"/>
      <c r="M3222" s="42"/>
      <c r="N3222" s="42"/>
      <c r="O3222" s="42"/>
      <c r="R3222" s="37"/>
      <c r="S3222" s="37"/>
      <c r="T3222" s="91"/>
      <c r="U3222" s="91"/>
      <c r="V3222" s="41"/>
      <c r="W3222" s="37"/>
      <c r="X3222" s="37"/>
      <c r="Y3222" s="43"/>
      <c r="Z3222" s="37"/>
      <c r="AA3222" s="37"/>
      <c r="AD3222" s="37"/>
      <c r="AE3222" s="37"/>
      <c r="AF3222" s="37"/>
    </row>
    <row r="3223" spans="1:32" x14ac:dyDescent="0.25">
      <c r="A3223" s="37"/>
      <c r="B3223" s="37"/>
      <c r="C3223" s="37"/>
      <c r="F3223" s="38"/>
      <c r="G3223" s="38"/>
      <c r="H3223" s="38"/>
      <c r="I3223" s="37"/>
      <c r="J3223" s="38"/>
      <c r="K3223" s="38"/>
      <c r="L3223" s="42"/>
      <c r="M3223" s="42"/>
      <c r="N3223" s="42"/>
      <c r="O3223" s="42"/>
      <c r="R3223" s="37"/>
      <c r="S3223" s="37"/>
      <c r="T3223" s="91"/>
      <c r="U3223" s="91"/>
      <c r="V3223" s="41"/>
      <c r="W3223" s="37"/>
      <c r="X3223" s="37"/>
      <c r="Y3223" s="43"/>
      <c r="Z3223" s="37"/>
      <c r="AA3223" s="37"/>
      <c r="AD3223" s="37"/>
      <c r="AE3223" s="37"/>
      <c r="AF3223" s="37"/>
    </row>
    <row r="3224" spans="1:32" x14ac:dyDescent="0.25">
      <c r="A3224" s="37"/>
      <c r="B3224" s="37"/>
      <c r="C3224" s="37"/>
      <c r="F3224" s="38"/>
      <c r="G3224" s="38"/>
      <c r="H3224" s="38"/>
      <c r="I3224" s="37"/>
      <c r="J3224" s="38"/>
      <c r="K3224" s="38"/>
      <c r="L3224" s="42"/>
      <c r="M3224" s="42"/>
      <c r="N3224" s="42"/>
      <c r="O3224" s="42"/>
      <c r="R3224" s="37"/>
      <c r="S3224" s="37"/>
      <c r="T3224" s="91"/>
      <c r="U3224" s="91"/>
      <c r="V3224" s="41"/>
      <c r="W3224" s="37"/>
      <c r="X3224" s="37"/>
      <c r="Y3224" s="43"/>
      <c r="Z3224" s="37"/>
      <c r="AA3224" s="37"/>
      <c r="AD3224" s="37"/>
      <c r="AE3224" s="37"/>
      <c r="AF3224" s="37"/>
    </row>
    <row r="3225" spans="1:32" x14ac:dyDescent="0.25">
      <c r="A3225" s="37"/>
      <c r="B3225" s="37"/>
      <c r="C3225" s="37"/>
      <c r="F3225" s="38"/>
      <c r="G3225" s="38"/>
      <c r="H3225" s="38"/>
      <c r="I3225" s="37"/>
      <c r="J3225" s="38"/>
      <c r="K3225" s="38"/>
      <c r="L3225" s="42"/>
      <c r="M3225" s="42"/>
      <c r="N3225" s="42"/>
      <c r="O3225" s="42"/>
      <c r="R3225" s="37"/>
      <c r="S3225" s="37"/>
      <c r="T3225" s="91"/>
      <c r="U3225" s="91"/>
      <c r="V3225" s="41"/>
      <c r="W3225" s="37"/>
      <c r="X3225" s="37"/>
      <c r="Y3225" s="43"/>
      <c r="Z3225" s="37"/>
      <c r="AA3225" s="37"/>
      <c r="AD3225" s="37"/>
      <c r="AE3225" s="37"/>
      <c r="AF3225" s="37"/>
    </row>
    <row r="3226" spans="1:32" x14ac:dyDescent="0.25">
      <c r="A3226" s="37"/>
      <c r="B3226" s="37"/>
      <c r="C3226" s="37"/>
      <c r="F3226" s="38"/>
      <c r="G3226" s="38"/>
      <c r="H3226" s="38"/>
      <c r="I3226" s="37"/>
      <c r="J3226" s="38"/>
      <c r="K3226" s="38"/>
      <c r="L3226" s="42"/>
      <c r="M3226" s="42"/>
      <c r="N3226" s="42"/>
      <c r="O3226" s="42"/>
      <c r="R3226" s="37"/>
      <c r="S3226" s="37"/>
      <c r="T3226" s="91"/>
      <c r="U3226" s="91"/>
      <c r="V3226" s="41"/>
      <c r="W3226" s="37"/>
      <c r="X3226" s="37"/>
      <c r="Y3226" s="43"/>
      <c r="Z3226" s="37"/>
      <c r="AA3226" s="37"/>
      <c r="AD3226" s="37"/>
      <c r="AE3226" s="37"/>
      <c r="AF3226" s="37"/>
    </row>
    <row r="3227" spans="1:32" x14ac:dyDescent="0.25">
      <c r="A3227" s="37"/>
      <c r="B3227" s="37"/>
      <c r="C3227" s="37"/>
      <c r="F3227" s="38"/>
      <c r="G3227" s="38"/>
      <c r="H3227" s="38"/>
      <c r="I3227" s="37"/>
      <c r="J3227" s="38"/>
      <c r="K3227" s="38"/>
      <c r="L3227" s="42"/>
      <c r="M3227" s="42"/>
      <c r="N3227" s="42"/>
      <c r="O3227" s="42"/>
      <c r="R3227" s="37"/>
      <c r="S3227" s="37"/>
      <c r="T3227" s="91"/>
      <c r="U3227" s="91"/>
      <c r="V3227" s="41"/>
      <c r="W3227" s="37"/>
      <c r="X3227" s="37"/>
      <c r="Y3227" s="43"/>
      <c r="Z3227" s="37"/>
      <c r="AA3227" s="37"/>
      <c r="AD3227" s="37"/>
      <c r="AE3227" s="37"/>
      <c r="AF3227" s="37"/>
    </row>
    <row r="3228" spans="1:32" x14ac:dyDescent="0.25">
      <c r="A3228" s="37"/>
      <c r="B3228" s="37"/>
      <c r="C3228" s="37"/>
      <c r="F3228" s="38"/>
      <c r="G3228" s="38"/>
      <c r="H3228" s="38"/>
      <c r="I3228" s="37"/>
      <c r="J3228" s="38"/>
      <c r="K3228" s="38"/>
      <c r="L3228" s="42"/>
      <c r="M3228" s="42"/>
      <c r="N3228" s="42"/>
      <c r="O3228" s="42"/>
      <c r="R3228" s="37"/>
      <c r="S3228" s="37"/>
      <c r="T3228" s="91"/>
      <c r="U3228" s="91"/>
      <c r="V3228" s="41"/>
      <c r="W3228" s="37"/>
      <c r="X3228" s="37"/>
      <c r="Y3228" s="43"/>
      <c r="Z3228" s="37"/>
      <c r="AA3228" s="37"/>
      <c r="AD3228" s="37"/>
      <c r="AE3228" s="37"/>
      <c r="AF3228" s="37"/>
    </row>
    <row r="3229" spans="1:32" x14ac:dyDescent="0.25">
      <c r="A3229" s="37"/>
      <c r="B3229" s="37"/>
      <c r="C3229" s="37"/>
      <c r="F3229" s="38"/>
      <c r="G3229" s="38"/>
      <c r="H3229" s="38"/>
      <c r="I3229" s="37"/>
      <c r="J3229" s="38"/>
      <c r="K3229" s="38"/>
      <c r="L3229" s="42"/>
      <c r="M3229" s="42"/>
      <c r="N3229" s="42"/>
      <c r="O3229" s="42"/>
      <c r="R3229" s="37"/>
      <c r="S3229" s="37"/>
      <c r="T3229" s="91"/>
      <c r="U3229" s="91"/>
      <c r="V3229" s="41"/>
      <c r="W3229" s="37"/>
      <c r="X3229" s="37"/>
      <c r="Y3229" s="43"/>
      <c r="Z3229" s="37"/>
      <c r="AA3229" s="37"/>
      <c r="AD3229" s="37"/>
      <c r="AE3229" s="37"/>
      <c r="AF3229" s="37"/>
    </row>
    <row r="3230" spans="1:32" x14ac:dyDescent="0.25">
      <c r="A3230" s="37"/>
      <c r="B3230" s="37"/>
      <c r="C3230" s="37"/>
      <c r="F3230" s="38"/>
      <c r="G3230" s="38"/>
      <c r="H3230" s="38"/>
      <c r="I3230" s="37"/>
      <c r="J3230" s="38"/>
      <c r="K3230" s="38"/>
      <c r="L3230" s="42"/>
      <c r="M3230" s="42"/>
      <c r="N3230" s="42"/>
      <c r="O3230" s="42"/>
      <c r="R3230" s="37"/>
      <c r="S3230" s="37"/>
      <c r="T3230" s="91"/>
      <c r="U3230" s="91"/>
      <c r="V3230" s="41"/>
      <c r="W3230" s="37"/>
      <c r="X3230" s="37"/>
      <c r="Y3230" s="43"/>
      <c r="Z3230" s="37"/>
      <c r="AA3230" s="37"/>
      <c r="AD3230" s="37"/>
      <c r="AE3230" s="37"/>
      <c r="AF3230" s="37"/>
    </row>
    <row r="3231" spans="1:32" x14ac:dyDescent="0.25">
      <c r="A3231" s="37"/>
      <c r="B3231" s="37"/>
      <c r="C3231" s="37"/>
      <c r="F3231" s="38"/>
      <c r="G3231" s="38"/>
      <c r="H3231" s="38"/>
      <c r="I3231" s="37"/>
      <c r="J3231" s="38"/>
      <c r="K3231" s="38"/>
      <c r="L3231" s="42"/>
      <c r="M3231" s="42"/>
      <c r="N3231" s="42"/>
      <c r="O3231" s="42"/>
      <c r="R3231" s="37"/>
      <c r="S3231" s="37"/>
      <c r="T3231" s="91"/>
      <c r="U3231" s="91"/>
      <c r="V3231" s="41"/>
      <c r="W3231" s="37"/>
      <c r="X3231" s="37"/>
      <c r="Y3231" s="43"/>
      <c r="Z3231" s="37"/>
      <c r="AA3231" s="37"/>
      <c r="AD3231" s="37"/>
      <c r="AE3231" s="37"/>
      <c r="AF3231" s="37"/>
    </row>
    <row r="3232" spans="1:32" x14ac:dyDescent="0.25">
      <c r="A3232" s="37"/>
      <c r="B3232" s="37"/>
      <c r="C3232" s="37"/>
      <c r="F3232" s="38"/>
      <c r="G3232" s="38"/>
      <c r="H3232" s="38"/>
      <c r="I3232" s="37"/>
      <c r="J3232" s="38"/>
      <c r="K3232" s="38"/>
      <c r="L3232" s="42"/>
      <c r="M3232" s="42"/>
      <c r="N3232" s="42"/>
      <c r="O3232" s="42"/>
      <c r="R3232" s="37"/>
      <c r="S3232" s="37"/>
      <c r="T3232" s="91"/>
      <c r="U3232" s="91"/>
      <c r="V3232" s="41"/>
      <c r="W3232" s="37"/>
      <c r="X3232" s="37"/>
      <c r="Y3232" s="43"/>
      <c r="Z3232" s="37"/>
      <c r="AA3232" s="37"/>
      <c r="AD3232" s="37"/>
      <c r="AE3232" s="37"/>
      <c r="AF3232" s="37"/>
    </row>
    <row r="3233" spans="1:32" x14ac:dyDescent="0.25">
      <c r="A3233" s="37"/>
      <c r="B3233" s="37"/>
      <c r="C3233" s="37"/>
      <c r="F3233" s="38"/>
      <c r="G3233" s="38"/>
      <c r="H3233" s="38"/>
      <c r="I3233" s="37"/>
      <c r="J3233" s="38"/>
      <c r="K3233" s="38"/>
      <c r="L3233" s="42"/>
      <c r="M3233" s="42"/>
      <c r="N3233" s="42"/>
      <c r="O3233" s="42"/>
      <c r="R3233" s="37"/>
      <c r="S3233" s="37"/>
      <c r="T3233" s="91"/>
      <c r="U3233" s="91"/>
      <c r="V3233" s="41"/>
      <c r="W3233" s="37"/>
      <c r="X3233" s="37"/>
      <c r="Y3233" s="43"/>
      <c r="Z3233" s="37"/>
      <c r="AA3233" s="37"/>
      <c r="AD3233" s="37"/>
      <c r="AE3233" s="37"/>
      <c r="AF3233" s="37"/>
    </row>
    <row r="3234" spans="1:32" x14ac:dyDescent="0.25">
      <c r="A3234" s="37"/>
      <c r="B3234" s="37"/>
      <c r="C3234" s="37"/>
      <c r="F3234" s="38"/>
      <c r="G3234" s="38"/>
      <c r="H3234" s="38"/>
      <c r="I3234" s="37"/>
      <c r="J3234" s="38"/>
      <c r="K3234" s="38"/>
      <c r="L3234" s="42"/>
      <c r="M3234" s="42"/>
      <c r="N3234" s="42"/>
      <c r="O3234" s="42"/>
      <c r="R3234" s="37"/>
      <c r="S3234" s="37"/>
      <c r="T3234" s="91"/>
      <c r="U3234" s="91"/>
      <c r="V3234" s="41"/>
      <c r="W3234" s="37"/>
      <c r="X3234" s="37"/>
      <c r="Y3234" s="43"/>
      <c r="Z3234" s="37"/>
      <c r="AA3234" s="37"/>
      <c r="AD3234" s="37"/>
      <c r="AE3234" s="37"/>
      <c r="AF3234" s="37"/>
    </row>
    <row r="3235" spans="1:32" x14ac:dyDescent="0.25">
      <c r="A3235" s="37"/>
      <c r="B3235" s="37"/>
      <c r="C3235" s="37"/>
      <c r="F3235" s="38"/>
      <c r="G3235" s="38"/>
      <c r="H3235" s="38"/>
      <c r="I3235" s="37"/>
      <c r="J3235" s="38"/>
      <c r="K3235" s="38"/>
      <c r="L3235" s="42"/>
      <c r="M3235" s="42"/>
      <c r="N3235" s="42"/>
      <c r="O3235" s="42"/>
      <c r="R3235" s="37"/>
      <c r="S3235" s="37"/>
      <c r="T3235" s="91"/>
      <c r="U3235" s="91"/>
      <c r="V3235" s="41"/>
      <c r="W3235" s="37"/>
      <c r="X3235" s="37"/>
      <c r="Y3235" s="43"/>
      <c r="Z3235" s="37"/>
      <c r="AA3235" s="37"/>
      <c r="AD3235" s="37"/>
      <c r="AE3235" s="37"/>
      <c r="AF3235" s="37"/>
    </row>
    <row r="3236" spans="1:32" x14ac:dyDescent="0.25">
      <c r="A3236" s="37"/>
      <c r="B3236" s="37"/>
      <c r="C3236" s="37"/>
      <c r="F3236" s="38"/>
      <c r="G3236" s="38"/>
      <c r="H3236" s="38"/>
      <c r="I3236" s="37"/>
      <c r="J3236" s="38"/>
      <c r="K3236" s="38"/>
      <c r="L3236" s="42"/>
      <c r="M3236" s="42"/>
      <c r="N3236" s="42"/>
      <c r="O3236" s="42"/>
      <c r="R3236" s="37"/>
      <c r="S3236" s="37"/>
      <c r="T3236" s="91"/>
      <c r="U3236" s="91"/>
      <c r="V3236" s="41"/>
      <c r="W3236" s="37"/>
      <c r="X3236" s="37"/>
      <c r="Y3236" s="43"/>
      <c r="Z3236" s="37"/>
      <c r="AA3236" s="37"/>
      <c r="AD3236" s="37"/>
      <c r="AE3236" s="37"/>
      <c r="AF3236" s="37"/>
    </row>
    <row r="3237" spans="1:32" x14ac:dyDescent="0.25">
      <c r="A3237" s="37"/>
      <c r="B3237" s="37"/>
      <c r="C3237" s="37"/>
      <c r="F3237" s="38"/>
      <c r="G3237" s="38"/>
      <c r="H3237" s="38"/>
      <c r="I3237" s="37"/>
      <c r="J3237" s="38"/>
      <c r="K3237" s="38"/>
      <c r="L3237" s="42"/>
      <c r="M3237" s="42"/>
      <c r="N3237" s="42"/>
      <c r="O3237" s="42"/>
      <c r="R3237" s="37"/>
      <c r="S3237" s="37"/>
      <c r="T3237" s="91"/>
      <c r="U3237" s="91"/>
      <c r="V3237" s="41"/>
      <c r="W3237" s="37"/>
      <c r="X3237" s="37"/>
      <c r="Y3237" s="43"/>
      <c r="Z3237" s="37"/>
      <c r="AA3237" s="37"/>
      <c r="AD3237" s="37"/>
      <c r="AE3237" s="37"/>
      <c r="AF3237" s="37"/>
    </row>
    <row r="3238" spans="1:32" x14ac:dyDescent="0.25">
      <c r="A3238" s="37"/>
      <c r="B3238" s="37"/>
      <c r="C3238" s="37"/>
      <c r="F3238" s="38"/>
      <c r="G3238" s="38"/>
      <c r="H3238" s="38"/>
      <c r="I3238" s="37"/>
      <c r="J3238" s="38"/>
      <c r="K3238" s="38"/>
      <c r="L3238" s="42"/>
      <c r="M3238" s="42"/>
      <c r="N3238" s="42"/>
      <c r="O3238" s="42"/>
      <c r="R3238" s="37"/>
      <c r="S3238" s="37"/>
      <c r="T3238" s="91"/>
      <c r="U3238" s="91"/>
      <c r="V3238" s="41"/>
      <c r="W3238" s="37"/>
      <c r="X3238" s="37"/>
      <c r="Y3238" s="43"/>
      <c r="Z3238" s="37"/>
      <c r="AA3238" s="37"/>
      <c r="AD3238" s="37"/>
      <c r="AE3238" s="37"/>
      <c r="AF3238" s="37"/>
    </row>
    <row r="3239" spans="1:32" x14ac:dyDescent="0.25">
      <c r="A3239" s="37"/>
      <c r="B3239" s="37"/>
      <c r="C3239" s="37"/>
      <c r="F3239" s="38"/>
      <c r="G3239" s="38"/>
      <c r="H3239" s="38"/>
      <c r="I3239" s="37"/>
      <c r="J3239" s="38"/>
      <c r="K3239" s="38"/>
      <c r="L3239" s="42"/>
      <c r="M3239" s="42"/>
      <c r="N3239" s="42"/>
      <c r="O3239" s="42"/>
      <c r="R3239" s="37"/>
      <c r="S3239" s="37"/>
      <c r="T3239" s="91"/>
      <c r="U3239" s="91"/>
      <c r="V3239" s="41"/>
      <c r="W3239" s="37"/>
      <c r="X3239" s="37"/>
      <c r="Y3239" s="43"/>
      <c r="Z3239" s="37"/>
      <c r="AA3239" s="37"/>
      <c r="AD3239" s="37"/>
      <c r="AE3239" s="37"/>
      <c r="AF3239" s="37"/>
    </row>
    <row r="3240" spans="1:32" x14ac:dyDescent="0.25">
      <c r="A3240" s="37"/>
      <c r="B3240" s="37"/>
      <c r="C3240" s="37"/>
      <c r="F3240" s="38"/>
      <c r="G3240" s="38"/>
      <c r="H3240" s="38"/>
      <c r="I3240" s="37"/>
      <c r="J3240" s="38"/>
      <c r="K3240" s="38"/>
      <c r="L3240" s="42"/>
      <c r="M3240" s="42"/>
      <c r="N3240" s="42"/>
      <c r="O3240" s="42"/>
      <c r="R3240" s="37"/>
      <c r="S3240" s="37"/>
      <c r="T3240" s="91"/>
      <c r="U3240" s="91"/>
      <c r="V3240" s="41"/>
      <c r="W3240" s="37"/>
      <c r="X3240" s="37"/>
      <c r="Y3240" s="43"/>
      <c r="Z3240" s="37"/>
      <c r="AA3240" s="37"/>
      <c r="AD3240" s="37"/>
      <c r="AE3240" s="37"/>
      <c r="AF3240" s="37"/>
    </row>
    <row r="3241" spans="1:32" x14ac:dyDescent="0.25">
      <c r="A3241" s="37"/>
      <c r="B3241" s="37"/>
      <c r="C3241" s="37"/>
      <c r="F3241" s="38"/>
      <c r="G3241" s="38"/>
      <c r="H3241" s="38"/>
      <c r="I3241" s="37"/>
      <c r="J3241" s="38"/>
      <c r="K3241" s="38"/>
      <c r="L3241" s="42"/>
      <c r="M3241" s="42"/>
      <c r="N3241" s="42"/>
      <c r="O3241" s="42"/>
      <c r="R3241" s="37"/>
      <c r="S3241" s="37"/>
      <c r="T3241" s="91"/>
      <c r="U3241" s="91"/>
      <c r="V3241" s="41"/>
      <c r="W3241" s="37"/>
      <c r="X3241" s="37"/>
      <c r="Y3241" s="43"/>
      <c r="Z3241" s="37"/>
      <c r="AA3241" s="37"/>
      <c r="AD3241" s="37"/>
      <c r="AE3241" s="37"/>
      <c r="AF3241" s="37"/>
    </row>
    <row r="3242" spans="1:32" x14ac:dyDescent="0.25">
      <c r="A3242" s="37"/>
      <c r="B3242" s="37"/>
      <c r="C3242" s="37"/>
      <c r="F3242" s="38"/>
      <c r="G3242" s="38"/>
      <c r="H3242" s="38"/>
      <c r="I3242" s="37"/>
      <c r="J3242" s="38"/>
      <c r="K3242" s="38"/>
      <c r="L3242" s="42"/>
      <c r="M3242" s="42"/>
      <c r="N3242" s="42"/>
      <c r="O3242" s="42"/>
      <c r="R3242" s="37"/>
      <c r="S3242" s="37"/>
      <c r="T3242" s="91"/>
      <c r="U3242" s="91"/>
      <c r="V3242" s="41"/>
      <c r="W3242" s="37"/>
      <c r="X3242" s="37"/>
      <c r="Y3242" s="43"/>
      <c r="Z3242" s="37"/>
      <c r="AA3242" s="37"/>
      <c r="AD3242" s="37"/>
      <c r="AE3242" s="37"/>
      <c r="AF3242" s="37"/>
    </row>
    <row r="3243" spans="1:32" x14ac:dyDescent="0.25">
      <c r="A3243" s="37"/>
      <c r="B3243" s="37"/>
      <c r="C3243" s="37"/>
      <c r="F3243" s="38"/>
      <c r="G3243" s="38"/>
      <c r="H3243" s="38"/>
      <c r="I3243" s="37"/>
      <c r="J3243" s="38"/>
      <c r="K3243" s="38"/>
      <c r="L3243" s="42"/>
      <c r="M3243" s="42"/>
      <c r="N3243" s="42"/>
      <c r="O3243" s="42"/>
      <c r="R3243" s="37"/>
      <c r="S3243" s="37"/>
      <c r="T3243" s="91"/>
      <c r="U3243" s="91"/>
      <c r="V3243" s="41"/>
      <c r="W3243" s="37"/>
      <c r="X3243" s="37"/>
      <c r="Y3243" s="43"/>
      <c r="Z3243" s="37"/>
      <c r="AA3243" s="37"/>
      <c r="AD3243" s="37"/>
      <c r="AE3243" s="37"/>
      <c r="AF3243" s="37"/>
    </row>
    <row r="3244" spans="1:32" x14ac:dyDescent="0.25">
      <c r="A3244" s="37"/>
      <c r="B3244" s="37"/>
      <c r="C3244" s="37"/>
      <c r="F3244" s="38"/>
      <c r="G3244" s="38"/>
      <c r="H3244" s="38"/>
      <c r="I3244" s="37"/>
      <c r="J3244" s="38"/>
      <c r="K3244" s="38"/>
      <c r="L3244" s="42"/>
      <c r="M3244" s="42"/>
      <c r="N3244" s="42"/>
      <c r="O3244" s="42"/>
      <c r="R3244" s="37"/>
      <c r="S3244" s="37"/>
      <c r="T3244" s="91"/>
      <c r="U3244" s="91"/>
      <c r="V3244" s="41"/>
      <c r="W3244" s="37"/>
      <c r="X3244" s="37"/>
      <c r="Y3244" s="43"/>
      <c r="Z3244" s="37"/>
      <c r="AA3244" s="37"/>
      <c r="AD3244" s="37"/>
      <c r="AE3244" s="37"/>
      <c r="AF3244" s="37"/>
    </row>
    <row r="3245" spans="1:32" x14ac:dyDescent="0.25">
      <c r="A3245" s="37"/>
      <c r="B3245" s="37"/>
      <c r="C3245" s="37"/>
      <c r="F3245" s="38"/>
      <c r="G3245" s="38"/>
      <c r="H3245" s="38"/>
      <c r="I3245" s="37"/>
      <c r="J3245" s="38"/>
      <c r="K3245" s="38"/>
      <c r="L3245" s="42"/>
      <c r="M3245" s="42"/>
      <c r="N3245" s="42"/>
      <c r="O3245" s="42"/>
      <c r="R3245" s="37"/>
      <c r="S3245" s="37"/>
      <c r="T3245" s="91"/>
      <c r="U3245" s="91"/>
      <c r="V3245" s="41"/>
      <c r="W3245" s="37"/>
      <c r="X3245" s="37"/>
      <c r="Y3245" s="43"/>
      <c r="Z3245" s="37"/>
      <c r="AA3245" s="37"/>
      <c r="AD3245" s="37"/>
      <c r="AE3245" s="37"/>
      <c r="AF3245" s="37"/>
    </row>
    <row r="3246" spans="1:32" x14ac:dyDescent="0.25">
      <c r="A3246" s="37"/>
      <c r="B3246" s="37"/>
      <c r="C3246" s="37"/>
      <c r="F3246" s="38"/>
      <c r="G3246" s="38"/>
      <c r="H3246" s="38"/>
      <c r="I3246" s="37"/>
      <c r="J3246" s="38"/>
      <c r="K3246" s="38"/>
      <c r="L3246" s="42"/>
      <c r="M3246" s="42"/>
      <c r="N3246" s="42"/>
      <c r="O3246" s="42"/>
      <c r="R3246" s="37"/>
      <c r="S3246" s="37"/>
      <c r="T3246" s="91"/>
      <c r="U3246" s="91"/>
      <c r="V3246" s="41"/>
      <c r="W3246" s="37"/>
      <c r="X3246" s="37"/>
      <c r="Y3246" s="43"/>
      <c r="Z3246" s="37"/>
      <c r="AA3246" s="37"/>
      <c r="AD3246" s="37"/>
      <c r="AE3246" s="37"/>
      <c r="AF3246" s="37"/>
    </row>
    <row r="3247" spans="1:32" x14ac:dyDescent="0.25">
      <c r="A3247" s="37"/>
      <c r="B3247" s="37"/>
      <c r="C3247" s="37"/>
      <c r="F3247" s="38"/>
      <c r="G3247" s="38"/>
      <c r="H3247" s="38"/>
      <c r="I3247" s="37"/>
      <c r="J3247" s="38"/>
      <c r="K3247" s="38"/>
      <c r="L3247" s="42"/>
      <c r="M3247" s="42"/>
      <c r="N3247" s="42"/>
      <c r="O3247" s="42"/>
      <c r="R3247" s="37"/>
      <c r="S3247" s="37"/>
      <c r="T3247" s="91"/>
      <c r="U3247" s="91"/>
      <c r="V3247" s="41"/>
      <c r="W3247" s="37"/>
      <c r="X3247" s="37"/>
      <c r="Y3247" s="43"/>
      <c r="Z3247" s="37"/>
      <c r="AA3247" s="37"/>
      <c r="AD3247" s="37"/>
      <c r="AE3247" s="37"/>
      <c r="AF3247" s="37"/>
    </row>
    <row r="3248" spans="1:32" x14ac:dyDescent="0.25">
      <c r="A3248" s="37"/>
      <c r="B3248" s="37"/>
      <c r="C3248" s="37"/>
      <c r="F3248" s="38"/>
      <c r="G3248" s="38"/>
      <c r="H3248" s="38"/>
      <c r="I3248" s="37"/>
      <c r="J3248" s="38"/>
      <c r="K3248" s="38"/>
      <c r="L3248" s="42"/>
      <c r="M3248" s="42"/>
      <c r="N3248" s="42"/>
      <c r="O3248" s="42"/>
      <c r="R3248" s="37"/>
      <c r="S3248" s="37"/>
      <c r="T3248" s="91"/>
      <c r="U3248" s="91"/>
      <c r="V3248" s="41"/>
      <c r="W3248" s="37"/>
      <c r="X3248" s="37"/>
      <c r="Y3248" s="43"/>
      <c r="Z3248" s="37"/>
      <c r="AA3248" s="37"/>
      <c r="AD3248" s="37"/>
      <c r="AE3248" s="37"/>
      <c r="AF3248" s="37"/>
    </row>
    <row r="3249" spans="1:32" x14ac:dyDescent="0.25">
      <c r="A3249" s="37"/>
      <c r="B3249" s="37"/>
      <c r="C3249" s="37"/>
      <c r="F3249" s="38"/>
      <c r="G3249" s="38"/>
      <c r="H3249" s="38"/>
      <c r="I3249" s="37"/>
      <c r="J3249" s="38"/>
      <c r="K3249" s="38"/>
      <c r="L3249" s="42"/>
      <c r="M3249" s="42"/>
      <c r="N3249" s="42"/>
      <c r="O3249" s="42"/>
      <c r="R3249" s="37"/>
      <c r="S3249" s="37"/>
      <c r="T3249" s="91"/>
      <c r="U3249" s="91"/>
      <c r="V3249" s="41"/>
      <c r="W3249" s="37"/>
      <c r="X3249" s="37"/>
      <c r="Y3249" s="43"/>
      <c r="Z3249" s="37"/>
      <c r="AA3249" s="37"/>
      <c r="AD3249" s="37"/>
      <c r="AE3249" s="37"/>
      <c r="AF3249" s="37"/>
    </row>
    <row r="3250" spans="1:32" x14ac:dyDescent="0.25">
      <c r="A3250" s="37"/>
      <c r="B3250" s="37"/>
      <c r="C3250" s="37"/>
      <c r="F3250" s="38"/>
      <c r="G3250" s="38"/>
      <c r="H3250" s="38"/>
      <c r="I3250" s="37"/>
      <c r="J3250" s="38"/>
      <c r="K3250" s="38"/>
      <c r="L3250" s="42"/>
      <c r="M3250" s="42"/>
      <c r="N3250" s="42"/>
      <c r="O3250" s="42"/>
      <c r="R3250" s="37"/>
      <c r="S3250" s="37"/>
      <c r="T3250" s="91"/>
      <c r="U3250" s="91"/>
      <c r="V3250" s="41"/>
      <c r="W3250" s="37"/>
      <c r="X3250" s="37"/>
      <c r="Y3250" s="43"/>
      <c r="Z3250" s="37"/>
      <c r="AA3250" s="37"/>
      <c r="AD3250" s="37"/>
      <c r="AE3250" s="37"/>
      <c r="AF3250" s="37"/>
    </row>
    <row r="3251" spans="1:32" x14ac:dyDescent="0.25">
      <c r="A3251" s="37"/>
      <c r="B3251" s="37"/>
      <c r="C3251" s="37"/>
      <c r="F3251" s="38"/>
      <c r="G3251" s="38"/>
      <c r="H3251" s="38"/>
      <c r="I3251" s="37"/>
      <c r="J3251" s="38"/>
      <c r="K3251" s="38"/>
      <c r="L3251" s="42"/>
      <c r="M3251" s="42"/>
      <c r="N3251" s="42"/>
      <c r="O3251" s="42"/>
      <c r="R3251" s="37"/>
      <c r="S3251" s="37"/>
      <c r="T3251" s="91"/>
      <c r="U3251" s="91"/>
      <c r="V3251" s="41"/>
      <c r="W3251" s="37"/>
      <c r="X3251" s="37"/>
      <c r="Y3251" s="43"/>
      <c r="Z3251" s="37"/>
      <c r="AA3251" s="37"/>
      <c r="AD3251" s="37"/>
      <c r="AE3251" s="37"/>
      <c r="AF3251" s="37"/>
    </row>
    <row r="3252" spans="1:32" x14ac:dyDescent="0.25">
      <c r="A3252" s="37"/>
      <c r="B3252" s="37"/>
      <c r="C3252" s="37"/>
      <c r="F3252" s="38"/>
      <c r="G3252" s="38"/>
      <c r="H3252" s="38"/>
      <c r="I3252" s="37"/>
      <c r="J3252" s="38"/>
      <c r="K3252" s="38"/>
      <c r="L3252" s="42"/>
      <c r="M3252" s="42"/>
      <c r="N3252" s="42"/>
      <c r="O3252" s="42"/>
      <c r="R3252" s="37"/>
      <c r="S3252" s="37"/>
      <c r="T3252" s="91"/>
      <c r="U3252" s="91"/>
      <c r="V3252" s="41"/>
      <c r="W3252" s="37"/>
      <c r="X3252" s="37"/>
      <c r="Y3252" s="43"/>
      <c r="Z3252" s="37"/>
      <c r="AA3252" s="37"/>
      <c r="AD3252" s="37"/>
      <c r="AE3252" s="37"/>
      <c r="AF3252" s="37"/>
    </row>
    <row r="3253" spans="1:32" x14ac:dyDescent="0.25">
      <c r="A3253" s="37"/>
      <c r="B3253" s="37"/>
      <c r="C3253" s="37"/>
      <c r="F3253" s="38"/>
      <c r="G3253" s="38"/>
      <c r="H3253" s="38"/>
      <c r="I3253" s="37"/>
      <c r="J3253" s="38"/>
      <c r="K3253" s="38"/>
      <c r="L3253" s="42"/>
      <c r="M3253" s="42"/>
      <c r="N3253" s="42"/>
      <c r="O3253" s="42"/>
      <c r="R3253" s="37"/>
      <c r="S3253" s="37"/>
      <c r="T3253" s="91"/>
      <c r="U3253" s="91"/>
      <c r="V3253" s="41"/>
      <c r="W3253" s="37"/>
      <c r="X3253" s="37"/>
      <c r="Y3253" s="43"/>
      <c r="Z3253" s="37"/>
      <c r="AA3253" s="37"/>
      <c r="AD3253" s="37"/>
      <c r="AE3253" s="37"/>
      <c r="AF3253" s="37"/>
    </row>
    <row r="3254" spans="1:32" x14ac:dyDescent="0.25">
      <c r="A3254" s="37"/>
      <c r="B3254" s="37"/>
      <c r="C3254" s="37"/>
      <c r="F3254" s="38"/>
      <c r="G3254" s="38"/>
      <c r="H3254" s="38"/>
      <c r="I3254" s="37"/>
      <c r="J3254" s="38"/>
      <c r="K3254" s="38"/>
      <c r="L3254" s="42"/>
      <c r="M3254" s="42"/>
      <c r="N3254" s="42"/>
      <c r="O3254" s="42"/>
      <c r="R3254" s="37"/>
      <c r="S3254" s="37"/>
      <c r="T3254" s="91"/>
      <c r="U3254" s="91"/>
      <c r="V3254" s="41"/>
      <c r="W3254" s="37"/>
      <c r="X3254" s="37"/>
      <c r="Y3254" s="43"/>
      <c r="Z3254" s="37"/>
      <c r="AA3254" s="37"/>
      <c r="AD3254" s="37"/>
      <c r="AE3254" s="37"/>
      <c r="AF3254" s="37"/>
    </row>
    <row r="3255" spans="1:32" x14ac:dyDescent="0.25">
      <c r="A3255" s="37"/>
      <c r="B3255" s="37"/>
      <c r="C3255" s="37"/>
      <c r="F3255" s="38"/>
      <c r="G3255" s="38"/>
      <c r="H3255" s="38"/>
      <c r="I3255" s="37"/>
      <c r="J3255" s="38"/>
      <c r="K3255" s="38"/>
      <c r="L3255" s="42"/>
      <c r="M3255" s="42"/>
      <c r="N3255" s="42"/>
      <c r="O3255" s="42"/>
      <c r="R3255" s="37"/>
      <c r="S3255" s="37"/>
      <c r="T3255" s="91"/>
      <c r="U3255" s="91"/>
      <c r="V3255" s="41"/>
      <c r="W3255" s="37"/>
      <c r="X3255" s="37"/>
      <c r="Y3255" s="43"/>
      <c r="Z3255" s="37"/>
      <c r="AA3255" s="37"/>
      <c r="AD3255" s="37"/>
      <c r="AE3255" s="37"/>
      <c r="AF3255" s="37"/>
    </row>
    <row r="3256" spans="1:32" x14ac:dyDescent="0.25">
      <c r="A3256" s="37"/>
      <c r="B3256" s="37"/>
      <c r="C3256" s="37"/>
      <c r="F3256" s="38"/>
      <c r="G3256" s="38"/>
      <c r="H3256" s="38"/>
      <c r="I3256" s="37"/>
      <c r="J3256" s="38"/>
      <c r="K3256" s="38"/>
      <c r="L3256" s="42"/>
      <c r="M3256" s="42"/>
      <c r="N3256" s="42"/>
      <c r="O3256" s="42"/>
      <c r="R3256" s="37"/>
      <c r="S3256" s="37"/>
      <c r="T3256" s="91"/>
      <c r="U3256" s="91"/>
      <c r="V3256" s="41"/>
      <c r="W3256" s="37"/>
      <c r="X3256" s="37"/>
      <c r="Y3256" s="43"/>
      <c r="Z3256" s="37"/>
      <c r="AA3256" s="37"/>
      <c r="AD3256" s="37"/>
      <c r="AE3256" s="37"/>
      <c r="AF3256" s="37"/>
    </row>
    <row r="3257" spans="1:32" x14ac:dyDescent="0.25">
      <c r="A3257" s="37"/>
      <c r="B3257" s="37"/>
      <c r="C3257" s="37"/>
      <c r="F3257" s="38"/>
      <c r="G3257" s="38"/>
      <c r="H3257" s="38"/>
      <c r="I3257" s="37"/>
      <c r="J3257" s="38"/>
      <c r="K3257" s="38"/>
      <c r="L3257" s="42"/>
      <c r="M3257" s="42"/>
      <c r="N3257" s="42"/>
      <c r="O3257" s="42"/>
      <c r="R3257" s="37"/>
      <c r="S3257" s="37"/>
      <c r="T3257" s="91"/>
      <c r="U3257" s="91"/>
      <c r="V3257" s="41"/>
      <c r="W3257" s="37"/>
      <c r="X3257" s="37"/>
      <c r="Y3257" s="43"/>
      <c r="Z3257" s="37"/>
      <c r="AA3257" s="37"/>
      <c r="AD3257" s="37"/>
      <c r="AE3257" s="37"/>
      <c r="AF3257" s="37"/>
    </row>
    <row r="3258" spans="1:32" x14ac:dyDescent="0.25">
      <c r="A3258" s="37"/>
      <c r="B3258" s="37"/>
      <c r="C3258" s="37"/>
      <c r="F3258" s="38"/>
      <c r="G3258" s="38"/>
      <c r="H3258" s="38"/>
      <c r="I3258" s="37"/>
      <c r="J3258" s="38"/>
      <c r="K3258" s="38"/>
      <c r="L3258" s="42"/>
      <c r="M3258" s="42"/>
      <c r="N3258" s="42"/>
      <c r="O3258" s="42"/>
      <c r="R3258" s="37"/>
      <c r="S3258" s="37"/>
      <c r="T3258" s="91"/>
      <c r="U3258" s="91"/>
      <c r="V3258" s="41"/>
      <c r="W3258" s="37"/>
      <c r="X3258" s="37"/>
      <c r="Y3258" s="43"/>
      <c r="Z3258" s="37"/>
      <c r="AA3258" s="37"/>
      <c r="AD3258" s="37"/>
      <c r="AE3258" s="37"/>
      <c r="AF3258" s="37"/>
    </row>
    <row r="3259" spans="1:32" x14ac:dyDescent="0.25">
      <c r="A3259" s="37"/>
      <c r="B3259" s="37"/>
      <c r="C3259" s="37"/>
      <c r="F3259" s="38"/>
      <c r="G3259" s="38"/>
      <c r="H3259" s="38"/>
      <c r="I3259" s="37"/>
      <c r="J3259" s="38"/>
      <c r="K3259" s="38"/>
      <c r="L3259" s="42"/>
      <c r="M3259" s="42"/>
      <c r="N3259" s="42"/>
      <c r="O3259" s="42"/>
      <c r="R3259" s="37"/>
      <c r="S3259" s="37"/>
      <c r="T3259" s="91"/>
      <c r="U3259" s="91"/>
      <c r="V3259" s="41"/>
      <c r="W3259" s="37"/>
      <c r="X3259" s="37"/>
      <c r="Y3259" s="43"/>
      <c r="Z3259" s="37"/>
      <c r="AA3259" s="37"/>
      <c r="AD3259" s="37"/>
      <c r="AE3259" s="37"/>
      <c r="AF3259" s="37"/>
    </row>
    <row r="3260" spans="1:32" x14ac:dyDescent="0.25">
      <c r="A3260" s="37"/>
      <c r="B3260" s="37"/>
      <c r="C3260" s="37"/>
      <c r="F3260" s="38"/>
      <c r="G3260" s="38"/>
      <c r="H3260" s="38"/>
      <c r="I3260" s="37"/>
      <c r="J3260" s="38"/>
      <c r="K3260" s="38"/>
      <c r="L3260" s="42"/>
      <c r="M3260" s="42"/>
      <c r="N3260" s="42"/>
      <c r="O3260" s="42"/>
      <c r="R3260" s="37"/>
      <c r="S3260" s="37"/>
      <c r="T3260" s="91"/>
      <c r="U3260" s="91"/>
      <c r="V3260" s="41"/>
      <c r="W3260" s="37"/>
      <c r="X3260" s="37"/>
      <c r="Y3260" s="43"/>
      <c r="Z3260" s="37"/>
      <c r="AA3260" s="37"/>
      <c r="AD3260" s="37"/>
      <c r="AE3260" s="37"/>
      <c r="AF3260" s="37"/>
    </row>
    <row r="3261" spans="1:32" x14ac:dyDescent="0.25">
      <c r="A3261" s="37"/>
      <c r="B3261" s="37"/>
      <c r="C3261" s="37"/>
      <c r="F3261" s="38"/>
      <c r="G3261" s="38"/>
      <c r="H3261" s="38"/>
      <c r="I3261" s="37"/>
      <c r="J3261" s="38"/>
      <c r="K3261" s="38"/>
      <c r="L3261" s="42"/>
      <c r="M3261" s="42"/>
      <c r="N3261" s="42"/>
      <c r="O3261" s="42"/>
      <c r="R3261" s="37"/>
      <c r="S3261" s="37"/>
      <c r="T3261" s="91"/>
      <c r="U3261" s="91"/>
      <c r="V3261" s="41"/>
      <c r="W3261" s="37"/>
      <c r="X3261" s="37"/>
      <c r="Y3261" s="43"/>
      <c r="Z3261" s="37"/>
      <c r="AA3261" s="37"/>
      <c r="AD3261" s="37"/>
      <c r="AE3261" s="37"/>
      <c r="AF3261" s="37"/>
    </row>
    <row r="3262" spans="1:32" x14ac:dyDescent="0.25">
      <c r="A3262" s="37"/>
      <c r="B3262" s="37"/>
      <c r="C3262" s="37"/>
      <c r="F3262" s="38"/>
      <c r="G3262" s="38"/>
      <c r="H3262" s="38"/>
      <c r="I3262" s="37"/>
      <c r="J3262" s="38"/>
      <c r="K3262" s="38"/>
      <c r="L3262" s="42"/>
      <c r="M3262" s="42"/>
      <c r="N3262" s="42"/>
      <c r="O3262" s="42"/>
      <c r="R3262" s="37"/>
      <c r="S3262" s="37"/>
      <c r="T3262" s="91"/>
      <c r="U3262" s="91"/>
      <c r="V3262" s="41"/>
      <c r="W3262" s="37"/>
      <c r="X3262" s="37"/>
      <c r="Y3262" s="43"/>
      <c r="Z3262" s="37"/>
      <c r="AA3262" s="37"/>
      <c r="AD3262" s="37"/>
      <c r="AE3262" s="37"/>
      <c r="AF3262" s="37"/>
    </row>
    <row r="3263" spans="1:32" x14ac:dyDescent="0.25">
      <c r="A3263" s="37"/>
      <c r="B3263" s="37"/>
      <c r="C3263" s="37"/>
      <c r="F3263" s="38"/>
      <c r="G3263" s="38"/>
      <c r="H3263" s="38"/>
      <c r="I3263" s="37"/>
      <c r="J3263" s="38"/>
      <c r="K3263" s="38"/>
      <c r="L3263" s="42"/>
      <c r="M3263" s="42"/>
      <c r="N3263" s="42"/>
      <c r="O3263" s="42"/>
      <c r="R3263" s="37"/>
      <c r="S3263" s="37"/>
      <c r="T3263" s="91"/>
      <c r="U3263" s="91"/>
      <c r="V3263" s="41"/>
      <c r="W3263" s="37"/>
      <c r="X3263" s="37"/>
      <c r="Y3263" s="43"/>
      <c r="Z3263" s="37"/>
      <c r="AA3263" s="37"/>
      <c r="AD3263" s="37"/>
      <c r="AE3263" s="37"/>
      <c r="AF3263" s="37"/>
    </row>
    <row r="3264" spans="1:32" x14ac:dyDescent="0.25">
      <c r="A3264" s="37"/>
      <c r="B3264" s="37"/>
      <c r="C3264" s="37"/>
      <c r="F3264" s="38"/>
      <c r="G3264" s="38"/>
      <c r="H3264" s="38"/>
      <c r="I3264" s="37"/>
      <c r="J3264" s="38"/>
      <c r="K3264" s="38"/>
      <c r="L3264" s="42"/>
      <c r="M3264" s="42"/>
      <c r="N3264" s="42"/>
      <c r="O3264" s="42"/>
      <c r="R3264" s="37"/>
      <c r="S3264" s="37"/>
      <c r="T3264" s="91"/>
      <c r="U3264" s="91"/>
      <c r="V3264" s="41"/>
      <c r="W3264" s="37"/>
      <c r="X3264" s="37"/>
      <c r="Y3264" s="43"/>
      <c r="Z3264" s="37"/>
      <c r="AA3264" s="37"/>
      <c r="AD3264" s="37"/>
      <c r="AE3264" s="37"/>
      <c r="AF3264" s="37"/>
    </row>
    <row r="3265" spans="1:32" x14ac:dyDescent="0.25">
      <c r="A3265" s="37"/>
      <c r="B3265" s="37"/>
      <c r="C3265" s="37"/>
      <c r="F3265" s="38"/>
      <c r="G3265" s="38"/>
      <c r="H3265" s="38"/>
      <c r="I3265" s="37"/>
      <c r="J3265" s="38"/>
      <c r="K3265" s="38"/>
      <c r="L3265" s="42"/>
      <c r="M3265" s="42"/>
      <c r="N3265" s="42"/>
      <c r="O3265" s="42"/>
      <c r="R3265" s="37"/>
      <c r="S3265" s="37"/>
      <c r="T3265" s="91"/>
      <c r="U3265" s="91"/>
      <c r="V3265" s="41"/>
      <c r="W3265" s="37"/>
      <c r="X3265" s="37"/>
      <c r="Y3265" s="43"/>
      <c r="Z3265" s="37"/>
      <c r="AA3265" s="37"/>
      <c r="AD3265" s="37"/>
      <c r="AE3265" s="37"/>
      <c r="AF3265" s="37"/>
    </row>
    <row r="3266" spans="1:32" x14ac:dyDescent="0.25">
      <c r="A3266" s="37"/>
      <c r="B3266" s="37"/>
      <c r="C3266" s="37"/>
      <c r="F3266" s="38"/>
      <c r="G3266" s="38"/>
      <c r="H3266" s="38"/>
      <c r="I3266" s="37"/>
      <c r="J3266" s="38"/>
      <c r="K3266" s="38"/>
      <c r="L3266" s="42"/>
      <c r="M3266" s="42"/>
      <c r="N3266" s="42"/>
      <c r="O3266" s="42"/>
      <c r="R3266" s="37"/>
      <c r="S3266" s="37"/>
      <c r="T3266" s="91"/>
      <c r="U3266" s="91"/>
      <c r="V3266" s="41"/>
      <c r="W3266" s="37"/>
      <c r="X3266" s="37"/>
      <c r="Y3266" s="43"/>
      <c r="Z3266" s="37"/>
      <c r="AA3266" s="37"/>
      <c r="AD3266" s="37"/>
      <c r="AE3266" s="37"/>
      <c r="AF3266" s="37"/>
    </row>
    <row r="3267" spans="1:32" x14ac:dyDescent="0.25">
      <c r="A3267" s="37"/>
      <c r="B3267" s="37"/>
      <c r="C3267" s="37"/>
      <c r="F3267" s="38"/>
      <c r="G3267" s="38"/>
      <c r="H3267" s="38"/>
      <c r="I3267" s="37"/>
      <c r="J3267" s="38"/>
      <c r="K3267" s="38"/>
      <c r="L3267" s="42"/>
      <c r="M3267" s="42"/>
      <c r="N3267" s="42"/>
      <c r="O3267" s="42"/>
      <c r="R3267" s="37"/>
      <c r="S3267" s="37"/>
      <c r="T3267" s="91"/>
      <c r="U3267" s="91"/>
      <c r="V3267" s="41"/>
      <c r="W3267" s="37"/>
      <c r="X3267" s="37"/>
      <c r="Y3267" s="43"/>
      <c r="Z3267" s="37"/>
      <c r="AA3267" s="37"/>
      <c r="AD3267" s="37"/>
      <c r="AE3267" s="37"/>
      <c r="AF3267" s="37"/>
    </row>
    <row r="3268" spans="1:32" x14ac:dyDescent="0.25">
      <c r="A3268" s="37"/>
      <c r="B3268" s="37"/>
      <c r="C3268" s="37"/>
      <c r="F3268" s="38"/>
      <c r="G3268" s="38"/>
      <c r="H3268" s="38"/>
      <c r="I3268" s="37"/>
      <c r="J3268" s="38"/>
      <c r="K3268" s="38"/>
      <c r="L3268" s="42"/>
      <c r="M3268" s="42"/>
      <c r="N3268" s="42"/>
      <c r="O3268" s="42"/>
      <c r="R3268" s="37"/>
      <c r="S3268" s="37"/>
      <c r="T3268" s="91"/>
      <c r="U3268" s="91"/>
      <c r="V3268" s="41"/>
      <c r="W3268" s="37"/>
      <c r="X3268" s="37"/>
      <c r="Y3268" s="43"/>
      <c r="Z3268" s="37"/>
      <c r="AA3268" s="37"/>
      <c r="AD3268" s="37"/>
      <c r="AE3268" s="37"/>
      <c r="AF3268" s="37"/>
    </row>
    <row r="3269" spans="1:32" x14ac:dyDescent="0.25">
      <c r="A3269" s="37"/>
      <c r="B3269" s="37"/>
      <c r="C3269" s="37"/>
      <c r="F3269" s="38"/>
      <c r="G3269" s="38"/>
      <c r="H3269" s="38"/>
      <c r="I3269" s="37"/>
      <c r="J3269" s="38"/>
      <c r="K3269" s="38"/>
      <c r="L3269" s="42"/>
      <c r="M3269" s="42"/>
      <c r="N3269" s="42"/>
      <c r="O3269" s="42"/>
      <c r="R3269" s="37"/>
      <c r="S3269" s="37"/>
      <c r="T3269" s="91"/>
      <c r="U3269" s="91"/>
      <c r="V3269" s="41"/>
      <c r="W3269" s="37"/>
      <c r="X3269" s="37"/>
      <c r="Y3269" s="43"/>
      <c r="Z3269" s="37"/>
      <c r="AA3269" s="37"/>
      <c r="AD3269" s="37"/>
      <c r="AE3269" s="37"/>
      <c r="AF3269" s="37"/>
    </row>
    <row r="3270" spans="1:32" x14ac:dyDescent="0.25">
      <c r="A3270" s="37"/>
      <c r="B3270" s="37"/>
      <c r="C3270" s="37"/>
      <c r="F3270" s="38"/>
      <c r="G3270" s="38"/>
      <c r="H3270" s="38"/>
      <c r="I3270" s="37"/>
      <c r="J3270" s="38"/>
      <c r="K3270" s="38"/>
      <c r="L3270" s="42"/>
      <c r="M3270" s="42"/>
      <c r="N3270" s="42"/>
      <c r="O3270" s="42"/>
      <c r="R3270" s="37"/>
      <c r="S3270" s="37"/>
      <c r="T3270" s="91"/>
      <c r="U3270" s="91"/>
      <c r="V3270" s="41"/>
      <c r="W3270" s="37"/>
      <c r="X3270" s="37"/>
      <c r="Y3270" s="43"/>
      <c r="Z3270" s="37"/>
      <c r="AA3270" s="37"/>
      <c r="AD3270" s="37"/>
      <c r="AE3270" s="37"/>
      <c r="AF3270" s="37"/>
    </row>
    <row r="3271" spans="1:32" x14ac:dyDescent="0.25">
      <c r="A3271" s="37"/>
      <c r="B3271" s="37"/>
      <c r="C3271" s="37"/>
      <c r="F3271" s="38"/>
      <c r="G3271" s="38"/>
      <c r="H3271" s="38"/>
      <c r="I3271" s="37"/>
      <c r="J3271" s="38"/>
      <c r="K3271" s="38"/>
      <c r="L3271" s="42"/>
      <c r="M3271" s="42"/>
      <c r="N3271" s="42"/>
      <c r="O3271" s="42"/>
      <c r="R3271" s="37"/>
      <c r="S3271" s="37"/>
      <c r="T3271" s="91"/>
      <c r="U3271" s="91"/>
      <c r="V3271" s="41"/>
      <c r="W3271" s="37"/>
      <c r="X3271" s="37"/>
      <c r="Y3271" s="43"/>
      <c r="Z3271" s="37"/>
      <c r="AA3271" s="37"/>
      <c r="AD3271" s="37"/>
      <c r="AE3271" s="37"/>
      <c r="AF3271" s="37"/>
    </row>
    <row r="3272" spans="1:32" x14ac:dyDescent="0.25">
      <c r="A3272" s="37"/>
      <c r="B3272" s="37"/>
      <c r="C3272" s="37"/>
      <c r="F3272" s="38"/>
      <c r="G3272" s="38"/>
      <c r="H3272" s="38"/>
      <c r="I3272" s="37"/>
      <c r="J3272" s="38"/>
      <c r="K3272" s="38"/>
      <c r="L3272" s="42"/>
      <c r="M3272" s="42"/>
      <c r="N3272" s="42"/>
      <c r="O3272" s="42"/>
      <c r="R3272" s="37"/>
      <c r="S3272" s="37"/>
      <c r="T3272" s="91"/>
      <c r="U3272" s="91"/>
      <c r="V3272" s="41"/>
      <c r="W3272" s="37"/>
      <c r="X3272" s="37"/>
      <c r="Y3272" s="43"/>
      <c r="Z3272" s="37"/>
      <c r="AA3272" s="37"/>
      <c r="AD3272" s="37"/>
      <c r="AE3272" s="37"/>
      <c r="AF3272" s="37"/>
    </row>
    <row r="3273" spans="1:32" x14ac:dyDescent="0.25">
      <c r="A3273" s="37"/>
      <c r="B3273" s="37"/>
      <c r="C3273" s="37"/>
      <c r="F3273" s="38"/>
      <c r="G3273" s="38"/>
      <c r="H3273" s="38"/>
      <c r="I3273" s="37"/>
      <c r="J3273" s="38"/>
      <c r="K3273" s="38"/>
      <c r="L3273" s="42"/>
      <c r="M3273" s="42"/>
      <c r="N3273" s="42"/>
      <c r="O3273" s="42"/>
      <c r="R3273" s="37"/>
      <c r="S3273" s="37"/>
      <c r="T3273" s="91"/>
      <c r="U3273" s="91"/>
      <c r="V3273" s="41"/>
      <c r="W3273" s="37"/>
      <c r="X3273" s="37"/>
      <c r="Y3273" s="43"/>
      <c r="Z3273" s="37"/>
      <c r="AA3273" s="37"/>
      <c r="AD3273" s="37"/>
      <c r="AE3273" s="37"/>
      <c r="AF3273" s="37"/>
    </row>
    <row r="3274" spans="1:32" x14ac:dyDescent="0.25">
      <c r="A3274" s="37"/>
      <c r="B3274" s="37"/>
      <c r="C3274" s="37"/>
      <c r="F3274" s="38"/>
      <c r="G3274" s="38"/>
      <c r="H3274" s="38"/>
      <c r="I3274" s="37"/>
      <c r="J3274" s="38"/>
      <c r="K3274" s="38"/>
      <c r="L3274" s="42"/>
      <c r="M3274" s="42"/>
      <c r="N3274" s="42"/>
      <c r="O3274" s="42"/>
      <c r="R3274" s="37"/>
      <c r="S3274" s="37"/>
      <c r="T3274" s="91"/>
      <c r="U3274" s="91"/>
      <c r="V3274" s="41"/>
      <c r="W3274" s="37"/>
      <c r="X3274" s="37"/>
      <c r="Y3274" s="43"/>
      <c r="Z3274" s="37"/>
      <c r="AA3274" s="37"/>
      <c r="AD3274" s="37"/>
      <c r="AE3274" s="37"/>
      <c r="AF3274" s="37"/>
    </row>
    <row r="3275" spans="1:32" x14ac:dyDescent="0.25">
      <c r="A3275" s="37"/>
      <c r="B3275" s="37"/>
      <c r="C3275" s="37"/>
      <c r="F3275" s="38"/>
      <c r="G3275" s="38"/>
      <c r="H3275" s="38"/>
      <c r="I3275" s="37"/>
      <c r="J3275" s="38"/>
      <c r="K3275" s="38"/>
      <c r="L3275" s="42"/>
      <c r="M3275" s="42"/>
      <c r="N3275" s="42"/>
      <c r="O3275" s="42"/>
      <c r="R3275" s="37"/>
      <c r="S3275" s="37"/>
      <c r="T3275" s="91"/>
      <c r="U3275" s="91"/>
      <c r="V3275" s="41"/>
      <c r="W3275" s="37"/>
      <c r="X3275" s="37"/>
      <c r="Y3275" s="43"/>
      <c r="Z3275" s="37"/>
      <c r="AA3275" s="37"/>
      <c r="AD3275" s="37"/>
      <c r="AE3275" s="37"/>
      <c r="AF3275" s="37"/>
    </row>
    <row r="3276" spans="1:32" x14ac:dyDescent="0.25">
      <c r="A3276" s="37"/>
      <c r="B3276" s="37"/>
      <c r="C3276" s="37"/>
      <c r="F3276" s="38"/>
      <c r="G3276" s="38"/>
      <c r="H3276" s="38"/>
      <c r="I3276" s="37"/>
      <c r="J3276" s="38"/>
      <c r="K3276" s="38"/>
      <c r="L3276" s="42"/>
      <c r="M3276" s="42"/>
      <c r="N3276" s="42"/>
      <c r="O3276" s="42"/>
      <c r="R3276" s="37"/>
      <c r="S3276" s="37"/>
      <c r="T3276" s="91"/>
      <c r="U3276" s="91"/>
      <c r="V3276" s="41"/>
      <c r="W3276" s="37"/>
      <c r="X3276" s="37"/>
      <c r="Y3276" s="43"/>
      <c r="Z3276" s="37"/>
      <c r="AA3276" s="37"/>
      <c r="AD3276" s="37"/>
      <c r="AE3276" s="37"/>
      <c r="AF3276" s="37"/>
    </row>
    <row r="3277" spans="1:32" x14ac:dyDescent="0.25">
      <c r="A3277" s="37"/>
      <c r="B3277" s="37"/>
      <c r="C3277" s="37"/>
      <c r="F3277" s="38"/>
      <c r="G3277" s="38"/>
      <c r="H3277" s="38"/>
      <c r="I3277" s="37"/>
      <c r="J3277" s="38"/>
      <c r="K3277" s="38"/>
      <c r="L3277" s="42"/>
      <c r="M3277" s="42"/>
      <c r="N3277" s="42"/>
      <c r="O3277" s="42"/>
      <c r="R3277" s="37"/>
      <c r="S3277" s="37"/>
      <c r="T3277" s="91"/>
      <c r="U3277" s="91"/>
      <c r="V3277" s="41"/>
      <c r="W3277" s="37"/>
      <c r="X3277" s="37"/>
      <c r="Y3277" s="43"/>
      <c r="Z3277" s="37"/>
      <c r="AA3277" s="37"/>
      <c r="AD3277" s="37"/>
      <c r="AE3277" s="37"/>
      <c r="AF3277" s="37"/>
    </row>
    <row r="3278" spans="1:32" x14ac:dyDescent="0.25">
      <c r="A3278" s="37"/>
      <c r="B3278" s="37"/>
      <c r="C3278" s="37"/>
      <c r="F3278" s="38"/>
      <c r="G3278" s="38"/>
      <c r="H3278" s="38"/>
      <c r="I3278" s="37"/>
      <c r="J3278" s="38"/>
      <c r="K3278" s="38"/>
      <c r="L3278" s="42"/>
      <c r="M3278" s="42"/>
      <c r="N3278" s="42"/>
      <c r="O3278" s="42"/>
      <c r="R3278" s="37"/>
      <c r="S3278" s="37"/>
      <c r="T3278" s="91"/>
      <c r="U3278" s="91"/>
      <c r="V3278" s="41"/>
      <c r="W3278" s="37"/>
      <c r="X3278" s="37"/>
      <c r="Y3278" s="43"/>
      <c r="Z3278" s="37"/>
      <c r="AA3278" s="37"/>
      <c r="AD3278" s="37"/>
      <c r="AE3278" s="37"/>
      <c r="AF3278" s="37"/>
    </row>
    <row r="3279" spans="1:32" x14ac:dyDescent="0.25">
      <c r="A3279" s="37"/>
      <c r="B3279" s="37"/>
      <c r="C3279" s="37"/>
      <c r="F3279" s="38"/>
      <c r="G3279" s="38"/>
      <c r="H3279" s="38"/>
      <c r="I3279" s="37"/>
      <c r="J3279" s="38"/>
      <c r="K3279" s="38"/>
      <c r="L3279" s="42"/>
      <c r="M3279" s="42"/>
      <c r="N3279" s="42"/>
      <c r="O3279" s="42"/>
      <c r="R3279" s="37"/>
      <c r="S3279" s="37"/>
      <c r="T3279" s="91"/>
      <c r="U3279" s="91"/>
      <c r="V3279" s="41"/>
      <c r="W3279" s="37"/>
      <c r="X3279" s="37"/>
      <c r="Y3279" s="43"/>
      <c r="Z3279" s="37"/>
      <c r="AA3279" s="37"/>
      <c r="AD3279" s="37"/>
      <c r="AE3279" s="37"/>
      <c r="AF3279" s="37"/>
    </row>
    <row r="3280" spans="1:32" x14ac:dyDescent="0.25">
      <c r="A3280" s="37"/>
      <c r="B3280" s="37"/>
      <c r="C3280" s="37"/>
      <c r="F3280" s="38"/>
      <c r="G3280" s="38"/>
      <c r="H3280" s="38"/>
      <c r="I3280" s="37"/>
      <c r="J3280" s="38"/>
      <c r="K3280" s="38"/>
      <c r="L3280" s="42"/>
      <c r="M3280" s="42"/>
      <c r="N3280" s="42"/>
      <c r="O3280" s="42"/>
      <c r="R3280" s="37"/>
      <c r="S3280" s="37"/>
      <c r="T3280" s="91"/>
      <c r="U3280" s="91"/>
      <c r="V3280" s="41"/>
      <c r="W3280" s="37"/>
      <c r="X3280" s="37"/>
      <c r="Y3280" s="43"/>
      <c r="Z3280" s="37"/>
      <c r="AA3280" s="37"/>
      <c r="AD3280" s="37"/>
      <c r="AE3280" s="37"/>
      <c r="AF3280" s="37"/>
    </row>
    <row r="3281" spans="1:32" x14ac:dyDescent="0.25">
      <c r="A3281" s="37"/>
      <c r="B3281" s="37"/>
      <c r="C3281" s="37"/>
      <c r="F3281" s="38"/>
      <c r="G3281" s="38"/>
      <c r="H3281" s="38"/>
      <c r="I3281" s="37"/>
      <c r="J3281" s="38"/>
      <c r="K3281" s="38"/>
      <c r="L3281" s="42"/>
      <c r="M3281" s="42"/>
      <c r="N3281" s="42"/>
      <c r="O3281" s="42"/>
      <c r="R3281" s="37"/>
      <c r="S3281" s="37"/>
      <c r="T3281" s="91"/>
      <c r="U3281" s="91"/>
      <c r="V3281" s="41"/>
      <c r="W3281" s="37"/>
      <c r="X3281" s="37"/>
      <c r="Y3281" s="43"/>
      <c r="Z3281" s="37"/>
      <c r="AA3281" s="37"/>
      <c r="AD3281" s="37"/>
      <c r="AE3281" s="37"/>
      <c r="AF3281" s="37"/>
    </row>
    <row r="3282" spans="1:32" x14ac:dyDescent="0.25">
      <c r="A3282" s="37"/>
      <c r="B3282" s="37"/>
      <c r="C3282" s="37"/>
      <c r="F3282" s="38"/>
      <c r="G3282" s="38"/>
      <c r="H3282" s="38"/>
      <c r="I3282" s="37"/>
      <c r="J3282" s="38"/>
      <c r="K3282" s="38"/>
      <c r="L3282" s="42"/>
      <c r="M3282" s="42"/>
      <c r="N3282" s="42"/>
      <c r="O3282" s="42"/>
      <c r="R3282" s="37"/>
      <c r="S3282" s="37"/>
      <c r="T3282" s="91"/>
      <c r="U3282" s="91"/>
      <c r="V3282" s="41"/>
      <c r="W3282" s="37"/>
      <c r="X3282" s="37"/>
      <c r="Y3282" s="43"/>
      <c r="Z3282" s="37"/>
      <c r="AA3282" s="37"/>
      <c r="AD3282" s="37"/>
      <c r="AE3282" s="37"/>
      <c r="AF3282" s="37"/>
    </row>
    <row r="3283" spans="1:32" x14ac:dyDescent="0.25">
      <c r="A3283" s="37"/>
      <c r="B3283" s="37"/>
      <c r="C3283" s="37"/>
      <c r="F3283" s="38"/>
      <c r="G3283" s="38"/>
      <c r="H3283" s="38"/>
      <c r="I3283" s="37"/>
      <c r="J3283" s="38"/>
      <c r="K3283" s="38"/>
      <c r="L3283" s="42"/>
      <c r="M3283" s="42"/>
      <c r="N3283" s="42"/>
      <c r="O3283" s="42"/>
      <c r="R3283" s="37"/>
      <c r="S3283" s="37"/>
      <c r="T3283" s="91"/>
      <c r="U3283" s="91"/>
      <c r="V3283" s="41"/>
      <c r="W3283" s="37"/>
      <c r="X3283" s="37"/>
      <c r="Y3283" s="43"/>
      <c r="Z3283" s="37"/>
      <c r="AA3283" s="37"/>
      <c r="AD3283" s="37"/>
      <c r="AE3283" s="37"/>
      <c r="AF3283" s="37"/>
    </row>
    <row r="3284" spans="1:32" x14ac:dyDescent="0.25">
      <c r="A3284" s="37"/>
      <c r="B3284" s="37"/>
      <c r="C3284" s="37"/>
      <c r="F3284" s="38"/>
      <c r="G3284" s="38"/>
      <c r="H3284" s="38"/>
      <c r="I3284" s="37"/>
      <c r="J3284" s="38"/>
      <c r="K3284" s="38"/>
      <c r="L3284" s="42"/>
      <c r="M3284" s="42"/>
      <c r="N3284" s="42"/>
      <c r="O3284" s="42"/>
      <c r="R3284" s="37"/>
      <c r="S3284" s="37"/>
      <c r="T3284" s="91"/>
      <c r="U3284" s="91"/>
      <c r="V3284" s="41"/>
      <c r="W3284" s="37"/>
      <c r="X3284" s="37"/>
      <c r="Y3284" s="43"/>
      <c r="Z3284" s="37"/>
      <c r="AA3284" s="37"/>
      <c r="AD3284" s="37"/>
      <c r="AE3284" s="37"/>
      <c r="AF3284" s="37"/>
    </row>
    <row r="3285" spans="1:32" x14ac:dyDescent="0.25">
      <c r="A3285" s="37"/>
      <c r="B3285" s="37"/>
      <c r="C3285" s="37"/>
      <c r="F3285" s="38"/>
      <c r="G3285" s="38"/>
      <c r="H3285" s="38"/>
      <c r="I3285" s="37"/>
      <c r="J3285" s="38"/>
      <c r="K3285" s="38"/>
      <c r="L3285" s="42"/>
      <c r="M3285" s="42"/>
      <c r="N3285" s="42"/>
      <c r="O3285" s="42"/>
      <c r="R3285" s="37"/>
      <c r="S3285" s="37"/>
      <c r="T3285" s="91"/>
      <c r="U3285" s="91"/>
      <c r="V3285" s="41"/>
      <c r="W3285" s="37"/>
      <c r="X3285" s="37"/>
      <c r="Y3285" s="43"/>
      <c r="Z3285" s="37"/>
      <c r="AA3285" s="37"/>
      <c r="AD3285" s="37"/>
      <c r="AE3285" s="37"/>
      <c r="AF3285" s="37"/>
    </row>
    <row r="3286" spans="1:32" x14ac:dyDescent="0.25">
      <c r="A3286" s="37"/>
      <c r="B3286" s="37"/>
      <c r="C3286" s="37"/>
      <c r="F3286" s="38"/>
      <c r="G3286" s="38"/>
      <c r="H3286" s="38"/>
      <c r="I3286" s="37"/>
      <c r="J3286" s="38"/>
      <c r="K3286" s="38"/>
      <c r="L3286" s="42"/>
      <c r="M3286" s="42"/>
      <c r="N3286" s="42"/>
      <c r="O3286" s="42"/>
      <c r="R3286" s="37"/>
      <c r="S3286" s="37"/>
      <c r="T3286" s="91"/>
      <c r="U3286" s="91"/>
      <c r="V3286" s="41"/>
      <c r="W3286" s="37"/>
      <c r="X3286" s="37"/>
      <c r="Y3286" s="43"/>
      <c r="Z3286" s="37"/>
      <c r="AA3286" s="37"/>
      <c r="AD3286" s="37"/>
      <c r="AE3286" s="37"/>
      <c r="AF3286" s="37"/>
    </row>
    <row r="3287" spans="1:32" x14ac:dyDescent="0.25">
      <c r="A3287" s="37"/>
      <c r="B3287" s="37"/>
      <c r="C3287" s="37"/>
      <c r="F3287" s="38"/>
      <c r="G3287" s="38"/>
      <c r="H3287" s="38"/>
      <c r="I3287" s="37"/>
      <c r="J3287" s="38"/>
      <c r="K3287" s="38"/>
      <c r="L3287" s="42"/>
      <c r="M3287" s="42"/>
      <c r="N3287" s="42"/>
      <c r="O3287" s="42"/>
      <c r="R3287" s="37"/>
      <c r="S3287" s="37"/>
      <c r="T3287" s="91"/>
      <c r="U3287" s="91"/>
      <c r="V3287" s="41"/>
      <c r="W3287" s="37"/>
      <c r="X3287" s="37"/>
      <c r="Y3287" s="43"/>
      <c r="Z3287" s="37"/>
      <c r="AA3287" s="37"/>
      <c r="AD3287" s="37"/>
      <c r="AE3287" s="37"/>
      <c r="AF3287" s="37"/>
    </row>
    <row r="3288" spans="1:32" x14ac:dyDescent="0.25">
      <c r="A3288" s="37"/>
      <c r="B3288" s="37"/>
      <c r="C3288" s="37"/>
      <c r="F3288" s="38"/>
      <c r="G3288" s="38"/>
      <c r="H3288" s="38"/>
      <c r="I3288" s="37"/>
      <c r="J3288" s="38"/>
      <c r="K3288" s="38"/>
      <c r="L3288" s="42"/>
      <c r="M3288" s="42"/>
      <c r="N3288" s="42"/>
      <c r="O3288" s="42"/>
      <c r="R3288" s="37"/>
      <c r="S3288" s="37"/>
      <c r="T3288" s="91"/>
      <c r="U3288" s="91"/>
      <c r="V3288" s="41"/>
      <c r="W3288" s="37"/>
      <c r="X3288" s="37"/>
      <c r="Y3288" s="43"/>
      <c r="Z3288" s="37"/>
      <c r="AA3288" s="37"/>
      <c r="AD3288" s="37"/>
      <c r="AE3288" s="37"/>
      <c r="AF3288" s="37"/>
    </row>
    <row r="3289" spans="1:32" x14ac:dyDescent="0.25">
      <c r="A3289" s="37"/>
      <c r="B3289" s="37"/>
      <c r="C3289" s="37"/>
      <c r="F3289" s="38"/>
      <c r="G3289" s="38"/>
      <c r="H3289" s="38"/>
      <c r="I3289" s="37"/>
      <c r="J3289" s="38"/>
      <c r="K3289" s="38"/>
      <c r="L3289" s="42"/>
      <c r="M3289" s="42"/>
      <c r="N3289" s="42"/>
      <c r="O3289" s="42"/>
      <c r="R3289" s="37"/>
      <c r="S3289" s="37"/>
      <c r="T3289" s="91"/>
      <c r="U3289" s="91"/>
      <c r="V3289" s="41"/>
      <c r="W3289" s="37"/>
      <c r="X3289" s="37"/>
      <c r="Y3289" s="43"/>
      <c r="Z3289" s="37"/>
      <c r="AA3289" s="37"/>
      <c r="AD3289" s="37"/>
      <c r="AE3289" s="37"/>
      <c r="AF3289" s="37"/>
    </row>
    <row r="3290" spans="1:32" x14ac:dyDescent="0.25">
      <c r="A3290" s="37"/>
      <c r="B3290" s="37"/>
      <c r="C3290" s="37"/>
      <c r="F3290" s="38"/>
      <c r="G3290" s="38"/>
      <c r="H3290" s="38"/>
      <c r="I3290" s="37"/>
      <c r="J3290" s="38"/>
      <c r="K3290" s="38"/>
      <c r="L3290" s="42"/>
      <c r="M3290" s="42"/>
      <c r="N3290" s="42"/>
      <c r="O3290" s="42"/>
      <c r="R3290" s="37"/>
      <c r="S3290" s="37"/>
      <c r="T3290" s="91"/>
      <c r="U3290" s="91"/>
      <c r="V3290" s="41"/>
      <c r="W3290" s="37"/>
      <c r="X3290" s="37"/>
      <c r="Y3290" s="43"/>
      <c r="Z3290" s="37"/>
      <c r="AA3290" s="37"/>
      <c r="AD3290" s="37"/>
      <c r="AE3290" s="37"/>
      <c r="AF3290" s="37"/>
    </row>
    <row r="3291" spans="1:32" x14ac:dyDescent="0.25">
      <c r="A3291" s="37"/>
      <c r="B3291" s="37"/>
      <c r="C3291" s="37"/>
      <c r="F3291" s="38"/>
      <c r="G3291" s="38"/>
      <c r="H3291" s="38"/>
      <c r="I3291" s="37"/>
      <c r="J3291" s="38"/>
      <c r="K3291" s="38"/>
      <c r="L3291" s="42"/>
      <c r="M3291" s="42"/>
      <c r="N3291" s="42"/>
      <c r="O3291" s="42"/>
      <c r="R3291" s="37"/>
      <c r="S3291" s="37"/>
      <c r="T3291" s="91"/>
      <c r="U3291" s="91"/>
      <c r="V3291" s="41"/>
      <c r="W3291" s="37"/>
      <c r="X3291" s="37"/>
      <c r="Y3291" s="43"/>
      <c r="Z3291" s="37"/>
      <c r="AA3291" s="37"/>
      <c r="AD3291" s="37"/>
      <c r="AE3291" s="37"/>
      <c r="AF3291" s="37"/>
    </row>
    <row r="3292" spans="1:32" x14ac:dyDescent="0.25">
      <c r="A3292" s="37"/>
      <c r="B3292" s="37"/>
      <c r="C3292" s="37"/>
      <c r="F3292" s="38"/>
      <c r="G3292" s="38"/>
      <c r="H3292" s="38"/>
      <c r="I3292" s="37"/>
      <c r="J3292" s="38"/>
      <c r="K3292" s="38"/>
      <c r="L3292" s="42"/>
      <c r="M3292" s="42"/>
      <c r="N3292" s="42"/>
      <c r="O3292" s="42"/>
      <c r="R3292" s="37"/>
      <c r="S3292" s="37"/>
      <c r="T3292" s="91"/>
      <c r="U3292" s="91"/>
      <c r="V3292" s="41"/>
      <c r="W3292" s="37"/>
      <c r="X3292" s="37"/>
      <c r="Y3292" s="43"/>
      <c r="Z3292" s="37"/>
      <c r="AA3292" s="37"/>
      <c r="AD3292" s="37"/>
      <c r="AE3292" s="37"/>
      <c r="AF3292" s="37"/>
    </row>
    <row r="3293" spans="1:32" x14ac:dyDescent="0.25">
      <c r="A3293" s="37"/>
      <c r="B3293" s="37"/>
      <c r="C3293" s="37"/>
      <c r="F3293" s="38"/>
      <c r="G3293" s="38"/>
      <c r="H3293" s="38"/>
      <c r="I3293" s="37"/>
      <c r="J3293" s="38"/>
      <c r="K3293" s="38"/>
      <c r="L3293" s="42"/>
      <c r="M3293" s="42"/>
      <c r="N3293" s="42"/>
      <c r="O3293" s="42"/>
      <c r="R3293" s="37"/>
      <c r="S3293" s="37"/>
      <c r="T3293" s="91"/>
      <c r="U3293" s="91"/>
      <c r="V3293" s="41"/>
      <c r="W3293" s="37"/>
      <c r="X3293" s="37"/>
      <c r="Y3293" s="43"/>
      <c r="Z3293" s="37"/>
      <c r="AA3293" s="37"/>
      <c r="AD3293" s="37"/>
      <c r="AE3293" s="37"/>
      <c r="AF3293" s="37"/>
    </row>
    <row r="3294" spans="1:32" x14ac:dyDescent="0.25">
      <c r="A3294" s="37"/>
      <c r="B3294" s="37"/>
      <c r="C3294" s="37"/>
      <c r="F3294" s="38"/>
      <c r="G3294" s="38"/>
      <c r="H3294" s="38"/>
      <c r="I3294" s="37"/>
      <c r="J3294" s="38"/>
      <c r="K3294" s="38"/>
      <c r="L3294" s="42"/>
      <c r="M3294" s="42"/>
      <c r="N3294" s="42"/>
      <c r="O3294" s="42"/>
      <c r="R3294" s="37"/>
      <c r="S3294" s="37"/>
      <c r="T3294" s="91"/>
      <c r="U3294" s="91"/>
      <c r="V3294" s="41"/>
      <c r="W3294" s="37"/>
      <c r="X3294" s="37"/>
      <c r="Y3294" s="43"/>
      <c r="Z3294" s="37"/>
      <c r="AA3294" s="37"/>
      <c r="AD3294" s="37"/>
      <c r="AE3294" s="37"/>
      <c r="AF3294" s="37"/>
    </row>
    <row r="3295" spans="1:32" x14ac:dyDescent="0.25">
      <c r="A3295" s="37"/>
      <c r="B3295" s="37"/>
      <c r="C3295" s="37"/>
      <c r="F3295" s="38"/>
      <c r="G3295" s="38"/>
      <c r="H3295" s="38"/>
      <c r="I3295" s="37"/>
      <c r="J3295" s="38"/>
      <c r="K3295" s="38"/>
      <c r="L3295" s="42"/>
      <c r="M3295" s="42"/>
      <c r="N3295" s="42"/>
      <c r="O3295" s="42"/>
      <c r="R3295" s="37"/>
      <c r="S3295" s="37"/>
      <c r="T3295" s="91"/>
      <c r="U3295" s="91"/>
      <c r="V3295" s="41"/>
      <c r="W3295" s="37"/>
      <c r="X3295" s="37"/>
      <c r="Y3295" s="43"/>
      <c r="Z3295" s="37"/>
      <c r="AA3295" s="37"/>
      <c r="AD3295" s="37"/>
      <c r="AE3295" s="37"/>
      <c r="AF3295" s="37"/>
    </row>
    <row r="3296" spans="1:32" x14ac:dyDescent="0.25">
      <c r="A3296" s="37"/>
      <c r="B3296" s="37"/>
      <c r="C3296" s="37"/>
      <c r="F3296" s="38"/>
      <c r="G3296" s="38"/>
      <c r="H3296" s="38"/>
      <c r="I3296" s="37"/>
      <c r="J3296" s="38"/>
      <c r="K3296" s="38"/>
      <c r="L3296" s="42"/>
      <c r="M3296" s="42"/>
      <c r="N3296" s="42"/>
      <c r="O3296" s="42"/>
      <c r="R3296" s="37"/>
      <c r="S3296" s="37"/>
      <c r="T3296" s="91"/>
      <c r="U3296" s="91"/>
      <c r="V3296" s="41"/>
      <c r="W3296" s="37"/>
      <c r="X3296" s="37"/>
      <c r="Y3296" s="43"/>
      <c r="Z3296" s="37"/>
      <c r="AA3296" s="37"/>
      <c r="AD3296" s="37"/>
      <c r="AE3296" s="37"/>
      <c r="AF3296" s="37"/>
    </row>
    <row r="3297" spans="1:32" x14ac:dyDescent="0.25">
      <c r="A3297" s="37"/>
      <c r="B3297" s="37"/>
      <c r="C3297" s="37"/>
      <c r="F3297" s="38"/>
      <c r="G3297" s="38"/>
      <c r="H3297" s="38"/>
      <c r="I3297" s="37"/>
      <c r="J3297" s="38"/>
      <c r="K3297" s="38"/>
      <c r="L3297" s="42"/>
      <c r="M3297" s="42"/>
      <c r="N3297" s="42"/>
      <c r="O3297" s="42"/>
      <c r="R3297" s="37"/>
      <c r="S3297" s="37"/>
      <c r="T3297" s="91"/>
      <c r="U3297" s="91"/>
      <c r="V3297" s="41"/>
      <c r="W3297" s="37"/>
      <c r="X3297" s="37"/>
      <c r="Y3297" s="43"/>
      <c r="Z3297" s="37"/>
      <c r="AA3297" s="37"/>
      <c r="AD3297" s="37"/>
      <c r="AE3297" s="37"/>
      <c r="AF3297" s="37"/>
    </row>
    <row r="3298" spans="1:32" x14ac:dyDescent="0.25">
      <c r="A3298" s="37"/>
      <c r="B3298" s="37"/>
      <c r="C3298" s="37"/>
      <c r="F3298" s="38"/>
      <c r="G3298" s="38"/>
      <c r="H3298" s="38"/>
      <c r="I3298" s="37"/>
      <c r="J3298" s="38"/>
      <c r="K3298" s="38"/>
      <c r="L3298" s="42"/>
      <c r="M3298" s="42"/>
      <c r="N3298" s="42"/>
      <c r="O3298" s="42"/>
      <c r="R3298" s="37"/>
      <c r="S3298" s="37"/>
      <c r="T3298" s="91"/>
      <c r="U3298" s="91"/>
      <c r="V3298" s="41"/>
      <c r="W3298" s="37"/>
      <c r="X3298" s="37"/>
      <c r="Y3298" s="43"/>
      <c r="Z3298" s="37"/>
      <c r="AA3298" s="37"/>
      <c r="AD3298" s="37"/>
      <c r="AE3298" s="37"/>
      <c r="AF3298" s="37"/>
    </row>
    <row r="3299" spans="1:32" x14ac:dyDescent="0.25">
      <c r="A3299" s="37"/>
      <c r="B3299" s="37"/>
      <c r="C3299" s="37"/>
      <c r="F3299" s="38"/>
      <c r="G3299" s="38"/>
      <c r="H3299" s="38"/>
      <c r="I3299" s="37"/>
      <c r="J3299" s="38"/>
      <c r="K3299" s="38"/>
      <c r="L3299" s="42"/>
      <c r="M3299" s="42"/>
      <c r="N3299" s="42"/>
      <c r="O3299" s="42"/>
      <c r="R3299" s="37"/>
      <c r="S3299" s="37"/>
      <c r="T3299" s="91"/>
      <c r="U3299" s="91"/>
      <c r="V3299" s="41"/>
      <c r="W3299" s="37"/>
      <c r="X3299" s="37"/>
      <c r="Y3299" s="43"/>
      <c r="Z3299" s="37"/>
      <c r="AA3299" s="37"/>
      <c r="AD3299" s="37"/>
      <c r="AE3299" s="37"/>
      <c r="AF3299" s="37"/>
    </row>
    <row r="3300" spans="1:32" x14ac:dyDescent="0.25">
      <c r="A3300" s="37"/>
      <c r="B3300" s="37"/>
      <c r="C3300" s="37"/>
      <c r="F3300" s="38"/>
      <c r="G3300" s="38"/>
      <c r="H3300" s="38"/>
      <c r="I3300" s="37"/>
      <c r="J3300" s="38"/>
      <c r="K3300" s="38"/>
      <c r="L3300" s="42"/>
      <c r="M3300" s="42"/>
      <c r="N3300" s="42"/>
      <c r="O3300" s="42"/>
      <c r="R3300" s="37"/>
      <c r="S3300" s="37"/>
      <c r="T3300" s="91"/>
      <c r="U3300" s="91"/>
      <c r="V3300" s="41"/>
      <c r="W3300" s="37"/>
      <c r="X3300" s="37"/>
      <c r="Y3300" s="43"/>
      <c r="Z3300" s="37"/>
      <c r="AA3300" s="37"/>
      <c r="AD3300" s="37"/>
      <c r="AE3300" s="37"/>
      <c r="AF3300" s="37"/>
    </row>
    <row r="3301" spans="1:32" x14ac:dyDescent="0.25">
      <c r="A3301" s="37"/>
      <c r="B3301" s="37"/>
      <c r="C3301" s="37"/>
      <c r="F3301" s="38"/>
      <c r="G3301" s="38"/>
      <c r="H3301" s="38"/>
      <c r="I3301" s="37"/>
      <c r="J3301" s="38"/>
      <c r="K3301" s="38"/>
      <c r="L3301" s="42"/>
      <c r="M3301" s="42"/>
      <c r="N3301" s="42"/>
      <c r="O3301" s="42"/>
      <c r="R3301" s="37"/>
      <c r="S3301" s="37"/>
      <c r="T3301" s="91"/>
      <c r="U3301" s="91"/>
      <c r="V3301" s="41"/>
      <c r="W3301" s="37"/>
      <c r="X3301" s="37"/>
      <c r="Y3301" s="43"/>
      <c r="Z3301" s="37"/>
      <c r="AA3301" s="37"/>
      <c r="AD3301" s="37"/>
      <c r="AE3301" s="37"/>
      <c r="AF3301" s="37"/>
    </row>
    <row r="3302" spans="1:32" x14ac:dyDescent="0.25">
      <c r="A3302" s="37"/>
      <c r="B3302" s="37"/>
      <c r="C3302" s="37"/>
      <c r="F3302" s="38"/>
      <c r="G3302" s="38"/>
      <c r="H3302" s="38"/>
      <c r="I3302" s="37"/>
      <c r="J3302" s="38"/>
      <c r="K3302" s="38"/>
      <c r="L3302" s="42"/>
      <c r="M3302" s="42"/>
      <c r="N3302" s="42"/>
      <c r="O3302" s="42"/>
      <c r="R3302" s="37"/>
      <c r="S3302" s="37"/>
      <c r="T3302" s="91"/>
      <c r="U3302" s="91"/>
      <c r="V3302" s="41"/>
      <c r="W3302" s="37"/>
      <c r="X3302" s="37"/>
      <c r="Y3302" s="43"/>
      <c r="Z3302" s="37"/>
      <c r="AA3302" s="37"/>
      <c r="AD3302" s="37"/>
      <c r="AE3302" s="37"/>
      <c r="AF3302" s="37"/>
    </row>
    <row r="3303" spans="1:32" x14ac:dyDescent="0.25">
      <c r="A3303" s="37"/>
      <c r="B3303" s="37"/>
      <c r="C3303" s="37"/>
      <c r="F3303" s="38"/>
      <c r="G3303" s="38"/>
      <c r="H3303" s="38"/>
      <c r="I3303" s="37"/>
      <c r="J3303" s="38"/>
      <c r="K3303" s="38"/>
      <c r="L3303" s="42"/>
      <c r="M3303" s="42"/>
      <c r="N3303" s="42"/>
      <c r="O3303" s="42"/>
      <c r="R3303" s="37"/>
      <c r="S3303" s="37"/>
      <c r="T3303" s="91"/>
      <c r="U3303" s="91"/>
      <c r="V3303" s="41"/>
      <c r="W3303" s="37"/>
      <c r="X3303" s="37"/>
      <c r="Y3303" s="43"/>
      <c r="Z3303" s="37"/>
      <c r="AA3303" s="37"/>
      <c r="AD3303" s="37"/>
      <c r="AE3303" s="37"/>
      <c r="AF3303" s="37"/>
    </row>
    <row r="3304" spans="1:32" x14ac:dyDescent="0.25">
      <c r="A3304" s="37"/>
      <c r="B3304" s="37"/>
      <c r="C3304" s="37"/>
      <c r="F3304" s="38"/>
      <c r="G3304" s="38"/>
      <c r="H3304" s="38"/>
      <c r="I3304" s="37"/>
      <c r="J3304" s="38"/>
      <c r="K3304" s="38"/>
      <c r="L3304" s="42"/>
      <c r="M3304" s="42"/>
      <c r="N3304" s="42"/>
      <c r="O3304" s="42"/>
      <c r="R3304" s="37"/>
      <c r="S3304" s="37"/>
      <c r="T3304" s="91"/>
      <c r="U3304" s="91"/>
      <c r="V3304" s="41"/>
      <c r="W3304" s="37"/>
      <c r="X3304" s="37"/>
      <c r="Y3304" s="43"/>
      <c r="Z3304" s="37"/>
      <c r="AA3304" s="37"/>
      <c r="AD3304" s="37"/>
      <c r="AE3304" s="37"/>
      <c r="AF3304" s="37"/>
    </row>
    <row r="3305" spans="1:32" x14ac:dyDescent="0.25">
      <c r="A3305" s="37"/>
      <c r="B3305" s="37"/>
      <c r="C3305" s="37"/>
      <c r="F3305" s="38"/>
      <c r="G3305" s="38"/>
      <c r="H3305" s="38"/>
      <c r="I3305" s="37"/>
      <c r="J3305" s="38"/>
      <c r="K3305" s="38"/>
      <c r="L3305" s="42"/>
      <c r="M3305" s="42"/>
      <c r="N3305" s="42"/>
      <c r="O3305" s="42"/>
      <c r="R3305" s="37"/>
      <c r="S3305" s="37"/>
      <c r="T3305" s="91"/>
      <c r="U3305" s="91"/>
      <c r="V3305" s="41"/>
      <c r="W3305" s="37"/>
      <c r="X3305" s="37"/>
      <c r="Y3305" s="43"/>
      <c r="Z3305" s="37"/>
      <c r="AA3305" s="37"/>
      <c r="AD3305" s="37"/>
      <c r="AE3305" s="37"/>
      <c r="AF3305" s="37"/>
    </row>
    <row r="3306" spans="1:32" x14ac:dyDescent="0.25">
      <c r="A3306" s="37"/>
      <c r="B3306" s="37"/>
      <c r="C3306" s="37"/>
      <c r="F3306" s="38"/>
      <c r="G3306" s="38"/>
      <c r="H3306" s="38"/>
      <c r="I3306" s="37"/>
      <c r="J3306" s="38"/>
      <c r="K3306" s="38"/>
      <c r="L3306" s="42"/>
      <c r="M3306" s="42"/>
      <c r="N3306" s="42"/>
      <c r="O3306" s="42"/>
      <c r="R3306" s="37"/>
      <c r="S3306" s="37"/>
      <c r="T3306" s="91"/>
      <c r="U3306" s="91"/>
      <c r="V3306" s="41"/>
      <c r="W3306" s="37"/>
      <c r="X3306" s="37"/>
      <c r="Y3306" s="43"/>
      <c r="Z3306" s="37"/>
      <c r="AA3306" s="37"/>
      <c r="AD3306" s="37"/>
      <c r="AE3306" s="37"/>
      <c r="AF3306" s="37"/>
    </row>
    <row r="3307" spans="1:32" x14ac:dyDescent="0.25">
      <c r="A3307" s="37"/>
      <c r="B3307" s="37"/>
      <c r="C3307" s="37"/>
      <c r="F3307" s="38"/>
      <c r="G3307" s="38"/>
      <c r="H3307" s="38"/>
      <c r="I3307" s="37"/>
      <c r="J3307" s="38"/>
      <c r="K3307" s="38"/>
      <c r="L3307" s="42"/>
      <c r="M3307" s="42"/>
      <c r="N3307" s="42"/>
      <c r="O3307" s="42"/>
      <c r="R3307" s="37"/>
      <c r="S3307" s="37"/>
      <c r="T3307" s="91"/>
      <c r="U3307" s="91"/>
      <c r="V3307" s="41"/>
      <c r="W3307" s="37"/>
      <c r="X3307" s="37"/>
      <c r="Y3307" s="43"/>
      <c r="Z3307" s="37"/>
      <c r="AA3307" s="37"/>
      <c r="AD3307" s="37"/>
      <c r="AE3307" s="37"/>
      <c r="AF3307" s="37"/>
    </row>
    <row r="3308" spans="1:32" x14ac:dyDescent="0.25">
      <c r="A3308" s="37"/>
      <c r="B3308" s="37"/>
      <c r="C3308" s="37"/>
      <c r="F3308" s="38"/>
      <c r="G3308" s="38"/>
      <c r="H3308" s="38"/>
      <c r="I3308" s="37"/>
      <c r="J3308" s="38"/>
      <c r="K3308" s="38"/>
      <c r="L3308" s="42"/>
      <c r="M3308" s="42"/>
      <c r="N3308" s="42"/>
      <c r="O3308" s="42"/>
      <c r="R3308" s="37"/>
      <c r="S3308" s="37"/>
      <c r="T3308" s="91"/>
      <c r="U3308" s="91"/>
      <c r="V3308" s="41"/>
      <c r="W3308" s="37"/>
      <c r="X3308" s="37"/>
      <c r="Y3308" s="43"/>
      <c r="Z3308" s="37"/>
      <c r="AA3308" s="37"/>
      <c r="AD3308" s="37"/>
      <c r="AE3308" s="37"/>
      <c r="AF3308" s="37"/>
    </row>
    <row r="3309" spans="1:32" x14ac:dyDescent="0.25">
      <c r="A3309" s="37"/>
      <c r="B3309" s="37"/>
      <c r="C3309" s="37"/>
      <c r="F3309" s="38"/>
      <c r="G3309" s="38"/>
      <c r="H3309" s="38"/>
      <c r="I3309" s="37"/>
      <c r="J3309" s="38"/>
      <c r="K3309" s="38"/>
      <c r="L3309" s="42"/>
      <c r="M3309" s="42"/>
      <c r="N3309" s="42"/>
      <c r="O3309" s="42"/>
      <c r="R3309" s="37"/>
      <c r="S3309" s="37"/>
      <c r="T3309" s="91"/>
      <c r="U3309" s="91"/>
      <c r="V3309" s="41"/>
      <c r="W3309" s="37"/>
      <c r="X3309" s="37"/>
      <c r="Y3309" s="43"/>
      <c r="Z3309" s="37"/>
      <c r="AA3309" s="37"/>
      <c r="AD3309" s="37"/>
      <c r="AE3309" s="37"/>
      <c r="AF3309" s="37"/>
    </row>
    <row r="3310" spans="1:32" x14ac:dyDescent="0.25">
      <c r="A3310" s="37"/>
      <c r="B3310" s="37"/>
      <c r="C3310" s="37"/>
      <c r="F3310" s="38"/>
      <c r="G3310" s="38"/>
      <c r="H3310" s="38"/>
      <c r="I3310" s="37"/>
      <c r="J3310" s="38"/>
      <c r="K3310" s="38"/>
      <c r="L3310" s="42"/>
      <c r="M3310" s="42"/>
      <c r="N3310" s="42"/>
      <c r="O3310" s="42"/>
      <c r="R3310" s="37"/>
      <c r="S3310" s="37"/>
      <c r="T3310" s="91"/>
      <c r="U3310" s="91"/>
      <c r="V3310" s="41"/>
      <c r="W3310" s="37"/>
      <c r="X3310" s="37"/>
      <c r="Y3310" s="43"/>
      <c r="Z3310" s="37"/>
      <c r="AA3310" s="37"/>
      <c r="AD3310" s="37"/>
      <c r="AE3310" s="37"/>
      <c r="AF3310" s="37"/>
    </row>
    <row r="3311" spans="1:32" x14ac:dyDescent="0.25">
      <c r="A3311" s="37"/>
      <c r="B3311" s="37"/>
      <c r="C3311" s="37"/>
      <c r="F3311" s="38"/>
      <c r="G3311" s="38"/>
      <c r="H3311" s="38"/>
      <c r="I3311" s="37"/>
      <c r="J3311" s="38"/>
      <c r="K3311" s="38"/>
      <c r="L3311" s="42"/>
      <c r="M3311" s="42"/>
      <c r="N3311" s="42"/>
      <c r="O3311" s="42"/>
      <c r="R3311" s="37"/>
      <c r="S3311" s="37"/>
      <c r="T3311" s="91"/>
      <c r="U3311" s="91"/>
      <c r="V3311" s="41"/>
      <c r="W3311" s="37"/>
      <c r="X3311" s="37"/>
      <c r="Y3311" s="43"/>
      <c r="Z3311" s="37"/>
      <c r="AA3311" s="37"/>
      <c r="AD3311" s="37"/>
      <c r="AE3311" s="37"/>
      <c r="AF3311" s="37"/>
    </row>
    <row r="3312" spans="1:32" x14ac:dyDescent="0.25">
      <c r="A3312" s="37"/>
      <c r="B3312" s="37"/>
      <c r="C3312" s="37"/>
      <c r="F3312" s="38"/>
      <c r="G3312" s="38"/>
      <c r="H3312" s="38"/>
      <c r="I3312" s="37"/>
      <c r="J3312" s="38"/>
      <c r="K3312" s="38"/>
      <c r="L3312" s="42"/>
      <c r="M3312" s="42"/>
      <c r="N3312" s="42"/>
      <c r="O3312" s="42"/>
      <c r="R3312" s="37"/>
      <c r="S3312" s="37"/>
      <c r="T3312" s="91"/>
      <c r="U3312" s="91"/>
      <c r="V3312" s="41"/>
      <c r="W3312" s="37"/>
      <c r="X3312" s="37"/>
      <c r="Y3312" s="43"/>
      <c r="Z3312" s="37"/>
      <c r="AA3312" s="37"/>
      <c r="AD3312" s="37"/>
      <c r="AE3312" s="37"/>
      <c r="AF3312" s="37"/>
    </row>
    <row r="3313" spans="1:32" x14ac:dyDescent="0.25">
      <c r="A3313" s="37"/>
      <c r="B3313" s="37"/>
      <c r="C3313" s="37"/>
      <c r="F3313" s="38"/>
      <c r="G3313" s="38"/>
      <c r="H3313" s="38"/>
      <c r="I3313" s="37"/>
      <c r="J3313" s="38"/>
      <c r="K3313" s="38"/>
      <c r="L3313" s="42"/>
      <c r="M3313" s="42"/>
      <c r="N3313" s="42"/>
      <c r="O3313" s="42"/>
      <c r="R3313" s="37"/>
      <c r="S3313" s="37"/>
      <c r="T3313" s="91"/>
      <c r="U3313" s="91"/>
      <c r="V3313" s="41"/>
      <c r="W3313" s="37"/>
      <c r="X3313" s="37"/>
      <c r="Y3313" s="43"/>
      <c r="Z3313" s="37"/>
      <c r="AA3313" s="37"/>
      <c r="AD3313" s="37"/>
      <c r="AE3313" s="37"/>
      <c r="AF3313" s="37"/>
    </row>
    <row r="3314" spans="1:32" x14ac:dyDescent="0.25">
      <c r="A3314" s="37"/>
      <c r="B3314" s="37"/>
      <c r="C3314" s="37"/>
      <c r="F3314" s="38"/>
      <c r="G3314" s="38"/>
      <c r="H3314" s="38"/>
      <c r="I3314" s="37"/>
      <c r="J3314" s="38"/>
      <c r="K3314" s="38"/>
      <c r="L3314" s="42"/>
      <c r="M3314" s="42"/>
      <c r="N3314" s="42"/>
      <c r="O3314" s="42"/>
      <c r="R3314" s="37"/>
      <c r="S3314" s="37"/>
      <c r="T3314" s="91"/>
      <c r="U3314" s="91"/>
      <c r="V3314" s="41"/>
      <c r="W3314" s="37"/>
      <c r="X3314" s="37"/>
      <c r="Y3314" s="43"/>
      <c r="Z3314" s="37"/>
      <c r="AA3314" s="37"/>
      <c r="AD3314" s="37"/>
      <c r="AE3314" s="37"/>
      <c r="AF3314" s="37"/>
    </row>
    <row r="3315" spans="1:32" x14ac:dyDescent="0.25">
      <c r="A3315" s="37"/>
      <c r="B3315" s="37"/>
      <c r="C3315" s="37"/>
      <c r="F3315" s="38"/>
      <c r="G3315" s="38"/>
      <c r="H3315" s="38"/>
      <c r="I3315" s="37"/>
      <c r="J3315" s="38"/>
      <c r="K3315" s="38"/>
      <c r="L3315" s="42"/>
      <c r="M3315" s="42"/>
      <c r="N3315" s="42"/>
      <c r="O3315" s="42"/>
      <c r="R3315" s="37"/>
      <c r="S3315" s="37"/>
      <c r="T3315" s="91"/>
      <c r="U3315" s="91"/>
      <c r="V3315" s="41"/>
      <c r="W3315" s="37"/>
      <c r="X3315" s="37"/>
      <c r="Y3315" s="43"/>
      <c r="Z3315" s="37"/>
      <c r="AA3315" s="37"/>
      <c r="AD3315" s="37"/>
      <c r="AE3315" s="37"/>
      <c r="AF3315" s="37"/>
    </row>
    <row r="3316" spans="1:32" x14ac:dyDescent="0.25">
      <c r="A3316" s="37"/>
      <c r="B3316" s="37"/>
      <c r="C3316" s="37"/>
      <c r="F3316" s="38"/>
      <c r="G3316" s="38"/>
      <c r="H3316" s="38"/>
      <c r="I3316" s="37"/>
      <c r="J3316" s="38"/>
      <c r="K3316" s="38"/>
      <c r="L3316" s="42"/>
      <c r="M3316" s="42"/>
      <c r="N3316" s="42"/>
      <c r="O3316" s="42"/>
      <c r="R3316" s="37"/>
      <c r="S3316" s="37"/>
      <c r="T3316" s="91"/>
      <c r="U3316" s="91"/>
      <c r="V3316" s="41"/>
      <c r="W3316" s="37"/>
      <c r="X3316" s="37"/>
      <c r="Y3316" s="43"/>
      <c r="Z3316" s="37"/>
      <c r="AA3316" s="37"/>
      <c r="AD3316" s="37"/>
      <c r="AE3316" s="37"/>
      <c r="AF3316" s="37"/>
    </row>
    <row r="3317" spans="1:32" x14ac:dyDescent="0.25">
      <c r="A3317" s="37"/>
      <c r="B3317" s="37"/>
      <c r="C3317" s="37"/>
      <c r="F3317" s="38"/>
      <c r="G3317" s="38"/>
      <c r="H3317" s="38"/>
      <c r="I3317" s="37"/>
      <c r="J3317" s="38"/>
      <c r="K3317" s="38"/>
      <c r="L3317" s="42"/>
      <c r="M3317" s="42"/>
      <c r="N3317" s="42"/>
      <c r="O3317" s="42"/>
      <c r="R3317" s="37"/>
      <c r="S3317" s="37"/>
      <c r="T3317" s="91"/>
      <c r="U3317" s="91"/>
      <c r="V3317" s="41"/>
      <c r="W3317" s="37"/>
      <c r="X3317" s="37"/>
      <c r="Y3317" s="43"/>
      <c r="Z3317" s="37"/>
      <c r="AA3317" s="37"/>
      <c r="AD3317" s="37"/>
      <c r="AE3317" s="37"/>
      <c r="AF3317" s="37"/>
    </row>
    <row r="3318" spans="1:32" x14ac:dyDescent="0.25">
      <c r="A3318" s="37"/>
      <c r="B3318" s="37"/>
      <c r="C3318" s="37"/>
      <c r="F3318" s="38"/>
      <c r="G3318" s="38"/>
      <c r="H3318" s="38"/>
      <c r="I3318" s="37"/>
      <c r="J3318" s="38"/>
      <c r="K3318" s="38"/>
      <c r="L3318" s="42"/>
      <c r="M3318" s="42"/>
      <c r="N3318" s="42"/>
      <c r="O3318" s="42"/>
      <c r="R3318" s="37"/>
      <c r="S3318" s="37"/>
      <c r="T3318" s="91"/>
      <c r="U3318" s="91"/>
      <c r="V3318" s="41"/>
      <c r="W3318" s="37"/>
      <c r="X3318" s="37"/>
      <c r="Y3318" s="43"/>
      <c r="Z3318" s="37"/>
      <c r="AA3318" s="37"/>
      <c r="AD3318" s="37"/>
      <c r="AE3318" s="37"/>
      <c r="AF3318" s="37"/>
    </row>
    <row r="3319" spans="1:32" x14ac:dyDescent="0.25">
      <c r="A3319" s="37"/>
      <c r="B3319" s="37"/>
      <c r="C3319" s="37"/>
      <c r="F3319" s="38"/>
      <c r="G3319" s="38"/>
      <c r="H3319" s="38"/>
      <c r="I3319" s="37"/>
      <c r="J3319" s="38"/>
      <c r="K3319" s="38"/>
      <c r="L3319" s="42"/>
      <c r="M3319" s="42"/>
      <c r="N3319" s="42"/>
      <c r="O3319" s="42"/>
      <c r="R3319" s="37"/>
      <c r="S3319" s="37"/>
      <c r="T3319" s="91"/>
      <c r="U3319" s="91"/>
      <c r="V3319" s="41"/>
      <c r="W3319" s="37"/>
      <c r="X3319" s="37"/>
      <c r="Y3319" s="43"/>
      <c r="Z3319" s="37"/>
      <c r="AA3319" s="37"/>
      <c r="AD3319" s="37"/>
      <c r="AE3319" s="37"/>
      <c r="AF3319" s="37"/>
    </row>
    <row r="3320" spans="1:32" x14ac:dyDescent="0.25">
      <c r="A3320" s="37"/>
      <c r="B3320" s="37"/>
      <c r="C3320" s="37"/>
      <c r="F3320" s="38"/>
      <c r="G3320" s="38"/>
      <c r="H3320" s="38"/>
      <c r="I3320" s="37"/>
      <c r="J3320" s="38"/>
      <c r="K3320" s="38"/>
      <c r="L3320" s="42"/>
      <c r="M3320" s="42"/>
      <c r="N3320" s="42"/>
      <c r="O3320" s="42"/>
      <c r="R3320" s="37"/>
      <c r="S3320" s="37"/>
      <c r="T3320" s="91"/>
      <c r="U3320" s="91"/>
      <c r="V3320" s="41"/>
      <c r="W3320" s="37"/>
      <c r="X3320" s="37"/>
      <c r="Y3320" s="43"/>
      <c r="Z3320" s="37"/>
      <c r="AA3320" s="37"/>
      <c r="AD3320" s="37"/>
      <c r="AE3320" s="37"/>
      <c r="AF3320" s="37"/>
    </row>
    <row r="3321" spans="1:32" x14ac:dyDescent="0.25">
      <c r="A3321" s="37"/>
      <c r="B3321" s="37"/>
      <c r="C3321" s="37"/>
      <c r="F3321" s="38"/>
      <c r="G3321" s="38"/>
      <c r="H3321" s="38"/>
      <c r="I3321" s="37"/>
      <c r="J3321" s="38"/>
      <c r="K3321" s="38"/>
      <c r="L3321" s="42"/>
      <c r="M3321" s="42"/>
      <c r="N3321" s="42"/>
      <c r="O3321" s="42"/>
      <c r="R3321" s="37"/>
      <c r="S3321" s="37"/>
      <c r="T3321" s="91"/>
      <c r="U3321" s="91"/>
      <c r="V3321" s="41"/>
      <c r="W3321" s="37"/>
      <c r="X3321" s="37"/>
      <c r="Y3321" s="43"/>
      <c r="Z3321" s="37"/>
      <c r="AA3321" s="37"/>
      <c r="AD3321" s="37"/>
      <c r="AE3321" s="37"/>
      <c r="AF3321" s="37"/>
    </row>
    <row r="3322" spans="1:32" x14ac:dyDescent="0.25">
      <c r="A3322" s="37"/>
      <c r="B3322" s="37"/>
      <c r="C3322" s="37"/>
      <c r="F3322" s="38"/>
      <c r="G3322" s="38"/>
      <c r="H3322" s="38"/>
      <c r="I3322" s="37"/>
      <c r="J3322" s="38"/>
      <c r="K3322" s="38"/>
      <c r="L3322" s="42"/>
      <c r="M3322" s="42"/>
      <c r="N3322" s="42"/>
      <c r="O3322" s="42"/>
      <c r="R3322" s="37"/>
      <c r="S3322" s="37"/>
      <c r="T3322" s="91"/>
      <c r="U3322" s="91"/>
      <c r="V3322" s="41"/>
      <c r="W3322" s="37"/>
      <c r="X3322" s="37"/>
      <c r="Y3322" s="43"/>
      <c r="Z3322" s="37"/>
      <c r="AA3322" s="37"/>
      <c r="AD3322" s="37"/>
      <c r="AE3322" s="37"/>
      <c r="AF3322" s="37"/>
    </row>
    <row r="3323" spans="1:32" x14ac:dyDescent="0.25">
      <c r="A3323" s="37"/>
      <c r="B3323" s="37"/>
      <c r="C3323" s="37"/>
      <c r="F3323" s="38"/>
      <c r="G3323" s="38"/>
      <c r="H3323" s="38"/>
      <c r="I3323" s="37"/>
      <c r="J3323" s="38"/>
      <c r="K3323" s="38"/>
      <c r="L3323" s="42"/>
      <c r="M3323" s="42"/>
      <c r="N3323" s="42"/>
      <c r="O3323" s="42"/>
      <c r="R3323" s="37"/>
      <c r="S3323" s="37"/>
      <c r="T3323" s="91"/>
      <c r="U3323" s="91"/>
      <c r="V3323" s="41"/>
      <c r="W3323" s="37"/>
      <c r="X3323" s="37"/>
      <c r="Y3323" s="43"/>
      <c r="Z3323" s="37"/>
      <c r="AA3323" s="37"/>
      <c r="AD3323" s="37"/>
      <c r="AE3323" s="37"/>
      <c r="AF3323" s="37"/>
    </row>
    <row r="3324" spans="1:32" x14ac:dyDescent="0.25">
      <c r="A3324" s="37"/>
      <c r="B3324" s="37"/>
      <c r="C3324" s="37"/>
      <c r="F3324" s="38"/>
      <c r="G3324" s="38"/>
      <c r="H3324" s="38"/>
      <c r="I3324" s="37"/>
      <c r="J3324" s="38"/>
      <c r="K3324" s="38"/>
      <c r="L3324" s="42"/>
      <c r="M3324" s="42"/>
      <c r="N3324" s="42"/>
      <c r="O3324" s="42"/>
      <c r="R3324" s="37"/>
      <c r="S3324" s="37"/>
      <c r="T3324" s="91"/>
      <c r="U3324" s="91"/>
      <c r="V3324" s="41"/>
      <c r="W3324" s="37"/>
      <c r="X3324" s="37"/>
      <c r="Y3324" s="43"/>
      <c r="Z3324" s="37"/>
      <c r="AA3324" s="37"/>
      <c r="AD3324" s="37"/>
      <c r="AE3324" s="37"/>
      <c r="AF3324" s="37"/>
    </row>
    <row r="3325" spans="1:32" x14ac:dyDescent="0.25">
      <c r="A3325" s="37"/>
      <c r="B3325" s="37"/>
      <c r="C3325" s="37"/>
      <c r="F3325" s="38"/>
      <c r="G3325" s="38"/>
      <c r="H3325" s="38"/>
      <c r="I3325" s="37"/>
      <c r="J3325" s="38"/>
      <c r="K3325" s="38"/>
      <c r="L3325" s="42"/>
      <c r="M3325" s="42"/>
      <c r="N3325" s="42"/>
      <c r="O3325" s="42"/>
      <c r="R3325" s="37"/>
      <c r="S3325" s="37"/>
      <c r="T3325" s="91"/>
      <c r="U3325" s="91"/>
      <c r="V3325" s="41"/>
      <c r="W3325" s="37"/>
      <c r="X3325" s="37"/>
      <c r="Y3325" s="43"/>
      <c r="Z3325" s="37"/>
      <c r="AA3325" s="37"/>
      <c r="AD3325" s="37"/>
      <c r="AE3325" s="37"/>
      <c r="AF3325" s="37"/>
    </row>
    <row r="3326" spans="1:32" x14ac:dyDescent="0.25">
      <c r="A3326" s="37"/>
      <c r="B3326" s="37"/>
      <c r="C3326" s="37"/>
      <c r="F3326" s="38"/>
      <c r="G3326" s="38"/>
      <c r="H3326" s="38"/>
      <c r="I3326" s="37"/>
      <c r="J3326" s="38"/>
      <c r="K3326" s="38"/>
      <c r="L3326" s="42"/>
      <c r="M3326" s="42"/>
      <c r="N3326" s="42"/>
      <c r="O3326" s="42"/>
      <c r="R3326" s="37"/>
      <c r="S3326" s="37"/>
      <c r="T3326" s="91"/>
      <c r="U3326" s="91"/>
      <c r="V3326" s="41"/>
      <c r="W3326" s="37"/>
      <c r="X3326" s="37"/>
      <c r="Y3326" s="43"/>
      <c r="Z3326" s="37"/>
      <c r="AA3326" s="37"/>
      <c r="AD3326" s="37"/>
      <c r="AE3326" s="37"/>
      <c r="AF3326" s="37"/>
    </row>
    <row r="3327" spans="1:32" x14ac:dyDescent="0.25">
      <c r="A3327" s="37"/>
      <c r="B3327" s="37"/>
      <c r="C3327" s="37"/>
      <c r="F3327" s="38"/>
      <c r="G3327" s="38"/>
      <c r="H3327" s="38"/>
      <c r="I3327" s="37"/>
      <c r="J3327" s="38"/>
      <c r="K3327" s="38"/>
      <c r="L3327" s="42"/>
      <c r="M3327" s="42"/>
      <c r="N3327" s="42"/>
      <c r="O3327" s="42"/>
      <c r="R3327" s="37"/>
      <c r="S3327" s="37"/>
      <c r="T3327" s="91"/>
      <c r="U3327" s="91"/>
      <c r="V3327" s="41"/>
      <c r="W3327" s="37"/>
      <c r="X3327" s="37"/>
      <c r="Y3327" s="43"/>
      <c r="Z3327" s="37"/>
      <c r="AA3327" s="37"/>
      <c r="AD3327" s="37"/>
      <c r="AE3327" s="37"/>
      <c r="AF3327" s="37"/>
    </row>
    <row r="3328" spans="1:32" x14ac:dyDescent="0.25">
      <c r="A3328" s="37"/>
      <c r="B3328" s="37"/>
      <c r="C3328" s="37"/>
      <c r="F3328" s="38"/>
      <c r="G3328" s="38"/>
      <c r="H3328" s="38"/>
      <c r="I3328" s="37"/>
      <c r="J3328" s="38"/>
      <c r="K3328" s="38"/>
      <c r="L3328" s="42"/>
      <c r="M3328" s="42"/>
      <c r="N3328" s="42"/>
      <c r="O3328" s="42"/>
      <c r="R3328" s="37"/>
      <c r="S3328" s="37"/>
      <c r="T3328" s="91"/>
      <c r="U3328" s="91"/>
      <c r="V3328" s="41"/>
      <c r="W3328" s="37"/>
      <c r="X3328" s="37"/>
      <c r="Y3328" s="43"/>
      <c r="Z3328" s="37"/>
      <c r="AA3328" s="37"/>
      <c r="AD3328" s="37"/>
      <c r="AE3328" s="37"/>
      <c r="AF3328" s="37"/>
    </row>
    <row r="3329" spans="1:32" x14ac:dyDescent="0.25">
      <c r="A3329" s="37"/>
      <c r="B3329" s="37"/>
      <c r="C3329" s="37"/>
      <c r="F3329" s="38"/>
      <c r="G3329" s="38"/>
      <c r="H3329" s="38"/>
      <c r="I3329" s="37"/>
      <c r="J3329" s="38"/>
      <c r="K3329" s="38"/>
      <c r="L3329" s="42"/>
      <c r="M3329" s="42"/>
      <c r="N3329" s="42"/>
      <c r="O3329" s="42"/>
      <c r="R3329" s="37"/>
      <c r="S3329" s="37"/>
      <c r="T3329" s="91"/>
      <c r="U3329" s="91"/>
      <c r="V3329" s="41"/>
      <c r="W3329" s="37"/>
      <c r="X3329" s="37"/>
      <c r="Y3329" s="43"/>
      <c r="Z3329" s="37"/>
      <c r="AA3329" s="37"/>
      <c r="AD3329" s="37"/>
      <c r="AE3329" s="37"/>
      <c r="AF3329" s="37"/>
    </row>
    <row r="3330" spans="1:32" x14ac:dyDescent="0.25">
      <c r="A3330" s="37"/>
      <c r="B3330" s="37"/>
      <c r="C3330" s="37"/>
      <c r="F3330" s="38"/>
      <c r="G3330" s="38"/>
      <c r="H3330" s="38"/>
      <c r="I3330" s="37"/>
      <c r="J3330" s="38"/>
      <c r="K3330" s="38"/>
      <c r="L3330" s="42"/>
      <c r="M3330" s="42"/>
      <c r="N3330" s="42"/>
      <c r="O3330" s="42"/>
      <c r="R3330" s="37"/>
      <c r="S3330" s="37"/>
      <c r="T3330" s="91"/>
      <c r="U3330" s="91"/>
      <c r="V3330" s="41"/>
      <c r="W3330" s="37"/>
      <c r="X3330" s="37"/>
      <c r="Y3330" s="43"/>
      <c r="Z3330" s="37"/>
      <c r="AA3330" s="37"/>
      <c r="AD3330" s="37"/>
      <c r="AE3330" s="37"/>
      <c r="AF3330" s="37"/>
    </row>
    <row r="3331" spans="1:32" x14ac:dyDescent="0.25">
      <c r="A3331" s="37"/>
      <c r="B3331" s="37"/>
      <c r="C3331" s="37"/>
      <c r="F3331" s="38"/>
      <c r="G3331" s="38"/>
      <c r="H3331" s="38"/>
      <c r="I3331" s="37"/>
      <c r="J3331" s="38"/>
      <c r="K3331" s="38"/>
      <c r="L3331" s="42"/>
      <c r="M3331" s="42"/>
      <c r="N3331" s="42"/>
      <c r="O3331" s="42"/>
      <c r="R3331" s="37"/>
      <c r="S3331" s="37"/>
      <c r="T3331" s="91"/>
      <c r="U3331" s="91"/>
      <c r="V3331" s="41"/>
      <c r="W3331" s="37"/>
      <c r="X3331" s="37"/>
      <c r="Y3331" s="43"/>
      <c r="Z3331" s="37"/>
      <c r="AA3331" s="37"/>
      <c r="AD3331" s="37"/>
      <c r="AE3331" s="37"/>
      <c r="AF3331" s="37"/>
    </row>
    <row r="3332" spans="1:32" x14ac:dyDescent="0.25">
      <c r="A3332" s="37"/>
      <c r="B3332" s="37"/>
      <c r="C3332" s="37"/>
      <c r="F3332" s="38"/>
      <c r="G3332" s="38"/>
      <c r="H3332" s="38"/>
      <c r="I3332" s="37"/>
      <c r="J3332" s="38"/>
      <c r="K3332" s="38"/>
      <c r="L3332" s="42"/>
      <c r="M3332" s="42"/>
      <c r="N3332" s="42"/>
      <c r="O3332" s="42"/>
      <c r="R3332" s="37"/>
      <c r="S3332" s="37"/>
      <c r="T3332" s="91"/>
      <c r="U3332" s="91"/>
      <c r="V3332" s="41"/>
      <c r="W3332" s="37"/>
      <c r="X3332" s="37"/>
      <c r="Y3332" s="43"/>
      <c r="Z3332" s="37"/>
      <c r="AA3332" s="37"/>
      <c r="AD3332" s="37"/>
      <c r="AE3332" s="37"/>
      <c r="AF3332" s="37"/>
    </row>
    <row r="3333" spans="1:32" x14ac:dyDescent="0.25">
      <c r="A3333" s="37"/>
      <c r="B3333" s="37"/>
      <c r="C3333" s="37"/>
      <c r="F3333" s="38"/>
      <c r="G3333" s="38"/>
      <c r="H3333" s="38"/>
      <c r="I3333" s="37"/>
      <c r="J3333" s="38"/>
      <c r="K3333" s="38"/>
      <c r="L3333" s="42"/>
      <c r="M3333" s="42"/>
      <c r="N3333" s="42"/>
      <c r="O3333" s="42"/>
      <c r="R3333" s="37"/>
      <c r="S3333" s="37"/>
      <c r="T3333" s="91"/>
      <c r="U3333" s="91"/>
      <c r="V3333" s="41"/>
      <c r="W3333" s="37"/>
      <c r="X3333" s="37"/>
      <c r="Y3333" s="43"/>
      <c r="Z3333" s="37"/>
      <c r="AA3333" s="37"/>
      <c r="AD3333" s="37"/>
      <c r="AE3333" s="37"/>
      <c r="AF3333" s="37"/>
    </row>
    <row r="3334" spans="1:32" x14ac:dyDescent="0.25">
      <c r="A3334" s="37"/>
      <c r="B3334" s="37"/>
      <c r="C3334" s="37"/>
      <c r="F3334" s="38"/>
      <c r="G3334" s="38"/>
      <c r="H3334" s="38"/>
      <c r="I3334" s="37"/>
      <c r="J3334" s="38"/>
      <c r="K3334" s="38"/>
      <c r="L3334" s="42"/>
      <c r="M3334" s="42"/>
      <c r="N3334" s="42"/>
      <c r="O3334" s="42"/>
      <c r="R3334" s="37"/>
      <c r="S3334" s="37"/>
      <c r="T3334" s="91"/>
      <c r="U3334" s="91"/>
      <c r="V3334" s="41"/>
      <c r="W3334" s="37"/>
      <c r="X3334" s="37"/>
      <c r="Y3334" s="43"/>
      <c r="Z3334" s="37"/>
      <c r="AA3334" s="37"/>
      <c r="AD3334" s="37"/>
      <c r="AE3334" s="37"/>
      <c r="AF3334" s="37"/>
    </row>
    <row r="3335" spans="1:32" x14ac:dyDescent="0.25">
      <c r="A3335" s="37"/>
      <c r="B3335" s="37"/>
      <c r="C3335" s="37"/>
      <c r="F3335" s="38"/>
      <c r="G3335" s="38"/>
      <c r="H3335" s="38"/>
      <c r="I3335" s="37"/>
      <c r="J3335" s="38"/>
      <c r="K3335" s="38"/>
      <c r="L3335" s="42"/>
      <c r="M3335" s="42"/>
      <c r="N3335" s="42"/>
      <c r="O3335" s="42"/>
      <c r="R3335" s="37"/>
      <c r="S3335" s="37"/>
      <c r="T3335" s="91"/>
      <c r="U3335" s="91"/>
      <c r="V3335" s="41"/>
      <c r="W3335" s="37"/>
      <c r="X3335" s="37"/>
      <c r="Y3335" s="43"/>
      <c r="Z3335" s="37"/>
      <c r="AA3335" s="37"/>
      <c r="AD3335" s="37"/>
      <c r="AE3335" s="37"/>
      <c r="AF3335" s="37"/>
    </row>
    <row r="3336" spans="1:32" x14ac:dyDescent="0.25">
      <c r="A3336" s="37"/>
      <c r="B3336" s="37"/>
      <c r="C3336" s="37"/>
      <c r="F3336" s="38"/>
      <c r="G3336" s="38"/>
      <c r="H3336" s="38"/>
      <c r="I3336" s="37"/>
      <c r="J3336" s="38"/>
      <c r="K3336" s="38"/>
      <c r="L3336" s="42"/>
      <c r="M3336" s="42"/>
      <c r="N3336" s="42"/>
      <c r="O3336" s="42"/>
      <c r="R3336" s="37"/>
      <c r="S3336" s="37"/>
      <c r="T3336" s="91"/>
      <c r="U3336" s="91"/>
      <c r="V3336" s="41"/>
      <c r="W3336" s="37"/>
      <c r="X3336" s="37"/>
      <c r="Y3336" s="43"/>
      <c r="Z3336" s="37"/>
      <c r="AA3336" s="37"/>
      <c r="AD3336" s="37"/>
      <c r="AE3336" s="37"/>
      <c r="AF3336" s="37"/>
    </row>
    <row r="3337" spans="1:32" x14ac:dyDescent="0.25">
      <c r="A3337" s="37"/>
      <c r="B3337" s="37"/>
      <c r="C3337" s="37"/>
      <c r="F3337" s="38"/>
      <c r="G3337" s="38"/>
      <c r="H3337" s="38"/>
      <c r="I3337" s="37"/>
      <c r="J3337" s="38"/>
      <c r="K3337" s="38"/>
      <c r="L3337" s="42"/>
      <c r="M3337" s="42"/>
      <c r="N3337" s="42"/>
      <c r="O3337" s="42"/>
      <c r="R3337" s="37"/>
      <c r="S3337" s="37"/>
      <c r="T3337" s="91"/>
      <c r="U3337" s="91"/>
      <c r="V3337" s="41"/>
      <c r="W3337" s="37"/>
      <c r="X3337" s="37"/>
      <c r="Y3337" s="43"/>
      <c r="Z3337" s="37"/>
      <c r="AA3337" s="37"/>
      <c r="AD3337" s="37"/>
      <c r="AE3337" s="37"/>
      <c r="AF3337" s="37"/>
    </row>
    <row r="3338" spans="1:32" x14ac:dyDescent="0.25">
      <c r="A3338" s="37"/>
      <c r="B3338" s="37"/>
      <c r="C3338" s="37"/>
      <c r="F3338" s="38"/>
      <c r="G3338" s="38"/>
      <c r="H3338" s="38"/>
      <c r="I3338" s="37"/>
      <c r="J3338" s="38"/>
      <c r="K3338" s="38"/>
      <c r="L3338" s="42"/>
      <c r="M3338" s="42"/>
      <c r="N3338" s="42"/>
      <c r="O3338" s="42"/>
      <c r="R3338" s="37"/>
      <c r="S3338" s="37"/>
      <c r="T3338" s="91"/>
      <c r="U3338" s="91"/>
      <c r="V3338" s="41"/>
      <c r="W3338" s="37"/>
      <c r="X3338" s="37"/>
      <c r="Y3338" s="43"/>
      <c r="Z3338" s="37"/>
      <c r="AA3338" s="37"/>
      <c r="AD3338" s="37"/>
      <c r="AE3338" s="37"/>
      <c r="AF3338" s="37"/>
    </row>
    <row r="3339" spans="1:32" x14ac:dyDescent="0.25">
      <c r="A3339" s="37"/>
      <c r="B3339" s="37"/>
      <c r="C3339" s="37"/>
      <c r="F3339" s="38"/>
      <c r="G3339" s="38"/>
      <c r="H3339" s="38"/>
      <c r="I3339" s="37"/>
      <c r="J3339" s="38"/>
      <c r="K3339" s="38"/>
      <c r="L3339" s="42"/>
      <c r="M3339" s="42"/>
      <c r="N3339" s="42"/>
      <c r="O3339" s="42"/>
      <c r="R3339" s="37"/>
      <c r="S3339" s="37"/>
      <c r="T3339" s="91"/>
      <c r="U3339" s="91"/>
      <c r="V3339" s="41"/>
      <c r="W3339" s="37"/>
      <c r="X3339" s="37"/>
      <c r="Y3339" s="43"/>
      <c r="Z3339" s="37"/>
      <c r="AA3339" s="37"/>
      <c r="AD3339" s="37"/>
      <c r="AE3339" s="37"/>
      <c r="AF3339" s="37"/>
    </row>
    <row r="3340" spans="1:32" x14ac:dyDescent="0.25">
      <c r="A3340" s="37"/>
      <c r="B3340" s="37"/>
      <c r="C3340" s="37"/>
      <c r="F3340" s="38"/>
      <c r="G3340" s="38"/>
      <c r="H3340" s="38"/>
      <c r="I3340" s="37"/>
      <c r="J3340" s="38"/>
      <c r="K3340" s="38"/>
      <c r="L3340" s="42"/>
      <c r="M3340" s="42"/>
      <c r="N3340" s="42"/>
      <c r="O3340" s="42"/>
      <c r="R3340" s="37"/>
      <c r="S3340" s="37"/>
      <c r="T3340" s="91"/>
      <c r="U3340" s="91"/>
      <c r="V3340" s="41"/>
      <c r="W3340" s="37"/>
      <c r="X3340" s="37"/>
      <c r="Y3340" s="43"/>
      <c r="Z3340" s="37"/>
      <c r="AA3340" s="37"/>
      <c r="AD3340" s="37"/>
      <c r="AE3340" s="37"/>
      <c r="AF3340" s="37"/>
    </row>
    <row r="3341" spans="1:32" x14ac:dyDescent="0.25">
      <c r="A3341" s="37"/>
      <c r="B3341" s="37"/>
      <c r="C3341" s="37"/>
      <c r="F3341" s="38"/>
      <c r="G3341" s="38"/>
      <c r="H3341" s="38"/>
      <c r="I3341" s="37"/>
      <c r="J3341" s="38"/>
      <c r="K3341" s="38"/>
      <c r="L3341" s="42"/>
      <c r="M3341" s="42"/>
      <c r="N3341" s="42"/>
      <c r="O3341" s="42"/>
      <c r="R3341" s="37"/>
      <c r="S3341" s="37"/>
      <c r="T3341" s="91"/>
      <c r="U3341" s="91"/>
      <c r="V3341" s="41"/>
      <c r="W3341" s="37"/>
      <c r="X3341" s="37"/>
      <c r="Y3341" s="43"/>
      <c r="Z3341" s="37"/>
      <c r="AA3341" s="37"/>
      <c r="AD3341" s="37"/>
      <c r="AE3341" s="37"/>
      <c r="AF3341" s="37"/>
    </row>
    <row r="3342" spans="1:32" x14ac:dyDescent="0.25">
      <c r="A3342" s="37"/>
      <c r="B3342" s="37"/>
      <c r="C3342" s="37"/>
      <c r="F3342" s="38"/>
      <c r="G3342" s="38"/>
      <c r="H3342" s="38"/>
      <c r="I3342" s="37"/>
      <c r="J3342" s="38"/>
      <c r="K3342" s="38"/>
      <c r="L3342" s="42"/>
      <c r="M3342" s="42"/>
      <c r="N3342" s="42"/>
      <c r="O3342" s="42"/>
      <c r="R3342" s="37"/>
      <c r="S3342" s="37"/>
      <c r="T3342" s="91"/>
      <c r="U3342" s="91"/>
      <c r="V3342" s="41"/>
      <c r="W3342" s="37"/>
      <c r="X3342" s="37"/>
      <c r="Y3342" s="43"/>
      <c r="Z3342" s="37"/>
      <c r="AA3342" s="37"/>
      <c r="AD3342" s="37"/>
      <c r="AE3342" s="37"/>
      <c r="AF3342" s="37"/>
    </row>
    <row r="3343" spans="1:32" x14ac:dyDescent="0.25">
      <c r="A3343" s="37"/>
      <c r="B3343" s="37"/>
      <c r="C3343" s="37"/>
      <c r="F3343" s="38"/>
      <c r="G3343" s="38"/>
      <c r="H3343" s="38"/>
      <c r="I3343" s="37"/>
      <c r="J3343" s="38"/>
      <c r="K3343" s="38"/>
      <c r="L3343" s="42"/>
      <c r="M3343" s="42"/>
      <c r="N3343" s="42"/>
      <c r="O3343" s="42"/>
      <c r="R3343" s="37"/>
      <c r="S3343" s="37"/>
      <c r="T3343" s="91"/>
      <c r="U3343" s="91"/>
      <c r="V3343" s="41"/>
      <c r="W3343" s="37"/>
      <c r="X3343" s="37"/>
      <c r="Y3343" s="43"/>
      <c r="Z3343" s="37"/>
      <c r="AA3343" s="37"/>
      <c r="AD3343" s="37"/>
      <c r="AE3343" s="37"/>
      <c r="AF3343" s="37"/>
    </row>
    <row r="3344" spans="1:32" x14ac:dyDescent="0.25">
      <c r="A3344" s="37"/>
      <c r="B3344" s="37"/>
      <c r="C3344" s="37"/>
      <c r="F3344" s="38"/>
      <c r="G3344" s="38"/>
      <c r="H3344" s="38"/>
      <c r="I3344" s="37"/>
      <c r="J3344" s="38"/>
      <c r="K3344" s="38"/>
      <c r="L3344" s="42"/>
      <c r="M3344" s="42"/>
      <c r="N3344" s="42"/>
      <c r="O3344" s="42"/>
      <c r="R3344" s="37"/>
      <c r="S3344" s="37"/>
      <c r="T3344" s="91"/>
      <c r="U3344" s="91"/>
      <c r="V3344" s="41"/>
      <c r="W3344" s="37"/>
      <c r="X3344" s="37"/>
      <c r="Y3344" s="43"/>
      <c r="Z3344" s="37"/>
      <c r="AA3344" s="37"/>
      <c r="AD3344" s="37"/>
      <c r="AE3344" s="37"/>
      <c r="AF3344" s="37"/>
    </row>
    <row r="3345" spans="1:32" x14ac:dyDescent="0.25">
      <c r="A3345" s="37"/>
      <c r="B3345" s="37"/>
      <c r="C3345" s="37"/>
      <c r="F3345" s="38"/>
      <c r="G3345" s="38"/>
      <c r="H3345" s="38"/>
      <c r="I3345" s="37"/>
      <c r="J3345" s="38"/>
      <c r="K3345" s="38"/>
      <c r="L3345" s="42"/>
      <c r="M3345" s="42"/>
      <c r="N3345" s="42"/>
      <c r="O3345" s="42"/>
      <c r="R3345" s="37"/>
      <c r="S3345" s="37"/>
      <c r="T3345" s="91"/>
      <c r="U3345" s="91"/>
      <c r="V3345" s="41"/>
      <c r="W3345" s="37"/>
      <c r="X3345" s="37"/>
      <c r="Y3345" s="43"/>
      <c r="Z3345" s="37"/>
      <c r="AA3345" s="37"/>
      <c r="AD3345" s="37"/>
      <c r="AE3345" s="37"/>
      <c r="AF3345" s="37"/>
    </row>
    <row r="3346" spans="1:32" x14ac:dyDescent="0.25">
      <c r="A3346" s="37"/>
      <c r="B3346" s="37"/>
      <c r="C3346" s="37"/>
      <c r="F3346" s="38"/>
      <c r="G3346" s="38"/>
      <c r="H3346" s="38"/>
      <c r="I3346" s="37"/>
      <c r="J3346" s="38"/>
      <c r="K3346" s="38"/>
      <c r="L3346" s="42"/>
      <c r="M3346" s="42"/>
      <c r="N3346" s="42"/>
      <c r="O3346" s="42"/>
      <c r="R3346" s="37"/>
      <c r="S3346" s="37"/>
      <c r="T3346" s="91"/>
      <c r="U3346" s="91"/>
      <c r="V3346" s="41"/>
      <c r="W3346" s="37"/>
      <c r="X3346" s="37"/>
      <c r="Y3346" s="43"/>
      <c r="Z3346" s="37"/>
      <c r="AA3346" s="37"/>
      <c r="AD3346" s="37"/>
      <c r="AE3346" s="37"/>
      <c r="AF3346" s="37"/>
    </row>
    <row r="3347" spans="1:32" x14ac:dyDescent="0.25">
      <c r="A3347" s="37"/>
      <c r="B3347" s="37"/>
      <c r="C3347" s="37"/>
      <c r="F3347" s="38"/>
      <c r="G3347" s="38"/>
      <c r="H3347" s="38"/>
      <c r="I3347" s="37"/>
      <c r="J3347" s="38"/>
      <c r="K3347" s="38"/>
      <c r="L3347" s="42"/>
      <c r="M3347" s="42"/>
      <c r="N3347" s="42"/>
      <c r="O3347" s="42"/>
      <c r="R3347" s="37"/>
      <c r="S3347" s="37"/>
      <c r="T3347" s="91"/>
      <c r="U3347" s="91"/>
      <c r="V3347" s="41"/>
      <c r="W3347" s="37"/>
      <c r="X3347" s="37"/>
      <c r="Y3347" s="43"/>
      <c r="Z3347" s="37"/>
      <c r="AA3347" s="37"/>
      <c r="AD3347" s="37"/>
      <c r="AE3347" s="37"/>
      <c r="AF3347" s="37"/>
    </row>
    <row r="3348" spans="1:32" x14ac:dyDescent="0.25">
      <c r="A3348" s="37"/>
      <c r="B3348" s="37"/>
      <c r="C3348" s="37"/>
      <c r="F3348" s="38"/>
      <c r="G3348" s="38"/>
      <c r="H3348" s="38"/>
      <c r="I3348" s="37"/>
      <c r="J3348" s="38"/>
      <c r="K3348" s="38"/>
      <c r="L3348" s="42"/>
      <c r="M3348" s="42"/>
      <c r="N3348" s="42"/>
      <c r="O3348" s="42"/>
      <c r="R3348" s="37"/>
      <c r="S3348" s="37"/>
      <c r="T3348" s="91"/>
      <c r="U3348" s="91"/>
      <c r="V3348" s="41"/>
      <c r="W3348" s="37"/>
      <c r="X3348" s="37"/>
      <c r="Y3348" s="43"/>
      <c r="Z3348" s="37"/>
      <c r="AA3348" s="37"/>
      <c r="AD3348" s="37"/>
      <c r="AE3348" s="37"/>
      <c r="AF3348" s="37"/>
    </row>
    <row r="3349" spans="1:32" x14ac:dyDescent="0.25">
      <c r="A3349" s="37"/>
      <c r="B3349" s="37"/>
      <c r="C3349" s="37"/>
      <c r="F3349" s="38"/>
      <c r="G3349" s="38"/>
      <c r="H3349" s="38"/>
      <c r="I3349" s="37"/>
      <c r="J3349" s="38"/>
      <c r="K3349" s="38"/>
      <c r="L3349" s="42"/>
      <c r="M3349" s="42"/>
      <c r="N3349" s="42"/>
      <c r="O3349" s="42"/>
      <c r="R3349" s="37"/>
      <c r="S3349" s="37"/>
      <c r="T3349" s="91"/>
      <c r="U3349" s="91"/>
      <c r="V3349" s="41"/>
      <c r="W3349" s="37"/>
      <c r="X3349" s="37"/>
      <c r="Y3349" s="43"/>
      <c r="Z3349" s="37"/>
      <c r="AA3349" s="37"/>
      <c r="AD3349" s="37"/>
      <c r="AE3349" s="37"/>
      <c r="AF3349" s="37"/>
    </row>
    <row r="3350" spans="1:32" x14ac:dyDescent="0.25">
      <c r="A3350" s="37"/>
      <c r="B3350" s="37"/>
      <c r="C3350" s="37"/>
      <c r="F3350" s="38"/>
      <c r="G3350" s="38"/>
      <c r="H3350" s="38"/>
      <c r="I3350" s="37"/>
      <c r="J3350" s="38"/>
      <c r="K3350" s="38"/>
      <c r="L3350" s="42"/>
      <c r="M3350" s="42"/>
      <c r="N3350" s="42"/>
      <c r="O3350" s="42"/>
      <c r="R3350" s="37"/>
      <c r="S3350" s="37"/>
      <c r="T3350" s="91"/>
      <c r="U3350" s="91"/>
      <c r="V3350" s="41"/>
      <c r="W3350" s="37"/>
      <c r="X3350" s="37"/>
      <c r="Y3350" s="43"/>
      <c r="Z3350" s="37"/>
      <c r="AA3350" s="37"/>
      <c r="AD3350" s="37"/>
      <c r="AE3350" s="37"/>
      <c r="AF3350" s="37"/>
    </row>
    <row r="3351" spans="1:32" x14ac:dyDescent="0.25">
      <c r="A3351" s="37"/>
      <c r="B3351" s="37"/>
      <c r="C3351" s="37"/>
      <c r="F3351" s="38"/>
      <c r="G3351" s="38"/>
      <c r="H3351" s="38"/>
      <c r="I3351" s="37"/>
      <c r="J3351" s="38"/>
      <c r="K3351" s="38"/>
      <c r="L3351" s="42"/>
      <c r="M3351" s="42"/>
      <c r="N3351" s="42"/>
      <c r="O3351" s="42"/>
      <c r="R3351" s="37"/>
      <c r="S3351" s="37"/>
      <c r="T3351" s="91"/>
      <c r="U3351" s="91"/>
      <c r="V3351" s="41"/>
      <c r="W3351" s="37"/>
      <c r="X3351" s="37"/>
      <c r="Y3351" s="43"/>
      <c r="Z3351" s="37"/>
      <c r="AA3351" s="37"/>
      <c r="AD3351" s="37"/>
      <c r="AE3351" s="37"/>
      <c r="AF3351" s="37"/>
    </row>
    <row r="3352" spans="1:32" x14ac:dyDescent="0.25">
      <c r="A3352" s="37"/>
      <c r="B3352" s="37"/>
      <c r="C3352" s="37"/>
      <c r="F3352" s="38"/>
      <c r="G3352" s="38"/>
      <c r="H3352" s="38"/>
      <c r="I3352" s="37"/>
      <c r="J3352" s="38"/>
      <c r="K3352" s="38"/>
      <c r="L3352" s="42"/>
      <c r="M3352" s="42"/>
      <c r="N3352" s="42"/>
      <c r="O3352" s="42"/>
      <c r="R3352" s="37"/>
      <c r="S3352" s="37"/>
      <c r="T3352" s="91"/>
      <c r="U3352" s="91"/>
      <c r="V3352" s="41"/>
      <c r="W3352" s="37"/>
      <c r="X3352" s="37"/>
      <c r="Y3352" s="43"/>
      <c r="Z3352" s="37"/>
      <c r="AA3352" s="37"/>
      <c r="AD3352" s="37"/>
      <c r="AE3352" s="37"/>
      <c r="AF3352" s="37"/>
    </row>
    <row r="3353" spans="1:32" x14ac:dyDescent="0.25">
      <c r="A3353" s="37"/>
      <c r="B3353" s="37"/>
      <c r="C3353" s="37"/>
      <c r="F3353" s="38"/>
      <c r="G3353" s="38"/>
      <c r="H3353" s="38"/>
      <c r="I3353" s="37"/>
      <c r="J3353" s="38"/>
      <c r="K3353" s="38"/>
      <c r="L3353" s="42"/>
      <c r="M3353" s="42"/>
      <c r="N3353" s="42"/>
      <c r="O3353" s="42"/>
      <c r="R3353" s="37"/>
      <c r="S3353" s="37"/>
      <c r="T3353" s="91"/>
      <c r="U3353" s="91"/>
      <c r="V3353" s="41"/>
      <c r="W3353" s="37"/>
      <c r="X3353" s="37"/>
      <c r="Y3353" s="43"/>
      <c r="Z3353" s="37"/>
      <c r="AA3353" s="37"/>
      <c r="AD3353" s="37"/>
      <c r="AE3353" s="37"/>
      <c r="AF3353" s="37"/>
    </row>
    <row r="3354" spans="1:32" x14ac:dyDescent="0.25">
      <c r="A3354" s="37"/>
      <c r="B3354" s="37"/>
      <c r="C3354" s="37"/>
      <c r="F3354" s="38"/>
      <c r="G3354" s="38"/>
      <c r="H3354" s="38"/>
      <c r="I3354" s="37"/>
      <c r="J3354" s="38"/>
      <c r="K3354" s="38"/>
      <c r="L3354" s="42"/>
      <c r="M3354" s="42"/>
      <c r="N3354" s="42"/>
      <c r="O3354" s="42"/>
      <c r="R3354" s="37"/>
      <c r="S3354" s="37"/>
      <c r="T3354" s="91"/>
      <c r="U3354" s="91"/>
      <c r="V3354" s="41"/>
      <c r="W3354" s="37"/>
      <c r="X3354" s="37"/>
      <c r="Y3354" s="43"/>
      <c r="Z3354" s="37"/>
      <c r="AA3354" s="37"/>
      <c r="AD3354" s="37"/>
      <c r="AE3354" s="37"/>
      <c r="AF3354" s="37"/>
    </row>
    <row r="3355" spans="1:32" x14ac:dyDescent="0.25">
      <c r="A3355" s="37"/>
      <c r="B3355" s="37"/>
      <c r="C3355" s="37"/>
      <c r="F3355" s="38"/>
      <c r="G3355" s="38"/>
      <c r="H3355" s="38"/>
      <c r="I3355" s="37"/>
      <c r="J3355" s="38"/>
      <c r="K3355" s="38"/>
      <c r="L3355" s="42"/>
      <c r="M3355" s="42"/>
      <c r="N3355" s="42"/>
      <c r="O3355" s="42"/>
      <c r="R3355" s="37"/>
      <c r="S3355" s="37"/>
      <c r="T3355" s="91"/>
      <c r="U3355" s="91"/>
      <c r="V3355" s="41"/>
      <c r="W3355" s="37"/>
      <c r="X3355" s="37"/>
      <c r="Y3355" s="43"/>
      <c r="Z3355" s="37"/>
      <c r="AA3355" s="37"/>
      <c r="AD3355" s="37"/>
      <c r="AE3355" s="37"/>
      <c r="AF3355" s="37"/>
    </row>
    <row r="3356" spans="1:32" x14ac:dyDescent="0.25">
      <c r="A3356" s="37"/>
      <c r="B3356" s="37"/>
      <c r="C3356" s="37"/>
      <c r="F3356" s="38"/>
      <c r="G3356" s="38"/>
      <c r="H3356" s="38"/>
      <c r="I3356" s="37"/>
      <c r="J3356" s="38"/>
      <c r="K3356" s="38"/>
      <c r="L3356" s="42"/>
      <c r="M3356" s="42"/>
      <c r="N3356" s="42"/>
      <c r="O3356" s="42"/>
      <c r="R3356" s="37"/>
      <c r="S3356" s="37"/>
      <c r="T3356" s="91"/>
      <c r="U3356" s="91"/>
      <c r="V3356" s="41"/>
      <c r="W3356" s="37"/>
      <c r="X3356" s="37"/>
      <c r="Y3356" s="43"/>
      <c r="Z3356" s="37"/>
      <c r="AA3356" s="37"/>
      <c r="AD3356" s="37"/>
      <c r="AE3356" s="37"/>
      <c r="AF3356" s="37"/>
    </row>
    <row r="3357" spans="1:32" x14ac:dyDescent="0.25">
      <c r="A3357" s="37"/>
      <c r="B3357" s="37"/>
      <c r="C3357" s="37"/>
      <c r="F3357" s="38"/>
      <c r="G3357" s="38"/>
      <c r="H3357" s="38"/>
      <c r="I3357" s="37"/>
      <c r="J3357" s="38"/>
      <c r="K3357" s="38"/>
      <c r="L3357" s="42"/>
      <c r="M3357" s="42"/>
      <c r="N3357" s="42"/>
      <c r="O3357" s="42"/>
      <c r="R3357" s="37"/>
      <c r="S3357" s="37"/>
      <c r="T3357" s="91"/>
      <c r="U3357" s="91"/>
      <c r="V3357" s="41"/>
      <c r="W3357" s="37"/>
      <c r="X3357" s="37"/>
      <c r="Y3357" s="43"/>
      <c r="Z3357" s="37"/>
      <c r="AA3357" s="37"/>
      <c r="AD3357" s="37"/>
      <c r="AE3357" s="37"/>
      <c r="AF3357" s="37"/>
    </row>
    <row r="3358" spans="1:32" x14ac:dyDescent="0.25">
      <c r="A3358" s="37"/>
      <c r="B3358" s="37"/>
      <c r="C3358" s="37"/>
      <c r="F3358" s="38"/>
      <c r="G3358" s="38"/>
      <c r="H3358" s="38"/>
      <c r="I3358" s="37"/>
      <c r="J3358" s="38"/>
      <c r="K3358" s="38"/>
      <c r="L3358" s="42"/>
      <c r="M3358" s="42"/>
      <c r="N3358" s="42"/>
      <c r="O3358" s="42"/>
      <c r="R3358" s="37"/>
      <c r="S3358" s="37"/>
      <c r="T3358" s="91"/>
      <c r="U3358" s="91"/>
      <c r="V3358" s="41"/>
      <c r="W3358" s="37"/>
      <c r="X3358" s="37"/>
      <c r="Y3358" s="43"/>
      <c r="Z3358" s="37"/>
      <c r="AA3358" s="37"/>
      <c r="AD3358" s="37"/>
      <c r="AE3358" s="37"/>
      <c r="AF3358" s="37"/>
    </row>
    <row r="3359" spans="1:32" x14ac:dyDescent="0.25">
      <c r="A3359" s="37"/>
      <c r="B3359" s="37"/>
      <c r="C3359" s="37"/>
      <c r="F3359" s="38"/>
      <c r="G3359" s="38"/>
      <c r="H3359" s="38"/>
      <c r="I3359" s="37"/>
      <c r="J3359" s="38"/>
      <c r="K3359" s="38"/>
      <c r="L3359" s="42"/>
      <c r="M3359" s="42"/>
      <c r="N3359" s="42"/>
      <c r="O3359" s="42"/>
      <c r="R3359" s="37"/>
      <c r="S3359" s="37"/>
      <c r="T3359" s="91"/>
      <c r="U3359" s="91"/>
      <c r="V3359" s="41"/>
      <c r="W3359" s="37"/>
      <c r="X3359" s="37"/>
      <c r="Y3359" s="43"/>
      <c r="Z3359" s="37"/>
      <c r="AA3359" s="37"/>
      <c r="AD3359" s="37"/>
      <c r="AE3359" s="37"/>
      <c r="AF3359" s="37"/>
    </row>
    <row r="3360" spans="1:32" x14ac:dyDescent="0.25">
      <c r="A3360" s="37"/>
      <c r="B3360" s="37"/>
      <c r="C3360" s="37"/>
      <c r="F3360" s="38"/>
      <c r="G3360" s="38"/>
      <c r="H3360" s="38"/>
      <c r="I3360" s="37"/>
      <c r="J3360" s="38"/>
      <c r="K3360" s="38"/>
      <c r="L3360" s="42"/>
      <c r="M3360" s="42"/>
      <c r="N3360" s="42"/>
      <c r="O3360" s="42"/>
      <c r="R3360" s="37"/>
      <c r="S3360" s="37"/>
      <c r="T3360" s="91"/>
      <c r="U3360" s="91"/>
      <c r="V3360" s="41"/>
      <c r="W3360" s="37"/>
      <c r="X3360" s="37"/>
      <c r="Y3360" s="43"/>
      <c r="Z3360" s="37"/>
      <c r="AA3360" s="37"/>
      <c r="AD3360" s="37"/>
      <c r="AE3360" s="37"/>
      <c r="AF3360" s="37"/>
    </row>
    <row r="3361" spans="1:32" x14ac:dyDescent="0.25">
      <c r="A3361" s="37"/>
      <c r="B3361" s="37"/>
      <c r="C3361" s="37"/>
      <c r="F3361" s="38"/>
      <c r="G3361" s="38"/>
      <c r="H3361" s="38"/>
      <c r="I3361" s="37"/>
      <c r="J3361" s="38"/>
      <c r="K3361" s="38"/>
      <c r="L3361" s="42"/>
      <c r="M3361" s="42"/>
      <c r="N3361" s="42"/>
      <c r="O3361" s="42"/>
      <c r="R3361" s="37"/>
      <c r="S3361" s="37"/>
      <c r="T3361" s="91"/>
      <c r="U3361" s="91"/>
      <c r="V3361" s="41"/>
      <c r="W3361" s="37"/>
      <c r="X3361" s="37"/>
      <c r="Y3361" s="43"/>
      <c r="Z3361" s="37"/>
      <c r="AA3361" s="37"/>
      <c r="AD3361" s="37"/>
      <c r="AE3361" s="37"/>
      <c r="AF3361" s="37"/>
    </row>
    <row r="3362" spans="1:32" x14ac:dyDescent="0.25">
      <c r="A3362" s="37"/>
      <c r="B3362" s="37"/>
      <c r="C3362" s="37"/>
      <c r="F3362" s="38"/>
      <c r="G3362" s="38"/>
      <c r="H3362" s="38"/>
      <c r="I3362" s="37"/>
      <c r="J3362" s="38"/>
      <c r="K3362" s="38"/>
      <c r="L3362" s="42"/>
      <c r="M3362" s="42"/>
      <c r="N3362" s="42"/>
      <c r="O3362" s="42"/>
      <c r="R3362" s="37"/>
      <c r="S3362" s="37"/>
      <c r="T3362" s="91"/>
      <c r="U3362" s="91"/>
      <c r="V3362" s="41"/>
      <c r="W3362" s="37"/>
      <c r="X3362" s="37"/>
      <c r="Y3362" s="43"/>
      <c r="Z3362" s="37"/>
      <c r="AA3362" s="37"/>
      <c r="AD3362" s="37"/>
      <c r="AE3362" s="37"/>
      <c r="AF3362" s="37"/>
    </row>
    <row r="3363" spans="1:32" x14ac:dyDescent="0.25">
      <c r="A3363" s="37"/>
      <c r="B3363" s="37"/>
      <c r="C3363" s="37"/>
      <c r="F3363" s="38"/>
      <c r="G3363" s="38"/>
      <c r="H3363" s="38"/>
      <c r="I3363" s="37"/>
      <c r="J3363" s="38"/>
      <c r="K3363" s="38"/>
      <c r="L3363" s="42"/>
      <c r="M3363" s="42"/>
      <c r="N3363" s="42"/>
      <c r="O3363" s="42"/>
      <c r="R3363" s="37"/>
      <c r="S3363" s="37"/>
      <c r="T3363" s="91"/>
      <c r="U3363" s="91"/>
      <c r="V3363" s="41"/>
      <c r="W3363" s="37"/>
      <c r="X3363" s="37"/>
      <c r="Y3363" s="43"/>
      <c r="Z3363" s="37"/>
      <c r="AA3363" s="37"/>
      <c r="AD3363" s="37"/>
      <c r="AE3363" s="37"/>
      <c r="AF3363" s="37"/>
    </row>
    <row r="3364" spans="1:32" x14ac:dyDescent="0.25">
      <c r="A3364" s="37"/>
      <c r="B3364" s="37"/>
      <c r="C3364" s="37"/>
      <c r="F3364" s="38"/>
      <c r="G3364" s="38"/>
      <c r="H3364" s="38"/>
      <c r="I3364" s="37"/>
      <c r="J3364" s="38"/>
      <c r="K3364" s="38"/>
      <c r="L3364" s="42"/>
      <c r="M3364" s="42"/>
      <c r="N3364" s="42"/>
      <c r="O3364" s="42"/>
      <c r="R3364" s="37"/>
      <c r="S3364" s="37"/>
      <c r="T3364" s="91"/>
      <c r="U3364" s="91"/>
      <c r="V3364" s="41"/>
      <c r="W3364" s="37"/>
      <c r="X3364" s="37"/>
      <c r="Y3364" s="43"/>
      <c r="Z3364" s="37"/>
      <c r="AA3364" s="37"/>
      <c r="AD3364" s="37"/>
      <c r="AE3364" s="37"/>
      <c r="AF3364" s="37"/>
    </row>
    <row r="3365" spans="1:32" x14ac:dyDescent="0.25">
      <c r="A3365" s="37"/>
      <c r="B3365" s="37"/>
      <c r="C3365" s="37"/>
      <c r="F3365" s="38"/>
      <c r="G3365" s="38"/>
      <c r="H3365" s="38"/>
      <c r="I3365" s="37"/>
      <c r="J3365" s="38"/>
      <c r="K3365" s="38"/>
      <c r="L3365" s="42"/>
      <c r="M3365" s="42"/>
      <c r="N3365" s="42"/>
      <c r="O3365" s="42"/>
      <c r="R3365" s="37"/>
      <c r="S3365" s="37"/>
      <c r="T3365" s="91"/>
      <c r="U3365" s="91"/>
      <c r="V3365" s="41"/>
      <c r="W3365" s="37"/>
      <c r="X3365" s="37"/>
      <c r="Y3365" s="43"/>
      <c r="Z3365" s="37"/>
      <c r="AA3365" s="37"/>
      <c r="AD3365" s="37"/>
      <c r="AE3365" s="37"/>
      <c r="AF3365" s="37"/>
    </row>
    <row r="3366" spans="1:32" x14ac:dyDescent="0.25">
      <c r="A3366" s="37"/>
      <c r="B3366" s="37"/>
      <c r="C3366" s="37"/>
      <c r="F3366" s="38"/>
      <c r="G3366" s="38"/>
      <c r="H3366" s="38"/>
      <c r="I3366" s="37"/>
      <c r="J3366" s="38"/>
      <c r="K3366" s="38"/>
      <c r="L3366" s="42"/>
      <c r="M3366" s="42"/>
      <c r="N3366" s="42"/>
      <c r="O3366" s="42"/>
      <c r="R3366" s="37"/>
      <c r="S3366" s="37"/>
      <c r="T3366" s="91"/>
      <c r="U3366" s="91"/>
      <c r="V3366" s="41"/>
      <c r="W3366" s="37"/>
      <c r="X3366" s="37"/>
      <c r="Y3366" s="43"/>
      <c r="Z3366" s="37"/>
      <c r="AA3366" s="37"/>
      <c r="AD3366" s="37"/>
      <c r="AE3366" s="37"/>
      <c r="AF3366" s="37"/>
    </row>
    <row r="3367" spans="1:32" x14ac:dyDescent="0.25">
      <c r="A3367" s="37"/>
      <c r="B3367" s="37"/>
      <c r="C3367" s="37"/>
      <c r="F3367" s="38"/>
      <c r="G3367" s="38"/>
      <c r="H3367" s="38"/>
      <c r="I3367" s="37"/>
      <c r="J3367" s="38"/>
      <c r="K3367" s="38"/>
      <c r="L3367" s="42"/>
      <c r="M3367" s="42"/>
      <c r="N3367" s="42"/>
      <c r="O3367" s="42"/>
      <c r="R3367" s="37"/>
      <c r="S3367" s="37"/>
      <c r="T3367" s="91"/>
      <c r="U3367" s="91"/>
      <c r="V3367" s="41"/>
      <c r="W3367" s="37"/>
      <c r="X3367" s="37"/>
      <c r="Y3367" s="43"/>
      <c r="Z3367" s="37"/>
      <c r="AA3367" s="37"/>
      <c r="AD3367" s="37"/>
      <c r="AE3367" s="37"/>
      <c r="AF3367" s="37"/>
    </row>
    <row r="3368" spans="1:32" x14ac:dyDescent="0.25">
      <c r="A3368" s="37"/>
      <c r="B3368" s="37"/>
      <c r="C3368" s="37"/>
      <c r="F3368" s="38"/>
      <c r="G3368" s="38"/>
      <c r="H3368" s="38"/>
      <c r="I3368" s="37"/>
      <c r="J3368" s="38"/>
      <c r="K3368" s="38"/>
      <c r="L3368" s="42"/>
      <c r="M3368" s="42"/>
      <c r="N3368" s="42"/>
      <c r="O3368" s="42"/>
      <c r="R3368" s="37"/>
      <c r="S3368" s="37"/>
      <c r="T3368" s="91"/>
      <c r="U3368" s="91"/>
      <c r="V3368" s="41"/>
      <c r="W3368" s="37"/>
      <c r="X3368" s="37"/>
      <c r="Y3368" s="43"/>
      <c r="Z3368" s="37"/>
      <c r="AA3368" s="37"/>
      <c r="AD3368" s="37"/>
      <c r="AE3368" s="37"/>
      <c r="AF3368" s="37"/>
    </row>
    <row r="3369" spans="1:32" x14ac:dyDescent="0.25">
      <c r="A3369" s="37"/>
      <c r="B3369" s="37"/>
      <c r="C3369" s="37"/>
      <c r="F3369" s="38"/>
      <c r="G3369" s="38"/>
      <c r="H3369" s="38"/>
      <c r="I3369" s="37"/>
      <c r="J3369" s="38"/>
      <c r="K3369" s="38"/>
      <c r="L3369" s="42"/>
      <c r="M3369" s="42"/>
      <c r="N3369" s="42"/>
      <c r="O3369" s="42"/>
      <c r="R3369" s="37"/>
      <c r="S3369" s="37"/>
      <c r="T3369" s="91"/>
      <c r="U3369" s="91"/>
      <c r="V3369" s="41"/>
      <c r="W3369" s="37"/>
      <c r="X3369" s="37"/>
      <c r="Y3369" s="43"/>
      <c r="Z3369" s="37"/>
      <c r="AA3369" s="37"/>
      <c r="AD3369" s="37"/>
      <c r="AE3369" s="37"/>
      <c r="AF3369" s="37"/>
    </row>
    <row r="3370" spans="1:32" x14ac:dyDescent="0.25">
      <c r="A3370" s="37"/>
      <c r="B3370" s="37"/>
      <c r="C3370" s="37"/>
      <c r="F3370" s="38"/>
      <c r="G3370" s="38"/>
      <c r="H3370" s="38"/>
      <c r="I3370" s="37"/>
      <c r="J3370" s="38"/>
      <c r="K3370" s="38"/>
      <c r="L3370" s="42"/>
      <c r="M3370" s="42"/>
      <c r="N3370" s="42"/>
      <c r="O3370" s="42"/>
      <c r="R3370" s="37"/>
      <c r="S3370" s="37"/>
      <c r="T3370" s="91"/>
      <c r="U3370" s="91"/>
      <c r="V3370" s="41"/>
      <c r="W3370" s="37"/>
      <c r="X3370" s="37"/>
      <c r="Y3370" s="43"/>
      <c r="Z3370" s="37"/>
      <c r="AA3370" s="37"/>
      <c r="AD3370" s="37"/>
      <c r="AE3370" s="37"/>
      <c r="AF3370" s="37"/>
    </row>
    <row r="3371" spans="1:32" x14ac:dyDescent="0.25">
      <c r="A3371" s="37"/>
      <c r="B3371" s="37"/>
      <c r="C3371" s="37"/>
      <c r="F3371" s="38"/>
      <c r="G3371" s="38"/>
      <c r="H3371" s="38"/>
      <c r="I3371" s="37"/>
      <c r="J3371" s="38"/>
      <c r="K3371" s="38"/>
      <c r="L3371" s="42"/>
      <c r="M3371" s="42"/>
      <c r="N3371" s="42"/>
      <c r="O3371" s="42"/>
      <c r="R3371" s="37"/>
      <c r="S3371" s="37"/>
      <c r="T3371" s="91"/>
      <c r="U3371" s="91"/>
      <c r="V3371" s="41"/>
      <c r="W3371" s="37"/>
      <c r="X3371" s="37"/>
      <c r="Y3371" s="43"/>
      <c r="Z3371" s="37"/>
      <c r="AA3371" s="37"/>
      <c r="AD3371" s="37"/>
      <c r="AE3371" s="37"/>
      <c r="AF3371" s="37"/>
    </row>
    <row r="3372" spans="1:32" x14ac:dyDescent="0.25">
      <c r="A3372" s="37"/>
      <c r="B3372" s="37"/>
      <c r="C3372" s="37"/>
      <c r="F3372" s="38"/>
      <c r="G3372" s="38"/>
      <c r="H3372" s="38"/>
      <c r="I3372" s="37"/>
      <c r="J3372" s="38"/>
      <c r="K3372" s="38"/>
      <c r="L3372" s="42"/>
      <c r="M3372" s="42"/>
      <c r="N3372" s="42"/>
      <c r="O3372" s="42"/>
      <c r="R3372" s="37"/>
      <c r="S3372" s="37"/>
      <c r="T3372" s="91"/>
      <c r="U3372" s="91"/>
      <c r="V3372" s="41"/>
      <c r="W3372" s="37"/>
      <c r="X3372" s="37"/>
      <c r="Y3372" s="43"/>
      <c r="Z3372" s="37"/>
      <c r="AA3372" s="37"/>
      <c r="AD3372" s="37"/>
      <c r="AE3372" s="37"/>
      <c r="AF3372" s="37"/>
    </row>
    <row r="3373" spans="1:32" x14ac:dyDescent="0.25">
      <c r="A3373" s="37"/>
      <c r="B3373" s="37"/>
      <c r="C3373" s="37"/>
      <c r="F3373" s="38"/>
      <c r="G3373" s="38"/>
      <c r="H3373" s="38"/>
      <c r="I3373" s="37"/>
      <c r="J3373" s="38"/>
      <c r="K3373" s="38"/>
      <c r="L3373" s="42"/>
      <c r="M3373" s="42"/>
      <c r="N3373" s="42"/>
      <c r="O3373" s="42"/>
      <c r="R3373" s="37"/>
      <c r="S3373" s="37"/>
      <c r="T3373" s="91"/>
      <c r="U3373" s="91"/>
      <c r="V3373" s="41"/>
      <c r="W3373" s="37"/>
      <c r="X3373" s="37"/>
      <c r="Y3373" s="43"/>
      <c r="Z3373" s="37"/>
      <c r="AA3373" s="37"/>
      <c r="AD3373" s="37"/>
      <c r="AE3373" s="37"/>
      <c r="AF3373" s="37"/>
    </row>
    <row r="3374" spans="1:32" x14ac:dyDescent="0.25">
      <c r="A3374" s="37"/>
      <c r="B3374" s="37"/>
      <c r="C3374" s="37"/>
      <c r="F3374" s="38"/>
      <c r="G3374" s="38"/>
      <c r="H3374" s="38"/>
      <c r="I3374" s="37"/>
      <c r="J3374" s="38"/>
      <c r="K3374" s="38"/>
      <c r="L3374" s="42"/>
      <c r="M3374" s="42"/>
      <c r="N3374" s="42"/>
      <c r="O3374" s="42"/>
      <c r="R3374" s="37"/>
      <c r="S3374" s="37"/>
      <c r="T3374" s="91"/>
      <c r="U3374" s="91"/>
      <c r="V3374" s="41"/>
      <c r="W3374" s="37"/>
      <c r="X3374" s="37"/>
      <c r="Y3374" s="43"/>
      <c r="Z3374" s="37"/>
      <c r="AA3374" s="37"/>
      <c r="AD3374" s="37"/>
      <c r="AE3374" s="37"/>
      <c r="AF3374" s="37"/>
    </row>
    <row r="3375" spans="1:32" x14ac:dyDescent="0.25">
      <c r="A3375" s="37"/>
      <c r="B3375" s="37"/>
      <c r="C3375" s="37"/>
      <c r="F3375" s="38"/>
      <c r="G3375" s="38"/>
      <c r="H3375" s="38"/>
      <c r="I3375" s="37"/>
      <c r="J3375" s="38"/>
      <c r="K3375" s="38"/>
      <c r="L3375" s="42"/>
      <c r="M3375" s="42"/>
      <c r="N3375" s="42"/>
      <c r="O3375" s="42"/>
      <c r="R3375" s="37"/>
      <c r="S3375" s="37"/>
      <c r="T3375" s="91"/>
      <c r="U3375" s="91"/>
      <c r="V3375" s="41"/>
      <c r="W3375" s="37"/>
      <c r="X3375" s="37"/>
      <c r="Y3375" s="43"/>
      <c r="Z3375" s="37"/>
      <c r="AA3375" s="37"/>
      <c r="AD3375" s="37"/>
      <c r="AE3375" s="37"/>
      <c r="AF3375" s="37"/>
    </row>
    <row r="3376" spans="1:32" x14ac:dyDescent="0.25">
      <c r="A3376" s="37"/>
      <c r="B3376" s="37"/>
      <c r="C3376" s="37"/>
      <c r="F3376" s="38"/>
      <c r="G3376" s="38"/>
      <c r="H3376" s="38"/>
      <c r="I3376" s="37"/>
      <c r="J3376" s="38"/>
      <c r="K3376" s="38"/>
      <c r="L3376" s="42"/>
      <c r="M3376" s="42"/>
      <c r="N3376" s="42"/>
      <c r="O3376" s="42"/>
      <c r="R3376" s="37"/>
      <c r="S3376" s="37"/>
      <c r="T3376" s="91"/>
      <c r="U3376" s="91"/>
      <c r="V3376" s="41"/>
      <c r="W3376" s="37"/>
      <c r="X3376" s="37"/>
      <c r="Y3376" s="43"/>
      <c r="Z3376" s="37"/>
      <c r="AA3376" s="37"/>
      <c r="AD3376" s="37"/>
      <c r="AE3376" s="37"/>
      <c r="AF3376" s="37"/>
    </row>
    <row r="3377" spans="1:32" x14ac:dyDescent="0.25">
      <c r="A3377" s="37"/>
      <c r="B3377" s="37"/>
      <c r="C3377" s="37"/>
      <c r="F3377" s="38"/>
      <c r="G3377" s="38"/>
      <c r="H3377" s="38"/>
      <c r="I3377" s="37"/>
      <c r="J3377" s="38"/>
      <c r="K3377" s="38"/>
      <c r="L3377" s="42"/>
      <c r="M3377" s="42"/>
      <c r="N3377" s="42"/>
      <c r="O3377" s="42"/>
      <c r="R3377" s="37"/>
      <c r="S3377" s="37"/>
      <c r="T3377" s="91"/>
      <c r="U3377" s="91"/>
      <c r="V3377" s="41"/>
      <c r="W3377" s="37"/>
      <c r="X3377" s="37"/>
      <c r="Y3377" s="43"/>
      <c r="Z3377" s="37"/>
      <c r="AA3377" s="37"/>
      <c r="AD3377" s="37"/>
      <c r="AE3377" s="37"/>
      <c r="AF3377" s="37"/>
    </row>
    <row r="3378" spans="1:32" x14ac:dyDescent="0.25">
      <c r="A3378" s="37"/>
      <c r="B3378" s="37"/>
      <c r="C3378" s="37"/>
      <c r="F3378" s="38"/>
      <c r="G3378" s="38"/>
      <c r="H3378" s="38"/>
      <c r="I3378" s="37"/>
      <c r="J3378" s="38"/>
      <c r="K3378" s="38"/>
      <c r="L3378" s="42"/>
      <c r="M3378" s="42"/>
      <c r="N3378" s="42"/>
      <c r="O3378" s="42"/>
      <c r="R3378" s="37"/>
      <c r="S3378" s="37"/>
      <c r="T3378" s="91"/>
      <c r="U3378" s="91"/>
      <c r="V3378" s="41"/>
      <c r="W3378" s="37"/>
      <c r="X3378" s="37"/>
      <c r="Y3378" s="43"/>
      <c r="Z3378" s="37"/>
      <c r="AA3378" s="37"/>
      <c r="AD3378" s="37"/>
      <c r="AE3378" s="37"/>
      <c r="AF3378" s="37"/>
    </row>
    <row r="3379" spans="1:32" x14ac:dyDescent="0.25">
      <c r="A3379" s="37"/>
      <c r="B3379" s="37"/>
      <c r="C3379" s="37"/>
      <c r="F3379" s="38"/>
      <c r="G3379" s="38"/>
      <c r="H3379" s="38"/>
      <c r="I3379" s="37"/>
      <c r="J3379" s="38"/>
      <c r="K3379" s="38"/>
      <c r="L3379" s="42"/>
      <c r="M3379" s="42"/>
      <c r="N3379" s="42"/>
      <c r="O3379" s="42"/>
      <c r="R3379" s="37"/>
      <c r="S3379" s="37"/>
      <c r="T3379" s="91"/>
      <c r="U3379" s="91"/>
      <c r="V3379" s="41"/>
      <c r="W3379" s="37"/>
      <c r="X3379" s="37"/>
      <c r="Y3379" s="43"/>
      <c r="Z3379" s="37"/>
      <c r="AA3379" s="37"/>
      <c r="AD3379" s="37"/>
      <c r="AE3379" s="37"/>
      <c r="AF3379" s="37"/>
    </row>
    <row r="3380" spans="1:32" x14ac:dyDescent="0.25">
      <c r="A3380" s="37"/>
      <c r="B3380" s="37"/>
      <c r="C3380" s="37"/>
      <c r="F3380" s="38"/>
      <c r="G3380" s="38"/>
      <c r="H3380" s="38"/>
      <c r="I3380" s="37"/>
      <c r="J3380" s="38"/>
      <c r="K3380" s="38"/>
      <c r="L3380" s="42"/>
      <c r="M3380" s="42"/>
      <c r="N3380" s="42"/>
      <c r="O3380" s="42"/>
      <c r="R3380" s="37"/>
      <c r="S3380" s="37"/>
      <c r="T3380" s="91"/>
      <c r="U3380" s="91"/>
      <c r="V3380" s="41"/>
      <c r="W3380" s="37"/>
      <c r="X3380" s="37"/>
      <c r="Y3380" s="43"/>
      <c r="Z3380" s="37"/>
      <c r="AA3380" s="37"/>
      <c r="AD3380" s="37"/>
      <c r="AE3380" s="37"/>
      <c r="AF3380" s="37"/>
    </row>
    <row r="3381" spans="1:32" x14ac:dyDescent="0.25">
      <c r="A3381" s="37"/>
      <c r="B3381" s="37"/>
      <c r="C3381" s="37"/>
      <c r="F3381" s="38"/>
      <c r="G3381" s="38"/>
      <c r="H3381" s="38"/>
      <c r="I3381" s="37"/>
      <c r="J3381" s="38"/>
      <c r="K3381" s="38"/>
      <c r="L3381" s="42"/>
      <c r="M3381" s="42"/>
      <c r="N3381" s="42"/>
      <c r="O3381" s="42"/>
      <c r="R3381" s="37"/>
      <c r="S3381" s="37"/>
      <c r="T3381" s="91"/>
      <c r="U3381" s="91"/>
      <c r="V3381" s="41"/>
      <c r="W3381" s="37"/>
      <c r="X3381" s="37"/>
      <c r="Y3381" s="43"/>
      <c r="Z3381" s="37"/>
      <c r="AA3381" s="37"/>
      <c r="AD3381" s="37"/>
      <c r="AE3381" s="37"/>
      <c r="AF3381" s="37"/>
    </row>
    <row r="3382" spans="1:32" x14ac:dyDescent="0.25">
      <c r="A3382" s="37"/>
      <c r="B3382" s="37"/>
      <c r="C3382" s="37"/>
      <c r="F3382" s="38"/>
      <c r="G3382" s="38"/>
      <c r="H3382" s="38"/>
      <c r="I3382" s="37"/>
      <c r="J3382" s="38"/>
      <c r="K3382" s="38"/>
      <c r="L3382" s="42"/>
      <c r="M3382" s="42"/>
      <c r="N3382" s="42"/>
      <c r="O3382" s="42"/>
      <c r="R3382" s="37"/>
      <c r="S3382" s="37"/>
      <c r="T3382" s="91"/>
      <c r="U3382" s="91"/>
      <c r="V3382" s="41"/>
      <c r="W3382" s="37"/>
      <c r="X3382" s="37"/>
      <c r="Y3382" s="43"/>
      <c r="Z3382" s="37"/>
      <c r="AA3382" s="37"/>
      <c r="AD3382" s="37"/>
      <c r="AE3382" s="37"/>
      <c r="AF3382" s="37"/>
    </row>
    <row r="3383" spans="1:32" x14ac:dyDescent="0.25">
      <c r="A3383" s="37"/>
      <c r="B3383" s="37"/>
      <c r="C3383" s="37"/>
      <c r="F3383" s="38"/>
      <c r="G3383" s="38"/>
      <c r="H3383" s="38"/>
      <c r="I3383" s="37"/>
      <c r="J3383" s="38"/>
      <c r="K3383" s="38"/>
      <c r="L3383" s="42"/>
      <c r="M3383" s="42"/>
      <c r="N3383" s="42"/>
      <c r="O3383" s="42"/>
      <c r="R3383" s="37"/>
      <c r="S3383" s="37"/>
      <c r="T3383" s="91"/>
      <c r="U3383" s="91"/>
      <c r="V3383" s="41"/>
      <c r="W3383" s="37"/>
      <c r="X3383" s="37"/>
      <c r="Y3383" s="43"/>
      <c r="Z3383" s="37"/>
      <c r="AA3383" s="37"/>
      <c r="AD3383" s="37"/>
      <c r="AE3383" s="37"/>
      <c r="AF3383" s="37"/>
    </row>
    <row r="3384" spans="1:32" x14ac:dyDescent="0.25">
      <c r="A3384" s="37"/>
      <c r="B3384" s="37"/>
      <c r="C3384" s="37"/>
      <c r="F3384" s="38"/>
      <c r="G3384" s="38"/>
      <c r="H3384" s="38"/>
      <c r="I3384" s="37"/>
      <c r="J3384" s="38"/>
      <c r="K3384" s="38"/>
      <c r="L3384" s="42"/>
      <c r="M3384" s="42"/>
      <c r="N3384" s="42"/>
      <c r="O3384" s="42"/>
      <c r="R3384" s="37"/>
      <c r="S3384" s="37"/>
      <c r="T3384" s="91"/>
      <c r="U3384" s="91"/>
      <c r="V3384" s="41"/>
      <c r="W3384" s="37"/>
      <c r="X3384" s="37"/>
      <c r="Y3384" s="43"/>
      <c r="Z3384" s="37"/>
      <c r="AA3384" s="37"/>
      <c r="AD3384" s="37"/>
      <c r="AE3384" s="37"/>
      <c r="AF3384" s="37"/>
    </row>
    <row r="3385" spans="1:32" x14ac:dyDescent="0.25">
      <c r="A3385" s="37"/>
      <c r="B3385" s="37"/>
      <c r="C3385" s="37"/>
      <c r="F3385" s="38"/>
      <c r="G3385" s="38"/>
      <c r="H3385" s="38"/>
      <c r="I3385" s="37"/>
      <c r="J3385" s="38"/>
      <c r="K3385" s="38"/>
      <c r="L3385" s="42"/>
      <c r="M3385" s="42"/>
      <c r="N3385" s="42"/>
      <c r="O3385" s="42"/>
      <c r="R3385" s="37"/>
      <c r="S3385" s="37"/>
      <c r="T3385" s="91"/>
      <c r="U3385" s="91"/>
      <c r="V3385" s="41"/>
      <c r="W3385" s="37"/>
      <c r="X3385" s="37"/>
      <c r="Y3385" s="43"/>
      <c r="Z3385" s="37"/>
      <c r="AA3385" s="37"/>
      <c r="AD3385" s="37"/>
      <c r="AE3385" s="37"/>
      <c r="AF3385" s="37"/>
    </row>
    <row r="3386" spans="1:32" x14ac:dyDescent="0.25">
      <c r="A3386" s="37"/>
      <c r="B3386" s="37"/>
      <c r="C3386" s="37"/>
      <c r="F3386" s="38"/>
      <c r="G3386" s="38"/>
      <c r="H3386" s="38"/>
      <c r="I3386" s="37"/>
      <c r="J3386" s="38"/>
      <c r="K3386" s="38"/>
      <c r="L3386" s="42"/>
      <c r="M3386" s="42"/>
      <c r="N3386" s="42"/>
      <c r="O3386" s="42"/>
      <c r="R3386" s="37"/>
      <c r="S3386" s="37"/>
      <c r="T3386" s="91"/>
      <c r="U3386" s="91"/>
      <c r="V3386" s="41"/>
      <c r="W3386" s="37"/>
      <c r="X3386" s="37"/>
      <c r="Y3386" s="43"/>
      <c r="Z3386" s="37"/>
      <c r="AA3386" s="37"/>
      <c r="AD3386" s="37"/>
      <c r="AE3386" s="37"/>
      <c r="AF3386" s="37"/>
    </row>
    <row r="3387" spans="1:32" x14ac:dyDescent="0.25">
      <c r="A3387" s="37"/>
      <c r="B3387" s="37"/>
      <c r="C3387" s="37"/>
      <c r="F3387" s="38"/>
      <c r="G3387" s="38"/>
      <c r="H3387" s="38"/>
      <c r="I3387" s="37"/>
      <c r="J3387" s="38"/>
      <c r="K3387" s="38"/>
      <c r="L3387" s="42"/>
      <c r="M3387" s="42"/>
      <c r="N3387" s="42"/>
      <c r="O3387" s="42"/>
      <c r="R3387" s="37"/>
      <c r="S3387" s="37"/>
      <c r="T3387" s="91"/>
      <c r="U3387" s="91"/>
      <c r="V3387" s="41"/>
      <c r="W3387" s="37"/>
      <c r="X3387" s="37"/>
      <c r="Y3387" s="43"/>
      <c r="Z3387" s="37"/>
      <c r="AA3387" s="37"/>
      <c r="AD3387" s="37"/>
      <c r="AE3387" s="37"/>
      <c r="AF3387" s="37"/>
    </row>
    <row r="3388" spans="1:32" x14ac:dyDescent="0.25">
      <c r="A3388" s="37"/>
      <c r="B3388" s="37"/>
      <c r="C3388" s="37"/>
      <c r="F3388" s="38"/>
      <c r="G3388" s="38"/>
      <c r="H3388" s="38"/>
      <c r="I3388" s="37"/>
      <c r="J3388" s="38"/>
      <c r="K3388" s="38"/>
      <c r="L3388" s="42"/>
      <c r="M3388" s="42"/>
      <c r="N3388" s="42"/>
      <c r="O3388" s="42"/>
      <c r="R3388" s="37"/>
      <c r="S3388" s="37"/>
      <c r="T3388" s="91"/>
      <c r="U3388" s="91"/>
      <c r="V3388" s="41"/>
      <c r="W3388" s="37"/>
      <c r="X3388" s="37"/>
      <c r="Y3388" s="43"/>
      <c r="Z3388" s="37"/>
      <c r="AA3388" s="37"/>
      <c r="AD3388" s="37"/>
      <c r="AE3388" s="37"/>
      <c r="AF3388" s="37"/>
    </row>
    <row r="3389" spans="1:32" x14ac:dyDescent="0.25">
      <c r="A3389" s="37"/>
      <c r="B3389" s="37"/>
      <c r="C3389" s="37"/>
      <c r="F3389" s="38"/>
      <c r="G3389" s="38"/>
      <c r="H3389" s="38"/>
      <c r="I3389" s="37"/>
      <c r="J3389" s="38"/>
      <c r="K3389" s="38"/>
      <c r="L3389" s="42"/>
      <c r="M3389" s="42"/>
      <c r="N3389" s="42"/>
      <c r="O3389" s="42"/>
      <c r="R3389" s="37"/>
      <c r="S3389" s="37"/>
      <c r="T3389" s="91"/>
      <c r="U3389" s="91"/>
      <c r="V3389" s="41"/>
      <c r="W3389" s="37"/>
      <c r="X3389" s="37"/>
      <c r="Y3389" s="43"/>
      <c r="Z3389" s="37"/>
      <c r="AA3389" s="37"/>
      <c r="AD3389" s="37"/>
      <c r="AE3389" s="37"/>
      <c r="AF3389" s="37"/>
    </row>
    <row r="3390" spans="1:32" x14ac:dyDescent="0.25">
      <c r="A3390" s="37"/>
      <c r="B3390" s="37"/>
      <c r="C3390" s="37"/>
      <c r="F3390" s="38"/>
      <c r="G3390" s="38"/>
      <c r="H3390" s="38"/>
      <c r="I3390" s="37"/>
      <c r="J3390" s="38"/>
      <c r="K3390" s="38"/>
      <c r="L3390" s="42"/>
      <c r="M3390" s="42"/>
      <c r="N3390" s="42"/>
      <c r="O3390" s="42"/>
      <c r="R3390" s="37"/>
      <c r="S3390" s="37"/>
      <c r="T3390" s="91"/>
      <c r="U3390" s="91"/>
      <c r="V3390" s="41"/>
      <c r="W3390" s="37"/>
      <c r="X3390" s="37"/>
      <c r="Y3390" s="43"/>
      <c r="Z3390" s="37"/>
      <c r="AA3390" s="37"/>
      <c r="AD3390" s="37"/>
      <c r="AE3390" s="37"/>
      <c r="AF3390" s="37"/>
    </row>
    <row r="3391" spans="1:32" x14ac:dyDescent="0.25">
      <c r="A3391" s="37"/>
      <c r="B3391" s="37"/>
      <c r="C3391" s="37"/>
      <c r="F3391" s="38"/>
      <c r="G3391" s="38"/>
      <c r="H3391" s="38"/>
      <c r="I3391" s="37"/>
      <c r="J3391" s="38"/>
      <c r="K3391" s="38"/>
      <c r="L3391" s="42"/>
      <c r="M3391" s="42"/>
      <c r="N3391" s="42"/>
      <c r="O3391" s="42"/>
      <c r="R3391" s="37"/>
      <c r="S3391" s="37"/>
      <c r="T3391" s="91"/>
      <c r="U3391" s="91"/>
      <c r="V3391" s="41"/>
      <c r="W3391" s="37"/>
      <c r="X3391" s="37"/>
      <c r="Y3391" s="43"/>
      <c r="Z3391" s="37"/>
      <c r="AA3391" s="37"/>
      <c r="AD3391" s="37"/>
      <c r="AE3391" s="37"/>
      <c r="AF3391" s="37"/>
    </row>
    <row r="3392" spans="1:32" x14ac:dyDescent="0.25">
      <c r="A3392" s="37"/>
      <c r="B3392" s="37"/>
      <c r="C3392" s="37"/>
      <c r="F3392" s="38"/>
      <c r="G3392" s="38"/>
      <c r="H3392" s="38"/>
      <c r="I3392" s="37"/>
      <c r="J3392" s="38"/>
      <c r="K3392" s="38"/>
      <c r="L3392" s="42"/>
      <c r="M3392" s="42"/>
      <c r="N3392" s="42"/>
      <c r="O3392" s="42"/>
      <c r="R3392" s="37"/>
      <c r="S3392" s="37"/>
      <c r="T3392" s="91"/>
      <c r="U3392" s="91"/>
      <c r="V3392" s="41"/>
      <c r="W3392" s="37"/>
      <c r="X3392" s="37"/>
      <c r="Y3392" s="43"/>
      <c r="Z3392" s="37"/>
      <c r="AA3392" s="37"/>
      <c r="AD3392" s="37"/>
      <c r="AE3392" s="37"/>
      <c r="AF3392" s="37"/>
    </row>
    <row r="3393" spans="1:32" x14ac:dyDescent="0.25">
      <c r="A3393" s="37"/>
      <c r="B3393" s="37"/>
      <c r="C3393" s="37"/>
      <c r="F3393" s="38"/>
      <c r="G3393" s="38"/>
      <c r="H3393" s="38"/>
      <c r="I3393" s="37"/>
      <c r="J3393" s="38"/>
      <c r="K3393" s="38"/>
      <c r="L3393" s="42"/>
      <c r="M3393" s="42"/>
      <c r="N3393" s="42"/>
      <c r="O3393" s="42"/>
      <c r="R3393" s="37"/>
      <c r="S3393" s="37"/>
      <c r="T3393" s="91"/>
      <c r="U3393" s="91"/>
      <c r="V3393" s="41"/>
      <c r="W3393" s="37"/>
      <c r="X3393" s="37"/>
      <c r="Y3393" s="43"/>
      <c r="Z3393" s="37"/>
      <c r="AA3393" s="37"/>
      <c r="AD3393" s="37"/>
      <c r="AE3393" s="37"/>
      <c r="AF3393" s="37"/>
    </row>
    <row r="3394" spans="1:32" x14ac:dyDescent="0.25">
      <c r="A3394" s="37"/>
      <c r="B3394" s="37"/>
      <c r="C3394" s="37"/>
      <c r="F3394" s="38"/>
      <c r="G3394" s="38"/>
      <c r="H3394" s="38"/>
      <c r="I3394" s="37"/>
      <c r="J3394" s="38"/>
      <c r="K3394" s="38"/>
      <c r="L3394" s="42"/>
      <c r="M3394" s="42"/>
      <c r="N3394" s="42"/>
      <c r="O3394" s="42"/>
      <c r="R3394" s="37"/>
      <c r="S3394" s="37"/>
      <c r="T3394" s="91"/>
      <c r="U3394" s="91"/>
      <c r="V3394" s="41"/>
      <c r="W3394" s="37"/>
      <c r="X3394" s="37"/>
      <c r="Y3394" s="43"/>
      <c r="Z3394" s="37"/>
      <c r="AA3394" s="37"/>
      <c r="AD3394" s="37"/>
      <c r="AE3394" s="37"/>
      <c r="AF3394" s="37"/>
    </row>
    <row r="3395" spans="1:32" x14ac:dyDescent="0.25">
      <c r="A3395" s="37"/>
      <c r="B3395" s="37"/>
      <c r="C3395" s="37"/>
      <c r="F3395" s="38"/>
      <c r="G3395" s="38"/>
      <c r="H3395" s="38"/>
      <c r="I3395" s="37"/>
      <c r="J3395" s="38"/>
      <c r="K3395" s="38"/>
      <c r="L3395" s="42"/>
      <c r="M3395" s="42"/>
      <c r="N3395" s="42"/>
      <c r="O3395" s="42"/>
      <c r="R3395" s="37"/>
      <c r="S3395" s="37"/>
      <c r="T3395" s="91"/>
      <c r="U3395" s="91"/>
      <c r="V3395" s="41"/>
      <c r="W3395" s="37"/>
      <c r="X3395" s="37"/>
      <c r="Y3395" s="43"/>
      <c r="Z3395" s="37"/>
      <c r="AA3395" s="37"/>
      <c r="AD3395" s="37"/>
      <c r="AE3395" s="37"/>
      <c r="AF3395" s="37"/>
    </row>
    <row r="3396" spans="1:32" x14ac:dyDescent="0.25">
      <c r="A3396" s="37"/>
      <c r="B3396" s="37"/>
      <c r="C3396" s="37"/>
      <c r="F3396" s="38"/>
      <c r="G3396" s="38"/>
      <c r="H3396" s="38"/>
      <c r="I3396" s="37"/>
      <c r="J3396" s="38"/>
      <c r="K3396" s="38"/>
      <c r="L3396" s="42"/>
      <c r="M3396" s="42"/>
      <c r="N3396" s="42"/>
      <c r="O3396" s="42"/>
      <c r="R3396" s="37"/>
      <c r="S3396" s="37"/>
      <c r="T3396" s="91"/>
      <c r="U3396" s="91"/>
      <c r="V3396" s="41"/>
      <c r="W3396" s="37"/>
      <c r="X3396" s="37"/>
      <c r="Y3396" s="43"/>
      <c r="Z3396" s="37"/>
      <c r="AA3396" s="37"/>
      <c r="AD3396" s="37"/>
      <c r="AE3396" s="37"/>
      <c r="AF3396" s="37"/>
    </row>
    <row r="3397" spans="1:32" x14ac:dyDescent="0.25">
      <c r="A3397" s="37"/>
      <c r="B3397" s="37"/>
      <c r="C3397" s="37"/>
      <c r="F3397" s="38"/>
      <c r="G3397" s="38"/>
      <c r="H3397" s="38"/>
      <c r="I3397" s="37"/>
      <c r="J3397" s="38"/>
      <c r="K3397" s="38"/>
      <c r="L3397" s="42"/>
      <c r="M3397" s="42"/>
      <c r="N3397" s="42"/>
      <c r="O3397" s="42"/>
      <c r="R3397" s="37"/>
      <c r="S3397" s="37"/>
      <c r="T3397" s="91"/>
      <c r="U3397" s="91"/>
      <c r="V3397" s="41"/>
      <c r="W3397" s="37"/>
      <c r="X3397" s="37"/>
      <c r="Y3397" s="43"/>
      <c r="Z3397" s="37"/>
      <c r="AA3397" s="37"/>
      <c r="AD3397" s="37"/>
      <c r="AE3397" s="37"/>
      <c r="AF3397" s="37"/>
    </row>
    <row r="3398" spans="1:32" x14ac:dyDescent="0.25">
      <c r="A3398" s="37"/>
      <c r="B3398" s="37"/>
      <c r="C3398" s="37"/>
      <c r="F3398" s="38"/>
      <c r="G3398" s="38"/>
      <c r="H3398" s="38"/>
      <c r="I3398" s="37"/>
      <c r="J3398" s="38"/>
      <c r="K3398" s="38"/>
      <c r="L3398" s="42"/>
      <c r="M3398" s="42"/>
      <c r="N3398" s="42"/>
      <c r="O3398" s="42"/>
      <c r="R3398" s="37"/>
      <c r="S3398" s="37"/>
      <c r="T3398" s="91"/>
      <c r="U3398" s="91"/>
      <c r="V3398" s="41"/>
      <c r="W3398" s="37"/>
      <c r="X3398" s="37"/>
      <c r="Y3398" s="43"/>
      <c r="Z3398" s="37"/>
      <c r="AA3398" s="37"/>
      <c r="AD3398" s="37"/>
      <c r="AE3398" s="37"/>
      <c r="AF3398" s="37"/>
    </row>
    <row r="3399" spans="1:32" x14ac:dyDescent="0.25">
      <c r="A3399" s="37"/>
      <c r="B3399" s="37"/>
      <c r="C3399" s="37"/>
      <c r="F3399" s="38"/>
      <c r="G3399" s="38"/>
      <c r="H3399" s="38"/>
      <c r="I3399" s="37"/>
      <c r="J3399" s="38"/>
      <c r="K3399" s="38"/>
      <c r="L3399" s="42"/>
      <c r="M3399" s="42"/>
      <c r="N3399" s="42"/>
      <c r="O3399" s="42"/>
      <c r="R3399" s="37"/>
      <c r="S3399" s="37"/>
      <c r="T3399" s="91"/>
      <c r="U3399" s="91"/>
      <c r="V3399" s="41"/>
      <c r="W3399" s="37"/>
      <c r="X3399" s="37"/>
      <c r="Y3399" s="43"/>
      <c r="Z3399" s="37"/>
      <c r="AA3399" s="37"/>
      <c r="AD3399" s="37"/>
      <c r="AE3399" s="37"/>
      <c r="AF3399" s="37"/>
    </row>
    <row r="3400" spans="1:32" x14ac:dyDescent="0.25">
      <c r="A3400" s="37"/>
      <c r="B3400" s="37"/>
      <c r="C3400" s="37"/>
      <c r="F3400" s="38"/>
      <c r="G3400" s="38"/>
      <c r="H3400" s="38"/>
      <c r="I3400" s="37"/>
      <c r="J3400" s="38"/>
      <c r="K3400" s="38"/>
      <c r="L3400" s="42"/>
      <c r="M3400" s="42"/>
      <c r="N3400" s="42"/>
      <c r="O3400" s="42"/>
      <c r="R3400" s="37"/>
      <c r="S3400" s="37"/>
      <c r="T3400" s="91"/>
      <c r="U3400" s="91"/>
      <c r="V3400" s="41"/>
      <c r="W3400" s="37"/>
      <c r="X3400" s="37"/>
      <c r="Y3400" s="43"/>
      <c r="Z3400" s="37"/>
      <c r="AA3400" s="37"/>
      <c r="AD3400" s="37"/>
      <c r="AE3400" s="37"/>
      <c r="AF3400" s="37"/>
    </row>
    <row r="3401" spans="1:32" x14ac:dyDescent="0.25">
      <c r="A3401" s="37"/>
      <c r="B3401" s="37"/>
      <c r="C3401" s="37"/>
      <c r="F3401" s="38"/>
      <c r="G3401" s="38"/>
      <c r="H3401" s="38"/>
      <c r="I3401" s="37"/>
      <c r="J3401" s="38"/>
      <c r="K3401" s="38"/>
      <c r="L3401" s="42"/>
      <c r="M3401" s="42"/>
      <c r="N3401" s="42"/>
      <c r="O3401" s="42"/>
      <c r="R3401" s="37"/>
      <c r="S3401" s="37"/>
      <c r="T3401" s="91"/>
      <c r="U3401" s="91"/>
      <c r="V3401" s="41"/>
      <c r="W3401" s="37"/>
      <c r="X3401" s="37"/>
      <c r="Y3401" s="43"/>
      <c r="Z3401" s="37"/>
      <c r="AA3401" s="37"/>
      <c r="AD3401" s="37"/>
      <c r="AE3401" s="37"/>
      <c r="AF3401" s="37"/>
    </row>
    <row r="3402" spans="1:32" x14ac:dyDescent="0.25">
      <c r="A3402" s="37"/>
      <c r="B3402" s="37"/>
      <c r="C3402" s="37"/>
      <c r="F3402" s="38"/>
      <c r="G3402" s="38"/>
      <c r="H3402" s="38"/>
      <c r="I3402" s="37"/>
      <c r="J3402" s="38"/>
      <c r="K3402" s="38"/>
      <c r="L3402" s="42"/>
      <c r="M3402" s="42"/>
      <c r="N3402" s="42"/>
      <c r="O3402" s="42"/>
      <c r="R3402" s="37"/>
      <c r="S3402" s="37"/>
      <c r="T3402" s="91"/>
      <c r="U3402" s="91"/>
      <c r="V3402" s="41"/>
      <c r="W3402" s="37"/>
      <c r="X3402" s="37"/>
      <c r="Y3402" s="43"/>
      <c r="Z3402" s="37"/>
      <c r="AA3402" s="37"/>
      <c r="AD3402" s="37"/>
      <c r="AE3402" s="37"/>
      <c r="AF3402" s="37"/>
    </row>
    <row r="3403" spans="1:32" x14ac:dyDescent="0.25">
      <c r="A3403" s="37"/>
      <c r="B3403" s="37"/>
      <c r="C3403" s="37"/>
      <c r="F3403" s="38"/>
      <c r="G3403" s="38"/>
      <c r="H3403" s="38"/>
      <c r="I3403" s="37"/>
      <c r="J3403" s="38"/>
      <c r="K3403" s="38"/>
      <c r="L3403" s="42"/>
      <c r="M3403" s="42"/>
      <c r="N3403" s="42"/>
      <c r="O3403" s="42"/>
      <c r="R3403" s="37"/>
      <c r="S3403" s="37"/>
      <c r="T3403" s="91"/>
      <c r="U3403" s="91"/>
      <c r="V3403" s="41"/>
      <c r="W3403" s="37"/>
      <c r="X3403" s="37"/>
      <c r="Y3403" s="43"/>
      <c r="Z3403" s="37"/>
      <c r="AA3403" s="37"/>
      <c r="AD3403" s="37"/>
      <c r="AE3403" s="37"/>
      <c r="AF3403" s="37"/>
    </row>
    <row r="3404" spans="1:32" x14ac:dyDescent="0.25">
      <c r="A3404" s="37"/>
      <c r="B3404" s="37"/>
      <c r="C3404" s="37"/>
      <c r="F3404" s="38"/>
      <c r="G3404" s="38"/>
      <c r="H3404" s="38"/>
      <c r="I3404" s="37"/>
      <c r="J3404" s="38"/>
      <c r="K3404" s="38"/>
      <c r="L3404" s="42"/>
      <c r="M3404" s="42"/>
      <c r="N3404" s="42"/>
      <c r="O3404" s="42"/>
      <c r="R3404" s="37"/>
      <c r="S3404" s="37"/>
      <c r="T3404" s="91"/>
      <c r="U3404" s="91"/>
      <c r="V3404" s="41"/>
      <c r="W3404" s="37"/>
      <c r="X3404" s="37"/>
      <c r="Y3404" s="43"/>
      <c r="Z3404" s="37"/>
      <c r="AA3404" s="37"/>
      <c r="AD3404" s="37"/>
      <c r="AE3404" s="37"/>
      <c r="AF3404" s="37"/>
    </row>
    <row r="3405" spans="1:32" x14ac:dyDescent="0.25">
      <c r="A3405" s="37"/>
      <c r="B3405" s="37"/>
      <c r="C3405" s="37"/>
      <c r="F3405" s="38"/>
      <c r="G3405" s="38"/>
      <c r="H3405" s="38"/>
      <c r="I3405" s="37"/>
      <c r="J3405" s="38"/>
      <c r="K3405" s="38"/>
      <c r="L3405" s="42"/>
      <c r="M3405" s="42"/>
      <c r="N3405" s="42"/>
      <c r="O3405" s="42"/>
      <c r="R3405" s="37"/>
      <c r="S3405" s="37"/>
      <c r="T3405" s="91"/>
      <c r="U3405" s="91"/>
      <c r="V3405" s="41"/>
      <c r="W3405" s="37"/>
      <c r="X3405" s="37"/>
      <c r="Y3405" s="43"/>
      <c r="Z3405" s="37"/>
      <c r="AA3405" s="37"/>
      <c r="AD3405" s="37"/>
      <c r="AE3405" s="37"/>
      <c r="AF3405" s="37"/>
    </row>
    <row r="3406" spans="1:32" x14ac:dyDescent="0.25">
      <c r="A3406" s="37"/>
      <c r="B3406" s="37"/>
      <c r="C3406" s="37"/>
      <c r="F3406" s="38"/>
      <c r="G3406" s="38"/>
      <c r="H3406" s="38"/>
      <c r="I3406" s="37"/>
      <c r="J3406" s="38"/>
      <c r="K3406" s="38"/>
      <c r="L3406" s="42"/>
      <c r="M3406" s="42"/>
      <c r="N3406" s="42"/>
      <c r="O3406" s="42"/>
      <c r="R3406" s="37"/>
      <c r="S3406" s="37"/>
      <c r="T3406" s="91"/>
      <c r="U3406" s="91"/>
      <c r="V3406" s="41"/>
      <c r="W3406" s="37"/>
      <c r="X3406" s="37"/>
      <c r="Y3406" s="43"/>
      <c r="Z3406" s="37"/>
      <c r="AA3406" s="37"/>
      <c r="AD3406" s="37"/>
      <c r="AE3406" s="37"/>
      <c r="AF3406" s="37"/>
    </row>
    <row r="3407" spans="1:32" x14ac:dyDescent="0.25">
      <c r="A3407" s="37"/>
      <c r="B3407" s="37"/>
      <c r="C3407" s="37"/>
      <c r="F3407" s="38"/>
      <c r="G3407" s="38"/>
      <c r="H3407" s="38"/>
      <c r="I3407" s="37"/>
      <c r="J3407" s="38"/>
      <c r="K3407" s="38"/>
      <c r="L3407" s="42"/>
      <c r="M3407" s="42"/>
      <c r="N3407" s="42"/>
      <c r="O3407" s="42"/>
      <c r="R3407" s="37"/>
      <c r="S3407" s="37"/>
      <c r="T3407" s="91"/>
      <c r="U3407" s="91"/>
      <c r="V3407" s="41"/>
      <c r="W3407" s="37"/>
      <c r="X3407" s="37"/>
      <c r="Y3407" s="43"/>
      <c r="Z3407" s="37"/>
      <c r="AA3407" s="37"/>
      <c r="AD3407" s="37"/>
      <c r="AE3407" s="37"/>
      <c r="AF3407" s="37"/>
    </row>
    <row r="3408" spans="1:32" x14ac:dyDescent="0.25">
      <c r="A3408" s="37"/>
      <c r="B3408" s="37"/>
      <c r="C3408" s="37"/>
      <c r="F3408" s="38"/>
      <c r="G3408" s="38"/>
      <c r="H3408" s="38"/>
      <c r="I3408" s="37"/>
      <c r="J3408" s="38"/>
      <c r="K3408" s="38"/>
      <c r="L3408" s="42"/>
      <c r="M3408" s="42"/>
      <c r="N3408" s="42"/>
      <c r="O3408" s="42"/>
      <c r="R3408" s="37"/>
      <c r="S3408" s="37"/>
      <c r="T3408" s="91"/>
      <c r="U3408" s="91"/>
      <c r="V3408" s="41"/>
      <c r="W3408" s="37"/>
      <c r="X3408" s="37"/>
      <c r="Y3408" s="43"/>
      <c r="Z3408" s="37"/>
      <c r="AA3408" s="37"/>
      <c r="AD3408" s="37"/>
      <c r="AE3408" s="37"/>
      <c r="AF3408" s="37"/>
    </row>
    <row r="3409" spans="1:32" x14ac:dyDescent="0.25">
      <c r="A3409" s="37"/>
      <c r="B3409" s="37"/>
      <c r="C3409" s="37"/>
      <c r="F3409" s="38"/>
      <c r="G3409" s="38"/>
      <c r="H3409" s="38"/>
      <c r="I3409" s="37"/>
      <c r="J3409" s="38"/>
      <c r="K3409" s="38"/>
      <c r="L3409" s="42"/>
      <c r="M3409" s="42"/>
      <c r="N3409" s="42"/>
      <c r="O3409" s="42"/>
      <c r="R3409" s="37"/>
      <c r="S3409" s="37"/>
      <c r="T3409" s="91"/>
      <c r="U3409" s="91"/>
      <c r="V3409" s="41"/>
      <c r="W3409" s="37"/>
      <c r="X3409" s="37"/>
      <c r="Y3409" s="43"/>
      <c r="Z3409" s="37"/>
      <c r="AA3409" s="37"/>
      <c r="AD3409" s="37"/>
      <c r="AE3409" s="37"/>
      <c r="AF3409" s="37"/>
    </row>
    <row r="3410" spans="1:32" x14ac:dyDescent="0.25">
      <c r="A3410" s="37"/>
      <c r="B3410" s="37"/>
      <c r="C3410" s="37"/>
      <c r="F3410" s="38"/>
      <c r="G3410" s="38"/>
      <c r="H3410" s="38"/>
      <c r="I3410" s="37"/>
      <c r="J3410" s="38"/>
      <c r="K3410" s="38"/>
      <c r="L3410" s="42"/>
      <c r="M3410" s="42"/>
      <c r="N3410" s="42"/>
      <c r="O3410" s="42"/>
      <c r="R3410" s="37"/>
      <c r="S3410" s="37"/>
      <c r="T3410" s="91"/>
      <c r="U3410" s="91"/>
      <c r="V3410" s="41"/>
      <c r="W3410" s="37"/>
      <c r="X3410" s="37"/>
      <c r="Y3410" s="43"/>
      <c r="Z3410" s="37"/>
      <c r="AA3410" s="37"/>
      <c r="AD3410" s="37"/>
      <c r="AE3410" s="37"/>
      <c r="AF3410" s="37"/>
    </row>
    <row r="3411" spans="1:32" x14ac:dyDescent="0.25">
      <c r="A3411" s="37"/>
      <c r="B3411" s="37"/>
      <c r="C3411" s="37"/>
      <c r="F3411" s="38"/>
      <c r="G3411" s="38"/>
      <c r="H3411" s="38"/>
      <c r="I3411" s="37"/>
      <c r="J3411" s="38"/>
      <c r="K3411" s="38"/>
      <c r="L3411" s="42"/>
      <c r="M3411" s="42"/>
      <c r="N3411" s="42"/>
      <c r="O3411" s="42"/>
      <c r="R3411" s="37"/>
      <c r="S3411" s="37"/>
      <c r="T3411" s="91"/>
      <c r="U3411" s="91"/>
      <c r="V3411" s="41"/>
      <c r="W3411" s="37"/>
      <c r="X3411" s="37"/>
      <c r="Y3411" s="43"/>
      <c r="Z3411" s="37"/>
      <c r="AA3411" s="37"/>
      <c r="AD3411" s="37"/>
      <c r="AE3411" s="37"/>
      <c r="AF3411" s="37"/>
    </row>
    <row r="3412" spans="1:32" x14ac:dyDescent="0.25">
      <c r="A3412" s="37"/>
      <c r="B3412" s="37"/>
      <c r="C3412" s="37"/>
      <c r="F3412" s="38"/>
      <c r="G3412" s="38"/>
      <c r="H3412" s="38"/>
      <c r="I3412" s="37"/>
      <c r="J3412" s="38"/>
      <c r="K3412" s="38"/>
      <c r="L3412" s="42"/>
      <c r="M3412" s="42"/>
      <c r="N3412" s="42"/>
      <c r="O3412" s="42"/>
      <c r="R3412" s="37"/>
      <c r="S3412" s="37"/>
      <c r="T3412" s="91"/>
      <c r="U3412" s="91"/>
      <c r="V3412" s="41"/>
      <c r="W3412" s="37"/>
      <c r="X3412" s="37"/>
      <c r="Y3412" s="43"/>
      <c r="Z3412" s="37"/>
      <c r="AA3412" s="37"/>
      <c r="AD3412" s="37"/>
      <c r="AE3412" s="37"/>
      <c r="AF3412" s="37"/>
    </row>
    <row r="3413" spans="1:32" x14ac:dyDescent="0.25">
      <c r="A3413" s="37"/>
      <c r="B3413" s="37"/>
      <c r="C3413" s="37"/>
      <c r="F3413" s="38"/>
      <c r="G3413" s="38"/>
      <c r="H3413" s="38"/>
      <c r="I3413" s="37"/>
      <c r="J3413" s="38"/>
      <c r="K3413" s="38"/>
      <c r="L3413" s="42"/>
      <c r="M3413" s="42"/>
      <c r="N3413" s="42"/>
      <c r="O3413" s="42"/>
      <c r="R3413" s="37"/>
      <c r="S3413" s="37"/>
      <c r="T3413" s="91"/>
      <c r="U3413" s="91"/>
      <c r="V3413" s="41"/>
      <c r="W3413" s="37"/>
      <c r="X3413" s="37"/>
      <c r="Y3413" s="43"/>
      <c r="Z3413" s="37"/>
      <c r="AA3413" s="37"/>
      <c r="AD3413" s="37"/>
      <c r="AE3413" s="37"/>
      <c r="AF3413" s="37"/>
    </row>
    <row r="3414" spans="1:32" x14ac:dyDescent="0.25">
      <c r="A3414" s="37"/>
      <c r="B3414" s="37"/>
      <c r="C3414" s="37"/>
      <c r="F3414" s="38"/>
      <c r="G3414" s="38"/>
      <c r="H3414" s="38"/>
      <c r="I3414" s="37"/>
      <c r="J3414" s="38"/>
      <c r="K3414" s="38"/>
      <c r="L3414" s="42"/>
      <c r="M3414" s="42"/>
      <c r="N3414" s="42"/>
      <c r="O3414" s="42"/>
      <c r="R3414" s="37"/>
      <c r="S3414" s="37"/>
      <c r="T3414" s="91"/>
      <c r="U3414" s="91"/>
      <c r="V3414" s="41"/>
      <c r="W3414" s="37"/>
      <c r="X3414" s="37"/>
      <c r="Y3414" s="43"/>
      <c r="Z3414" s="37"/>
      <c r="AA3414" s="37"/>
      <c r="AD3414" s="37"/>
      <c r="AE3414" s="37"/>
      <c r="AF3414" s="37"/>
    </row>
    <row r="3415" spans="1:32" x14ac:dyDescent="0.25">
      <c r="A3415" s="37"/>
      <c r="B3415" s="37"/>
      <c r="C3415" s="37"/>
      <c r="F3415" s="38"/>
      <c r="G3415" s="38"/>
      <c r="H3415" s="38"/>
      <c r="I3415" s="37"/>
      <c r="J3415" s="38"/>
      <c r="K3415" s="38"/>
      <c r="L3415" s="42"/>
      <c r="M3415" s="42"/>
      <c r="N3415" s="42"/>
      <c r="O3415" s="42"/>
      <c r="R3415" s="37"/>
      <c r="S3415" s="37"/>
      <c r="T3415" s="91"/>
      <c r="U3415" s="91"/>
      <c r="V3415" s="41"/>
      <c r="W3415" s="37"/>
      <c r="X3415" s="37"/>
      <c r="Y3415" s="43"/>
      <c r="Z3415" s="37"/>
      <c r="AA3415" s="37"/>
      <c r="AD3415" s="37"/>
      <c r="AE3415" s="37"/>
      <c r="AF3415" s="37"/>
    </row>
    <row r="3416" spans="1:32" x14ac:dyDescent="0.25">
      <c r="A3416" s="37"/>
      <c r="B3416" s="37"/>
      <c r="C3416" s="37"/>
      <c r="F3416" s="38"/>
      <c r="G3416" s="38"/>
      <c r="H3416" s="38"/>
      <c r="I3416" s="37"/>
      <c r="J3416" s="38"/>
      <c r="K3416" s="38"/>
      <c r="L3416" s="42"/>
      <c r="M3416" s="42"/>
      <c r="N3416" s="42"/>
      <c r="O3416" s="42"/>
      <c r="R3416" s="37"/>
      <c r="S3416" s="37"/>
      <c r="T3416" s="91"/>
      <c r="U3416" s="91"/>
      <c r="V3416" s="41"/>
      <c r="W3416" s="37"/>
      <c r="X3416" s="37"/>
      <c r="Y3416" s="43"/>
      <c r="Z3416" s="37"/>
      <c r="AA3416" s="37"/>
      <c r="AD3416" s="37"/>
      <c r="AE3416" s="37"/>
      <c r="AF3416" s="37"/>
    </row>
    <row r="3417" spans="1:32" x14ac:dyDescent="0.25">
      <c r="A3417" s="37"/>
      <c r="B3417" s="37"/>
      <c r="C3417" s="37"/>
      <c r="F3417" s="38"/>
      <c r="G3417" s="38"/>
      <c r="H3417" s="38"/>
      <c r="I3417" s="37"/>
      <c r="J3417" s="38"/>
      <c r="K3417" s="38"/>
      <c r="L3417" s="42"/>
      <c r="M3417" s="42"/>
      <c r="N3417" s="42"/>
      <c r="O3417" s="42"/>
      <c r="R3417" s="37"/>
      <c r="S3417" s="37"/>
      <c r="T3417" s="91"/>
      <c r="U3417" s="91"/>
      <c r="V3417" s="41"/>
      <c r="W3417" s="37"/>
      <c r="X3417" s="37"/>
      <c r="Y3417" s="43"/>
      <c r="Z3417" s="37"/>
      <c r="AA3417" s="37"/>
      <c r="AD3417" s="37"/>
      <c r="AE3417" s="37"/>
      <c r="AF3417" s="37"/>
    </row>
    <row r="3418" spans="1:32" x14ac:dyDescent="0.25">
      <c r="A3418" s="37"/>
      <c r="B3418" s="37"/>
      <c r="C3418" s="37"/>
      <c r="F3418" s="38"/>
      <c r="G3418" s="38"/>
      <c r="H3418" s="38"/>
      <c r="I3418" s="37"/>
      <c r="J3418" s="38"/>
      <c r="K3418" s="38"/>
      <c r="L3418" s="42"/>
      <c r="M3418" s="42"/>
      <c r="N3418" s="42"/>
      <c r="O3418" s="42"/>
      <c r="R3418" s="37"/>
      <c r="S3418" s="37"/>
      <c r="T3418" s="91"/>
      <c r="U3418" s="91"/>
      <c r="V3418" s="41"/>
      <c r="W3418" s="37"/>
      <c r="X3418" s="37"/>
      <c r="Y3418" s="43"/>
      <c r="Z3418" s="37"/>
      <c r="AA3418" s="37"/>
      <c r="AD3418" s="37"/>
      <c r="AE3418" s="37"/>
      <c r="AF3418" s="37"/>
    </row>
    <row r="3419" spans="1:32" x14ac:dyDescent="0.25">
      <c r="A3419" s="37"/>
      <c r="B3419" s="37"/>
      <c r="C3419" s="37"/>
      <c r="F3419" s="38"/>
      <c r="G3419" s="38"/>
      <c r="H3419" s="38"/>
      <c r="I3419" s="37"/>
      <c r="J3419" s="38"/>
      <c r="K3419" s="38"/>
      <c r="L3419" s="42"/>
      <c r="M3419" s="42"/>
      <c r="N3419" s="42"/>
      <c r="O3419" s="42"/>
      <c r="R3419" s="37"/>
      <c r="S3419" s="37"/>
      <c r="T3419" s="91"/>
      <c r="U3419" s="91"/>
      <c r="V3419" s="41"/>
      <c r="W3419" s="37"/>
      <c r="X3419" s="37"/>
      <c r="Y3419" s="43"/>
      <c r="Z3419" s="37"/>
      <c r="AA3419" s="37"/>
      <c r="AD3419" s="37"/>
      <c r="AE3419" s="37"/>
      <c r="AF3419" s="37"/>
    </row>
    <row r="3420" spans="1:32" x14ac:dyDescent="0.25">
      <c r="A3420" s="37"/>
      <c r="B3420" s="37"/>
      <c r="C3420" s="37"/>
      <c r="F3420" s="38"/>
      <c r="G3420" s="38"/>
      <c r="H3420" s="38"/>
      <c r="I3420" s="37"/>
      <c r="J3420" s="38"/>
      <c r="K3420" s="38"/>
      <c r="L3420" s="42"/>
      <c r="M3420" s="42"/>
      <c r="N3420" s="42"/>
      <c r="O3420" s="42"/>
      <c r="R3420" s="37"/>
      <c r="S3420" s="37"/>
      <c r="T3420" s="91"/>
      <c r="U3420" s="91"/>
      <c r="V3420" s="41"/>
      <c r="W3420" s="37"/>
      <c r="X3420" s="37"/>
      <c r="Y3420" s="43"/>
      <c r="Z3420" s="37"/>
      <c r="AA3420" s="37"/>
      <c r="AD3420" s="37"/>
      <c r="AE3420" s="37"/>
      <c r="AF3420" s="37"/>
    </row>
    <row r="3421" spans="1:32" x14ac:dyDescent="0.25">
      <c r="A3421" s="37"/>
      <c r="B3421" s="37"/>
      <c r="C3421" s="37"/>
      <c r="F3421" s="38"/>
      <c r="G3421" s="38"/>
      <c r="H3421" s="38"/>
      <c r="I3421" s="37"/>
      <c r="J3421" s="38"/>
      <c r="K3421" s="38"/>
      <c r="L3421" s="42"/>
      <c r="M3421" s="42"/>
      <c r="N3421" s="42"/>
      <c r="O3421" s="42"/>
      <c r="R3421" s="37"/>
      <c r="S3421" s="37"/>
      <c r="T3421" s="91"/>
      <c r="U3421" s="91"/>
      <c r="V3421" s="41"/>
      <c r="W3421" s="37"/>
      <c r="X3421" s="37"/>
      <c r="Y3421" s="43"/>
      <c r="Z3421" s="37"/>
      <c r="AA3421" s="37"/>
      <c r="AD3421" s="37"/>
      <c r="AE3421" s="37"/>
      <c r="AF3421" s="37"/>
    </row>
    <row r="3422" spans="1:32" x14ac:dyDescent="0.25">
      <c r="A3422" s="37"/>
      <c r="B3422" s="37"/>
      <c r="C3422" s="37"/>
      <c r="F3422" s="38"/>
      <c r="G3422" s="38"/>
      <c r="H3422" s="38"/>
      <c r="I3422" s="37"/>
      <c r="J3422" s="38"/>
      <c r="K3422" s="38"/>
      <c r="L3422" s="42"/>
      <c r="M3422" s="42"/>
      <c r="N3422" s="42"/>
      <c r="O3422" s="42"/>
      <c r="R3422" s="37"/>
      <c r="S3422" s="37"/>
      <c r="T3422" s="91"/>
      <c r="U3422" s="91"/>
      <c r="V3422" s="41"/>
      <c r="W3422" s="37"/>
      <c r="X3422" s="37"/>
      <c r="Y3422" s="43"/>
      <c r="Z3422" s="37"/>
      <c r="AA3422" s="37"/>
      <c r="AD3422" s="37"/>
      <c r="AE3422" s="37"/>
      <c r="AF3422" s="37"/>
    </row>
    <row r="3423" spans="1:32" x14ac:dyDescent="0.25">
      <c r="A3423" s="37"/>
      <c r="B3423" s="37"/>
      <c r="C3423" s="37"/>
      <c r="F3423" s="38"/>
      <c r="G3423" s="38"/>
      <c r="H3423" s="38"/>
      <c r="I3423" s="37"/>
      <c r="J3423" s="38"/>
      <c r="K3423" s="38"/>
      <c r="L3423" s="42"/>
      <c r="M3423" s="42"/>
      <c r="N3423" s="42"/>
      <c r="O3423" s="42"/>
      <c r="R3423" s="37"/>
      <c r="S3423" s="37"/>
      <c r="T3423" s="91"/>
      <c r="U3423" s="91"/>
      <c r="V3423" s="41"/>
      <c r="W3423" s="37"/>
      <c r="X3423" s="37"/>
      <c r="Y3423" s="43"/>
      <c r="Z3423" s="37"/>
      <c r="AA3423" s="37"/>
      <c r="AD3423" s="37"/>
      <c r="AE3423" s="37"/>
      <c r="AF3423" s="37"/>
    </row>
    <row r="3424" spans="1:32" x14ac:dyDescent="0.25">
      <c r="A3424" s="37"/>
      <c r="B3424" s="37"/>
      <c r="C3424" s="37"/>
      <c r="F3424" s="38"/>
      <c r="G3424" s="38"/>
      <c r="H3424" s="38"/>
      <c r="I3424" s="37"/>
      <c r="J3424" s="38"/>
      <c r="K3424" s="38"/>
      <c r="L3424" s="42"/>
      <c r="M3424" s="42"/>
      <c r="N3424" s="42"/>
      <c r="O3424" s="42"/>
      <c r="R3424" s="37"/>
      <c r="S3424" s="37"/>
      <c r="T3424" s="91"/>
      <c r="U3424" s="91"/>
      <c r="V3424" s="41"/>
      <c r="W3424" s="37"/>
      <c r="X3424" s="37"/>
      <c r="Y3424" s="43"/>
      <c r="Z3424" s="37"/>
      <c r="AA3424" s="37"/>
      <c r="AD3424" s="37"/>
      <c r="AE3424" s="37"/>
      <c r="AF3424" s="37"/>
    </row>
    <row r="3425" spans="1:32" x14ac:dyDescent="0.25">
      <c r="A3425" s="37"/>
      <c r="B3425" s="37"/>
      <c r="C3425" s="37"/>
      <c r="F3425" s="38"/>
      <c r="G3425" s="38"/>
      <c r="H3425" s="38"/>
      <c r="I3425" s="37"/>
      <c r="J3425" s="38"/>
      <c r="K3425" s="38"/>
      <c r="L3425" s="42"/>
      <c r="M3425" s="42"/>
      <c r="N3425" s="42"/>
      <c r="O3425" s="42"/>
      <c r="R3425" s="37"/>
      <c r="S3425" s="37"/>
      <c r="T3425" s="91"/>
      <c r="U3425" s="91"/>
      <c r="V3425" s="41"/>
      <c r="W3425" s="37"/>
      <c r="X3425" s="37"/>
      <c r="Y3425" s="43"/>
      <c r="Z3425" s="37"/>
      <c r="AA3425" s="37"/>
      <c r="AD3425" s="37"/>
      <c r="AE3425" s="37"/>
      <c r="AF3425" s="37"/>
    </row>
    <row r="3426" spans="1:32" x14ac:dyDescent="0.25">
      <c r="A3426" s="37"/>
      <c r="B3426" s="37"/>
      <c r="C3426" s="37"/>
      <c r="F3426" s="38"/>
      <c r="G3426" s="38"/>
      <c r="H3426" s="38"/>
      <c r="I3426" s="37"/>
      <c r="J3426" s="38"/>
      <c r="K3426" s="38"/>
      <c r="L3426" s="42"/>
      <c r="M3426" s="42"/>
      <c r="N3426" s="42"/>
      <c r="O3426" s="42"/>
      <c r="R3426" s="37"/>
      <c r="S3426" s="37"/>
      <c r="T3426" s="91"/>
      <c r="U3426" s="91"/>
      <c r="V3426" s="41"/>
      <c r="W3426" s="37"/>
      <c r="X3426" s="37"/>
      <c r="Y3426" s="43"/>
      <c r="Z3426" s="37"/>
      <c r="AA3426" s="37"/>
      <c r="AD3426" s="37"/>
      <c r="AE3426" s="37"/>
      <c r="AF3426" s="37"/>
    </row>
    <row r="3427" spans="1:32" x14ac:dyDescent="0.25">
      <c r="A3427" s="37"/>
      <c r="B3427" s="37"/>
      <c r="C3427" s="37"/>
      <c r="F3427" s="38"/>
      <c r="G3427" s="38"/>
      <c r="H3427" s="38"/>
      <c r="I3427" s="37"/>
      <c r="J3427" s="38"/>
      <c r="K3427" s="38"/>
      <c r="L3427" s="42"/>
      <c r="M3427" s="42"/>
      <c r="N3427" s="42"/>
      <c r="O3427" s="42"/>
      <c r="R3427" s="37"/>
      <c r="S3427" s="37"/>
      <c r="T3427" s="91"/>
      <c r="U3427" s="91"/>
      <c r="V3427" s="41"/>
      <c r="W3427" s="37"/>
      <c r="X3427" s="37"/>
      <c r="Y3427" s="43"/>
      <c r="Z3427" s="37"/>
      <c r="AA3427" s="37"/>
      <c r="AD3427" s="37"/>
      <c r="AE3427" s="37"/>
      <c r="AF3427" s="37"/>
    </row>
    <row r="3428" spans="1:32" x14ac:dyDescent="0.25">
      <c r="A3428" s="37"/>
      <c r="B3428" s="37"/>
      <c r="C3428" s="37"/>
      <c r="F3428" s="38"/>
      <c r="G3428" s="38"/>
      <c r="H3428" s="38"/>
      <c r="I3428" s="37"/>
      <c r="J3428" s="38"/>
      <c r="K3428" s="38"/>
      <c r="L3428" s="42"/>
      <c r="M3428" s="42"/>
      <c r="N3428" s="42"/>
      <c r="O3428" s="42"/>
      <c r="R3428" s="37"/>
      <c r="S3428" s="37"/>
      <c r="T3428" s="91"/>
      <c r="U3428" s="91"/>
      <c r="V3428" s="41"/>
      <c r="W3428" s="37"/>
      <c r="X3428" s="37"/>
      <c r="Y3428" s="43"/>
      <c r="Z3428" s="37"/>
      <c r="AA3428" s="37"/>
      <c r="AD3428" s="37"/>
      <c r="AE3428" s="37"/>
      <c r="AF3428" s="37"/>
    </row>
    <row r="3429" spans="1:32" x14ac:dyDescent="0.25">
      <c r="A3429" s="37"/>
      <c r="B3429" s="37"/>
      <c r="C3429" s="37"/>
      <c r="F3429" s="38"/>
      <c r="G3429" s="38"/>
      <c r="H3429" s="38"/>
      <c r="I3429" s="37"/>
      <c r="J3429" s="38"/>
      <c r="K3429" s="38"/>
      <c r="L3429" s="42"/>
      <c r="M3429" s="42"/>
      <c r="N3429" s="42"/>
      <c r="O3429" s="42"/>
      <c r="R3429" s="37"/>
      <c r="S3429" s="37"/>
      <c r="T3429" s="91"/>
      <c r="U3429" s="91"/>
      <c r="V3429" s="41"/>
      <c r="W3429" s="37"/>
      <c r="X3429" s="37"/>
      <c r="Y3429" s="43"/>
      <c r="Z3429" s="37"/>
      <c r="AA3429" s="37"/>
      <c r="AD3429" s="37"/>
      <c r="AE3429" s="37"/>
      <c r="AF3429" s="37"/>
    </row>
    <row r="3430" spans="1:32" x14ac:dyDescent="0.25">
      <c r="A3430" s="37"/>
      <c r="B3430" s="37"/>
      <c r="C3430" s="37"/>
      <c r="F3430" s="38"/>
      <c r="G3430" s="38"/>
      <c r="H3430" s="38"/>
      <c r="I3430" s="37"/>
      <c r="J3430" s="38"/>
      <c r="K3430" s="38"/>
      <c r="L3430" s="42"/>
      <c r="M3430" s="42"/>
      <c r="N3430" s="42"/>
      <c r="O3430" s="42"/>
      <c r="R3430" s="37"/>
      <c r="S3430" s="37"/>
      <c r="T3430" s="91"/>
      <c r="U3430" s="91"/>
      <c r="V3430" s="41"/>
      <c r="W3430" s="37"/>
      <c r="X3430" s="37"/>
      <c r="Y3430" s="43"/>
      <c r="Z3430" s="37"/>
      <c r="AA3430" s="37"/>
      <c r="AD3430" s="37"/>
      <c r="AE3430" s="37"/>
      <c r="AF3430" s="37"/>
    </row>
    <row r="3431" spans="1:32" x14ac:dyDescent="0.25">
      <c r="A3431" s="37"/>
      <c r="B3431" s="37"/>
      <c r="C3431" s="37"/>
      <c r="F3431" s="38"/>
      <c r="G3431" s="38"/>
      <c r="H3431" s="38"/>
      <c r="I3431" s="37"/>
      <c r="J3431" s="38"/>
      <c r="K3431" s="38"/>
      <c r="L3431" s="42"/>
      <c r="M3431" s="42"/>
      <c r="N3431" s="42"/>
      <c r="O3431" s="42"/>
      <c r="R3431" s="37"/>
      <c r="S3431" s="37"/>
      <c r="T3431" s="91"/>
      <c r="U3431" s="91"/>
      <c r="V3431" s="41"/>
      <c r="W3431" s="37"/>
      <c r="X3431" s="37"/>
      <c r="Y3431" s="43"/>
      <c r="Z3431" s="37"/>
      <c r="AA3431" s="37"/>
      <c r="AD3431" s="37"/>
      <c r="AE3431" s="37"/>
      <c r="AF3431" s="37"/>
    </row>
    <row r="3432" spans="1:32" x14ac:dyDescent="0.25">
      <c r="A3432" s="37"/>
      <c r="B3432" s="37"/>
      <c r="C3432" s="37"/>
      <c r="F3432" s="38"/>
      <c r="G3432" s="38"/>
      <c r="H3432" s="38"/>
      <c r="I3432" s="37"/>
      <c r="J3432" s="38"/>
      <c r="K3432" s="38"/>
      <c r="L3432" s="42"/>
      <c r="M3432" s="42"/>
      <c r="N3432" s="42"/>
      <c r="O3432" s="42"/>
      <c r="R3432" s="37"/>
      <c r="S3432" s="37"/>
      <c r="T3432" s="91"/>
      <c r="U3432" s="91"/>
      <c r="V3432" s="41"/>
      <c r="W3432" s="37"/>
      <c r="X3432" s="37"/>
      <c r="Y3432" s="43"/>
      <c r="Z3432" s="37"/>
      <c r="AA3432" s="37"/>
      <c r="AD3432" s="37"/>
      <c r="AE3432" s="37"/>
      <c r="AF3432" s="37"/>
    </row>
    <row r="3433" spans="1:32" x14ac:dyDescent="0.25">
      <c r="A3433" s="37"/>
      <c r="B3433" s="37"/>
      <c r="C3433" s="37"/>
      <c r="F3433" s="38"/>
      <c r="G3433" s="38"/>
      <c r="H3433" s="38"/>
      <c r="I3433" s="37"/>
      <c r="J3433" s="38"/>
      <c r="K3433" s="38"/>
      <c r="L3433" s="42"/>
      <c r="M3433" s="42"/>
      <c r="N3433" s="42"/>
      <c r="O3433" s="42"/>
      <c r="R3433" s="37"/>
      <c r="S3433" s="37"/>
      <c r="T3433" s="91"/>
      <c r="U3433" s="91"/>
      <c r="V3433" s="41"/>
      <c r="W3433" s="37"/>
      <c r="X3433" s="37"/>
      <c r="Y3433" s="43"/>
      <c r="Z3433" s="37"/>
      <c r="AA3433" s="37"/>
      <c r="AD3433" s="37"/>
      <c r="AE3433" s="37"/>
      <c r="AF3433" s="37"/>
    </row>
    <row r="3434" spans="1:32" x14ac:dyDescent="0.25">
      <c r="A3434" s="37"/>
      <c r="B3434" s="37"/>
      <c r="C3434" s="37"/>
      <c r="F3434" s="38"/>
      <c r="G3434" s="38"/>
      <c r="H3434" s="38"/>
      <c r="I3434" s="37"/>
      <c r="J3434" s="38"/>
      <c r="K3434" s="38"/>
      <c r="L3434" s="42"/>
      <c r="M3434" s="42"/>
      <c r="N3434" s="42"/>
      <c r="O3434" s="42"/>
      <c r="R3434" s="37"/>
      <c r="S3434" s="37"/>
      <c r="T3434" s="91"/>
      <c r="U3434" s="91"/>
      <c r="V3434" s="41"/>
      <c r="W3434" s="37"/>
      <c r="X3434" s="37"/>
      <c r="Y3434" s="43"/>
      <c r="Z3434" s="37"/>
      <c r="AA3434" s="37"/>
      <c r="AD3434" s="37"/>
      <c r="AE3434" s="37"/>
      <c r="AF3434" s="37"/>
    </row>
    <row r="3435" spans="1:32" x14ac:dyDescent="0.25">
      <c r="A3435" s="37"/>
      <c r="B3435" s="37"/>
      <c r="C3435" s="37"/>
      <c r="F3435" s="38"/>
      <c r="G3435" s="38"/>
      <c r="H3435" s="38"/>
      <c r="I3435" s="37"/>
      <c r="J3435" s="38"/>
      <c r="K3435" s="38"/>
      <c r="L3435" s="42"/>
      <c r="M3435" s="42"/>
      <c r="N3435" s="42"/>
      <c r="O3435" s="42"/>
      <c r="R3435" s="37"/>
      <c r="S3435" s="37"/>
      <c r="T3435" s="91"/>
      <c r="U3435" s="91"/>
      <c r="V3435" s="41"/>
      <c r="W3435" s="37"/>
      <c r="X3435" s="37"/>
      <c r="Y3435" s="43"/>
      <c r="Z3435" s="37"/>
      <c r="AA3435" s="37"/>
      <c r="AD3435" s="37"/>
      <c r="AE3435" s="37"/>
      <c r="AF3435" s="37"/>
    </row>
    <row r="3436" spans="1:32" x14ac:dyDescent="0.25">
      <c r="A3436" s="37"/>
      <c r="B3436" s="37"/>
      <c r="C3436" s="37"/>
      <c r="F3436" s="38"/>
      <c r="G3436" s="38"/>
      <c r="H3436" s="38"/>
      <c r="I3436" s="37"/>
      <c r="J3436" s="38"/>
      <c r="K3436" s="38"/>
      <c r="L3436" s="42"/>
      <c r="M3436" s="42"/>
      <c r="N3436" s="42"/>
      <c r="O3436" s="42"/>
      <c r="R3436" s="37"/>
      <c r="S3436" s="37"/>
      <c r="T3436" s="91"/>
      <c r="U3436" s="91"/>
      <c r="V3436" s="41"/>
      <c r="W3436" s="37"/>
      <c r="X3436" s="37"/>
      <c r="Y3436" s="43"/>
      <c r="Z3436" s="37"/>
      <c r="AA3436" s="37"/>
      <c r="AD3436" s="37"/>
      <c r="AE3436" s="37"/>
      <c r="AF3436" s="37"/>
    </row>
    <row r="3437" spans="1:32" x14ac:dyDescent="0.25">
      <c r="A3437" s="37"/>
      <c r="B3437" s="37"/>
      <c r="C3437" s="37"/>
      <c r="F3437" s="38"/>
      <c r="G3437" s="38"/>
      <c r="H3437" s="38"/>
      <c r="I3437" s="37"/>
      <c r="J3437" s="38"/>
      <c r="K3437" s="38"/>
      <c r="L3437" s="42"/>
      <c r="M3437" s="42"/>
      <c r="N3437" s="42"/>
      <c r="O3437" s="42"/>
      <c r="R3437" s="37"/>
      <c r="S3437" s="37"/>
      <c r="T3437" s="91"/>
      <c r="U3437" s="91"/>
      <c r="V3437" s="41"/>
      <c r="W3437" s="37"/>
      <c r="X3437" s="37"/>
      <c r="Y3437" s="43"/>
      <c r="Z3437" s="37"/>
      <c r="AA3437" s="37"/>
      <c r="AD3437" s="37"/>
      <c r="AE3437" s="37"/>
      <c r="AF3437" s="37"/>
    </row>
    <row r="3438" spans="1:32" x14ac:dyDescent="0.25">
      <c r="A3438" s="37"/>
      <c r="B3438" s="37"/>
      <c r="C3438" s="37"/>
      <c r="F3438" s="38"/>
      <c r="G3438" s="38"/>
      <c r="H3438" s="38"/>
      <c r="I3438" s="37"/>
      <c r="J3438" s="38"/>
      <c r="K3438" s="38"/>
      <c r="L3438" s="42"/>
      <c r="M3438" s="42"/>
      <c r="N3438" s="42"/>
      <c r="O3438" s="42"/>
      <c r="R3438" s="37"/>
      <c r="S3438" s="37"/>
      <c r="T3438" s="91"/>
      <c r="U3438" s="91"/>
      <c r="V3438" s="41"/>
      <c r="W3438" s="37"/>
      <c r="X3438" s="37"/>
      <c r="Y3438" s="43"/>
      <c r="Z3438" s="37"/>
      <c r="AA3438" s="37"/>
      <c r="AD3438" s="37"/>
      <c r="AE3438" s="37"/>
      <c r="AF3438" s="37"/>
    </row>
    <row r="3439" spans="1:32" x14ac:dyDescent="0.25">
      <c r="A3439" s="37"/>
      <c r="B3439" s="37"/>
      <c r="C3439" s="37"/>
      <c r="F3439" s="38"/>
      <c r="G3439" s="38"/>
      <c r="H3439" s="38"/>
      <c r="I3439" s="37"/>
      <c r="J3439" s="38"/>
      <c r="K3439" s="38"/>
      <c r="L3439" s="42"/>
      <c r="M3439" s="42"/>
      <c r="N3439" s="42"/>
      <c r="O3439" s="42"/>
      <c r="R3439" s="37"/>
      <c r="S3439" s="37"/>
      <c r="T3439" s="91"/>
      <c r="U3439" s="91"/>
      <c r="V3439" s="41"/>
      <c r="W3439" s="37"/>
      <c r="X3439" s="37"/>
      <c r="Y3439" s="43"/>
      <c r="Z3439" s="37"/>
      <c r="AA3439" s="37"/>
      <c r="AD3439" s="37"/>
      <c r="AE3439" s="37"/>
      <c r="AF3439" s="37"/>
    </row>
    <row r="3440" spans="1:32" x14ac:dyDescent="0.25">
      <c r="A3440" s="37"/>
      <c r="B3440" s="37"/>
      <c r="C3440" s="37"/>
      <c r="F3440" s="38"/>
      <c r="G3440" s="38"/>
      <c r="H3440" s="38"/>
      <c r="I3440" s="37"/>
      <c r="J3440" s="38"/>
      <c r="K3440" s="38"/>
      <c r="L3440" s="42"/>
      <c r="M3440" s="42"/>
      <c r="N3440" s="42"/>
      <c r="O3440" s="42"/>
      <c r="R3440" s="37"/>
      <c r="S3440" s="37"/>
      <c r="T3440" s="91"/>
      <c r="U3440" s="91"/>
      <c r="V3440" s="41"/>
      <c r="W3440" s="37"/>
      <c r="X3440" s="37"/>
      <c r="Y3440" s="43"/>
      <c r="Z3440" s="37"/>
      <c r="AA3440" s="37"/>
      <c r="AD3440" s="37"/>
      <c r="AE3440" s="37"/>
      <c r="AF3440" s="37"/>
    </row>
    <row r="3441" spans="1:32" x14ac:dyDescent="0.25">
      <c r="A3441" s="37"/>
      <c r="B3441" s="37"/>
      <c r="C3441" s="37"/>
      <c r="F3441" s="38"/>
      <c r="G3441" s="38"/>
      <c r="H3441" s="38"/>
      <c r="I3441" s="37"/>
      <c r="J3441" s="38"/>
      <c r="K3441" s="38"/>
      <c r="L3441" s="42"/>
      <c r="M3441" s="42"/>
      <c r="N3441" s="42"/>
      <c r="O3441" s="42"/>
      <c r="R3441" s="37"/>
      <c r="S3441" s="37"/>
      <c r="T3441" s="91"/>
      <c r="U3441" s="91"/>
      <c r="V3441" s="41"/>
      <c r="W3441" s="37"/>
      <c r="X3441" s="37"/>
      <c r="Y3441" s="43"/>
      <c r="Z3441" s="37"/>
      <c r="AA3441" s="37"/>
      <c r="AD3441" s="37"/>
      <c r="AE3441" s="37"/>
      <c r="AF3441" s="37"/>
    </row>
    <row r="3442" spans="1:32" x14ac:dyDescent="0.25">
      <c r="A3442" s="37"/>
      <c r="B3442" s="37"/>
      <c r="C3442" s="37"/>
      <c r="F3442" s="38"/>
      <c r="G3442" s="38"/>
      <c r="H3442" s="38"/>
      <c r="I3442" s="37"/>
      <c r="J3442" s="38"/>
      <c r="K3442" s="38"/>
      <c r="L3442" s="42"/>
      <c r="M3442" s="42"/>
      <c r="N3442" s="42"/>
      <c r="O3442" s="42"/>
      <c r="R3442" s="37"/>
      <c r="S3442" s="37"/>
      <c r="T3442" s="91"/>
      <c r="U3442" s="91"/>
      <c r="V3442" s="41"/>
      <c r="W3442" s="37"/>
      <c r="X3442" s="37"/>
      <c r="Y3442" s="43"/>
      <c r="Z3442" s="37"/>
      <c r="AA3442" s="37"/>
      <c r="AD3442" s="37"/>
      <c r="AE3442" s="37"/>
      <c r="AF3442" s="37"/>
    </row>
    <row r="3443" spans="1:32" x14ac:dyDescent="0.25">
      <c r="A3443" s="37"/>
      <c r="B3443" s="37"/>
      <c r="C3443" s="37"/>
      <c r="F3443" s="38"/>
      <c r="G3443" s="38"/>
      <c r="H3443" s="38"/>
      <c r="I3443" s="37"/>
      <c r="J3443" s="38"/>
      <c r="K3443" s="38"/>
      <c r="L3443" s="42"/>
      <c r="M3443" s="42"/>
      <c r="N3443" s="42"/>
      <c r="O3443" s="42"/>
      <c r="R3443" s="37"/>
      <c r="S3443" s="37"/>
      <c r="T3443" s="91"/>
      <c r="U3443" s="91"/>
      <c r="V3443" s="41"/>
      <c r="W3443" s="37"/>
      <c r="X3443" s="37"/>
      <c r="Y3443" s="43"/>
      <c r="Z3443" s="37"/>
      <c r="AA3443" s="37"/>
      <c r="AD3443" s="37"/>
      <c r="AE3443" s="37"/>
      <c r="AF3443" s="37"/>
    </row>
    <row r="3444" spans="1:32" x14ac:dyDescent="0.25">
      <c r="A3444" s="37"/>
      <c r="B3444" s="37"/>
      <c r="C3444" s="37"/>
      <c r="F3444" s="38"/>
      <c r="G3444" s="38"/>
      <c r="H3444" s="38"/>
      <c r="I3444" s="37"/>
      <c r="J3444" s="38"/>
      <c r="K3444" s="38"/>
      <c r="L3444" s="42"/>
      <c r="M3444" s="42"/>
      <c r="N3444" s="42"/>
      <c r="O3444" s="42"/>
      <c r="R3444" s="37"/>
      <c r="S3444" s="37"/>
      <c r="T3444" s="91"/>
      <c r="U3444" s="91"/>
      <c r="V3444" s="41"/>
      <c r="W3444" s="37"/>
      <c r="X3444" s="37"/>
      <c r="Y3444" s="43"/>
      <c r="Z3444" s="37"/>
      <c r="AA3444" s="37"/>
      <c r="AD3444" s="37"/>
      <c r="AE3444" s="37"/>
      <c r="AF3444" s="37"/>
    </row>
    <row r="3445" spans="1:32" x14ac:dyDescent="0.25">
      <c r="A3445" s="37"/>
      <c r="B3445" s="37"/>
      <c r="C3445" s="37"/>
      <c r="F3445" s="38"/>
      <c r="G3445" s="38"/>
      <c r="H3445" s="38"/>
      <c r="I3445" s="37"/>
      <c r="J3445" s="38"/>
      <c r="K3445" s="38"/>
      <c r="L3445" s="42"/>
      <c r="M3445" s="42"/>
      <c r="N3445" s="42"/>
      <c r="O3445" s="42"/>
      <c r="R3445" s="37"/>
      <c r="S3445" s="37"/>
      <c r="T3445" s="91"/>
      <c r="U3445" s="91"/>
      <c r="V3445" s="41"/>
      <c r="W3445" s="37"/>
      <c r="X3445" s="37"/>
      <c r="Y3445" s="43"/>
      <c r="Z3445" s="37"/>
      <c r="AA3445" s="37"/>
      <c r="AD3445" s="37"/>
      <c r="AE3445" s="37"/>
      <c r="AF3445" s="37"/>
    </row>
    <row r="3446" spans="1:32" x14ac:dyDescent="0.25">
      <c r="A3446" s="37"/>
      <c r="B3446" s="37"/>
      <c r="C3446" s="37"/>
      <c r="F3446" s="38"/>
      <c r="G3446" s="38"/>
      <c r="H3446" s="38"/>
      <c r="I3446" s="37"/>
      <c r="J3446" s="38"/>
      <c r="K3446" s="38"/>
      <c r="L3446" s="42"/>
      <c r="M3446" s="42"/>
      <c r="N3446" s="42"/>
      <c r="O3446" s="42"/>
      <c r="R3446" s="37"/>
      <c r="S3446" s="37"/>
      <c r="T3446" s="91"/>
      <c r="U3446" s="91"/>
      <c r="V3446" s="41"/>
      <c r="W3446" s="37"/>
      <c r="X3446" s="37"/>
      <c r="Y3446" s="43"/>
      <c r="Z3446" s="37"/>
      <c r="AA3446" s="37"/>
      <c r="AD3446" s="37"/>
      <c r="AE3446" s="37"/>
      <c r="AF3446" s="37"/>
    </row>
    <row r="3447" spans="1:32" x14ac:dyDescent="0.25">
      <c r="A3447" s="37"/>
      <c r="B3447" s="37"/>
      <c r="C3447" s="37"/>
      <c r="F3447" s="38"/>
      <c r="G3447" s="38"/>
      <c r="H3447" s="38"/>
      <c r="I3447" s="37"/>
      <c r="J3447" s="38"/>
      <c r="K3447" s="38"/>
      <c r="L3447" s="42"/>
      <c r="M3447" s="42"/>
      <c r="N3447" s="42"/>
      <c r="O3447" s="42"/>
      <c r="R3447" s="37"/>
      <c r="S3447" s="37"/>
      <c r="T3447" s="91"/>
      <c r="U3447" s="91"/>
      <c r="V3447" s="41"/>
      <c r="W3447" s="37"/>
      <c r="X3447" s="37"/>
      <c r="Y3447" s="43"/>
      <c r="Z3447" s="37"/>
      <c r="AA3447" s="37"/>
      <c r="AD3447" s="37"/>
      <c r="AE3447" s="37"/>
      <c r="AF3447" s="37"/>
    </row>
    <row r="3448" spans="1:32" x14ac:dyDescent="0.25">
      <c r="A3448" s="37"/>
      <c r="B3448" s="37"/>
      <c r="C3448" s="37"/>
      <c r="F3448" s="38"/>
      <c r="G3448" s="38"/>
      <c r="H3448" s="38"/>
      <c r="I3448" s="37"/>
      <c r="J3448" s="38"/>
      <c r="K3448" s="38"/>
      <c r="L3448" s="42"/>
      <c r="M3448" s="42"/>
      <c r="N3448" s="42"/>
      <c r="O3448" s="42"/>
      <c r="R3448" s="37"/>
      <c r="S3448" s="37"/>
      <c r="T3448" s="91"/>
      <c r="U3448" s="91"/>
      <c r="V3448" s="41"/>
      <c r="W3448" s="37"/>
      <c r="X3448" s="37"/>
      <c r="Y3448" s="43"/>
      <c r="Z3448" s="37"/>
      <c r="AA3448" s="37"/>
      <c r="AD3448" s="37"/>
      <c r="AE3448" s="37"/>
      <c r="AF3448" s="37"/>
    </row>
    <row r="3449" spans="1:32" x14ac:dyDescent="0.25">
      <c r="A3449" s="37"/>
      <c r="B3449" s="37"/>
      <c r="C3449" s="37"/>
      <c r="F3449" s="38"/>
      <c r="G3449" s="38"/>
      <c r="H3449" s="38"/>
      <c r="I3449" s="37"/>
      <c r="J3449" s="38"/>
      <c r="K3449" s="38"/>
      <c r="L3449" s="42"/>
      <c r="M3449" s="42"/>
      <c r="N3449" s="42"/>
      <c r="O3449" s="42"/>
      <c r="R3449" s="37"/>
      <c r="S3449" s="37"/>
      <c r="T3449" s="91"/>
      <c r="U3449" s="91"/>
      <c r="V3449" s="41"/>
      <c r="W3449" s="37"/>
      <c r="X3449" s="37"/>
      <c r="Y3449" s="43"/>
      <c r="Z3449" s="37"/>
      <c r="AA3449" s="37"/>
      <c r="AD3449" s="37"/>
      <c r="AE3449" s="37"/>
      <c r="AF3449" s="37"/>
    </row>
    <row r="3450" spans="1:32" x14ac:dyDescent="0.25">
      <c r="A3450" s="37"/>
      <c r="B3450" s="37"/>
      <c r="C3450" s="37"/>
      <c r="F3450" s="38"/>
      <c r="G3450" s="38"/>
      <c r="H3450" s="38"/>
      <c r="I3450" s="37"/>
      <c r="J3450" s="38"/>
      <c r="K3450" s="38"/>
      <c r="L3450" s="42"/>
      <c r="M3450" s="42"/>
      <c r="N3450" s="42"/>
      <c r="O3450" s="42"/>
      <c r="R3450" s="37"/>
      <c r="S3450" s="37"/>
      <c r="T3450" s="91"/>
      <c r="U3450" s="91"/>
      <c r="V3450" s="41"/>
      <c r="W3450" s="37"/>
      <c r="X3450" s="37"/>
      <c r="Y3450" s="43"/>
      <c r="Z3450" s="37"/>
      <c r="AA3450" s="37"/>
      <c r="AD3450" s="37"/>
      <c r="AE3450" s="37"/>
      <c r="AF3450" s="37"/>
    </row>
    <row r="3451" spans="1:32" x14ac:dyDescent="0.25">
      <c r="A3451" s="37"/>
      <c r="B3451" s="37"/>
      <c r="C3451" s="37"/>
      <c r="F3451" s="38"/>
      <c r="G3451" s="38"/>
      <c r="H3451" s="38"/>
      <c r="I3451" s="37"/>
      <c r="J3451" s="38"/>
      <c r="K3451" s="38"/>
      <c r="L3451" s="42"/>
      <c r="M3451" s="42"/>
      <c r="N3451" s="42"/>
      <c r="O3451" s="42"/>
      <c r="R3451" s="37"/>
      <c r="S3451" s="37"/>
      <c r="T3451" s="91"/>
      <c r="U3451" s="91"/>
      <c r="V3451" s="41"/>
      <c r="W3451" s="37"/>
      <c r="X3451" s="37"/>
      <c r="Y3451" s="43"/>
      <c r="Z3451" s="37"/>
      <c r="AA3451" s="37"/>
      <c r="AD3451" s="37"/>
      <c r="AE3451" s="37"/>
      <c r="AF3451" s="37"/>
    </row>
    <row r="3452" spans="1:32" x14ac:dyDescent="0.25">
      <c r="A3452" s="37"/>
      <c r="B3452" s="37"/>
      <c r="C3452" s="37"/>
      <c r="F3452" s="38"/>
      <c r="G3452" s="38"/>
      <c r="H3452" s="38"/>
      <c r="I3452" s="37"/>
      <c r="J3452" s="38"/>
      <c r="K3452" s="38"/>
      <c r="L3452" s="42"/>
      <c r="M3452" s="42"/>
      <c r="N3452" s="42"/>
      <c r="O3452" s="42"/>
      <c r="R3452" s="37"/>
      <c r="S3452" s="37"/>
      <c r="T3452" s="91"/>
      <c r="U3452" s="91"/>
      <c r="V3452" s="41"/>
      <c r="W3452" s="37"/>
      <c r="X3452" s="37"/>
      <c r="Y3452" s="43"/>
      <c r="Z3452" s="37"/>
      <c r="AA3452" s="37"/>
      <c r="AD3452" s="37"/>
      <c r="AE3452" s="37"/>
      <c r="AF3452" s="37"/>
    </row>
    <row r="3453" spans="1:32" x14ac:dyDescent="0.25">
      <c r="A3453" s="37"/>
      <c r="B3453" s="37"/>
      <c r="C3453" s="37"/>
      <c r="F3453" s="38"/>
      <c r="G3453" s="38"/>
      <c r="H3453" s="38"/>
      <c r="I3453" s="37"/>
      <c r="J3453" s="38"/>
      <c r="K3453" s="38"/>
      <c r="L3453" s="42"/>
      <c r="M3453" s="42"/>
      <c r="N3453" s="42"/>
      <c r="O3453" s="42"/>
      <c r="R3453" s="37"/>
      <c r="S3453" s="37"/>
      <c r="T3453" s="91"/>
      <c r="U3453" s="91"/>
      <c r="V3453" s="41"/>
      <c r="W3453" s="37"/>
      <c r="X3453" s="37"/>
      <c r="Y3453" s="43"/>
      <c r="Z3453" s="37"/>
      <c r="AA3453" s="37"/>
      <c r="AD3453" s="37"/>
      <c r="AE3453" s="37"/>
      <c r="AF3453" s="37"/>
    </row>
    <row r="3454" spans="1:32" x14ac:dyDescent="0.25">
      <c r="A3454" s="37"/>
      <c r="B3454" s="37"/>
      <c r="C3454" s="37"/>
      <c r="F3454" s="38"/>
      <c r="G3454" s="38"/>
      <c r="H3454" s="38"/>
      <c r="I3454" s="37"/>
      <c r="J3454" s="38"/>
      <c r="K3454" s="38"/>
      <c r="L3454" s="42"/>
      <c r="M3454" s="42"/>
      <c r="N3454" s="42"/>
      <c r="O3454" s="42"/>
      <c r="R3454" s="37"/>
      <c r="S3454" s="37"/>
      <c r="T3454" s="91"/>
      <c r="U3454" s="91"/>
      <c r="V3454" s="41"/>
      <c r="W3454" s="37"/>
      <c r="X3454" s="37"/>
      <c r="Y3454" s="43"/>
      <c r="Z3454" s="37"/>
      <c r="AA3454" s="37"/>
      <c r="AD3454" s="37"/>
      <c r="AE3454" s="37"/>
      <c r="AF3454" s="37"/>
    </row>
    <row r="3455" spans="1:32" x14ac:dyDescent="0.25">
      <c r="A3455" s="37"/>
      <c r="B3455" s="37"/>
      <c r="C3455" s="37"/>
      <c r="F3455" s="38"/>
      <c r="G3455" s="38"/>
      <c r="H3455" s="38"/>
      <c r="I3455" s="37"/>
      <c r="J3455" s="38"/>
      <c r="K3455" s="38"/>
      <c r="L3455" s="42"/>
      <c r="M3455" s="42"/>
      <c r="N3455" s="42"/>
      <c r="O3455" s="42"/>
      <c r="R3455" s="37"/>
      <c r="S3455" s="37"/>
      <c r="T3455" s="91"/>
      <c r="U3455" s="91"/>
      <c r="V3455" s="41"/>
      <c r="W3455" s="37"/>
      <c r="X3455" s="37"/>
      <c r="Y3455" s="43"/>
      <c r="Z3455" s="37"/>
      <c r="AA3455" s="37"/>
      <c r="AD3455" s="37"/>
      <c r="AE3455" s="37"/>
      <c r="AF3455" s="37"/>
    </row>
    <row r="3456" spans="1:32" x14ac:dyDescent="0.25">
      <c r="A3456" s="37"/>
      <c r="B3456" s="37"/>
      <c r="C3456" s="37"/>
      <c r="F3456" s="38"/>
      <c r="G3456" s="38"/>
      <c r="H3456" s="38"/>
      <c r="I3456" s="37"/>
      <c r="J3456" s="38"/>
      <c r="K3456" s="38"/>
      <c r="L3456" s="42"/>
      <c r="M3456" s="42"/>
      <c r="N3456" s="42"/>
      <c r="O3456" s="42"/>
      <c r="R3456" s="37"/>
      <c r="S3456" s="37"/>
      <c r="T3456" s="91"/>
      <c r="U3456" s="91"/>
      <c r="V3456" s="41"/>
      <c r="W3456" s="37"/>
      <c r="X3456" s="37"/>
      <c r="Y3456" s="43"/>
      <c r="Z3456" s="37"/>
      <c r="AA3456" s="37"/>
      <c r="AD3456" s="37"/>
      <c r="AE3456" s="37"/>
      <c r="AF3456" s="37"/>
    </row>
    <row r="3457" spans="1:32" x14ac:dyDescent="0.25">
      <c r="A3457" s="37"/>
      <c r="B3457" s="37"/>
      <c r="C3457" s="37"/>
      <c r="F3457" s="38"/>
      <c r="G3457" s="38"/>
      <c r="H3457" s="38"/>
      <c r="I3457" s="37"/>
      <c r="J3457" s="38"/>
      <c r="K3457" s="38"/>
      <c r="L3457" s="42"/>
      <c r="M3457" s="42"/>
      <c r="N3457" s="42"/>
      <c r="O3457" s="42"/>
      <c r="R3457" s="37"/>
      <c r="S3457" s="37"/>
      <c r="T3457" s="91"/>
      <c r="U3457" s="91"/>
      <c r="V3457" s="41"/>
      <c r="W3457" s="37"/>
      <c r="X3457" s="37"/>
      <c r="Y3457" s="43"/>
      <c r="Z3457" s="37"/>
      <c r="AA3457" s="37"/>
      <c r="AD3457" s="37"/>
      <c r="AE3457" s="37"/>
      <c r="AF3457" s="37"/>
    </row>
    <row r="3458" spans="1:32" x14ac:dyDescent="0.25">
      <c r="A3458" s="37"/>
      <c r="B3458" s="37"/>
      <c r="C3458" s="37"/>
      <c r="F3458" s="38"/>
      <c r="G3458" s="38"/>
      <c r="H3458" s="38"/>
      <c r="I3458" s="37"/>
      <c r="J3458" s="38"/>
      <c r="K3458" s="38"/>
      <c r="L3458" s="42"/>
      <c r="M3458" s="42"/>
      <c r="N3458" s="42"/>
      <c r="O3458" s="42"/>
      <c r="R3458" s="37"/>
      <c r="S3458" s="37"/>
      <c r="T3458" s="91"/>
      <c r="U3458" s="91"/>
      <c r="V3458" s="41"/>
      <c r="W3458" s="37"/>
      <c r="X3458" s="37"/>
      <c r="Y3458" s="43"/>
      <c r="Z3458" s="37"/>
      <c r="AA3458" s="37"/>
      <c r="AD3458" s="37"/>
      <c r="AE3458" s="37"/>
      <c r="AF3458" s="37"/>
    </row>
    <row r="3459" spans="1:32" x14ac:dyDescent="0.25">
      <c r="A3459" s="37"/>
      <c r="B3459" s="37"/>
      <c r="C3459" s="37"/>
      <c r="F3459" s="38"/>
      <c r="G3459" s="38"/>
      <c r="H3459" s="38"/>
      <c r="I3459" s="37"/>
      <c r="J3459" s="38"/>
      <c r="K3459" s="38"/>
      <c r="L3459" s="42"/>
      <c r="M3459" s="42"/>
      <c r="N3459" s="42"/>
      <c r="O3459" s="42"/>
      <c r="R3459" s="37"/>
      <c r="S3459" s="37"/>
      <c r="T3459" s="91"/>
      <c r="U3459" s="91"/>
      <c r="V3459" s="41"/>
      <c r="W3459" s="37"/>
      <c r="X3459" s="37"/>
      <c r="Y3459" s="43"/>
      <c r="Z3459" s="37"/>
      <c r="AA3459" s="37"/>
      <c r="AD3459" s="37"/>
      <c r="AE3459" s="37"/>
      <c r="AF3459" s="37"/>
    </row>
    <row r="3460" spans="1:32" x14ac:dyDescent="0.25">
      <c r="A3460" s="37"/>
      <c r="B3460" s="37"/>
      <c r="C3460" s="37"/>
      <c r="F3460" s="38"/>
      <c r="G3460" s="38"/>
      <c r="H3460" s="38"/>
      <c r="I3460" s="37"/>
      <c r="J3460" s="38"/>
      <c r="K3460" s="38"/>
      <c r="L3460" s="42"/>
      <c r="M3460" s="42"/>
      <c r="N3460" s="42"/>
      <c r="O3460" s="42"/>
      <c r="R3460" s="37"/>
      <c r="S3460" s="37"/>
      <c r="T3460" s="91"/>
      <c r="U3460" s="91"/>
      <c r="V3460" s="41"/>
      <c r="W3460" s="37"/>
      <c r="X3460" s="37"/>
      <c r="Y3460" s="43"/>
      <c r="Z3460" s="37"/>
      <c r="AA3460" s="37"/>
      <c r="AD3460" s="37"/>
      <c r="AE3460" s="37"/>
      <c r="AF3460" s="37"/>
    </row>
    <row r="3461" spans="1:32" x14ac:dyDescent="0.25">
      <c r="A3461" s="37"/>
      <c r="B3461" s="37"/>
      <c r="C3461" s="37"/>
      <c r="F3461" s="38"/>
      <c r="G3461" s="38"/>
      <c r="H3461" s="38"/>
      <c r="I3461" s="37"/>
      <c r="J3461" s="38"/>
      <c r="K3461" s="38"/>
      <c r="L3461" s="42"/>
      <c r="M3461" s="42"/>
      <c r="N3461" s="42"/>
      <c r="O3461" s="42"/>
      <c r="R3461" s="37"/>
      <c r="S3461" s="37"/>
      <c r="T3461" s="91"/>
      <c r="U3461" s="91"/>
      <c r="V3461" s="41"/>
      <c r="W3461" s="37"/>
      <c r="X3461" s="37"/>
      <c r="Y3461" s="43"/>
      <c r="Z3461" s="37"/>
      <c r="AA3461" s="37"/>
      <c r="AD3461" s="37"/>
      <c r="AE3461" s="37"/>
      <c r="AF3461" s="37"/>
    </row>
    <row r="3462" spans="1:32" x14ac:dyDescent="0.25">
      <c r="A3462" s="37"/>
      <c r="B3462" s="37"/>
      <c r="C3462" s="37"/>
      <c r="F3462" s="38"/>
      <c r="G3462" s="38"/>
      <c r="H3462" s="38"/>
      <c r="I3462" s="37"/>
      <c r="J3462" s="38"/>
      <c r="K3462" s="38"/>
      <c r="L3462" s="42"/>
      <c r="M3462" s="42"/>
      <c r="N3462" s="42"/>
      <c r="O3462" s="42"/>
      <c r="R3462" s="37"/>
      <c r="S3462" s="37"/>
      <c r="T3462" s="91"/>
      <c r="U3462" s="91"/>
      <c r="V3462" s="41"/>
      <c r="W3462" s="37"/>
      <c r="X3462" s="37"/>
      <c r="Y3462" s="43"/>
      <c r="Z3462" s="37"/>
      <c r="AA3462" s="37"/>
      <c r="AD3462" s="37"/>
      <c r="AE3462" s="37"/>
      <c r="AF3462" s="37"/>
    </row>
    <row r="3463" spans="1:32" x14ac:dyDescent="0.25">
      <c r="A3463" s="37"/>
      <c r="B3463" s="37"/>
      <c r="C3463" s="37"/>
      <c r="F3463" s="38"/>
      <c r="G3463" s="38"/>
      <c r="H3463" s="38"/>
      <c r="I3463" s="37"/>
      <c r="J3463" s="38"/>
      <c r="K3463" s="38"/>
      <c r="L3463" s="42"/>
      <c r="M3463" s="42"/>
      <c r="N3463" s="42"/>
      <c r="O3463" s="42"/>
      <c r="R3463" s="37"/>
      <c r="S3463" s="37"/>
      <c r="T3463" s="91"/>
      <c r="U3463" s="91"/>
      <c r="V3463" s="41"/>
      <c r="W3463" s="37"/>
      <c r="X3463" s="37"/>
      <c r="Y3463" s="43"/>
      <c r="Z3463" s="37"/>
      <c r="AA3463" s="37"/>
      <c r="AD3463" s="37"/>
      <c r="AE3463" s="37"/>
      <c r="AF3463" s="37"/>
    </row>
    <row r="3464" spans="1:32" x14ac:dyDescent="0.25">
      <c r="A3464" s="37"/>
      <c r="B3464" s="37"/>
      <c r="C3464" s="37"/>
      <c r="F3464" s="38"/>
      <c r="G3464" s="38"/>
      <c r="H3464" s="38"/>
      <c r="I3464" s="37"/>
      <c r="J3464" s="38"/>
      <c r="K3464" s="38"/>
      <c r="L3464" s="42"/>
      <c r="M3464" s="42"/>
      <c r="N3464" s="42"/>
      <c r="O3464" s="42"/>
      <c r="R3464" s="37"/>
      <c r="S3464" s="37"/>
      <c r="T3464" s="91"/>
      <c r="U3464" s="91"/>
      <c r="V3464" s="41"/>
      <c r="W3464" s="37"/>
      <c r="X3464" s="37"/>
      <c r="Y3464" s="43"/>
      <c r="Z3464" s="37"/>
      <c r="AA3464" s="37"/>
      <c r="AD3464" s="37"/>
      <c r="AE3464" s="37"/>
      <c r="AF3464" s="37"/>
    </row>
    <row r="3465" spans="1:32" x14ac:dyDescent="0.25">
      <c r="A3465" s="37"/>
      <c r="B3465" s="37"/>
      <c r="C3465" s="37"/>
      <c r="F3465" s="38"/>
      <c r="G3465" s="38"/>
      <c r="H3465" s="38"/>
      <c r="I3465" s="37"/>
      <c r="J3465" s="38"/>
      <c r="K3465" s="38"/>
      <c r="L3465" s="42"/>
      <c r="M3465" s="42"/>
      <c r="N3465" s="42"/>
      <c r="O3465" s="42"/>
      <c r="R3465" s="37"/>
      <c r="S3465" s="37"/>
      <c r="T3465" s="91"/>
      <c r="U3465" s="91"/>
      <c r="V3465" s="41"/>
      <c r="W3465" s="37"/>
      <c r="X3465" s="37"/>
      <c r="Y3465" s="43"/>
      <c r="Z3465" s="37"/>
      <c r="AA3465" s="37"/>
      <c r="AD3465" s="37"/>
      <c r="AE3465" s="37"/>
      <c r="AF3465" s="37"/>
    </row>
    <row r="3466" spans="1:32" x14ac:dyDescent="0.25">
      <c r="A3466" s="37"/>
      <c r="B3466" s="37"/>
      <c r="C3466" s="37"/>
      <c r="F3466" s="38"/>
      <c r="G3466" s="38"/>
      <c r="H3466" s="38"/>
      <c r="I3466" s="37"/>
      <c r="J3466" s="38"/>
      <c r="K3466" s="38"/>
      <c r="L3466" s="42"/>
      <c r="M3466" s="42"/>
      <c r="N3466" s="42"/>
      <c r="O3466" s="42"/>
      <c r="R3466" s="37"/>
      <c r="S3466" s="37"/>
      <c r="T3466" s="91"/>
      <c r="U3466" s="91"/>
      <c r="V3466" s="41"/>
      <c r="W3466" s="37"/>
      <c r="X3466" s="37"/>
      <c r="Y3466" s="43"/>
      <c r="Z3466" s="37"/>
      <c r="AA3466" s="37"/>
      <c r="AD3466" s="37"/>
      <c r="AE3466" s="37"/>
      <c r="AF3466" s="37"/>
    </row>
    <row r="3467" spans="1:32" x14ac:dyDescent="0.25">
      <c r="A3467" s="37"/>
      <c r="B3467" s="37"/>
      <c r="C3467" s="37"/>
      <c r="F3467" s="38"/>
      <c r="G3467" s="38"/>
      <c r="H3467" s="38"/>
      <c r="I3467" s="37"/>
      <c r="J3467" s="38"/>
      <c r="K3467" s="38"/>
      <c r="L3467" s="42"/>
      <c r="M3467" s="42"/>
      <c r="N3467" s="42"/>
      <c r="O3467" s="42"/>
      <c r="R3467" s="37"/>
      <c r="S3467" s="37"/>
      <c r="T3467" s="91"/>
      <c r="U3467" s="91"/>
      <c r="V3467" s="41"/>
      <c r="W3467" s="37"/>
      <c r="X3467" s="37"/>
      <c r="Y3467" s="43"/>
      <c r="Z3467" s="37"/>
      <c r="AA3467" s="37"/>
      <c r="AD3467" s="37"/>
      <c r="AE3467" s="37"/>
      <c r="AF3467" s="37"/>
    </row>
    <row r="3468" spans="1:32" x14ac:dyDescent="0.25">
      <c r="A3468" s="37"/>
      <c r="B3468" s="37"/>
      <c r="C3468" s="37"/>
      <c r="F3468" s="38"/>
      <c r="G3468" s="38"/>
      <c r="H3468" s="38"/>
      <c r="I3468" s="37"/>
      <c r="J3468" s="38"/>
      <c r="K3468" s="38"/>
      <c r="L3468" s="42"/>
      <c r="M3468" s="42"/>
      <c r="N3468" s="42"/>
      <c r="O3468" s="42"/>
      <c r="R3468" s="37"/>
      <c r="S3468" s="37"/>
      <c r="T3468" s="91"/>
      <c r="U3468" s="91"/>
      <c r="V3468" s="41"/>
      <c r="W3468" s="37"/>
      <c r="X3468" s="37"/>
      <c r="Y3468" s="43"/>
      <c r="Z3468" s="37"/>
      <c r="AA3468" s="37"/>
      <c r="AD3468" s="37"/>
      <c r="AE3468" s="37"/>
      <c r="AF3468" s="37"/>
    </row>
    <row r="3469" spans="1:32" x14ac:dyDescent="0.25">
      <c r="A3469" s="37"/>
      <c r="B3469" s="37"/>
      <c r="C3469" s="37"/>
      <c r="F3469" s="38"/>
      <c r="G3469" s="38"/>
      <c r="H3469" s="38"/>
      <c r="I3469" s="37"/>
      <c r="J3469" s="38"/>
      <c r="K3469" s="38"/>
      <c r="L3469" s="42"/>
      <c r="M3469" s="42"/>
      <c r="N3469" s="42"/>
      <c r="O3469" s="42"/>
      <c r="R3469" s="37"/>
      <c r="S3469" s="37"/>
      <c r="T3469" s="91"/>
      <c r="U3469" s="91"/>
      <c r="V3469" s="41"/>
      <c r="W3469" s="37"/>
      <c r="X3469" s="37"/>
      <c r="Y3469" s="43"/>
      <c r="Z3469" s="37"/>
      <c r="AA3469" s="37"/>
      <c r="AD3469" s="37"/>
      <c r="AE3469" s="37"/>
      <c r="AF3469" s="37"/>
    </row>
    <row r="3470" spans="1:32" x14ac:dyDescent="0.25">
      <c r="A3470" s="37"/>
      <c r="B3470" s="37"/>
      <c r="C3470" s="37"/>
      <c r="F3470" s="38"/>
      <c r="G3470" s="38"/>
      <c r="H3470" s="38"/>
      <c r="I3470" s="37"/>
      <c r="J3470" s="38"/>
      <c r="K3470" s="38"/>
      <c r="L3470" s="42"/>
      <c r="M3470" s="42"/>
      <c r="N3470" s="42"/>
      <c r="O3470" s="42"/>
      <c r="R3470" s="37"/>
      <c r="S3470" s="37"/>
      <c r="T3470" s="91"/>
      <c r="U3470" s="91"/>
      <c r="V3470" s="41"/>
      <c r="W3470" s="37"/>
      <c r="X3470" s="37"/>
      <c r="Y3470" s="43"/>
      <c r="Z3470" s="37"/>
      <c r="AA3470" s="37"/>
      <c r="AD3470" s="37"/>
      <c r="AE3470" s="37"/>
      <c r="AF3470" s="37"/>
    </row>
    <row r="3471" spans="1:32" x14ac:dyDescent="0.25">
      <c r="A3471" s="37"/>
      <c r="B3471" s="37"/>
      <c r="C3471" s="37"/>
      <c r="F3471" s="38"/>
      <c r="G3471" s="38"/>
      <c r="H3471" s="38"/>
      <c r="I3471" s="37"/>
      <c r="J3471" s="38"/>
      <c r="K3471" s="38"/>
      <c r="L3471" s="42"/>
      <c r="M3471" s="42"/>
      <c r="N3471" s="42"/>
      <c r="O3471" s="42"/>
      <c r="R3471" s="37"/>
      <c r="S3471" s="37"/>
      <c r="T3471" s="91"/>
      <c r="U3471" s="91"/>
      <c r="V3471" s="41"/>
      <c r="W3471" s="37"/>
      <c r="X3471" s="37"/>
      <c r="Y3471" s="43"/>
      <c r="Z3471" s="37"/>
      <c r="AA3471" s="37"/>
      <c r="AD3471" s="37"/>
      <c r="AE3471" s="37"/>
      <c r="AF3471" s="37"/>
    </row>
    <row r="3472" spans="1:32" x14ac:dyDescent="0.25">
      <c r="A3472" s="37"/>
      <c r="B3472" s="37"/>
      <c r="C3472" s="37"/>
      <c r="F3472" s="38"/>
      <c r="G3472" s="38"/>
      <c r="H3472" s="38"/>
      <c r="I3472" s="37"/>
      <c r="J3472" s="38"/>
      <c r="K3472" s="38"/>
      <c r="L3472" s="42"/>
      <c r="M3472" s="42"/>
      <c r="N3472" s="42"/>
      <c r="O3472" s="42"/>
      <c r="R3472" s="37"/>
      <c r="S3472" s="37"/>
      <c r="T3472" s="91"/>
      <c r="U3472" s="91"/>
      <c r="V3472" s="41"/>
      <c r="W3472" s="37"/>
      <c r="X3472" s="37"/>
      <c r="Y3472" s="43"/>
      <c r="Z3472" s="37"/>
      <c r="AA3472" s="37"/>
      <c r="AD3472" s="37"/>
      <c r="AE3472" s="37"/>
      <c r="AF3472" s="37"/>
    </row>
    <row r="3473" spans="1:32" x14ac:dyDescent="0.25">
      <c r="A3473" s="37"/>
      <c r="B3473" s="37"/>
      <c r="C3473" s="37"/>
      <c r="F3473" s="38"/>
      <c r="G3473" s="38"/>
      <c r="H3473" s="38"/>
      <c r="I3473" s="37"/>
      <c r="J3473" s="38"/>
      <c r="K3473" s="38"/>
      <c r="L3473" s="42"/>
      <c r="M3473" s="42"/>
      <c r="N3473" s="42"/>
      <c r="O3473" s="42"/>
      <c r="R3473" s="37"/>
      <c r="S3473" s="37"/>
      <c r="T3473" s="91"/>
      <c r="U3473" s="91"/>
      <c r="V3473" s="41"/>
      <c r="W3473" s="37"/>
      <c r="X3473" s="37"/>
      <c r="Y3473" s="43"/>
      <c r="Z3473" s="37"/>
      <c r="AA3473" s="37"/>
      <c r="AD3473" s="37"/>
      <c r="AE3473" s="37"/>
      <c r="AF3473" s="37"/>
    </row>
    <row r="3474" spans="1:32" x14ac:dyDescent="0.25">
      <c r="A3474" s="37"/>
      <c r="B3474" s="37"/>
      <c r="C3474" s="37"/>
      <c r="F3474" s="38"/>
      <c r="G3474" s="38"/>
      <c r="H3474" s="38"/>
      <c r="I3474" s="37"/>
      <c r="J3474" s="38"/>
      <c r="K3474" s="38"/>
      <c r="L3474" s="42"/>
      <c r="M3474" s="42"/>
      <c r="N3474" s="42"/>
      <c r="O3474" s="42"/>
      <c r="R3474" s="37"/>
      <c r="S3474" s="37"/>
      <c r="T3474" s="91"/>
      <c r="U3474" s="91"/>
      <c r="V3474" s="41"/>
      <c r="W3474" s="37"/>
      <c r="X3474" s="37"/>
      <c r="Y3474" s="43"/>
      <c r="Z3474" s="37"/>
      <c r="AA3474" s="37"/>
      <c r="AD3474" s="37"/>
      <c r="AE3474" s="37"/>
      <c r="AF3474" s="37"/>
    </row>
    <row r="3475" spans="1:32" x14ac:dyDescent="0.25">
      <c r="A3475" s="37"/>
      <c r="B3475" s="37"/>
      <c r="C3475" s="37"/>
      <c r="F3475" s="38"/>
      <c r="G3475" s="38"/>
      <c r="H3475" s="38"/>
      <c r="I3475" s="37"/>
      <c r="J3475" s="38"/>
      <c r="K3475" s="38"/>
      <c r="L3475" s="42"/>
      <c r="M3475" s="42"/>
      <c r="N3475" s="42"/>
      <c r="O3475" s="42"/>
      <c r="R3475" s="37"/>
      <c r="S3475" s="37"/>
      <c r="T3475" s="91"/>
      <c r="U3475" s="91"/>
      <c r="V3475" s="41"/>
      <c r="W3475" s="37"/>
      <c r="X3475" s="37"/>
      <c r="Y3475" s="43"/>
      <c r="Z3475" s="37"/>
      <c r="AA3475" s="37"/>
      <c r="AD3475" s="37"/>
      <c r="AE3475" s="37"/>
      <c r="AF3475" s="37"/>
    </row>
    <row r="3476" spans="1:32" x14ac:dyDescent="0.25">
      <c r="A3476" s="37"/>
      <c r="B3476" s="37"/>
      <c r="C3476" s="37"/>
      <c r="F3476" s="38"/>
      <c r="G3476" s="38"/>
      <c r="H3476" s="38"/>
      <c r="I3476" s="37"/>
      <c r="J3476" s="38"/>
      <c r="K3476" s="38"/>
      <c r="L3476" s="42"/>
      <c r="M3476" s="42"/>
      <c r="N3476" s="42"/>
      <c r="O3476" s="42"/>
      <c r="R3476" s="37"/>
      <c r="S3476" s="37"/>
      <c r="T3476" s="91"/>
      <c r="U3476" s="91"/>
      <c r="V3476" s="41"/>
      <c r="W3476" s="37"/>
      <c r="X3476" s="37"/>
      <c r="Y3476" s="43"/>
      <c r="Z3476" s="37"/>
      <c r="AA3476" s="37"/>
      <c r="AD3476" s="37"/>
      <c r="AE3476" s="37"/>
      <c r="AF3476" s="37"/>
    </row>
    <row r="3477" spans="1:32" x14ac:dyDescent="0.25">
      <c r="A3477" s="37"/>
      <c r="B3477" s="37"/>
      <c r="C3477" s="37"/>
      <c r="F3477" s="38"/>
      <c r="G3477" s="38"/>
      <c r="H3477" s="38"/>
      <c r="I3477" s="37"/>
      <c r="J3477" s="38"/>
      <c r="K3477" s="38"/>
      <c r="L3477" s="42"/>
      <c r="M3477" s="42"/>
      <c r="N3477" s="42"/>
      <c r="O3477" s="42"/>
      <c r="R3477" s="37"/>
      <c r="S3477" s="37"/>
      <c r="T3477" s="91"/>
      <c r="U3477" s="91"/>
      <c r="V3477" s="41"/>
      <c r="W3477" s="37"/>
      <c r="X3477" s="37"/>
      <c r="Y3477" s="43"/>
      <c r="Z3477" s="37"/>
      <c r="AA3477" s="37"/>
      <c r="AD3477" s="37"/>
      <c r="AE3477" s="37"/>
      <c r="AF3477" s="37"/>
    </row>
    <row r="3478" spans="1:32" x14ac:dyDescent="0.25">
      <c r="A3478" s="37"/>
      <c r="B3478" s="37"/>
      <c r="C3478" s="37"/>
      <c r="F3478" s="38"/>
      <c r="G3478" s="38"/>
      <c r="H3478" s="38"/>
      <c r="I3478" s="37"/>
      <c r="J3478" s="38"/>
      <c r="K3478" s="38"/>
      <c r="L3478" s="42"/>
      <c r="M3478" s="42"/>
      <c r="N3478" s="42"/>
      <c r="O3478" s="42"/>
      <c r="R3478" s="37"/>
      <c r="S3478" s="37"/>
      <c r="T3478" s="91"/>
      <c r="U3478" s="91"/>
      <c r="V3478" s="41"/>
      <c r="W3478" s="37"/>
      <c r="X3478" s="37"/>
      <c r="Y3478" s="43"/>
      <c r="Z3478" s="37"/>
      <c r="AA3478" s="37"/>
      <c r="AD3478" s="37"/>
      <c r="AE3478" s="37"/>
      <c r="AF3478" s="37"/>
    </row>
    <row r="3479" spans="1:32" x14ac:dyDescent="0.25">
      <c r="A3479" s="37"/>
      <c r="B3479" s="37"/>
      <c r="C3479" s="37"/>
      <c r="F3479" s="38"/>
      <c r="G3479" s="38"/>
      <c r="H3479" s="38"/>
      <c r="I3479" s="37"/>
      <c r="J3479" s="38"/>
      <c r="K3479" s="38"/>
      <c r="L3479" s="42"/>
      <c r="M3479" s="42"/>
      <c r="N3479" s="42"/>
      <c r="O3479" s="42"/>
      <c r="R3479" s="37"/>
      <c r="S3479" s="37"/>
      <c r="T3479" s="91"/>
      <c r="U3479" s="91"/>
      <c r="V3479" s="41"/>
      <c r="W3479" s="37"/>
      <c r="X3479" s="37"/>
      <c r="Y3479" s="43"/>
      <c r="Z3479" s="37"/>
      <c r="AA3479" s="37"/>
      <c r="AD3479" s="37"/>
      <c r="AE3479" s="37"/>
      <c r="AF3479" s="37"/>
    </row>
    <row r="3480" spans="1:32" x14ac:dyDescent="0.25">
      <c r="A3480" s="37"/>
      <c r="B3480" s="37"/>
      <c r="C3480" s="37"/>
      <c r="F3480" s="38"/>
      <c r="G3480" s="38"/>
      <c r="H3480" s="38"/>
      <c r="I3480" s="37"/>
      <c r="J3480" s="38"/>
      <c r="K3480" s="38"/>
      <c r="L3480" s="42"/>
      <c r="M3480" s="42"/>
      <c r="N3480" s="42"/>
      <c r="O3480" s="42"/>
      <c r="R3480" s="37"/>
      <c r="S3480" s="37"/>
      <c r="T3480" s="91"/>
      <c r="U3480" s="91"/>
      <c r="V3480" s="41"/>
      <c r="W3480" s="37"/>
      <c r="X3480" s="37"/>
      <c r="Y3480" s="43"/>
      <c r="Z3480" s="37"/>
      <c r="AA3480" s="37"/>
      <c r="AD3480" s="37"/>
      <c r="AE3480" s="37"/>
      <c r="AF3480" s="37"/>
    </row>
    <row r="3481" spans="1:32" x14ac:dyDescent="0.25">
      <c r="A3481" s="37"/>
      <c r="B3481" s="37"/>
      <c r="C3481" s="37"/>
      <c r="F3481" s="38"/>
      <c r="G3481" s="38"/>
      <c r="H3481" s="38"/>
      <c r="I3481" s="37"/>
      <c r="J3481" s="38"/>
      <c r="K3481" s="38"/>
      <c r="L3481" s="42"/>
      <c r="M3481" s="42"/>
      <c r="N3481" s="42"/>
      <c r="O3481" s="42"/>
      <c r="R3481" s="37"/>
      <c r="S3481" s="37"/>
      <c r="T3481" s="91"/>
      <c r="U3481" s="91"/>
      <c r="V3481" s="41"/>
      <c r="W3481" s="37"/>
      <c r="X3481" s="37"/>
      <c r="Y3481" s="43"/>
      <c r="Z3481" s="37"/>
      <c r="AA3481" s="37"/>
      <c r="AD3481" s="37"/>
      <c r="AE3481" s="37"/>
      <c r="AF3481" s="37"/>
    </row>
    <row r="3482" spans="1:32" x14ac:dyDescent="0.25">
      <c r="A3482" s="37"/>
      <c r="B3482" s="37"/>
      <c r="C3482" s="37"/>
      <c r="F3482" s="38"/>
      <c r="G3482" s="38"/>
      <c r="H3482" s="38"/>
      <c r="I3482" s="37"/>
      <c r="J3482" s="38"/>
      <c r="K3482" s="38"/>
      <c r="L3482" s="42"/>
      <c r="M3482" s="42"/>
      <c r="N3482" s="42"/>
      <c r="O3482" s="42"/>
      <c r="R3482" s="37"/>
      <c r="S3482" s="37"/>
      <c r="T3482" s="91"/>
      <c r="U3482" s="91"/>
      <c r="V3482" s="41"/>
      <c r="W3482" s="37"/>
      <c r="X3482" s="37"/>
      <c r="Y3482" s="43"/>
      <c r="Z3482" s="37"/>
      <c r="AA3482" s="37"/>
      <c r="AD3482" s="37"/>
      <c r="AE3482" s="37"/>
      <c r="AF3482" s="37"/>
    </row>
    <row r="3483" spans="1:32" x14ac:dyDescent="0.25">
      <c r="A3483" s="37"/>
      <c r="B3483" s="37"/>
      <c r="C3483" s="37"/>
      <c r="F3483" s="38"/>
      <c r="G3483" s="38"/>
      <c r="H3483" s="38"/>
      <c r="I3483" s="37"/>
      <c r="J3483" s="38"/>
      <c r="K3483" s="38"/>
      <c r="L3483" s="42"/>
      <c r="M3483" s="42"/>
      <c r="N3483" s="42"/>
      <c r="O3483" s="42"/>
      <c r="R3483" s="37"/>
      <c r="S3483" s="37"/>
      <c r="T3483" s="91"/>
      <c r="U3483" s="91"/>
      <c r="V3483" s="41"/>
      <c r="W3483" s="37"/>
      <c r="X3483" s="37"/>
      <c r="Y3483" s="43"/>
      <c r="Z3483" s="37"/>
      <c r="AA3483" s="37"/>
      <c r="AD3483" s="37"/>
      <c r="AE3483" s="37"/>
      <c r="AF3483" s="37"/>
    </row>
    <row r="3484" spans="1:32" x14ac:dyDescent="0.25">
      <c r="A3484" s="37"/>
      <c r="B3484" s="37"/>
      <c r="C3484" s="37"/>
      <c r="F3484" s="38"/>
      <c r="G3484" s="38"/>
      <c r="H3484" s="38"/>
      <c r="I3484" s="37"/>
      <c r="J3484" s="38"/>
      <c r="K3484" s="38"/>
      <c r="L3484" s="42"/>
      <c r="M3484" s="42"/>
      <c r="N3484" s="42"/>
      <c r="O3484" s="42"/>
      <c r="R3484" s="37"/>
      <c r="S3484" s="37"/>
      <c r="T3484" s="91"/>
      <c r="U3484" s="91"/>
      <c r="V3484" s="41"/>
      <c r="W3484" s="37"/>
      <c r="X3484" s="37"/>
      <c r="Y3484" s="43"/>
      <c r="Z3484" s="37"/>
      <c r="AA3484" s="37"/>
      <c r="AD3484" s="37"/>
      <c r="AE3484" s="37"/>
      <c r="AF3484" s="37"/>
    </row>
    <row r="3485" spans="1:32" x14ac:dyDescent="0.25">
      <c r="A3485" s="37"/>
      <c r="B3485" s="37"/>
      <c r="C3485" s="37"/>
      <c r="F3485" s="38"/>
      <c r="G3485" s="38"/>
      <c r="H3485" s="38"/>
      <c r="I3485" s="37"/>
      <c r="J3485" s="38"/>
      <c r="K3485" s="38"/>
      <c r="L3485" s="42"/>
      <c r="M3485" s="42"/>
      <c r="N3485" s="42"/>
      <c r="O3485" s="42"/>
      <c r="R3485" s="37"/>
      <c r="S3485" s="37"/>
      <c r="T3485" s="91"/>
      <c r="U3485" s="91"/>
      <c r="V3485" s="41"/>
      <c r="W3485" s="37"/>
      <c r="X3485" s="37"/>
      <c r="Y3485" s="43"/>
      <c r="Z3485" s="37"/>
      <c r="AA3485" s="37"/>
      <c r="AD3485" s="37"/>
      <c r="AE3485" s="37"/>
      <c r="AF3485" s="37"/>
    </row>
    <row r="3486" spans="1:32" x14ac:dyDescent="0.25">
      <c r="A3486" s="37"/>
      <c r="B3486" s="37"/>
      <c r="C3486" s="37"/>
      <c r="F3486" s="38"/>
      <c r="G3486" s="38"/>
      <c r="H3486" s="38"/>
      <c r="I3486" s="37"/>
      <c r="J3486" s="38"/>
      <c r="K3486" s="38"/>
      <c r="L3486" s="42"/>
      <c r="M3486" s="42"/>
      <c r="N3486" s="42"/>
      <c r="O3486" s="42"/>
      <c r="R3486" s="37"/>
      <c r="S3486" s="37"/>
      <c r="T3486" s="91"/>
      <c r="U3486" s="91"/>
      <c r="V3486" s="41"/>
      <c r="W3486" s="37"/>
      <c r="X3486" s="37"/>
      <c r="Y3486" s="43"/>
      <c r="Z3486" s="37"/>
      <c r="AA3486" s="37"/>
      <c r="AD3486" s="37"/>
      <c r="AE3486" s="37"/>
      <c r="AF3486" s="37"/>
    </row>
    <row r="3487" spans="1:32" x14ac:dyDescent="0.25">
      <c r="A3487" s="37"/>
      <c r="B3487" s="37"/>
      <c r="C3487" s="37"/>
      <c r="F3487" s="38"/>
      <c r="G3487" s="38"/>
      <c r="H3487" s="38"/>
      <c r="I3487" s="37"/>
      <c r="J3487" s="38"/>
      <c r="K3487" s="38"/>
      <c r="L3487" s="42"/>
      <c r="M3487" s="42"/>
      <c r="N3487" s="42"/>
      <c r="O3487" s="42"/>
      <c r="R3487" s="37"/>
      <c r="S3487" s="37"/>
      <c r="T3487" s="91"/>
      <c r="U3487" s="91"/>
      <c r="V3487" s="41"/>
      <c r="W3487" s="37"/>
      <c r="X3487" s="37"/>
      <c r="Y3487" s="43"/>
      <c r="Z3487" s="37"/>
      <c r="AA3487" s="37"/>
      <c r="AD3487" s="37"/>
      <c r="AE3487" s="37"/>
      <c r="AF3487" s="37"/>
    </row>
    <row r="3488" spans="1:32" x14ac:dyDescent="0.25">
      <c r="A3488" s="37"/>
      <c r="B3488" s="37"/>
      <c r="C3488" s="37"/>
      <c r="F3488" s="38"/>
      <c r="G3488" s="38"/>
      <c r="H3488" s="38"/>
      <c r="I3488" s="37"/>
      <c r="J3488" s="38"/>
      <c r="K3488" s="38"/>
      <c r="L3488" s="42"/>
      <c r="M3488" s="42"/>
      <c r="N3488" s="42"/>
      <c r="O3488" s="42"/>
      <c r="R3488" s="37"/>
      <c r="S3488" s="37"/>
      <c r="T3488" s="91"/>
      <c r="U3488" s="91"/>
      <c r="V3488" s="41"/>
      <c r="W3488" s="37"/>
      <c r="X3488" s="37"/>
      <c r="Y3488" s="43"/>
      <c r="Z3488" s="37"/>
      <c r="AA3488" s="37"/>
      <c r="AD3488" s="37"/>
      <c r="AE3488" s="37"/>
      <c r="AF3488" s="37"/>
    </row>
    <row r="3489" spans="1:32" x14ac:dyDescent="0.25">
      <c r="A3489" s="37"/>
      <c r="B3489" s="37"/>
      <c r="C3489" s="37"/>
      <c r="F3489" s="38"/>
      <c r="G3489" s="38"/>
      <c r="H3489" s="38"/>
      <c r="I3489" s="37"/>
      <c r="J3489" s="38"/>
      <c r="K3489" s="38"/>
      <c r="L3489" s="42"/>
      <c r="M3489" s="42"/>
      <c r="N3489" s="42"/>
      <c r="O3489" s="42"/>
      <c r="R3489" s="37"/>
      <c r="S3489" s="37"/>
      <c r="T3489" s="91"/>
      <c r="U3489" s="91"/>
      <c r="V3489" s="41"/>
      <c r="W3489" s="37"/>
      <c r="X3489" s="37"/>
      <c r="Y3489" s="43"/>
      <c r="Z3489" s="37"/>
      <c r="AA3489" s="37"/>
      <c r="AD3489" s="37"/>
      <c r="AE3489" s="37"/>
      <c r="AF3489" s="37"/>
    </row>
    <row r="3490" spans="1:32" x14ac:dyDescent="0.25">
      <c r="A3490" s="37"/>
      <c r="B3490" s="37"/>
      <c r="C3490" s="37"/>
      <c r="F3490" s="38"/>
      <c r="G3490" s="38"/>
      <c r="H3490" s="38"/>
      <c r="I3490" s="37"/>
      <c r="J3490" s="38"/>
      <c r="K3490" s="38"/>
      <c r="L3490" s="42"/>
      <c r="M3490" s="42"/>
      <c r="N3490" s="42"/>
      <c r="O3490" s="42"/>
      <c r="R3490" s="37"/>
      <c r="S3490" s="37"/>
      <c r="T3490" s="91"/>
      <c r="U3490" s="91"/>
      <c r="V3490" s="41"/>
      <c r="W3490" s="37"/>
      <c r="X3490" s="37"/>
      <c r="Y3490" s="43"/>
      <c r="Z3490" s="37"/>
      <c r="AA3490" s="37"/>
      <c r="AD3490" s="37"/>
      <c r="AE3490" s="37"/>
      <c r="AF3490" s="37"/>
    </row>
    <row r="3491" spans="1:32" x14ac:dyDescent="0.25">
      <c r="A3491" s="37"/>
      <c r="B3491" s="37"/>
      <c r="C3491" s="37"/>
      <c r="F3491" s="38"/>
      <c r="G3491" s="38"/>
      <c r="H3491" s="38"/>
      <c r="I3491" s="37"/>
      <c r="J3491" s="38"/>
      <c r="K3491" s="38"/>
      <c r="L3491" s="42"/>
      <c r="M3491" s="42"/>
      <c r="N3491" s="42"/>
      <c r="O3491" s="42"/>
      <c r="R3491" s="37"/>
      <c r="S3491" s="37"/>
      <c r="T3491" s="91"/>
      <c r="U3491" s="91"/>
      <c r="V3491" s="41"/>
      <c r="W3491" s="37"/>
      <c r="X3491" s="37"/>
      <c r="Y3491" s="43"/>
      <c r="Z3491" s="37"/>
      <c r="AA3491" s="37"/>
      <c r="AD3491" s="37"/>
      <c r="AE3491" s="37"/>
      <c r="AF3491" s="37"/>
    </row>
    <row r="3492" spans="1:32" x14ac:dyDescent="0.25">
      <c r="A3492" s="37"/>
      <c r="B3492" s="37"/>
      <c r="C3492" s="37"/>
      <c r="F3492" s="38"/>
      <c r="G3492" s="38"/>
      <c r="H3492" s="38"/>
      <c r="I3492" s="37"/>
      <c r="J3492" s="38"/>
      <c r="K3492" s="38"/>
      <c r="L3492" s="42"/>
      <c r="M3492" s="42"/>
      <c r="N3492" s="42"/>
      <c r="O3492" s="42"/>
      <c r="R3492" s="37"/>
      <c r="S3492" s="37"/>
      <c r="T3492" s="91"/>
      <c r="U3492" s="91"/>
      <c r="V3492" s="41"/>
      <c r="W3492" s="37"/>
      <c r="X3492" s="37"/>
      <c r="Y3492" s="43"/>
      <c r="Z3492" s="37"/>
      <c r="AA3492" s="37"/>
      <c r="AD3492" s="37"/>
      <c r="AE3492" s="37"/>
      <c r="AF3492" s="37"/>
    </row>
    <row r="3493" spans="1:32" x14ac:dyDescent="0.25">
      <c r="A3493" s="37"/>
      <c r="B3493" s="37"/>
      <c r="C3493" s="37"/>
      <c r="F3493" s="38"/>
      <c r="G3493" s="38"/>
      <c r="H3493" s="38"/>
      <c r="I3493" s="37"/>
      <c r="J3493" s="38"/>
      <c r="K3493" s="38"/>
      <c r="L3493" s="42"/>
      <c r="M3493" s="42"/>
      <c r="N3493" s="42"/>
      <c r="O3493" s="42"/>
      <c r="R3493" s="37"/>
      <c r="S3493" s="37"/>
      <c r="T3493" s="91"/>
      <c r="U3493" s="91"/>
      <c r="V3493" s="41"/>
      <c r="W3493" s="37"/>
      <c r="X3493" s="37"/>
      <c r="Y3493" s="43"/>
      <c r="Z3493" s="37"/>
      <c r="AA3493" s="37"/>
      <c r="AD3493" s="37"/>
      <c r="AE3493" s="37"/>
      <c r="AF3493" s="37"/>
    </row>
    <row r="3494" spans="1:32" x14ac:dyDescent="0.25">
      <c r="A3494" s="37"/>
      <c r="B3494" s="37"/>
      <c r="C3494" s="37"/>
      <c r="F3494" s="38"/>
      <c r="G3494" s="38"/>
      <c r="H3494" s="38"/>
      <c r="I3494" s="37"/>
      <c r="J3494" s="38"/>
      <c r="K3494" s="38"/>
      <c r="L3494" s="42"/>
      <c r="M3494" s="42"/>
      <c r="N3494" s="42"/>
      <c r="O3494" s="42"/>
      <c r="R3494" s="37"/>
      <c r="S3494" s="37"/>
      <c r="T3494" s="91"/>
      <c r="U3494" s="91"/>
      <c r="V3494" s="41"/>
      <c r="W3494" s="37"/>
      <c r="X3494" s="37"/>
      <c r="Y3494" s="43"/>
      <c r="Z3494" s="37"/>
      <c r="AA3494" s="37"/>
      <c r="AD3494" s="37"/>
      <c r="AE3494" s="37"/>
      <c r="AF3494" s="37"/>
    </row>
    <row r="3495" spans="1:32" x14ac:dyDescent="0.25">
      <c r="A3495" s="37"/>
      <c r="B3495" s="37"/>
      <c r="C3495" s="37"/>
      <c r="F3495" s="38"/>
      <c r="G3495" s="38"/>
      <c r="H3495" s="38"/>
      <c r="I3495" s="37"/>
      <c r="J3495" s="38"/>
      <c r="K3495" s="38"/>
      <c r="L3495" s="42"/>
      <c r="M3495" s="42"/>
      <c r="N3495" s="42"/>
      <c r="O3495" s="42"/>
      <c r="R3495" s="37"/>
      <c r="S3495" s="37"/>
      <c r="T3495" s="91"/>
      <c r="U3495" s="91"/>
      <c r="V3495" s="41"/>
      <c r="W3495" s="37"/>
      <c r="X3495" s="37"/>
      <c r="Y3495" s="43"/>
      <c r="Z3495" s="37"/>
      <c r="AA3495" s="37"/>
      <c r="AD3495" s="37"/>
      <c r="AE3495" s="37"/>
      <c r="AF3495" s="37"/>
    </row>
    <row r="3496" spans="1:32" x14ac:dyDescent="0.25">
      <c r="A3496" s="37"/>
      <c r="B3496" s="37"/>
      <c r="C3496" s="37"/>
      <c r="F3496" s="38"/>
      <c r="G3496" s="38"/>
      <c r="H3496" s="38"/>
      <c r="I3496" s="37"/>
      <c r="J3496" s="38"/>
      <c r="K3496" s="38"/>
      <c r="L3496" s="42"/>
      <c r="M3496" s="42"/>
      <c r="N3496" s="42"/>
      <c r="O3496" s="42"/>
      <c r="R3496" s="37"/>
      <c r="S3496" s="37"/>
      <c r="T3496" s="91"/>
      <c r="U3496" s="91"/>
      <c r="V3496" s="41"/>
      <c r="W3496" s="37"/>
      <c r="X3496" s="37"/>
      <c r="Y3496" s="43"/>
      <c r="Z3496" s="37"/>
      <c r="AA3496" s="37"/>
      <c r="AD3496" s="37"/>
      <c r="AE3496" s="37"/>
      <c r="AF3496" s="37"/>
    </row>
    <row r="3497" spans="1:32" x14ac:dyDescent="0.25">
      <c r="A3497" s="37"/>
      <c r="B3497" s="37"/>
      <c r="C3497" s="37"/>
      <c r="F3497" s="38"/>
      <c r="G3497" s="38"/>
      <c r="H3497" s="38"/>
      <c r="I3497" s="37"/>
      <c r="J3497" s="38"/>
      <c r="K3497" s="38"/>
      <c r="L3497" s="42"/>
      <c r="M3497" s="42"/>
      <c r="N3497" s="42"/>
      <c r="O3497" s="42"/>
      <c r="R3497" s="37"/>
      <c r="S3497" s="37"/>
      <c r="T3497" s="91"/>
      <c r="U3497" s="91"/>
      <c r="V3497" s="41"/>
      <c r="W3497" s="37"/>
      <c r="X3497" s="37"/>
      <c r="Y3497" s="43"/>
      <c r="Z3497" s="37"/>
      <c r="AA3497" s="37"/>
      <c r="AD3497" s="37"/>
      <c r="AE3497" s="37"/>
      <c r="AF3497" s="37"/>
    </row>
    <row r="3498" spans="1:32" x14ac:dyDescent="0.25">
      <c r="A3498" s="37"/>
      <c r="B3498" s="37"/>
      <c r="C3498" s="37"/>
      <c r="F3498" s="38"/>
      <c r="G3498" s="38"/>
      <c r="H3498" s="38"/>
      <c r="I3498" s="37"/>
      <c r="J3498" s="38"/>
      <c r="K3498" s="38"/>
      <c r="L3498" s="42"/>
      <c r="M3498" s="42"/>
      <c r="N3498" s="42"/>
      <c r="O3498" s="42"/>
      <c r="R3498" s="37"/>
      <c r="S3498" s="37"/>
      <c r="T3498" s="91"/>
      <c r="U3498" s="91"/>
      <c r="V3498" s="41"/>
      <c r="W3498" s="37"/>
      <c r="X3498" s="37"/>
      <c r="Y3498" s="43"/>
      <c r="Z3498" s="37"/>
      <c r="AA3498" s="37"/>
      <c r="AD3498" s="37"/>
      <c r="AE3498" s="37"/>
      <c r="AF3498" s="37"/>
    </row>
    <row r="3499" spans="1:32" x14ac:dyDescent="0.25">
      <c r="A3499" s="37"/>
      <c r="B3499" s="37"/>
      <c r="C3499" s="37"/>
      <c r="F3499" s="38"/>
      <c r="G3499" s="38"/>
      <c r="H3499" s="38"/>
      <c r="I3499" s="37"/>
      <c r="J3499" s="38"/>
      <c r="K3499" s="38"/>
      <c r="L3499" s="42"/>
      <c r="M3499" s="42"/>
      <c r="N3499" s="42"/>
      <c r="O3499" s="42"/>
      <c r="R3499" s="37"/>
      <c r="S3499" s="37"/>
      <c r="T3499" s="91"/>
      <c r="U3499" s="91"/>
      <c r="V3499" s="41"/>
      <c r="W3499" s="37"/>
      <c r="X3499" s="37"/>
      <c r="Y3499" s="43"/>
      <c r="Z3499" s="37"/>
      <c r="AA3499" s="37"/>
      <c r="AD3499" s="37"/>
      <c r="AE3499" s="37"/>
      <c r="AF3499" s="37"/>
    </row>
    <row r="3500" spans="1:32" x14ac:dyDescent="0.25">
      <c r="A3500" s="37"/>
      <c r="B3500" s="37"/>
      <c r="C3500" s="37"/>
      <c r="F3500" s="38"/>
      <c r="G3500" s="38"/>
      <c r="H3500" s="38"/>
      <c r="I3500" s="37"/>
      <c r="J3500" s="38"/>
      <c r="K3500" s="38"/>
      <c r="L3500" s="42"/>
      <c r="M3500" s="42"/>
      <c r="N3500" s="42"/>
      <c r="O3500" s="42"/>
      <c r="R3500" s="37"/>
      <c r="S3500" s="37"/>
      <c r="T3500" s="91"/>
      <c r="U3500" s="91"/>
      <c r="V3500" s="41"/>
      <c r="W3500" s="37"/>
      <c r="X3500" s="37"/>
      <c r="Y3500" s="43"/>
      <c r="Z3500" s="37"/>
      <c r="AA3500" s="37"/>
      <c r="AD3500" s="37"/>
      <c r="AE3500" s="37"/>
      <c r="AF3500" s="37"/>
    </row>
    <row r="3501" spans="1:32" x14ac:dyDescent="0.25">
      <c r="A3501" s="37"/>
      <c r="B3501" s="37"/>
      <c r="C3501" s="37"/>
      <c r="F3501" s="38"/>
      <c r="G3501" s="38"/>
      <c r="H3501" s="38"/>
      <c r="I3501" s="37"/>
      <c r="J3501" s="38"/>
      <c r="K3501" s="38"/>
      <c r="L3501" s="42"/>
      <c r="M3501" s="42"/>
      <c r="N3501" s="42"/>
      <c r="O3501" s="42"/>
      <c r="R3501" s="37"/>
      <c r="S3501" s="37"/>
      <c r="T3501" s="91"/>
      <c r="U3501" s="91"/>
      <c r="V3501" s="41"/>
      <c r="W3501" s="37"/>
      <c r="X3501" s="37"/>
      <c r="Y3501" s="43"/>
      <c r="Z3501" s="37"/>
      <c r="AA3501" s="37"/>
      <c r="AD3501" s="37"/>
      <c r="AE3501" s="37"/>
      <c r="AF3501" s="37"/>
    </row>
    <row r="3502" spans="1:32" x14ac:dyDescent="0.25">
      <c r="A3502" s="37"/>
      <c r="B3502" s="37"/>
      <c r="C3502" s="37"/>
      <c r="F3502" s="38"/>
      <c r="G3502" s="38"/>
      <c r="H3502" s="38"/>
      <c r="I3502" s="37"/>
      <c r="J3502" s="38"/>
      <c r="K3502" s="38"/>
      <c r="L3502" s="42"/>
      <c r="M3502" s="42"/>
      <c r="N3502" s="42"/>
      <c r="O3502" s="42"/>
      <c r="R3502" s="37"/>
      <c r="S3502" s="37"/>
      <c r="T3502" s="91"/>
      <c r="U3502" s="91"/>
      <c r="V3502" s="41"/>
      <c r="W3502" s="37"/>
      <c r="X3502" s="37"/>
      <c r="Y3502" s="43"/>
      <c r="Z3502" s="37"/>
      <c r="AA3502" s="37"/>
      <c r="AD3502" s="37"/>
      <c r="AE3502" s="37"/>
      <c r="AF3502" s="37"/>
    </row>
    <row r="3503" spans="1:32" x14ac:dyDescent="0.25">
      <c r="A3503" s="37"/>
      <c r="B3503" s="37"/>
      <c r="C3503" s="37"/>
      <c r="F3503" s="38"/>
      <c r="G3503" s="38"/>
      <c r="H3503" s="38"/>
      <c r="I3503" s="37"/>
      <c r="J3503" s="38"/>
      <c r="K3503" s="38"/>
      <c r="L3503" s="42"/>
      <c r="M3503" s="42"/>
      <c r="N3503" s="42"/>
      <c r="O3503" s="42"/>
      <c r="R3503" s="37"/>
      <c r="S3503" s="37"/>
      <c r="T3503" s="91"/>
      <c r="U3503" s="91"/>
      <c r="V3503" s="41"/>
      <c r="W3503" s="37"/>
      <c r="X3503" s="37"/>
      <c r="Y3503" s="43"/>
      <c r="Z3503" s="37"/>
      <c r="AA3503" s="37"/>
      <c r="AD3503" s="37"/>
      <c r="AE3503" s="37"/>
      <c r="AF3503" s="37"/>
    </row>
    <row r="3504" spans="1:32" x14ac:dyDescent="0.25">
      <c r="A3504" s="37"/>
      <c r="B3504" s="37"/>
      <c r="C3504" s="37"/>
      <c r="F3504" s="38"/>
      <c r="G3504" s="38"/>
      <c r="H3504" s="38"/>
      <c r="I3504" s="37"/>
      <c r="J3504" s="38"/>
      <c r="K3504" s="38"/>
      <c r="L3504" s="42"/>
      <c r="M3504" s="42"/>
      <c r="N3504" s="42"/>
      <c r="O3504" s="42"/>
      <c r="R3504" s="37"/>
      <c r="S3504" s="37"/>
      <c r="T3504" s="91"/>
      <c r="U3504" s="91"/>
      <c r="V3504" s="41"/>
      <c r="W3504" s="37"/>
      <c r="X3504" s="37"/>
      <c r="Y3504" s="43"/>
      <c r="Z3504" s="37"/>
      <c r="AA3504" s="37"/>
      <c r="AD3504" s="37"/>
      <c r="AE3504" s="37"/>
      <c r="AF3504" s="37"/>
    </row>
    <row r="3505" spans="1:32" x14ac:dyDescent="0.25">
      <c r="A3505" s="37"/>
      <c r="B3505" s="37"/>
      <c r="C3505" s="37"/>
      <c r="F3505" s="38"/>
      <c r="G3505" s="38"/>
      <c r="H3505" s="38"/>
      <c r="I3505" s="37"/>
      <c r="J3505" s="38"/>
      <c r="K3505" s="38"/>
      <c r="L3505" s="42"/>
      <c r="M3505" s="42"/>
      <c r="N3505" s="42"/>
      <c r="O3505" s="42"/>
      <c r="R3505" s="37"/>
      <c r="S3505" s="37"/>
      <c r="T3505" s="91"/>
      <c r="U3505" s="91"/>
      <c r="V3505" s="41"/>
      <c r="W3505" s="37"/>
      <c r="X3505" s="37"/>
      <c r="Y3505" s="43"/>
      <c r="Z3505" s="37"/>
      <c r="AA3505" s="37"/>
      <c r="AD3505" s="37"/>
      <c r="AE3505" s="37"/>
      <c r="AF3505" s="37"/>
    </row>
    <row r="3506" spans="1:32" x14ac:dyDescent="0.25">
      <c r="A3506" s="37"/>
      <c r="B3506" s="37"/>
      <c r="C3506" s="37"/>
      <c r="F3506" s="38"/>
      <c r="G3506" s="38"/>
      <c r="H3506" s="38"/>
      <c r="I3506" s="37"/>
      <c r="J3506" s="38"/>
      <c r="K3506" s="38"/>
      <c r="L3506" s="42"/>
      <c r="M3506" s="42"/>
      <c r="N3506" s="42"/>
      <c r="O3506" s="42"/>
      <c r="R3506" s="37"/>
      <c r="S3506" s="37"/>
      <c r="T3506" s="91"/>
      <c r="U3506" s="91"/>
      <c r="V3506" s="41"/>
      <c r="W3506" s="37"/>
      <c r="X3506" s="37"/>
      <c r="Y3506" s="43"/>
      <c r="Z3506" s="37"/>
      <c r="AA3506" s="37"/>
      <c r="AD3506" s="37"/>
      <c r="AE3506" s="37"/>
      <c r="AF3506" s="37"/>
    </row>
    <row r="3507" spans="1:32" x14ac:dyDescent="0.25">
      <c r="A3507" s="37"/>
      <c r="B3507" s="37"/>
      <c r="C3507" s="37"/>
      <c r="F3507" s="38"/>
      <c r="G3507" s="38"/>
      <c r="H3507" s="38"/>
      <c r="I3507" s="37"/>
      <c r="J3507" s="38"/>
      <c r="K3507" s="38"/>
      <c r="L3507" s="42"/>
      <c r="M3507" s="42"/>
      <c r="N3507" s="42"/>
      <c r="O3507" s="42"/>
      <c r="R3507" s="37"/>
      <c r="S3507" s="37"/>
      <c r="T3507" s="91"/>
      <c r="U3507" s="91"/>
      <c r="V3507" s="41"/>
      <c r="W3507" s="37"/>
      <c r="X3507" s="37"/>
      <c r="Y3507" s="43"/>
      <c r="Z3507" s="37"/>
      <c r="AA3507" s="37"/>
      <c r="AD3507" s="37"/>
      <c r="AE3507" s="37"/>
      <c r="AF3507" s="37"/>
    </row>
    <row r="3508" spans="1:32" x14ac:dyDescent="0.25">
      <c r="A3508" s="37"/>
      <c r="B3508" s="37"/>
      <c r="C3508" s="37"/>
      <c r="F3508" s="38"/>
      <c r="G3508" s="38"/>
      <c r="H3508" s="38"/>
      <c r="I3508" s="37"/>
      <c r="J3508" s="38"/>
      <c r="K3508" s="38"/>
      <c r="L3508" s="42"/>
      <c r="M3508" s="42"/>
      <c r="N3508" s="42"/>
      <c r="O3508" s="42"/>
      <c r="R3508" s="37"/>
      <c r="S3508" s="37"/>
      <c r="T3508" s="91"/>
      <c r="U3508" s="91"/>
      <c r="V3508" s="41"/>
      <c r="W3508" s="37"/>
      <c r="X3508" s="37"/>
      <c r="Y3508" s="43"/>
      <c r="Z3508" s="37"/>
      <c r="AA3508" s="37"/>
      <c r="AD3508" s="37"/>
      <c r="AE3508" s="37"/>
      <c r="AF3508" s="37"/>
    </row>
    <row r="3509" spans="1:32" x14ac:dyDescent="0.25">
      <c r="A3509" s="37"/>
      <c r="B3509" s="37"/>
      <c r="C3509" s="37"/>
      <c r="F3509" s="38"/>
      <c r="G3509" s="38"/>
      <c r="H3509" s="38"/>
      <c r="I3509" s="37"/>
      <c r="J3509" s="38"/>
      <c r="K3509" s="38"/>
      <c r="L3509" s="42"/>
      <c r="M3509" s="42"/>
      <c r="N3509" s="42"/>
      <c r="O3509" s="42"/>
      <c r="R3509" s="37"/>
      <c r="S3509" s="37"/>
      <c r="T3509" s="91"/>
      <c r="U3509" s="91"/>
      <c r="V3509" s="41"/>
      <c r="W3509" s="37"/>
      <c r="X3509" s="37"/>
      <c r="Y3509" s="43"/>
      <c r="Z3509" s="37"/>
      <c r="AA3509" s="37"/>
      <c r="AD3509" s="37"/>
      <c r="AE3509" s="37"/>
      <c r="AF3509" s="37"/>
    </row>
    <row r="3510" spans="1:32" x14ac:dyDescent="0.25">
      <c r="A3510" s="37"/>
      <c r="B3510" s="37"/>
      <c r="C3510" s="37"/>
      <c r="F3510" s="38"/>
      <c r="G3510" s="38"/>
      <c r="H3510" s="38"/>
      <c r="I3510" s="37"/>
      <c r="J3510" s="38"/>
      <c r="K3510" s="38"/>
      <c r="L3510" s="42"/>
      <c r="M3510" s="42"/>
      <c r="N3510" s="42"/>
      <c r="O3510" s="42"/>
      <c r="R3510" s="37"/>
      <c r="S3510" s="37"/>
      <c r="T3510" s="91"/>
      <c r="U3510" s="91"/>
      <c r="V3510" s="41"/>
      <c r="W3510" s="37"/>
      <c r="X3510" s="37"/>
      <c r="Y3510" s="43"/>
      <c r="Z3510" s="37"/>
      <c r="AA3510" s="37"/>
      <c r="AD3510" s="37"/>
      <c r="AE3510" s="37"/>
      <c r="AF3510" s="37"/>
    </row>
    <row r="3511" spans="1:32" x14ac:dyDescent="0.25">
      <c r="A3511" s="37"/>
      <c r="B3511" s="37"/>
      <c r="C3511" s="37"/>
      <c r="F3511" s="38"/>
      <c r="G3511" s="38"/>
      <c r="H3511" s="38"/>
      <c r="I3511" s="37"/>
      <c r="J3511" s="38"/>
      <c r="K3511" s="38"/>
      <c r="L3511" s="42"/>
      <c r="M3511" s="42"/>
      <c r="N3511" s="42"/>
      <c r="O3511" s="42"/>
      <c r="R3511" s="37"/>
      <c r="S3511" s="37"/>
      <c r="T3511" s="91"/>
      <c r="U3511" s="91"/>
      <c r="V3511" s="41"/>
      <c r="W3511" s="37"/>
      <c r="X3511" s="37"/>
      <c r="Y3511" s="43"/>
      <c r="Z3511" s="37"/>
      <c r="AA3511" s="37"/>
      <c r="AD3511" s="37"/>
      <c r="AE3511" s="37"/>
      <c r="AF3511" s="37"/>
    </row>
    <row r="3512" spans="1:32" x14ac:dyDescent="0.25">
      <c r="A3512" s="37"/>
      <c r="B3512" s="37"/>
      <c r="C3512" s="37"/>
      <c r="F3512" s="38"/>
      <c r="G3512" s="38"/>
      <c r="H3512" s="38"/>
      <c r="I3512" s="37"/>
      <c r="J3512" s="38"/>
      <c r="K3512" s="38"/>
      <c r="L3512" s="42"/>
      <c r="M3512" s="42"/>
      <c r="N3512" s="42"/>
      <c r="O3512" s="42"/>
      <c r="R3512" s="37"/>
      <c r="S3512" s="37"/>
      <c r="T3512" s="91"/>
      <c r="U3512" s="91"/>
      <c r="V3512" s="41"/>
      <c r="W3512" s="37"/>
      <c r="X3512" s="37"/>
      <c r="Y3512" s="43"/>
      <c r="Z3512" s="37"/>
      <c r="AA3512" s="37"/>
      <c r="AD3512" s="37"/>
      <c r="AE3512" s="37"/>
      <c r="AF3512" s="37"/>
    </row>
    <row r="3513" spans="1:32" x14ac:dyDescent="0.25">
      <c r="A3513" s="37"/>
      <c r="B3513" s="37"/>
      <c r="C3513" s="37"/>
      <c r="F3513" s="38"/>
      <c r="G3513" s="38"/>
      <c r="H3513" s="38"/>
      <c r="I3513" s="37"/>
      <c r="J3513" s="38"/>
      <c r="K3513" s="38"/>
      <c r="L3513" s="42"/>
      <c r="M3513" s="42"/>
      <c r="N3513" s="42"/>
      <c r="O3513" s="42"/>
      <c r="R3513" s="37"/>
      <c r="S3513" s="37"/>
      <c r="T3513" s="91"/>
      <c r="U3513" s="91"/>
      <c r="V3513" s="41"/>
      <c r="W3513" s="37"/>
      <c r="X3513" s="37"/>
      <c r="Y3513" s="43"/>
      <c r="Z3513" s="37"/>
      <c r="AA3513" s="37"/>
      <c r="AD3513" s="37"/>
      <c r="AE3513" s="37"/>
      <c r="AF3513" s="37"/>
    </row>
    <row r="3514" spans="1:32" x14ac:dyDescent="0.25">
      <c r="A3514" s="37"/>
      <c r="B3514" s="37"/>
      <c r="C3514" s="37"/>
      <c r="F3514" s="38"/>
      <c r="G3514" s="38"/>
      <c r="H3514" s="38"/>
      <c r="I3514" s="37"/>
      <c r="J3514" s="38"/>
      <c r="K3514" s="38"/>
      <c r="L3514" s="42"/>
      <c r="M3514" s="42"/>
      <c r="N3514" s="42"/>
      <c r="O3514" s="42"/>
      <c r="R3514" s="37"/>
      <c r="S3514" s="37"/>
      <c r="T3514" s="91"/>
      <c r="U3514" s="91"/>
      <c r="V3514" s="41"/>
      <c r="W3514" s="37"/>
      <c r="X3514" s="37"/>
      <c r="Y3514" s="43"/>
      <c r="Z3514" s="37"/>
      <c r="AA3514" s="37"/>
      <c r="AD3514" s="37"/>
      <c r="AE3514" s="37"/>
      <c r="AF3514" s="37"/>
    </row>
    <row r="3515" spans="1:32" x14ac:dyDescent="0.25">
      <c r="A3515" s="37"/>
      <c r="B3515" s="37"/>
      <c r="C3515" s="37"/>
      <c r="F3515" s="38"/>
      <c r="G3515" s="38"/>
      <c r="H3515" s="38"/>
      <c r="I3515" s="37"/>
      <c r="J3515" s="38"/>
      <c r="K3515" s="38"/>
      <c r="L3515" s="42"/>
      <c r="M3515" s="42"/>
      <c r="N3515" s="42"/>
      <c r="O3515" s="42"/>
      <c r="R3515" s="37"/>
      <c r="S3515" s="37"/>
      <c r="T3515" s="91"/>
      <c r="U3515" s="91"/>
      <c r="V3515" s="41"/>
      <c r="W3515" s="37"/>
      <c r="X3515" s="37"/>
      <c r="Y3515" s="43"/>
      <c r="Z3515" s="37"/>
      <c r="AA3515" s="37"/>
      <c r="AD3515" s="37"/>
      <c r="AE3515" s="37"/>
      <c r="AF3515" s="37"/>
    </row>
    <row r="3516" spans="1:32" x14ac:dyDescent="0.25">
      <c r="A3516" s="37"/>
      <c r="B3516" s="37"/>
      <c r="C3516" s="37"/>
      <c r="F3516" s="38"/>
      <c r="G3516" s="38"/>
      <c r="H3516" s="38"/>
      <c r="I3516" s="37"/>
      <c r="J3516" s="38"/>
      <c r="K3516" s="38"/>
      <c r="L3516" s="42"/>
      <c r="M3516" s="42"/>
      <c r="N3516" s="42"/>
      <c r="O3516" s="42"/>
      <c r="R3516" s="37"/>
      <c r="S3516" s="37"/>
      <c r="T3516" s="91"/>
      <c r="U3516" s="91"/>
      <c r="V3516" s="41"/>
      <c r="W3516" s="37"/>
      <c r="X3516" s="37"/>
      <c r="Y3516" s="43"/>
      <c r="Z3516" s="37"/>
      <c r="AA3516" s="37"/>
      <c r="AD3516" s="37"/>
      <c r="AE3516" s="37"/>
      <c r="AF3516" s="37"/>
    </row>
    <row r="3517" spans="1:32" x14ac:dyDescent="0.25">
      <c r="A3517" s="37"/>
      <c r="B3517" s="37"/>
      <c r="C3517" s="37"/>
      <c r="F3517" s="38"/>
      <c r="G3517" s="38"/>
      <c r="H3517" s="38"/>
      <c r="I3517" s="37"/>
      <c r="J3517" s="38"/>
      <c r="K3517" s="38"/>
      <c r="L3517" s="42"/>
      <c r="M3517" s="42"/>
      <c r="N3517" s="42"/>
      <c r="O3517" s="42"/>
      <c r="R3517" s="37"/>
      <c r="S3517" s="37"/>
      <c r="T3517" s="91"/>
      <c r="U3517" s="91"/>
      <c r="V3517" s="41"/>
      <c r="W3517" s="37"/>
      <c r="X3517" s="37"/>
      <c r="Y3517" s="43"/>
      <c r="Z3517" s="37"/>
      <c r="AA3517" s="37"/>
      <c r="AD3517" s="37"/>
      <c r="AE3517" s="37"/>
      <c r="AF3517" s="37"/>
    </row>
    <row r="3518" spans="1:32" x14ac:dyDescent="0.25">
      <c r="A3518" s="37"/>
      <c r="B3518" s="37"/>
      <c r="C3518" s="37"/>
      <c r="F3518" s="38"/>
      <c r="G3518" s="38"/>
      <c r="H3518" s="38"/>
      <c r="I3518" s="37"/>
      <c r="J3518" s="38"/>
      <c r="K3518" s="38"/>
      <c r="L3518" s="42"/>
      <c r="M3518" s="42"/>
      <c r="N3518" s="42"/>
      <c r="O3518" s="42"/>
      <c r="R3518" s="37"/>
      <c r="S3518" s="37"/>
      <c r="T3518" s="91"/>
      <c r="U3518" s="91"/>
      <c r="V3518" s="41"/>
      <c r="W3518" s="37"/>
      <c r="X3518" s="37"/>
      <c r="Y3518" s="43"/>
      <c r="Z3518" s="37"/>
      <c r="AA3518" s="37"/>
      <c r="AD3518" s="37"/>
      <c r="AE3518" s="37"/>
      <c r="AF3518" s="37"/>
    </row>
    <row r="3519" spans="1:32" x14ac:dyDescent="0.25">
      <c r="A3519" s="37"/>
      <c r="B3519" s="37"/>
      <c r="C3519" s="37"/>
      <c r="F3519" s="38"/>
      <c r="G3519" s="38"/>
      <c r="H3519" s="38"/>
      <c r="I3519" s="37"/>
      <c r="J3519" s="38"/>
      <c r="K3519" s="38"/>
      <c r="L3519" s="42"/>
      <c r="M3519" s="42"/>
      <c r="N3519" s="42"/>
      <c r="O3519" s="42"/>
      <c r="R3519" s="37"/>
      <c r="S3519" s="37"/>
      <c r="T3519" s="91"/>
      <c r="U3519" s="91"/>
      <c r="V3519" s="41"/>
      <c r="W3519" s="37"/>
      <c r="X3519" s="37"/>
      <c r="Y3519" s="43"/>
      <c r="Z3519" s="37"/>
      <c r="AA3519" s="37"/>
      <c r="AD3519" s="37"/>
      <c r="AE3519" s="37"/>
      <c r="AF3519" s="37"/>
    </row>
    <row r="3520" spans="1:32" x14ac:dyDescent="0.25">
      <c r="A3520" s="37"/>
      <c r="B3520" s="37"/>
      <c r="C3520" s="37"/>
      <c r="F3520" s="38"/>
      <c r="G3520" s="38"/>
      <c r="H3520" s="38"/>
      <c r="I3520" s="37"/>
      <c r="J3520" s="38"/>
      <c r="K3520" s="38"/>
      <c r="L3520" s="42"/>
      <c r="M3520" s="42"/>
      <c r="N3520" s="42"/>
      <c r="O3520" s="42"/>
      <c r="R3520" s="37"/>
      <c r="S3520" s="37"/>
      <c r="T3520" s="91"/>
      <c r="U3520" s="91"/>
      <c r="V3520" s="41"/>
      <c r="W3520" s="37"/>
      <c r="X3520" s="37"/>
      <c r="Y3520" s="43"/>
      <c r="Z3520" s="37"/>
      <c r="AA3520" s="37"/>
      <c r="AD3520" s="37"/>
      <c r="AE3520" s="37"/>
      <c r="AF3520" s="37"/>
    </row>
    <row r="3521" spans="1:32" x14ac:dyDescent="0.25">
      <c r="A3521" s="37"/>
      <c r="B3521" s="37"/>
      <c r="C3521" s="37"/>
      <c r="F3521" s="38"/>
      <c r="G3521" s="38"/>
      <c r="H3521" s="38"/>
      <c r="I3521" s="37"/>
      <c r="J3521" s="38"/>
      <c r="K3521" s="38"/>
      <c r="L3521" s="42"/>
      <c r="M3521" s="42"/>
      <c r="N3521" s="42"/>
      <c r="O3521" s="42"/>
      <c r="R3521" s="37"/>
      <c r="S3521" s="37"/>
      <c r="T3521" s="91"/>
      <c r="U3521" s="91"/>
      <c r="V3521" s="41"/>
      <c r="W3521" s="37"/>
      <c r="X3521" s="37"/>
      <c r="Y3521" s="43"/>
      <c r="Z3521" s="37"/>
      <c r="AA3521" s="37"/>
      <c r="AD3521" s="37"/>
      <c r="AE3521" s="37"/>
      <c r="AF3521" s="37"/>
    </row>
    <row r="3522" spans="1:32" x14ac:dyDescent="0.25">
      <c r="A3522" s="37"/>
      <c r="B3522" s="37"/>
      <c r="C3522" s="37"/>
      <c r="F3522" s="38"/>
      <c r="G3522" s="38"/>
      <c r="H3522" s="38"/>
      <c r="I3522" s="37"/>
      <c r="J3522" s="38"/>
      <c r="K3522" s="38"/>
      <c r="L3522" s="42"/>
      <c r="M3522" s="42"/>
      <c r="N3522" s="42"/>
      <c r="O3522" s="42"/>
      <c r="R3522" s="37"/>
      <c r="S3522" s="37"/>
      <c r="T3522" s="91"/>
      <c r="U3522" s="91"/>
      <c r="V3522" s="41"/>
      <c r="W3522" s="37"/>
      <c r="X3522" s="37"/>
      <c r="Y3522" s="43"/>
      <c r="Z3522" s="37"/>
      <c r="AA3522" s="37"/>
      <c r="AD3522" s="37"/>
      <c r="AE3522" s="37"/>
      <c r="AF3522" s="37"/>
    </row>
    <row r="3523" spans="1:32" x14ac:dyDescent="0.25">
      <c r="A3523" s="37"/>
      <c r="B3523" s="37"/>
      <c r="C3523" s="37"/>
      <c r="F3523" s="38"/>
      <c r="G3523" s="38"/>
      <c r="H3523" s="38"/>
      <c r="I3523" s="37"/>
      <c r="J3523" s="38"/>
      <c r="K3523" s="38"/>
      <c r="L3523" s="42"/>
      <c r="M3523" s="42"/>
      <c r="N3523" s="42"/>
      <c r="O3523" s="42"/>
      <c r="R3523" s="37"/>
      <c r="S3523" s="37"/>
      <c r="T3523" s="91"/>
      <c r="U3523" s="91"/>
      <c r="V3523" s="41"/>
      <c r="W3523" s="37"/>
      <c r="X3523" s="37"/>
      <c r="Y3523" s="43"/>
      <c r="Z3523" s="37"/>
      <c r="AA3523" s="37"/>
      <c r="AD3523" s="37"/>
      <c r="AE3523" s="37"/>
      <c r="AF3523" s="37"/>
    </row>
    <row r="3524" spans="1:32" x14ac:dyDescent="0.25">
      <c r="A3524" s="37"/>
      <c r="B3524" s="37"/>
      <c r="C3524" s="37"/>
      <c r="F3524" s="38"/>
      <c r="G3524" s="38"/>
      <c r="H3524" s="38"/>
      <c r="I3524" s="37"/>
      <c r="J3524" s="38"/>
      <c r="K3524" s="38"/>
      <c r="L3524" s="42"/>
      <c r="M3524" s="42"/>
      <c r="N3524" s="42"/>
      <c r="O3524" s="42"/>
      <c r="R3524" s="37"/>
      <c r="S3524" s="37"/>
      <c r="T3524" s="91"/>
      <c r="U3524" s="91"/>
      <c r="V3524" s="41"/>
      <c r="W3524" s="37"/>
      <c r="X3524" s="37"/>
      <c r="Y3524" s="43"/>
      <c r="Z3524" s="37"/>
      <c r="AA3524" s="37"/>
      <c r="AD3524" s="37"/>
      <c r="AE3524" s="37"/>
      <c r="AF3524" s="37"/>
    </row>
    <row r="3525" spans="1:32" x14ac:dyDescent="0.25">
      <c r="A3525" s="37"/>
      <c r="B3525" s="37"/>
      <c r="C3525" s="37"/>
      <c r="F3525" s="38"/>
      <c r="G3525" s="38"/>
      <c r="H3525" s="38"/>
      <c r="I3525" s="37"/>
      <c r="J3525" s="38"/>
      <c r="K3525" s="38"/>
      <c r="L3525" s="42"/>
      <c r="M3525" s="42"/>
      <c r="N3525" s="42"/>
      <c r="O3525" s="42"/>
      <c r="R3525" s="37"/>
      <c r="S3525" s="37"/>
      <c r="T3525" s="91"/>
      <c r="U3525" s="91"/>
      <c r="V3525" s="41"/>
      <c r="W3525" s="37"/>
      <c r="X3525" s="37"/>
      <c r="Y3525" s="43"/>
      <c r="Z3525" s="37"/>
      <c r="AA3525" s="37"/>
      <c r="AD3525" s="37"/>
      <c r="AE3525" s="37"/>
      <c r="AF3525" s="37"/>
    </row>
    <row r="3526" spans="1:32" x14ac:dyDescent="0.25">
      <c r="A3526" s="37"/>
      <c r="B3526" s="37"/>
      <c r="C3526" s="37"/>
      <c r="F3526" s="38"/>
      <c r="G3526" s="38"/>
      <c r="H3526" s="38"/>
      <c r="I3526" s="37"/>
      <c r="J3526" s="38"/>
      <c r="K3526" s="38"/>
      <c r="L3526" s="42"/>
      <c r="M3526" s="42"/>
      <c r="N3526" s="42"/>
      <c r="O3526" s="42"/>
      <c r="R3526" s="37"/>
      <c r="S3526" s="37"/>
      <c r="T3526" s="91"/>
      <c r="U3526" s="91"/>
      <c r="V3526" s="41"/>
      <c r="W3526" s="37"/>
      <c r="X3526" s="37"/>
      <c r="Y3526" s="43"/>
      <c r="Z3526" s="37"/>
      <c r="AA3526" s="37"/>
      <c r="AD3526" s="37"/>
      <c r="AE3526" s="37"/>
      <c r="AF3526" s="37"/>
    </row>
    <row r="3527" spans="1:32" x14ac:dyDescent="0.25">
      <c r="A3527" s="37"/>
      <c r="B3527" s="37"/>
      <c r="C3527" s="37"/>
      <c r="F3527" s="38"/>
      <c r="G3527" s="38"/>
      <c r="H3527" s="38"/>
      <c r="I3527" s="37"/>
      <c r="J3527" s="38"/>
      <c r="K3527" s="38"/>
      <c r="L3527" s="42"/>
      <c r="M3527" s="42"/>
      <c r="N3527" s="42"/>
      <c r="O3527" s="42"/>
      <c r="R3527" s="37"/>
      <c r="S3527" s="37"/>
      <c r="T3527" s="91"/>
      <c r="U3527" s="91"/>
      <c r="V3527" s="41"/>
      <c r="W3527" s="37"/>
      <c r="X3527" s="37"/>
      <c r="Y3527" s="43"/>
      <c r="Z3527" s="37"/>
      <c r="AA3527" s="37"/>
      <c r="AD3527" s="37"/>
      <c r="AE3527" s="37"/>
      <c r="AF3527" s="37"/>
    </row>
    <row r="3528" spans="1:32" x14ac:dyDescent="0.25">
      <c r="A3528" s="37"/>
      <c r="B3528" s="37"/>
      <c r="C3528" s="37"/>
      <c r="F3528" s="38"/>
      <c r="G3528" s="38"/>
      <c r="H3528" s="38"/>
      <c r="I3528" s="37"/>
      <c r="J3528" s="38"/>
      <c r="K3528" s="38"/>
      <c r="L3528" s="42"/>
      <c r="M3528" s="42"/>
      <c r="N3528" s="42"/>
      <c r="O3528" s="42"/>
      <c r="R3528" s="37"/>
      <c r="S3528" s="37"/>
      <c r="T3528" s="91"/>
      <c r="U3528" s="91"/>
      <c r="V3528" s="41"/>
      <c r="W3528" s="37"/>
      <c r="X3528" s="37"/>
      <c r="Y3528" s="43"/>
      <c r="Z3528" s="37"/>
      <c r="AA3528" s="37"/>
      <c r="AD3528" s="37"/>
      <c r="AE3528" s="37"/>
      <c r="AF3528" s="37"/>
    </row>
    <row r="3529" spans="1:32" x14ac:dyDescent="0.25">
      <c r="A3529" s="37"/>
      <c r="B3529" s="37"/>
      <c r="C3529" s="37"/>
      <c r="F3529" s="38"/>
      <c r="G3529" s="38"/>
      <c r="H3529" s="38"/>
      <c r="I3529" s="37"/>
      <c r="J3529" s="38"/>
      <c r="K3529" s="38"/>
      <c r="L3529" s="42"/>
      <c r="M3529" s="42"/>
      <c r="N3529" s="42"/>
      <c r="O3529" s="42"/>
      <c r="R3529" s="37"/>
      <c r="S3529" s="37"/>
      <c r="T3529" s="91"/>
      <c r="U3529" s="91"/>
      <c r="V3529" s="41"/>
      <c r="W3529" s="37"/>
      <c r="X3529" s="37"/>
      <c r="Y3529" s="43"/>
      <c r="Z3529" s="37"/>
      <c r="AA3529" s="37"/>
      <c r="AD3529" s="37"/>
      <c r="AE3529" s="37"/>
      <c r="AF3529" s="37"/>
    </row>
    <row r="3530" spans="1:32" x14ac:dyDescent="0.25">
      <c r="A3530" s="37"/>
      <c r="B3530" s="37"/>
      <c r="C3530" s="37"/>
      <c r="F3530" s="38"/>
      <c r="G3530" s="38"/>
      <c r="H3530" s="38"/>
      <c r="I3530" s="37"/>
      <c r="J3530" s="38"/>
      <c r="K3530" s="38"/>
      <c r="L3530" s="42"/>
      <c r="M3530" s="42"/>
      <c r="N3530" s="42"/>
      <c r="O3530" s="42"/>
      <c r="R3530" s="37"/>
      <c r="S3530" s="37"/>
      <c r="T3530" s="91"/>
      <c r="U3530" s="91"/>
      <c r="V3530" s="41"/>
      <c r="W3530" s="37"/>
      <c r="X3530" s="37"/>
      <c r="Y3530" s="43"/>
      <c r="Z3530" s="37"/>
      <c r="AA3530" s="37"/>
      <c r="AD3530" s="37"/>
      <c r="AE3530" s="37"/>
      <c r="AF3530" s="37"/>
    </row>
    <row r="3531" spans="1:32" x14ac:dyDescent="0.25">
      <c r="A3531" s="37"/>
      <c r="B3531" s="37"/>
      <c r="C3531" s="37"/>
      <c r="F3531" s="38"/>
      <c r="G3531" s="38"/>
      <c r="H3531" s="38"/>
      <c r="I3531" s="37"/>
      <c r="J3531" s="38"/>
      <c r="K3531" s="38"/>
      <c r="L3531" s="42"/>
      <c r="M3531" s="42"/>
      <c r="N3531" s="42"/>
      <c r="O3531" s="42"/>
      <c r="R3531" s="37"/>
      <c r="S3531" s="37"/>
      <c r="T3531" s="91"/>
      <c r="U3531" s="91"/>
      <c r="V3531" s="41"/>
      <c r="W3531" s="37"/>
      <c r="X3531" s="37"/>
      <c r="Y3531" s="43"/>
      <c r="Z3531" s="37"/>
      <c r="AA3531" s="37"/>
      <c r="AD3531" s="37"/>
      <c r="AE3531" s="37"/>
      <c r="AF3531" s="37"/>
    </row>
    <row r="3532" spans="1:32" x14ac:dyDescent="0.25">
      <c r="A3532" s="37"/>
      <c r="B3532" s="37"/>
      <c r="C3532" s="37"/>
      <c r="F3532" s="38"/>
      <c r="G3532" s="38"/>
      <c r="H3532" s="38"/>
      <c r="I3532" s="37"/>
      <c r="J3532" s="38"/>
      <c r="K3532" s="38"/>
      <c r="L3532" s="42"/>
      <c r="M3532" s="42"/>
      <c r="N3532" s="42"/>
      <c r="O3532" s="42"/>
      <c r="R3532" s="37"/>
      <c r="S3532" s="37"/>
      <c r="T3532" s="91"/>
      <c r="U3532" s="91"/>
      <c r="V3532" s="41"/>
      <c r="W3532" s="37"/>
      <c r="X3532" s="37"/>
      <c r="Y3532" s="43"/>
      <c r="Z3532" s="37"/>
      <c r="AA3532" s="37"/>
      <c r="AD3532" s="37"/>
      <c r="AE3532" s="37"/>
      <c r="AF3532" s="37"/>
    </row>
    <row r="3533" spans="1:32" x14ac:dyDescent="0.25">
      <c r="A3533" s="37"/>
      <c r="B3533" s="37"/>
      <c r="C3533" s="37"/>
      <c r="F3533" s="38"/>
      <c r="G3533" s="38"/>
      <c r="H3533" s="38"/>
      <c r="I3533" s="37"/>
      <c r="J3533" s="38"/>
      <c r="K3533" s="38"/>
      <c r="L3533" s="42"/>
      <c r="M3533" s="42"/>
      <c r="N3533" s="42"/>
      <c r="O3533" s="42"/>
      <c r="R3533" s="37"/>
      <c r="S3533" s="37"/>
      <c r="T3533" s="91"/>
      <c r="U3533" s="91"/>
      <c r="V3533" s="41"/>
      <c r="W3533" s="37"/>
      <c r="X3533" s="37"/>
      <c r="Y3533" s="43"/>
      <c r="Z3533" s="37"/>
      <c r="AA3533" s="37"/>
      <c r="AD3533" s="37"/>
      <c r="AE3533" s="37"/>
      <c r="AF3533" s="37"/>
    </row>
    <row r="3534" spans="1:32" x14ac:dyDescent="0.25">
      <c r="A3534" s="37"/>
      <c r="B3534" s="37"/>
      <c r="C3534" s="37"/>
      <c r="F3534" s="38"/>
      <c r="G3534" s="38"/>
      <c r="H3534" s="38"/>
      <c r="I3534" s="37"/>
      <c r="J3534" s="38"/>
      <c r="K3534" s="38"/>
      <c r="L3534" s="42"/>
      <c r="M3534" s="42"/>
      <c r="N3534" s="42"/>
      <c r="O3534" s="42"/>
      <c r="R3534" s="37"/>
      <c r="S3534" s="37"/>
      <c r="T3534" s="91"/>
      <c r="U3534" s="91"/>
      <c r="V3534" s="41"/>
      <c r="W3534" s="37"/>
      <c r="X3534" s="37"/>
      <c r="Y3534" s="43"/>
      <c r="Z3534" s="37"/>
      <c r="AA3534" s="37"/>
      <c r="AD3534" s="37"/>
      <c r="AE3534" s="37"/>
      <c r="AF3534" s="37"/>
    </row>
    <row r="3535" spans="1:32" x14ac:dyDescent="0.25">
      <c r="A3535" s="37"/>
      <c r="B3535" s="37"/>
      <c r="C3535" s="37"/>
      <c r="F3535" s="38"/>
      <c r="G3535" s="38"/>
      <c r="H3535" s="38"/>
      <c r="I3535" s="37"/>
      <c r="J3535" s="38"/>
      <c r="K3535" s="38"/>
      <c r="L3535" s="42"/>
      <c r="M3535" s="42"/>
      <c r="N3535" s="42"/>
      <c r="O3535" s="42"/>
      <c r="R3535" s="37"/>
      <c r="S3535" s="37"/>
      <c r="T3535" s="91"/>
      <c r="U3535" s="91"/>
      <c r="V3535" s="41"/>
      <c r="W3535" s="37"/>
      <c r="X3535" s="37"/>
      <c r="Y3535" s="43"/>
      <c r="Z3535" s="37"/>
      <c r="AA3535" s="37"/>
      <c r="AD3535" s="37"/>
      <c r="AE3535" s="37"/>
      <c r="AF3535" s="37"/>
    </row>
    <row r="3536" spans="1:32" x14ac:dyDescent="0.25">
      <c r="A3536" s="37"/>
      <c r="B3536" s="37"/>
      <c r="C3536" s="37"/>
      <c r="F3536" s="38"/>
      <c r="G3536" s="38"/>
      <c r="H3536" s="38"/>
      <c r="I3536" s="37"/>
      <c r="J3536" s="38"/>
      <c r="K3536" s="38"/>
      <c r="L3536" s="42"/>
      <c r="M3536" s="42"/>
      <c r="N3536" s="42"/>
      <c r="O3536" s="42"/>
      <c r="R3536" s="37"/>
      <c r="S3536" s="37"/>
      <c r="T3536" s="91"/>
      <c r="U3536" s="91"/>
      <c r="V3536" s="41"/>
      <c r="W3536" s="37"/>
      <c r="X3536" s="37"/>
      <c r="Y3536" s="43"/>
      <c r="Z3536" s="37"/>
      <c r="AA3536" s="37"/>
      <c r="AD3536" s="37"/>
      <c r="AE3536" s="37"/>
      <c r="AF3536" s="37"/>
    </row>
    <row r="3537" spans="1:32" x14ac:dyDescent="0.25">
      <c r="A3537" s="37"/>
      <c r="B3537" s="37"/>
      <c r="C3537" s="37"/>
      <c r="F3537" s="38"/>
      <c r="G3537" s="38"/>
      <c r="H3537" s="38"/>
      <c r="I3537" s="37"/>
      <c r="J3537" s="38"/>
      <c r="K3537" s="38"/>
      <c r="L3537" s="42"/>
      <c r="M3537" s="42"/>
      <c r="N3537" s="42"/>
      <c r="O3537" s="42"/>
      <c r="R3537" s="37"/>
      <c r="S3537" s="37"/>
      <c r="T3537" s="91"/>
      <c r="U3537" s="91"/>
      <c r="V3537" s="41"/>
      <c r="W3537" s="37"/>
      <c r="X3537" s="37"/>
      <c r="Y3537" s="43"/>
      <c r="Z3537" s="37"/>
      <c r="AA3537" s="37"/>
      <c r="AD3537" s="37"/>
      <c r="AE3537" s="37"/>
      <c r="AF3537" s="37"/>
    </row>
    <row r="3538" spans="1:32" x14ac:dyDescent="0.25">
      <c r="A3538" s="37"/>
      <c r="B3538" s="37"/>
      <c r="C3538" s="37"/>
      <c r="F3538" s="38"/>
      <c r="G3538" s="38"/>
      <c r="H3538" s="38"/>
      <c r="I3538" s="37"/>
      <c r="J3538" s="38"/>
      <c r="K3538" s="38"/>
      <c r="L3538" s="42"/>
      <c r="M3538" s="42"/>
      <c r="N3538" s="42"/>
      <c r="O3538" s="42"/>
      <c r="R3538" s="37"/>
      <c r="S3538" s="37"/>
      <c r="T3538" s="91"/>
      <c r="U3538" s="91"/>
      <c r="V3538" s="41"/>
      <c r="W3538" s="37"/>
      <c r="X3538" s="37"/>
      <c r="Y3538" s="43"/>
      <c r="Z3538" s="37"/>
      <c r="AA3538" s="37"/>
      <c r="AD3538" s="37"/>
      <c r="AE3538" s="37"/>
      <c r="AF3538" s="37"/>
    </row>
    <row r="3539" spans="1:32" x14ac:dyDescent="0.25">
      <c r="A3539" s="37"/>
      <c r="B3539" s="37"/>
      <c r="C3539" s="37"/>
      <c r="F3539" s="38"/>
      <c r="G3539" s="38"/>
      <c r="H3539" s="38"/>
      <c r="I3539" s="37"/>
      <c r="J3539" s="38"/>
      <c r="K3539" s="38"/>
      <c r="L3539" s="42"/>
      <c r="M3539" s="42"/>
      <c r="N3539" s="42"/>
      <c r="O3539" s="42"/>
      <c r="R3539" s="37"/>
      <c r="S3539" s="37"/>
      <c r="T3539" s="91"/>
      <c r="U3539" s="91"/>
      <c r="V3539" s="41"/>
      <c r="W3539" s="37"/>
      <c r="X3539" s="37"/>
      <c r="Y3539" s="43"/>
      <c r="Z3539" s="37"/>
      <c r="AA3539" s="37"/>
      <c r="AD3539" s="37"/>
      <c r="AE3539" s="37"/>
      <c r="AF3539" s="37"/>
    </row>
    <row r="3540" spans="1:32" x14ac:dyDescent="0.25">
      <c r="A3540" s="37"/>
      <c r="B3540" s="37"/>
      <c r="C3540" s="37"/>
      <c r="F3540" s="38"/>
      <c r="G3540" s="38"/>
      <c r="H3540" s="38"/>
      <c r="I3540" s="37"/>
      <c r="J3540" s="38"/>
      <c r="K3540" s="38"/>
      <c r="L3540" s="42"/>
      <c r="M3540" s="42"/>
      <c r="N3540" s="42"/>
      <c r="O3540" s="42"/>
      <c r="R3540" s="37"/>
      <c r="S3540" s="37"/>
      <c r="T3540" s="91"/>
      <c r="U3540" s="91"/>
      <c r="V3540" s="41"/>
      <c r="W3540" s="37"/>
      <c r="X3540" s="37"/>
      <c r="Y3540" s="43"/>
      <c r="Z3540" s="37"/>
      <c r="AA3540" s="37"/>
      <c r="AD3540" s="37"/>
      <c r="AE3540" s="37"/>
      <c r="AF3540" s="37"/>
    </row>
    <row r="3541" spans="1:32" x14ac:dyDescent="0.25">
      <c r="A3541" s="37"/>
      <c r="B3541" s="37"/>
      <c r="C3541" s="37"/>
      <c r="F3541" s="38"/>
      <c r="G3541" s="38"/>
      <c r="H3541" s="38"/>
      <c r="I3541" s="37"/>
      <c r="J3541" s="38"/>
      <c r="K3541" s="38"/>
      <c r="L3541" s="42"/>
      <c r="M3541" s="42"/>
      <c r="N3541" s="42"/>
      <c r="O3541" s="42"/>
      <c r="R3541" s="37"/>
      <c r="S3541" s="37"/>
      <c r="T3541" s="91"/>
      <c r="U3541" s="91"/>
      <c r="V3541" s="41"/>
      <c r="W3541" s="37"/>
      <c r="X3541" s="37"/>
      <c r="Y3541" s="43"/>
      <c r="Z3541" s="37"/>
      <c r="AA3541" s="37"/>
      <c r="AD3541" s="37"/>
      <c r="AE3541" s="37"/>
      <c r="AF3541" s="37"/>
    </row>
    <row r="3542" spans="1:32" x14ac:dyDescent="0.25">
      <c r="A3542" s="37"/>
      <c r="B3542" s="37"/>
      <c r="C3542" s="37"/>
      <c r="F3542" s="38"/>
      <c r="G3542" s="38"/>
      <c r="H3542" s="38"/>
      <c r="I3542" s="37"/>
      <c r="J3542" s="38"/>
      <c r="K3542" s="38"/>
      <c r="L3542" s="42"/>
      <c r="M3542" s="42"/>
      <c r="N3542" s="42"/>
      <c r="O3542" s="42"/>
      <c r="R3542" s="37"/>
      <c r="S3542" s="37"/>
      <c r="T3542" s="91"/>
      <c r="U3542" s="91"/>
      <c r="V3542" s="41"/>
      <c r="W3542" s="37"/>
      <c r="X3542" s="37"/>
      <c r="Y3542" s="43"/>
      <c r="Z3542" s="37"/>
      <c r="AA3542" s="37"/>
      <c r="AD3542" s="37"/>
      <c r="AE3542" s="37"/>
      <c r="AF3542" s="37"/>
    </row>
    <row r="3543" spans="1:32" x14ac:dyDescent="0.25">
      <c r="A3543" s="37"/>
      <c r="B3543" s="37"/>
      <c r="C3543" s="37"/>
      <c r="F3543" s="38"/>
      <c r="G3543" s="38"/>
      <c r="H3543" s="38"/>
      <c r="I3543" s="37"/>
      <c r="J3543" s="38"/>
      <c r="K3543" s="38"/>
      <c r="L3543" s="42"/>
      <c r="M3543" s="42"/>
      <c r="N3543" s="42"/>
      <c r="O3543" s="42"/>
      <c r="R3543" s="37"/>
      <c r="S3543" s="37"/>
      <c r="T3543" s="91"/>
      <c r="U3543" s="91"/>
      <c r="V3543" s="41"/>
      <c r="W3543" s="37"/>
      <c r="X3543" s="37"/>
      <c r="Y3543" s="43"/>
      <c r="Z3543" s="37"/>
      <c r="AA3543" s="37"/>
      <c r="AD3543" s="37"/>
      <c r="AE3543" s="37"/>
      <c r="AF3543" s="37"/>
    </row>
    <row r="3544" spans="1:32" x14ac:dyDescent="0.25">
      <c r="A3544" s="37"/>
      <c r="B3544" s="37"/>
      <c r="C3544" s="37"/>
      <c r="F3544" s="38"/>
      <c r="G3544" s="38"/>
      <c r="H3544" s="38"/>
      <c r="I3544" s="37"/>
      <c r="J3544" s="38"/>
      <c r="K3544" s="38"/>
      <c r="L3544" s="42"/>
      <c r="M3544" s="42"/>
      <c r="N3544" s="42"/>
      <c r="O3544" s="42"/>
      <c r="R3544" s="37"/>
      <c r="S3544" s="37"/>
      <c r="T3544" s="91"/>
      <c r="U3544" s="91"/>
      <c r="V3544" s="41"/>
      <c r="W3544" s="37"/>
      <c r="X3544" s="37"/>
      <c r="Y3544" s="43"/>
      <c r="Z3544" s="37"/>
      <c r="AA3544" s="37"/>
      <c r="AD3544" s="37"/>
      <c r="AE3544" s="37"/>
      <c r="AF3544" s="37"/>
    </row>
    <row r="3545" spans="1:32" x14ac:dyDescent="0.25">
      <c r="A3545" s="37"/>
      <c r="B3545" s="37"/>
      <c r="C3545" s="37"/>
      <c r="F3545" s="38"/>
      <c r="G3545" s="38"/>
      <c r="H3545" s="38"/>
      <c r="I3545" s="37"/>
      <c r="J3545" s="38"/>
      <c r="K3545" s="38"/>
      <c r="L3545" s="42"/>
      <c r="M3545" s="42"/>
      <c r="N3545" s="42"/>
      <c r="O3545" s="42"/>
      <c r="R3545" s="37"/>
      <c r="S3545" s="37"/>
      <c r="T3545" s="91"/>
      <c r="U3545" s="91"/>
      <c r="V3545" s="41"/>
      <c r="W3545" s="37"/>
      <c r="X3545" s="37"/>
      <c r="Y3545" s="43"/>
      <c r="Z3545" s="37"/>
      <c r="AA3545" s="37"/>
      <c r="AD3545" s="37"/>
      <c r="AE3545" s="37"/>
      <c r="AF3545" s="37"/>
    </row>
    <row r="3546" spans="1:32" x14ac:dyDescent="0.25">
      <c r="A3546" s="37"/>
      <c r="B3546" s="37"/>
      <c r="C3546" s="37"/>
      <c r="F3546" s="38"/>
      <c r="G3546" s="38"/>
      <c r="H3546" s="38"/>
      <c r="I3546" s="37"/>
      <c r="J3546" s="38"/>
      <c r="K3546" s="38"/>
      <c r="L3546" s="42"/>
      <c r="M3546" s="42"/>
      <c r="N3546" s="42"/>
      <c r="O3546" s="42"/>
      <c r="R3546" s="37"/>
      <c r="S3546" s="37"/>
      <c r="T3546" s="91"/>
      <c r="U3546" s="91"/>
      <c r="V3546" s="41"/>
      <c r="W3546" s="37"/>
      <c r="X3546" s="37"/>
      <c r="Y3546" s="43"/>
      <c r="Z3546" s="37"/>
      <c r="AA3546" s="37"/>
      <c r="AD3546" s="37"/>
      <c r="AE3546" s="37"/>
      <c r="AF3546" s="37"/>
    </row>
    <row r="3547" spans="1:32" x14ac:dyDescent="0.25">
      <c r="A3547" s="37"/>
      <c r="B3547" s="37"/>
      <c r="C3547" s="37"/>
      <c r="F3547" s="38"/>
      <c r="G3547" s="38"/>
      <c r="H3547" s="38"/>
      <c r="I3547" s="37"/>
      <c r="J3547" s="38"/>
      <c r="K3547" s="38"/>
      <c r="L3547" s="42"/>
      <c r="M3547" s="42"/>
      <c r="N3547" s="42"/>
      <c r="O3547" s="42"/>
      <c r="R3547" s="37"/>
      <c r="S3547" s="37"/>
      <c r="T3547" s="91"/>
      <c r="U3547" s="91"/>
      <c r="V3547" s="41"/>
      <c r="W3547" s="37"/>
      <c r="X3547" s="37"/>
      <c r="Y3547" s="43"/>
      <c r="Z3547" s="37"/>
      <c r="AA3547" s="37"/>
      <c r="AD3547" s="37"/>
      <c r="AE3547" s="37"/>
      <c r="AF3547" s="37"/>
    </row>
    <row r="3548" spans="1:32" x14ac:dyDescent="0.25">
      <c r="A3548" s="37"/>
      <c r="B3548" s="37"/>
      <c r="C3548" s="37"/>
      <c r="F3548" s="38"/>
      <c r="G3548" s="38"/>
      <c r="H3548" s="38"/>
      <c r="I3548" s="37"/>
      <c r="J3548" s="38"/>
      <c r="K3548" s="38"/>
      <c r="L3548" s="42"/>
      <c r="M3548" s="42"/>
      <c r="N3548" s="42"/>
      <c r="O3548" s="42"/>
      <c r="R3548" s="37"/>
      <c r="S3548" s="37"/>
      <c r="T3548" s="91"/>
      <c r="U3548" s="91"/>
      <c r="V3548" s="41"/>
      <c r="W3548" s="37"/>
      <c r="X3548" s="37"/>
      <c r="Y3548" s="43"/>
      <c r="Z3548" s="37"/>
      <c r="AA3548" s="37"/>
      <c r="AD3548" s="37"/>
      <c r="AE3548" s="37"/>
      <c r="AF3548" s="37"/>
    </row>
    <row r="3549" spans="1:32" x14ac:dyDescent="0.25">
      <c r="A3549" s="37"/>
      <c r="B3549" s="37"/>
      <c r="C3549" s="37"/>
      <c r="F3549" s="38"/>
      <c r="G3549" s="38"/>
      <c r="H3549" s="38"/>
      <c r="I3549" s="37"/>
      <c r="J3549" s="38"/>
      <c r="K3549" s="38"/>
      <c r="L3549" s="42"/>
      <c r="M3549" s="42"/>
      <c r="N3549" s="42"/>
      <c r="O3549" s="42"/>
      <c r="R3549" s="37"/>
      <c r="S3549" s="37"/>
      <c r="T3549" s="91"/>
      <c r="U3549" s="91"/>
      <c r="V3549" s="41"/>
      <c r="W3549" s="37"/>
      <c r="X3549" s="37"/>
      <c r="Y3549" s="43"/>
      <c r="Z3549" s="37"/>
      <c r="AA3549" s="37"/>
      <c r="AD3549" s="37"/>
      <c r="AE3549" s="37"/>
      <c r="AF3549" s="37"/>
    </row>
    <row r="3550" spans="1:32" x14ac:dyDescent="0.25">
      <c r="A3550" s="37"/>
      <c r="B3550" s="37"/>
      <c r="C3550" s="37"/>
      <c r="F3550" s="38"/>
      <c r="G3550" s="38"/>
      <c r="H3550" s="38"/>
      <c r="I3550" s="37"/>
      <c r="J3550" s="38"/>
      <c r="K3550" s="38"/>
      <c r="L3550" s="42"/>
      <c r="M3550" s="42"/>
      <c r="N3550" s="42"/>
      <c r="O3550" s="42"/>
      <c r="R3550" s="37"/>
      <c r="S3550" s="37"/>
      <c r="T3550" s="91"/>
      <c r="U3550" s="91"/>
      <c r="V3550" s="41"/>
      <c r="W3550" s="37"/>
      <c r="X3550" s="37"/>
      <c r="Y3550" s="43"/>
      <c r="Z3550" s="37"/>
      <c r="AA3550" s="37"/>
      <c r="AD3550" s="37"/>
      <c r="AE3550" s="37"/>
      <c r="AF3550" s="37"/>
    </row>
    <row r="3551" spans="1:32" x14ac:dyDescent="0.25">
      <c r="A3551" s="37"/>
      <c r="B3551" s="37"/>
      <c r="C3551" s="37"/>
      <c r="F3551" s="38"/>
      <c r="G3551" s="38"/>
      <c r="H3551" s="38"/>
      <c r="I3551" s="37"/>
      <c r="J3551" s="38"/>
      <c r="K3551" s="38"/>
      <c r="L3551" s="42"/>
      <c r="M3551" s="42"/>
      <c r="N3551" s="42"/>
      <c r="O3551" s="42"/>
      <c r="R3551" s="37"/>
      <c r="S3551" s="37"/>
      <c r="T3551" s="91"/>
      <c r="U3551" s="91"/>
      <c r="V3551" s="41"/>
      <c r="W3551" s="37"/>
      <c r="X3551" s="37"/>
      <c r="Y3551" s="43"/>
      <c r="Z3551" s="37"/>
      <c r="AA3551" s="37"/>
      <c r="AD3551" s="37"/>
      <c r="AE3551" s="37"/>
      <c r="AF3551" s="37"/>
    </row>
    <row r="3552" spans="1:32" x14ac:dyDescent="0.25">
      <c r="A3552" s="37"/>
      <c r="B3552" s="37"/>
      <c r="C3552" s="37"/>
      <c r="F3552" s="38"/>
      <c r="G3552" s="38"/>
      <c r="H3552" s="38"/>
      <c r="I3552" s="37"/>
      <c r="J3552" s="38"/>
      <c r="K3552" s="38"/>
      <c r="L3552" s="42"/>
      <c r="M3552" s="42"/>
      <c r="N3552" s="42"/>
      <c r="O3552" s="42"/>
      <c r="R3552" s="37"/>
      <c r="S3552" s="37"/>
      <c r="T3552" s="91"/>
      <c r="U3552" s="91"/>
      <c r="V3552" s="41"/>
      <c r="W3552" s="37"/>
      <c r="X3552" s="37"/>
      <c r="Y3552" s="43"/>
      <c r="Z3552" s="37"/>
      <c r="AA3552" s="37"/>
      <c r="AD3552" s="37"/>
      <c r="AE3552" s="37"/>
      <c r="AF3552" s="37"/>
    </row>
    <row r="3553" spans="1:32" x14ac:dyDescent="0.25">
      <c r="A3553" s="37"/>
      <c r="B3553" s="37"/>
      <c r="C3553" s="37"/>
      <c r="F3553" s="38"/>
      <c r="G3553" s="38"/>
      <c r="H3553" s="38"/>
      <c r="I3553" s="37"/>
      <c r="J3553" s="38"/>
      <c r="K3553" s="38"/>
      <c r="L3553" s="42"/>
      <c r="M3553" s="42"/>
      <c r="N3553" s="42"/>
      <c r="O3553" s="42"/>
      <c r="R3553" s="37"/>
      <c r="S3553" s="37"/>
      <c r="T3553" s="91"/>
      <c r="U3553" s="91"/>
      <c r="V3553" s="41"/>
      <c r="W3553" s="37"/>
      <c r="X3553" s="37"/>
      <c r="Y3553" s="43"/>
      <c r="Z3553" s="37"/>
      <c r="AA3553" s="37"/>
      <c r="AD3553" s="37"/>
      <c r="AE3553" s="37"/>
      <c r="AF3553" s="37"/>
    </row>
    <row r="3554" spans="1:32" x14ac:dyDescent="0.25">
      <c r="A3554" s="37"/>
      <c r="B3554" s="37"/>
      <c r="C3554" s="37"/>
      <c r="F3554" s="38"/>
      <c r="G3554" s="38"/>
      <c r="H3554" s="38"/>
      <c r="I3554" s="37"/>
      <c r="J3554" s="38"/>
      <c r="K3554" s="38"/>
      <c r="L3554" s="42"/>
      <c r="M3554" s="42"/>
      <c r="N3554" s="42"/>
      <c r="O3554" s="42"/>
      <c r="R3554" s="37"/>
      <c r="S3554" s="37"/>
      <c r="T3554" s="91"/>
      <c r="U3554" s="91"/>
      <c r="V3554" s="41"/>
      <c r="W3554" s="37"/>
      <c r="X3554" s="37"/>
      <c r="Y3554" s="43"/>
      <c r="Z3554" s="37"/>
      <c r="AA3554" s="37"/>
      <c r="AD3554" s="37"/>
      <c r="AE3554" s="37"/>
      <c r="AF3554" s="37"/>
    </row>
    <row r="3555" spans="1:32" x14ac:dyDescent="0.25">
      <c r="A3555" s="37"/>
      <c r="B3555" s="37"/>
      <c r="C3555" s="37"/>
      <c r="F3555" s="38"/>
      <c r="G3555" s="38"/>
      <c r="H3555" s="38"/>
      <c r="I3555" s="37"/>
      <c r="J3555" s="38"/>
      <c r="K3555" s="38"/>
      <c r="L3555" s="42"/>
      <c r="M3555" s="42"/>
      <c r="N3555" s="42"/>
      <c r="O3555" s="42"/>
      <c r="R3555" s="37"/>
      <c r="S3555" s="37"/>
      <c r="T3555" s="91"/>
      <c r="U3555" s="91"/>
      <c r="V3555" s="41"/>
      <c r="W3555" s="37"/>
      <c r="X3555" s="37"/>
      <c r="Y3555" s="43"/>
      <c r="Z3555" s="37"/>
      <c r="AA3555" s="37"/>
      <c r="AD3555" s="37"/>
      <c r="AE3555" s="37"/>
      <c r="AF3555" s="37"/>
    </row>
    <row r="3556" spans="1:32" x14ac:dyDescent="0.25">
      <c r="A3556" s="37"/>
      <c r="B3556" s="37"/>
      <c r="C3556" s="37"/>
      <c r="F3556" s="38"/>
      <c r="G3556" s="38"/>
      <c r="H3556" s="38"/>
      <c r="I3556" s="37"/>
      <c r="J3556" s="38"/>
      <c r="K3556" s="38"/>
      <c r="L3556" s="42"/>
      <c r="M3556" s="42"/>
      <c r="N3556" s="42"/>
      <c r="O3556" s="42"/>
      <c r="R3556" s="37"/>
      <c r="S3556" s="37"/>
      <c r="T3556" s="91"/>
      <c r="U3556" s="91"/>
      <c r="V3556" s="41"/>
      <c r="W3556" s="37"/>
      <c r="X3556" s="37"/>
      <c r="Y3556" s="43"/>
      <c r="Z3556" s="37"/>
      <c r="AA3556" s="37"/>
      <c r="AD3556" s="37"/>
      <c r="AE3556" s="37"/>
      <c r="AF3556" s="37"/>
    </row>
    <row r="3557" spans="1:32" x14ac:dyDescent="0.25">
      <c r="A3557" s="37"/>
      <c r="B3557" s="37"/>
      <c r="C3557" s="37"/>
      <c r="F3557" s="38"/>
      <c r="G3557" s="38"/>
      <c r="H3557" s="38"/>
      <c r="I3557" s="37"/>
      <c r="J3557" s="38"/>
      <c r="K3557" s="38"/>
      <c r="L3557" s="42"/>
      <c r="M3557" s="42"/>
      <c r="N3557" s="42"/>
      <c r="O3557" s="42"/>
      <c r="R3557" s="37"/>
      <c r="S3557" s="37"/>
      <c r="T3557" s="91"/>
      <c r="U3557" s="91"/>
      <c r="V3557" s="41"/>
      <c r="W3557" s="37"/>
      <c r="X3557" s="37"/>
      <c r="Y3557" s="43"/>
      <c r="Z3557" s="37"/>
      <c r="AA3557" s="37"/>
      <c r="AD3557" s="37"/>
      <c r="AE3557" s="37"/>
      <c r="AF3557" s="37"/>
    </row>
    <row r="3558" spans="1:32" x14ac:dyDescent="0.25">
      <c r="A3558" s="37"/>
      <c r="B3558" s="37"/>
      <c r="C3558" s="37"/>
      <c r="F3558" s="38"/>
      <c r="G3558" s="38"/>
      <c r="H3558" s="38"/>
      <c r="I3558" s="37"/>
      <c r="J3558" s="38"/>
      <c r="K3558" s="38"/>
      <c r="L3558" s="42"/>
      <c r="M3558" s="42"/>
      <c r="N3558" s="42"/>
      <c r="O3558" s="42"/>
      <c r="R3558" s="37"/>
      <c r="S3558" s="37"/>
      <c r="T3558" s="91"/>
      <c r="U3558" s="91"/>
      <c r="V3558" s="41"/>
      <c r="W3558" s="37"/>
      <c r="X3558" s="37"/>
      <c r="Y3558" s="43"/>
      <c r="Z3558" s="37"/>
      <c r="AA3558" s="37"/>
      <c r="AD3558" s="37"/>
      <c r="AE3558" s="37"/>
      <c r="AF3558" s="37"/>
    </row>
    <row r="3559" spans="1:32" x14ac:dyDescent="0.25">
      <c r="A3559" s="37"/>
      <c r="B3559" s="37"/>
      <c r="C3559" s="37"/>
      <c r="F3559" s="38"/>
      <c r="G3559" s="38"/>
      <c r="H3559" s="38"/>
      <c r="I3559" s="37"/>
      <c r="J3559" s="38"/>
      <c r="K3559" s="38"/>
      <c r="L3559" s="42"/>
      <c r="M3559" s="42"/>
      <c r="N3559" s="42"/>
      <c r="O3559" s="42"/>
      <c r="R3559" s="37"/>
      <c r="S3559" s="37"/>
      <c r="T3559" s="91"/>
      <c r="U3559" s="91"/>
      <c r="V3559" s="41"/>
      <c r="W3559" s="37"/>
      <c r="X3559" s="37"/>
      <c r="Y3559" s="43"/>
      <c r="Z3559" s="37"/>
      <c r="AA3559" s="37"/>
      <c r="AD3559" s="37"/>
      <c r="AE3559" s="37"/>
      <c r="AF3559" s="37"/>
    </row>
    <row r="3560" spans="1:32" x14ac:dyDescent="0.25">
      <c r="A3560" s="37"/>
      <c r="B3560" s="37"/>
      <c r="C3560" s="37"/>
      <c r="F3560" s="38"/>
      <c r="G3560" s="38"/>
      <c r="H3560" s="38"/>
      <c r="I3560" s="37"/>
      <c r="J3560" s="38"/>
      <c r="K3560" s="38"/>
      <c r="L3560" s="42"/>
      <c r="M3560" s="42"/>
      <c r="N3560" s="42"/>
      <c r="O3560" s="42"/>
      <c r="R3560" s="37"/>
      <c r="S3560" s="37"/>
      <c r="T3560" s="91"/>
      <c r="U3560" s="91"/>
      <c r="V3560" s="41"/>
      <c r="W3560" s="37"/>
      <c r="X3560" s="37"/>
      <c r="Y3560" s="43"/>
      <c r="Z3560" s="37"/>
      <c r="AA3560" s="37"/>
      <c r="AD3560" s="37"/>
      <c r="AE3560" s="37"/>
      <c r="AF3560" s="37"/>
    </row>
    <row r="3561" spans="1:32" x14ac:dyDescent="0.25">
      <c r="A3561" s="37"/>
      <c r="B3561" s="37"/>
      <c r="C3561" s="37"/>
      <c r="F3561" s="38"/>
      <c r="G3561" s="38"/>
      <c r="H3561" s="38"/>
      <c r="I3561" s="37"/>
      <c r="J3561" s="38"/>
      <c r="K3561" s="38"/>
      <c r="L3561" s="42"/>
      <c r="M3561" s="42"/>
      <c r="N3561" s="42"/>
      <c r="O3561" s="42"/>
      <c r="R3561" s="37"/>
      <c r="S3561" s="37"/>
      <c r="T3561" s="91"/>
      <c r="U3561" s="91"/>
      <c r="V3561" s="41"/>
      <c r="W3561" s="37"/>
      <c r="X3561" s="37"/>
      <c r="Y3561" s="43"/>
      <c r="Z3561" s="37"/>
      <c r="AA3561" s="37"/>
      <c r="AD3561" s="37"/>
      <c r="AE3561" s="37"/>
      <c r="AF3561" s="37"/>
    </row>
    <row r="3562" spans="1:32" x14ac:dyDescent="0.25">
      <c r="A3562" s="37"/>
      <c r="B3562" s="37"/>
      <c r="C3562" s="37"/>
      <c r="F3562" s="38"/>
      <c r="G3562" s="38"/>
      <c r="H3562" s="38"/>
      <c r="I3562" s="37"/>
      <c r="J3562" s="38"/>
      <c r="K3562" s="38"/>
      <c r="L3562" s="42"/>
      <c r="M3562" s="42"/>
      <c r="N3562" s="42"/>
      <c r="O3562" s="42"/>
      <c r="R3562" s="37"/>
      <c r="S3562" s="37"/>
      <c r="T3562" s="91"/>
      <c r="U3562" s="91"/>
      <c r="V3562" s="41"/>
      <c r="W3562" s="37"/>
      <c r="X3562" s="37"/>
      <c r="Y3562" s="43"/>
      <c r="Z3562" s="37"/>
      <c r="AA3562" s="37"/>
      <c r="AD3562" s="37"/>
      <c r="AE3562" s="37"/>
      <c r="AF3562" s="37"/>
    </row>
    <row r="3563" spans="1:32" x14ac:dyDescent="0.25">
      <c r="A3563" s="37"/>
      <c r="B3563" s="37"/>
      <c r="C3563" s="37"/>
      <c r="F3563" s="38"/>
      <c r="G3563" s="38"/>
      <c r="H3563" s="38"/>
      <c r="I3563" s="37"/>
      <c r="J3563" s="38"/>
      <c r="K3563" s="38"/>
      <c r="L3563" s="42"/>
      <c r="M3563" s="42"/>
      <c r="N3563" s="42"/>
      <c r="O3563" s="42"/>
      <c r="R3563" s="37"/>
      <c r="S3563" s="37"/>
      <c r="T3563" s="91"/>
      <c r="U3563" s="91"/>
      <c r="V3563" s="41"/>
      <c r="W3563" s="37"/>
      <c r="X3563" s="37"/>
      <c r="Y3563" s="43"/>
      <c r="Z3563" s="37"/>
      <c r="AA3563" s="37"/>
      <c r="AD3563" s="37"/>
      <c r="AE3563" s="37"/>
      <c r="AF3563" s="37"/>
    </row>
    <row r="3564" spans="1:32" x14ac:dyDescent="0.25">
      <c r="A3564" s="37"/>
      <c r="B3564" s="37"/>
      <c r="C3564" s="37"/>
      <c r="F3564" s="38"/>
      <c r="G3564" s="38"/>
      <c r="H3564" s="38"/>
      <c r="I3564" s="37"/>
      <c r="J3564" s="38"/>
      <c r="K3564" s="38"/>
      <c r="L3564" s="42"/>
      <c r="M3564" s="42"/>
      <c r="N3564" s="42"/>
      <c r="O3564" s="42"/>
      <c r="R3564" s="37"/>
      <c r="S3564" s="37"/>
      <c r="T3564" s="91"/>
      <c r="U3564" s="91"/>
      <c r="V3564" s="41"/>
      <c r="W3564" s="37"/>
      <c r="X3564" s="37"/>
      <c r="Y3564" s="43"/>
      <c r="Z3564" s="37"/>
      <c r="AA3564" s="37"/>
      <c r="AD3564" s="37"/>
      <c r="AE3564" s="37"/>
      <c r="AF3564" s="37"/>
    </row>
    <row r="3565" spans="1:32" x14ac:dyDescent="0.25">
      <c r="A3565" s="37"/>
      <c r="B3565" s="37"/>
      <c r="C3565" s="37"/>
      <c r="F3565" s="38"/>
      <c r="G3565" s="38"/>
      <c r="H3565" s="38"/>
      <c r="I3565" s="37"/>
      <c r="J3565" s="38"/>
      <c r="K3565" s="38"/>
      <c r="L3565" s="42"/>
      <c r="M3565" s="42"/>
      <c r="N3565" s="42"/>
      <c r="O3565" s="42"/>
      <c r="R3565" s="37"/>
      <c r="S3565" s="37"/>
      <c r="T3565" s="91"/>
      <c r="U3565" s="91"/>
      <c r="V3565" s="41"/>
      <c r="W3565" s="37"/>
      <c r="X3565" s="37"/>
      <c r="Y3565" s="43"/>
      <c r="Z3565" s="37"/>
      <c r="AA3565" s="37"/>
      <c r="AD3565" s="37"/>
      <c r="AE3565" s="37"/>
      <c r="AF3565" s="37"/>
    </row>
    <row r="3566" spans="1:32" x14ac:dyDescent="0.25">
      <c r="A3566" s="37"/>
      <c r="B3566" s="37"/>
      <c r="C3566" s="37"/>
      <c r="F3566" s="38"/>
      <c r="G3566" s="38"/>
      <c r="H3566" s="38"/>
      <c r="I3566" s="37"/>
      <c r="J3566" s="38"/>
      <c r="K3566" s="38"/>
      <c r="L3566" s="42"/>
      <c r="M3566" s="42"/>
      <c r="N3566" s="42"/>
      <c r="O3566" s="42"/>
      <c r="R3566" s="37"/>
      <c r="S3566" s="37"/>
      <c r="T3566" s="91"/>
      <c r="U3566" s="91"/>
      <c r="V3566" s="41"/>
      <c r="W3566" s="37"/>
      <c r="X3566" s="37"/>
      <c r="Y3566" s="43"/>
      <c r="Z3566" s="37"/>
      <c r="AA3566" s="37"/>
      <c r="AD3566" s="37"/>
      <c r="AE3566" s="37"/>
      <c r="AF3566" s="37"/>
    </row>
    <row r="3567" spans="1:32" x14ac:dyDescent="0.25">
      <c r="A3567" s="37"/>
      <c r="B3567" s="37"/>
      <c r="C3567" s="37"/>
      <c r="F3567" s="38"/>
      <c r="G3567" s="38"/>
      <c r="H3567" s="38"/>
      <c r="I3567" s="37"/>
      <c r="J3567" s="38"/>
      <c r="K3567" s="38"/>
      <c r="L3567" s="42"/>
      <c r="M3567" s="42"/>
      <c r="N3567" s="42"/>
      <c r="O3567" s="42"/>
      <c r="R3567" s="37"/>
      <c r="S3567" s="37"/>
      <c r="T3567" s="91"/>
      <c r="U3567" s="91"/>
      <c r="V3567" s="41"/>
      <c r="W3567" s="37"/>
      <c r="X3567" s="37"/>
      <c r="Y3567" s="43"/>
      <c r="Z3567" s="37"/>
      <c r="AA3567" s="37"/>
      <c r="AD3567" s="37"/>
      <c r="AE3567" s="37"/>
      <c r="AF3567" s="37"/>
    </row>
    <row r="3568" spans="1:32" x14ac:dyDescent="0.25">
      <c r="A3568" s="37"/>
      <c r="B3568" s="37"/>
      <c r="C3568" s="37"/>
      <c r="F3568" s="38"/>
      <c r="G3568" s="38"/>
      <c r="H3568" s="38"/>
      <c r="I3568" s="37"/>
      <c r="J3568" s="38"/>
      <c r="K3568" s="38"/>
      <c r="L3568" s="42"/>
      <c r="M3568" s="42"/>
      <c r="N3568" s="42"/>
      <c r="O3568" s="42"/>
      <c r="R3568" s="37"/>
      <c r="S3568" s="37"/>
      <c r="T3568" s="91"/>
      <c r="U3568" s="91"/>
      <c r="V3568" s="41"/>
      <c r="W3568" s="37"/>
      <c r="X3568" s="37"/>
      <c r="Y3568" s="43"/>
      <c r="Z3568" s="37"/>
      <c r="AA3568" s="37"/>
      <c r="AD3568" s="37"/>
      <c r="AE3568" s="37"/>
      <c r="AF3568" s="37"/>
    </row>
    <row r="3569" spans="1:32" x14ac:dyDescent="0.25">
      <c r="A3569" s="37"/>
      <c r="B3569" s="37"/>
      <c r="C3569" s="37"/>
      <c r="F3569" s="38"/>
      <c r="G3569" s="38"/>
      <c r="H3569" s="38"/>
      <c r="I3569" s="37"/>
      <c r="J3569" s="38"/>
      <c r="K3569" s="38"/>
      <c r="L3569" s="42"/>
      <c r="M3569" s="42"/>
      <c r="N3569" s="42"/>
      <c r="O3569" s="42"/>
      <c r="R3569" s="37"/>
      <c r="S3569" s="37"/>
      <c r="T3569" s="91"/>
      <c r="U3569" s="91"/>
      <c r="V3569" s="41"/>
      <c r="W3569" s="37"/>
      <c r="X3569" s="37"/>
      <c r="Y3569" s="43"/>
      <c r="Z3569" s="37"/>
      <c r="AA3569" s="37"/>
      <c r="AD3569" s="37"/>
      <c r="AE3569" s="37"/>
      <c r="AF3569" s="37"/>
    </row>
    <row r="3570" spans="1:32" x14ac:dyDescent="0.25">
      <c r="A3570" s="37"/>
      <c r="B3570" s="37"/>
      <c r="C3570" s="37"/>
      <c r="F3570" s="38"/>
      <c r="G3570" s="38"/>
      <c r="H3570" s="38"/>
      <c r="I3570" s="37"/>
      <c r="J3570" s="38"/>
      <c r="K3570" s="38"/>
      <c r="L3570" s="42"/>
      <c r="M3570" s="42"/>
      <c r="N3570" s="42"/>
      <c r="O3570" s="42"/>
      <c r="R3570" s="37"/>
      <c r="S3570" s="37"/>
      <c r="T3570" s="91"/>
      <c r="U3570" s="91"/>
      <c r="V3570" s="41"/>
      <c r="W3570" s="37"/>
      <c r="X3570" s="37"/>
      <c r="Y3570" s="43"/>
      <c r="Z3570" s="37"/>
      <c r="AA3570" s="37"/>
      <c r="AD3570" s="37"/>
      <c r="AE3570" s="37"/>
      <c r="AF3570" s="37"/>
    </row>
    <row r="3571" spans="1:32" x14ac:dyDescent="0.25">
      <c r="A3571" s="37"/>
      <c r="B3571" s="37"/>
      <c r="C3571" s="37"/>
      <c r="F3571" s="38"/>
      <c r="G3571" s="38"/>
      <c r="H3571" s="38"/>
      <c r="I3571" s="37"/>
      <c r="J3571" s="38"/>
      <c r="K3571" s="38"/>
      <c r="L3571" s="42"/>
      <c r="M3571" s="42"/>
      <c r="N3571" s="42"/>
      <c r="O3571" s="42"/>
      <c r="R3571" s="37"/>
      <c r="S3571" s="37"/>
      <c r="T3571" s="91"/>
      <c r="U3571" s="91"/>
      <c r="V3571" s="41"/>
      <c r="W3571" s="37"/>
      <c r="X3571" s="37"/>
      <c r="Y3571" s="43"/>
      <c r="Z3571" s="37"/>
      <c r="AA3571" s="37"/>
      <c r="AD3571" s="37"/>
      <c r="AE3571" s="37"/>
      <c r="AF3571" s="37"/>
    </row>
    <row r="3572" spans="1:32" x14ac:dyDescent="0.25">
      <c r="A3572" s="37"/>
      <c r="B3572" s="37"/>
      <c r="C3572" s="37"/>
      <c r="F3572" s="38"/>
      <c r="G3572" s="38"/>
      <c r="H3572" s="38"/>
      <c r="I3572" s="37"/>
      <c r="J3572" s="38"/>
      <c r="K3572" s="38"/>
      <c r="L3572" s="42"/>
      <c r="M3572" s="42"/>
      <c r="N3572" s="42"/>
      <c r="O3572" s="42"/>
      <c r="R3572" s="37"/>
      <c r="S3572" s="37"/>
      <c r="T3572" s="91"/>
      <c r="U3572" s="91"/>
      <c r="V3572" s="41"/>
      <c r="W3572" s="37"/>
      <c r="X3572" s="37"/>
      <c r="Y3572" s="43"/>
      <c r="Z3572" s="37"/>
      <c r="AA3572" s="37"/>
      <c r="AD3572" s="37"/>
      <c r="AE3572" s="37"/>
      <c r="AF3572" s="37"/>
    </row>
    <row r="3573" spans="1:32" x14ac:dyDescent="0.25">
      <c r="A3573" s="37"/>
      <c r="B3573" s="37"/>
      <c r="C3573" s="37"/>
      <c r="F3573" s="38"/>
      <c r="G3573" s="38"/>
      <c r="H3573" s="38"/>
      <c r="I3573" s="37"/>
      <c r="J3573" s="38"/>
      <c r="K3573" s="38"/>
      <c r="L3573" s="42"/>
      <c r="M3573" s="42"/>
      <c r="N3573" s="42"/>
      <c r="O3573" s="42"/>
      <c r="R3573" s="37"/>
      <c r="S3573" s="37"/>
      <c r="T3573" s="91"/>
      <c r="U3573" s="91"/>
      <c r="V3573" s="41"/>
      <c r="W3573" s="37"/>
      <c r="X3573" s="37"/>
      <c r="Y3573" s="43"/>
      <c r="Z3573" s="37"/>
      <c r="AA3573" s="37"/>
      <c r="AD3573" s="37"/>
      <c r="AE3573" s="37"/>
      <c r="AF3573" s="37"/>
    </row>
    <row r="3574" spans="1:32" x14ac:dyDescent="0.25">
      <c r="A3574" s="37"/>
      <c r="B3574" s="37"/>
      <c r="C3574" s="37"/>
      <c r="F3574" s="38"/>
      <c r="G3574" s="38"/>
      <c r="H3574" s="38"/>
      <c r="I3574" s="37"/>
      <c r="J3574" s="38"/>
      <c r="K3574" s="38"/>
      <c r="L3574" s="42"/>
      <c r="M3574" s="42"/>
      <c r="N3574" s="42"/>
      <c r="O3574" s="42"/>
      <c r="R3574" s="37"/>
      <c r="S3574" s="37"/>
      <c r="T3574" s="91"/>
      <c r="U3574" s="91"/>
      <c r="V3574" s="41"/>
      <c r="W3574" s="37"/>
      <c r="X3574" s="37"/>
      <c r="Y3574" s="43"/>
      <c r="Z3574" s="37"/>
      <c r="AA3574" s="37"/>
      <c r="AD3574" s="37"/>
      <c r="AE3574" s="37"/>
      <c r="AF3574" s="37"/>
    </row>
    <row r="3575" spans="1:32" x14ac:dyDescent="0.25">
      <c r="A3575" s="37"/>
      <c r="B3575" s="37"/>
      <c r="C3575" s="37"/>
      <c r="F3575" s="38"/>
      <c r="G3575" s="38"/>
      <c r="H3575" s="38"/>
      <c r="I3575" s="37"/>
      <c r="J3575" s="38"/>
      <c r="K3575" s="38"/>
      <c r="L3575" s="42"/>
      <c r="M3575" s="42"/>
      <c r="N3575" s="42"/>
      <c r="O3575" s="42"/>
      <c r="R3575" s="37"/>
      <c r="S3575" s="37"/>
      <c r="T3575" s="91"/>
      <c r="U3575" s="91"/>
      <c r="V3575" s="41"/>
      <c r="W3575" s="37"/>
      <c r="X3575" s="37"/>
      <c r="Y3575" s="43"/>
      <c r="Z3575" s="37"/>
      <c r="AA3575" s="37"/>
      <c r="AD3575" s="37"/>
      <c r="AE3575" s="37"/>
      <c r="AF3575" s="37"/>
    </row>
    <row r="3576" spans="1:32" x14ac:dyDescent="0.25">
      <c r="A3576" s="37"/>
      <c r="B3576" s="37"/>
      <c r="C3576" s="37"/>
      <c r="F3576" s="38"/>
      <c r="G3576" s="38"/>
      <c r="H3576" s="38"/>
      <c r="I3576" s="37"/>
      <c r="J3576" s="38"/>
      <c r="K3576" s="38"/>
      <c r="L3576" s="42"/>
      <c r="M3576" s="42"/>
      <c r="N3576" s="42"/>
      <c r="O3576" s="42"/>
      <c r="R3576" s="37"/>
      <c r="S3576" s="37"/>
      <c r="T3576" s="91"/>
      <c r="U3576" s="91"/>
      <c r="V3576" s="41"/>
      <c r="W3576" s="37"/>
      <c r="X3576" s="37"/>
      <c r="Y3576" s="43"/>
      <c r="Z3576" s="37"/>
      <c r="AA3576" s="37"/>
      <c r="AD3576" s="37"/>
      <c r="AE3576" s="37"/>
      <c r="AF3576" s="37"/>
    </row>
    <row r="3577" spans="1:32" x14ac:dyDescent="0.25">
      <c r="A3577" s="37"/>
      <c r="B3577" s="37"/>
      <c r="C3577" s="37"/>
      <c r="F3577" s="38"/>
      <c r="G3577" s="38"/>
      <c r="H3577" s="38"/>
      <c r="I3577" s="37"/>
      <c r="J3577" s="38"/>
      <c r="K3577" s="38"/>
      <c r="L3577" s="42"/>
      <c r="M3577" s="42"/>
      <c r="N3577" s="42"/>
      <c r="O3577" s="42"/>
      <c r="R3577" s="37"/>
      <c r="S3577" s="37"/>
      <c r="T3577" s="91"/>
      <c r="U3577" s="91"/>
      <c r="V3577" s="41"/>
      <c r="W3577" s="37"/>
      <c r="X3577" s="37"/>
      <c r="Y3577" s="43"/>
      <c r="Z3577" s="37"/>
      <c r="AA3577" s="37"/>
      <c r="AD3577" s="37"/>
      <c r="AE3577" s="37"/>
      <c r="AF3577" s="37"/>
    </row>
    <row r="3578" spans="1:32" x14ac:dyDescent="0.25">
      <c r="A3578" s="37"/>
      <c r="B3578" s="37"/>
      <c r="C3578" s="37"/>
      <c r="F3578" s="38"/>
      <c r="G3578" s="38"/>
      <c r="H3578" s="38"/>
      <c r="I3578" s="37"/>
      <c r="J3578" s="38"/>
      <c r="K3578" s="38"/>
      <c r="L3578" s="42"/>
      <c r="M3578" s="42"/>
      <c r="N3578" s="42"/>
      <c r="O3578" s="42"/>
      <c r="R3578" s="37"/>
      <c r="S3578" s="37"/>
      <c r="T3578" s="91"/>
      <c r="U3578" s="91"/>
      <c r="V3578" s="41"/>
      <c r="W3578" s="37"/>
      <c r="X3578" s="37"/>
      <c r="Y3578" s="43"/>
      <c r="Z3578" s="37"/>
      <c r="AA3578" s="37"/>
      <c r="AD3578" s="37"/>
      <c r="AE3578" s="37"/>
      <c r="AF3578" s="37"/>
    </row>
    <row r="3579" spans="1:32" x14ac:dyDescent="0.25">
      <c r="A3579" s="37"/>
      <c r="B3579" s="37"/>
      <c r="C3579" s="37"/>
      <c r="F3579" s="38"/>
      <c r="G3579" s="38"/>
      <c r="H3579" s="38"/>
      <c r="I3579" s="37"/>
      <c r="J3579" s="38"/>
      <c r="K3579" s="38"/>
      <c r="L3579" s="42"/>
      <c r="M3579" s="42"/>
      <c r="N3579" s="42"/>
      <c r="O3579" s="42"/>
      <c r="R3579" s="37"/>
      <c r="S3579" s="37"/>
      <c r="T3579" s="91"/>
      <c r="U3579" s="91"/>
      <c r="V3579" s="41"/>
      <c r="W3579" s="37"/>
      <c r="X3579" s="37"/>
      <c r="Y3579" s="43"/>
      <c r="Z3579" s="37"/>
      <c r="AA3579" s="37"/>
      <c r="AD3579" s="37"/>
      <c r="AE3579" s="37"/>
      <c r="AF3579" s="37"/>
    </row>
    <row r="3580" spans="1:32" x14ac:dyDescent="0.25">
      <c r="A3580" s="37"/>
      <c r="B3580" s="37"/>
      <c r="C3580" s="37"/>
      <c r="F3580" s="38"/>
      <c r="G3580" s="38"/>
      <c r="H3580" s="38"/>
      <c r="I3580" s="37"/>
      <c r="J3580" s="38"/>
      <c r="K3580" s="38"/>
      <c r="L3580" s="42"/>
      <c r="M3580" s="42"/>
      <c r="N3580" s="42"/>
      <c r="O3580" s="42"/>
      <c r="R3580" s="37"/>
      <c r="S3580" s="37"/>
      <c r="T3580" s="91"/>
      <c r="U3580" s="91"/>
      <c r="V3580" s="41"/>
      <c r="W3580" s="37"/>
      <c r="X3580" s="37"/>
      <c r="Y3580" s="43"/>
      <c r="Z3580" s="37"/>
      <c r="AA3580" s="37"/>
      <c r="AD3580" s="37"/>
      <c r="AE3580" s="37"/>
      <c r="AF3580" s="37"/>
    </row>
    <row r="3581" spans="1:32" x14ac:dyDescent="0.25">
      <c r="A3581" s="37"/>
      <c r="B3581" s="37"/>
      <c r="C3581" s="37"/>
      <c r="F3581" s="38"/>
      <c r="G3581" s="38"/>
      <c r="H3581" s="38"/>
      <c r="I3581" s="37"/>
      <c r="J3581" s="38"/>
      <c r="K3581" s="38"/>
      <c r="L3581" s="42"/>
      <c r="M3581" s="42"/>
      <c r="N3581" s="42"/>
      <c r="O3581" s="42"/>
      <c r="R3581" s="37"/>
      <c r="S3581" s="37"/>
      <c r="T3581" s="91"/>
      <c r="U3581" s="91"/>
      <c r="V3581" s="41"/>
      <c r="W3581" s="37"/>
      <c r="X3581" s="37"/>
      <c r="Y3581" s="43"/>
      <c r="Z3581" s="37"/>
      <c r="AA3581" s="37"/>
      <c r="AD3581" s="37"/>
      <c r="AE3581" s="37"/>
      <c r="AF3581" s="37"/>
    </row>
    <row r="3582" spans="1:32" x14ac:dyDescent="0.25">
      <c r="A3582" s="37"/>
      <c r="B3582" s="37"/>
      <c r="C3582" s="37"/>
      <c r="F3582" s="38"/>
      <c r="G3582" s="38"/>
      <c r="H3582" s="38"/>
      <c r="I3582" s="37"/>
      <c r="J3582" s="38"/>
      <c r="K3582" s="38"/>
      <c r="L3582" s="42"/>
      <c r="M3582" s="42"/>
      <c r="N3582" s="42"/>
      <c r="O3582" s="42"/>
      <c r="R3582" s="37"/>
      <c r="S3582" s="37"/>
      <c r="T3582" s="91"/>
      <c r="U3582" s="91"/>
      <c r="V3582" s="41"/>
      <c r="W3582" s="37"/>
      <c r="X3582" s="37"/>
      <c r="Y3582" s="43"/>
      <c r="Z3582" s="37"/>
      <c r="AA3582" s="37"/>
      <c r="AD3582" s="37"/>
      <c r="AE3582" s="37"/>
      <c r="AF3582" s="37"/>
    </row>
    <row r="3583" spans="1:32" x14ac:dyDescent="0.25">
      <c r="A3583" s="37"/>
      <c r="B3583" s="37"/>
      <c r="C3583" s="37"/>
      <c r="F3583" s="38"/>
      <c r="G3583" s="38"/>
      <c r="H3583" s="38"/>
      <c r="I3583" s="37"/>
      <c r="J3583" s="38"/>
      <c r="K3583" s="38"/>
      <c r="L3583" s="42"/>
      <c r="M3583" s="42"/>
      <c r="N3583" s="42"/>
      <c r="O3583" s="42"/>
      <c r="R3583" s="37"/>
      <c r="S3583" s="37"/>
      <c r="T3583" s="91"/>
      <c r="U3583" s="91"/>
      <c r="V3583" s="41"/>
      <c r="W3583" s="37"/>
      <c r="X3583" s="37"/>
      <c r="Y3583" s="43"/>
      <c r="Z3583" s="37"/>
      <c r="AA3583" s="37"/>
      <c r="AD3583" s="37"/>
      <c r="AE3583" s="37"/>
      <c r="AF3583" s="37"/>
    </row>
    <row r="3584" spans="1:32" x14ac:dyDescent="0.25">
      <c r="A3584" s="37"/>
      <c r="B3584" s="37"/>
      <c r="C3584" s="37"/>
      <c r="F3584" s="38"/>
      <c r="G3584" s="38"/>
      <c r="H3584" s="38"/>
      <c r="I3584" s="37"/>
      <c r="J3584" s="38"/>
      <c r="K3584" s="38"/>
      <c r="L3584" s="42"/>
      <c r="M3584" s="42"/>
      <c r="N3584" s="42"/>
      <c r="O3584" s="42"/>
      <c r="R3584" s="37"/>
      <c r="S3584" s="37"/>
      <c r="T3584" s="91"/>
      <c r="U3584" s="91"/>
      <c r="V3584" s="41"/>
      <c r="W3584" s="37"/>
      <c r="X3584" s="37"/>
      <c r="Y3584" s="43"/>
      <c r="Z3584" s="37"/>
      <c r="AA3584" s="37"/>
      <c r="AD3584" s="37"/>
      <c r="AE3584" s="37"/>
      <c r="AF3584" s="37"/>
    </row>
    <row r="3585" spans="1:32" x14ac:dyDescent="0.25">
      <c r="A3585" s="37"/>
      <c r="B3585" s="37"/>
      <c r="C3585" s="37"/>
      <c r="F3585" s="38"/>
      <c r="G3585" s="38"/>
      <c r="H3585" s="38"/>
      <c r="I3585" s="37"/>
      <c r="J3585" s="38"/>
      <c r="K3585" s="38"/>
      <c r="L3585" s="42"/>
      <c r="M3585" s="42"/>
      <c r="N3585" s="42"/>
      <c r="O3585" s="42"/>
      <c r="R3585" s="37"/>
      <c r="S3585" s="37"/>
      <c r="T3585" s="91"/>
      <c r="U3585" s="91"/>
      <c r="V3585" s="41"/>
      <c r="W3585" s="37"/>
      <c r="X3585" s="37"/>
      <c r="Y3585" s="43"/>
      <c r="Z3585" s="37"/>
      <c r="AA3585" s="37"/>
      <c r="AD3585" s="37"/>
      <c r="AE3585" s="37"/>
      <c r="AF3585" s="37"/>
    </row>
    <row r="3586" spans="1:32" x14ac:dyDescent="0.25">
      <c r="A3586" s="37"/>
      <c r="B3586" s="37"/>
      <c r="C3586" s="37"/>
      <c r="F3586" s="38"/>
      <c r="G3586" s="38"/>
      <c r="H3586" s="38"/>
      <c r="I3586" s="37"/>
      <c r="J3586" s="38"/>
      <c r="K3586" s="38"/>
      <c r="L3586" s="42"/>
      <c r="M3586" s="42"/>
      <c r="N3586" s="42"/>
      <c r="O3586" s="42"/>
      <c r="R3586" s="37"/>
      <c r="S3586" s="37"/>
      <c r="T3586" s="91"/>
      <c r="U3586" s="91"/>
      <c r="V3586" s="41"/>
      <c r="W3586" s="37"/>
      <c r="X3586" s="37"/>
      <c r="Y3586" s="43"/>
      <c r="Z3586" s="37"/>
      <c r="AA3586" s="37"/>
      <c r="AD3586" s="37"/>
      <c r="AE3586" s="37"/>
      <c r="AF3586" s="37"/>
    </row>
    <row r="3587" spans="1:32" x14ac:dyDescent="0.25">
      <c r="A3587" s="37"/>
      <c r="B3587" s="37"/>
      <c r="C3587" s="37"/>
      <c r="F3587" s="38"/>
      <c r="G3587" s="38"/>
      <c r="H3587" s="38"/>
      <c r="I3587" s="37"/>
      <c r="J3587" s="38"/>
      <c r="K3587" s="38"/>
      <c r="L3587" s="42"/>
      <c r="M3587" s="42"/>
      <c r="N3587" s="42"/>
      <c r="O3587" s="42"/>
      <c r="R3587" s="37"/>
      <c r="S3587" s="37"/>
      <c r="T3587" s="91"/>
      <c r="U3587" s="91"/>
      <c r="V3587" s="41"/>
      <c r="W3587" s="37"/>
      <c r="X3587" s="37"/>
      <c r="Y3587" s="43"/>
      <c r="Z3587" s="37"/>
      <c r="AA3587" s="37"/>
      <c r="AD3587" s="37"/>
      <c r="AE3587" s="37"/>
      <c r="AF3587" s="37"/>
    </row>
    <row r="3588" spans="1:32" x14ac:dyDescent="0.25">
      <c r="A3588" s="37"/>
      <c r="B3588" s="37"/>
      <c r="C3588" s="37"/>
      <c r="F3588" s="38"/>
      <c r="G3588" s="38"/>
      <c r="H3588" s="38"/>
      <c r="I3588" s="37"/>
      <c r="J3588" s="38"/>
      <c r="K3588" s="38"/>
      <c r="L3588" s="42"/>
      <c r="M3588" s="42"/>
      <c r="N3588" s="42"/>
      <c r="O3588" s="42"/>
      <c r="R3588" s="37"/>
      <c r="S3588" s="37"/>
      <c r="T3588" s="91"/>
      <c r="U3588" s="91"/>
      <c r="V3588" s="41"/>
      <c r="W3588" s="37"/>
      <c r="X3588" s="37"/>
      <c r="Y3588" s="43"/>
      <c r="Z3588" s="37"/>
      <c r="AA3588" s="37"/>
      <c r="AD3588" s="37"/>
      <c r="AE3588" s="37"/>
      <c r="AF3588" s="37"/>
    </row>
    <row r="3589" spans="1:32" x14ac:dyDescent="0.25">
      <c r="A3589" s="37"/>
      <c r="B3589" s="37"/>
      <c r="C3589" s="37"/>
      <c r="F3589" s="38"/>
      <c r="G3589" s="38"/>
      <c r="H3589" s="38"/>
      <c r="I3589" s="37"/>
      <c r="J3589" s="38"/>
      <c r="K3589" s="38"/>
      <c r="L3589" s="42"/>
      <c r="M3589" s="42"/>
      <c r="N3589" s="42"/>
      <c r="O3589" s="42"/>
      <c r="R3589" s="37"/>
      <c r="S3589" s="37"/>
      <c r="T3589" s="91"/>
      <c r="U3589" s="91"/>
      <c r="V3589" s="41"/>
      <c r="W3589" s="37"/>
      <c r="X3589" s="37"/>
      <c r="Y3589" s="43"/>
      <c r="Z3589" s="37"/>
      <c r="AA3589" s="37"/>
      <c r="AD3589" s="37"/>
      <c r="AE3589" s="37"/>
      <c r="AF3589" s="37"/>
    </row>
    <row r="3590" spans="1:32" x14ac:dyDescent="0.25">
      <c r="A3590" s="37"/>
      <c r="B3590" s="37"/>
      <c r="C3590" s="37"/>
      <c r="F3590" s="38"/>
      <c r="G3590" s="38"/>
      <c r="H3590" s="38"/>
      <c r="I3590" s="37"/>
      <c r="J3590" s="38"/>
      <c r="K3590" s="38"/>
      <c r="L3590" s="42"/>
      <c r="M3590" s="42"/>
      <c r="N3590" s="42"/>
      <c r="O3590" s="42"/>
      <c r="R3590" s="37"/>
      <c r="S3590" s="37"/>
      <c r="T3590" s="91"/>
      <c r="U3590" s="91"/>
      <c r="V3590" s="41"/>
      <c r="W3590" s="37"/>
      <c r="X3590" s="37"/>
      <c r="Y3590" s="43"/>
      <c r="Z3590" s="37"/>
      <c r="AA3590" s="37"/>
      <c r="AD3590" s="37"/>
      <c r="AE3590" s="37"/>
      <c r="AF3590" s="37"/>
    </row>
    <row r="3591" spans="1:32" x14ac:dyDescent="0.25">
      <c r="A3591" s="37"/>
      <c r="B3591" s="37"/>
      <c r="C3591" s="37"/>
      <c r="F3591" s="38"/>
      <c r="G3591" s="38"/>
      <c r="H3591" s="38"/>
      <c r="I3591" s="37"/>
      <c r="J3591" s="38"/>
      <c r="K3591" s="38"/>
      <c r="L3591" s="42"/>
      <c r="M3591" s="42"/>
      <c r="N3591" s="42"/>
      <c r="O3591" s="42"/>
      <c r="R3591" s="37"/>
      <c r="S3591" s="37"/>
      <c r="T3591" s="91"/>
      <c r="U3591" s="91"/>
      <c r="V3591" s="41"/>
      <c r="W3591" s="37"/>
      <c r="X3591" s="37"/>
      <c r="Y3591" s="43"/>
      <c r="Z3591" s="37"/>
      <c r="AA3591" s="37"/>
      <c r="AD3591" s="37"/>
      <c r="AE3591" s="37"/>
      <c r="AF3591" s="37"/>
    </row>
    <row r="3592" spans="1:32" x14ac:dyDescent="0.25">
      <c r="A3592" s="37"/>
      <c r="B3592" s="37"/>
      <c r="C3592" s="37"/>
      <c r="F3592" s="38"/>
      <c r="G3592" s="38"/>
      <c r="H3592" s="38"/>
      <c r="I3592" s="37"/>
      <c r="J3592" s="38"/>
      <c r="K3592" s="38"/>
      <c r="L3592" s="42"/>
      <c r="M3592" s="42"/>
      <c r="N3592" s="42"/>
      <c r="O3592" s="42"/>
      <c r="R3592" s="37"/>
      <c r="S3592" s="37"/>
      <c r="T3592" s="91"/>
      <c r="U3592" s="91"/>
      <c r="V3592" s="41"/>
      <c r="W3592" s="37"/>
      <c r="X3592" s="37"/>
      <c r="Y3592" s="43"/>
      <c r="Z3592" s="37"/>
      <c r="AA3592" s="37"/>
      <c r="AD3592" s="37"/>
      <c r="AE3592" s="37"/>
      <c r="AF3592" s="37"/>
    </row>
    <row r="3593" spans="1:32" x14ac:dyDescent="0.25">
      <c r="A3593" s="37"/>
      <c r="B3593" s="37"/>
      <c r="C3593" s="37"/>
      <c r="F3593" s="38"/>
      <c r="G3593" s="38"/>
      <c r="H3593" s="38"/>
      <c r="I3593" s="37"/>
      <c r="J3593" s="38"/>
      <c r="K3593" s="38"/>
      <c r="L3593" s="42"/>
      <c r="M3593" s="42"/>
      <c r="N3593" s="42"/>
      <c r="O3593" s="42"/>
      <c r="R3593" s="37"/>
      <c r="S3593" s="37"/>
      <c r="T3593" s="91"/>
      <c r="U3593" s="91"/>
      <c r="V3593" s="41"/>
      <c r="W3593" s="37"/>
      <c r="X3593" s="37"/>
      <c r="Y3593" s="43"/>
      <c r="Z3593" s="37"/>
      <c r="AA3593" s="37"/>
      <c r="AD3593" s="37"/>
      <c r="AE3593" s="37"/>
      <c r="AF3593" s="37"/>
    </row>
    <row r="3594" spans="1:32" x14ac:dyDescent="0.25">
      <c r="A3594" s="37"/>
      <c r="B3594" s="37"/>
      <c r="C3594" s="37"/>
      <c r="F3594" s="38"/>
      <c r="G3594" s="38"/>
      <c r="H3594" s="38"/>
      <c r="I3594" s="37"/>
      <c r="J3594" s="38"/>
      <c r="K3594" s="38"/>
      <c r="L3594" s="42"/>
      <c r="M3594" s="42"/>
      <c r="N3594" s="42"/>
      <c r="O3594" s="42"/>
      <c r="R3594" s="37"/>
      <c r="S3594" s="37"/>
      <c r="T3594" s="91"/>
      <c r="U3594" s="91"/>
      <c r="V3594" s="41"/>
      <c r="W3594" s="37"/>
      <c r="X3594" s="37"/>
      <c r="Y3594" s="43"/>
      <c r="Z3594" s="37"/>
      <c r="AA3594" s="37"/>
      <c r="AD3594" s="37"/>
      <c r="AE3594" s="37"/>
      <c r="AF3594" s="37"/>
    </row>
    <row r="3595" spans="1:32" x14ac:dyDescent="0.25">
      <c r="A3595" s="37"/>
      <c r="B3595" s="37"/>
      <c r="C3595" s="37"/>
      <c r="F3595" s="38"/>
      <c r="G3595" s="38"/>
      <c r="H3595" s="38"/>
      <c r="I3595" s="37"/>
      <c r="J3595" s="38"/>
      <c r="K3595" s="38"/>
      <c r="L3595" s="42"/>
      <c r="M3595" s="42"/>
      <c r="N3595" s="42"/>
      <c r="O3595" s="42"/>
      <c r="R3595" s="37"/>
      <c r="S3595" s="37"/>
      <c r="T3595" s="91"/>
      <c r="U3595" s="91"/>
      <c r="V3595" s="41"/>
      <c r="W3595" s="37"/>
      <c r="X3595" s="37"/>
      <c r="Y3595" s="43"/>
      <c r="Z3595" s="37"/>
      <c r="AA3595" s="37"/>
      <c r="AD3595" s="37"/>
      <c r="AE3595" s="37"/>
      <c r="AF3595" s="37"/>
    </row>
    <row r="3596" spans="1:32" x14ac:dyDescent="0.25">
      <c r="A3596" s="37"/>
      <c r="B3596" s="37"/>
      <c r="C3596" s="37"/>
      <c r="F3596" s="38"/>
      <c r="G3596" s="38"/>
      <c r="H3596" s="38"/>
      <c r="I3596" s="37"/>
      <c r="J3596" s="38"/>
      <c r="K3596" s="38"/>
      <c r="L3596" s="42"/>
      <c r="M3596" s="42"/>
      <c r="N3596" s="42"/>
      <c r="O3596" s="42"/>
      <c r="R3596" s="37"/>
      <c r="S3596" s="37"/>
      <c r="T3596" s="91"/>
      <c r="U3596" s="91"/>
      <c r="V3596" s="41"/>
      <c r="W3596" s="37"/>
      <c r="X3596" s="37"/>
      <c r="Y3596" s="43"/>
      <c r="Z3596" s="37"/>
      <c r="AA3596" s="37"/>
      <c r="AD3596" s="37"/>
      <c r="AE3596" s="37"/>
      <c r="AF3596" s="37"/>
    </row>
    <row r="3597" spans="1:32" x14ac:dyDescent="0.25">
      <c r="A3597" s="37"/>
      <c r="B3597" s="37"/>
      <c r="C3597" s="37"/>
      <c r="F3597" s="38"/>
      <c r="G3597" s="38"/>
      <c r="H3597" s="38"/>
      <c r="I3597" s="37"/>
      <c r="J3597" s="38"/>
      <c r="K3597" s="38"/>
      <c r="L3597" s="42"/>
      <c r="M3597" s="42"/>
      <c r="N3597" s="42"/>
      <c r="O3597" s="42"/>
      <c r="R3597" s="37"/>
      <c r="S3597" s="37"/>
      <c r="T3597" s="91"/>
      <c r="U3597" s="91"/>
      <c r="V3597" s="41"/>
      <c r="W3597" s="37"/>
      <c r="X3597" s="37"/>
      <c r="Y3597" s="43"/>
      <c r="Z3597" s="37"/>
      <c r="AA3597" s="37"/>
      <c r="AD3597" s="37"/>
      <c r="AE3597" s="37"/>
      <c r="AF3597" s="37"/>
    </row>
    <row r="3598" spans="1:32" x14ac:dyDescent="0.25">
      <c r="A3598" s="37"/>
      <c r="B3598" s="37"/>
      <c r="C3598" s="37"/>
      <c r="F3598" s="38"/>
      <c r="G3598" s="38"/>
      <c r="H3598" s="38"/>
      <c r="I3598" s="37"/>
      <c r="J3598" s="38"/>
      <c r="K3598" s="38"/>
      <c r="L3598" s="42"/>
      <c r="M3598" s="42"/>
      <c r="N3598" s="42"/>
      <c r="O3598" s="42"/>
      <c r="R3598" s="37"/>
      <c r="S3598" s="37"/>
      <c r="T3598" s="91"/>
      <c r="U3598" s="91"/>
      <c r="V3598" s="41"/>
      <c r="W3598" s="37"/>
      <c r="X3598" s="37"/>
      <c r="Y3598" s="43"/>
      <c r="Z3598" s="37"/>
      <c r="AA3598" s="37"/>
      <c r="AD3598" s="37"/>
      <c r="AE3598" s="37"/>
      <c r="AF3598" s="37"/>
    </row>
    <row r="3599" spans="1:32" x14ac:dyDescent="0.25">
      <c r="A3599" s="37"/>
      <c r="B3599" s="37"/>
      <c r="C3599" s="37"/>
      <c r="F3599" s="38"/>
      <c r="G3599" s="38"/>
      <c r="H3599" s="38"/>
      <c r="I3599" s="37"/>
      <c r="J3599" s="38"/>
      <c r="K3599" s="38"/>
      <c r="L3599" s="42"/>
      <c r="M3599" s="42"/>
      <c r="N3599" s="42"/>
      <c r="O3599" s="42"/>
      <c r="R3599" s="37"/>
      <c r="S3599" s="37"/>
      <c r="T3599" s="91"/>
      <c r="U3599" s="91"/>
      <c r="V3599" s="41"/>
      <c r="W3599" s="37"/>
      <c r="X3599" s="37"/>
      <c r="Y3599" s="43"/>
      <c r="Z3599" s="37"/>
      <c r="AA3599" s="37"/>
      <c r="AD3599" s="37"/>
      <c r="AE3599" s="37"/>
      <c r="AF3599" s="37"/>
    </row>
    <row r="3600" spans="1:32" x14ac:dyDescent="0.25">
      <c r="A3600" s="37"/>
      <c r="B3600" s="37"/>
      <c r="C3600" s="37"/>
      <c r="F3600" s="38"/>
      <c r="G3600" s="38"/>
      <c r="H3600" s="38"/>
      <c r="I3600" s="37"/>
      <c r="J3600" s="38"/>
      <c r="K3600" s="38"/>
      <c r="L3600" s="42"/>
      <c r="M3600" s="42"/>
      <c r="N3600" s="42"/>
      <c r="O3600" s="42"/>
      <c r="R3600" s="37"/>
      <c r="S3600" s="37"/>
      <c r="T3600" s="91"/>
      <c r="U3600" s="91"/>
      <c r="V3600" s="41"/>
      <c r="W3600" s="37"/>
      <c r="X3600" s="37"/>
      <c r="Y3600" s="43"/>
      <c r="Z3600" s="37"/>
      <c r="AA3600" s="37"/>
      <c r="AD3600" s="37"/>
      <c r="AE3600" s="37"/>
      <c r="AF3600" s="37"/>
    </row>
    <row r="3601" spans="1:32" x14ac:dyDescent="0.25">
      <c r="A3601" s="37"/>
      <c r="B3601" s="37"/>
      <c r="C3601" s="37"/>
      <c r="F3601" s="38"/>
      <c r="G3601" s="38"/>
      <c r="H3601" s="38"/>
      <c r="I3601" s="37"/>
      <c r="J3601" s="38"/>
      <c r="K3601" s="38"/>
      <c r="L3601" s="42"/>
      <c r="M3601" s="42"/>
      <c r="N3601" s="42"/>
      <c r="O3601" s="42"/>
      <c r="R3601" s="37"/>
      <c r="S3601" s="37"/>
      <c r="T3601" s="91"/>
      <c r="U3601" s="91"/>
      <c r="V3601" s="41"/>
      <c r="W3601" s="37"/>
      <c r="X3601" s="37"/>
      <c r="Y3601" s="43"/>
      <c r="Z3601" s="37"/>
      <c r="AA3601" s="37"/>
      <c r="AD3601" s="37"/>
      <c r="AE3601" s="37"/>
      <c r="AF3601" s="37"/>
    </row>
    <row r="3602" spans="1:32" x14ac:dyDescent="0.25">
      <c r="A3602" s="37"/>
      <c r="B3602" s="37"/>
      <c r="C3602" s="37"/>
      <c r="F3602" s="38"/>
      <c r="G3602" s="38"/>
      <c r="H3602" s="38"/>
      <c r="I3602" s="37"/>
      <c r="J3602" s="38"/>
      <c r="K3602" s="38"/>
      <c r="L3602" s="42"/>
      <c r="M3602" s="42"/>
      <c r="N3602" s="42"/>
      <c r="O3602" s="42"/>
      <c r="R3602" s="37"/>
      <c r="S3602" s="37"/>
      <c r="T3602" s="91"/>
      <c r="U3602" s="91"/>
      <c r="V3602" s="41"/>
      <c r="W3602" s="37"/>
      <c r="X3602" s="37"/>
      <c r="Y3602" s="43"/>
      <c r="Z3602" s="37"/>
      <c r="AA3602" s="37"/>
      <c r="AD3602" s="37"/>
      <c r="AE3602" s="37"/>
      <c r="AF3602" s="37"/>
    </row>
    <row r="3603" spans="1:32" x14ac:dyDescent="0.25">
      <c r="A3603" s="37"/>
      <c r="B3603" s="37"/>
      <c r="C3603" s="37"/>
      <c r="F3603" s="38"/>
      <c r="G3603" s="38"/>
      <c r="H3603" s="38"/>
      <c r="I3603" s="37"/>
      <c r="J3603" s="38"/>
      <c r="K3603" s="38"/>
      <c r="L3603" s="42"/>
      <c r="M3603" s="42"/>
      <c r="N3603" s="42"/>
      <c r="O3603" s="42"/>
      <c r="R3603" s="37"/>
      <c r="S3603" s="37"/>
      <c r="T3603" s="91"/>
      <c r="U3603" s="91"/>
      <c r="V3603" s="41"/>
      <c r="W3603" s="37"/>
      <c r="X3603" s="37"/>
      <c r="Y3603" s="43"/>
      <c r="Z3603" s="37"/>
      <c r="AA3603" s="37"/>
      <c r="AD3603" s="37"/>
      <c r="AE3603" s="37"/>
      <c r="AF3603" s="37"/>
    </row>
    <row r="3604" spans="1:32" x14ac:dyDescent="0.25">
      <c r="A3604" s="37"/>
      <c r="B3604" s="37"/>
      <c r="C3604" s="37"/>
      <c r="F3604" s="38"/>
      <c r="G3604" s="38"/>
      <c r="H3604" s="38"/>
      <c r="I3604" s="37"/>
      <c r="J3604" s="38"/>
      <c r="K3604" s="38"/>
      <c r="L3604" s="42"/>
      <c r="M3604" s="42"/>
      <c r="N3604" s="42"/>
      <c r="O3604" s="42"/>
      <c r="R3604" s="37"/>
      <c r="S3604" s="37"/>
      <c r="T3604" s="91"/>
      <c r="U3604" s="91"/>
      <c r="V3604" s="41"/>
      <c r="W3604" s="37"/>
      <c r="X3604" s="37"/>
      <c r="Y3604" s="43"/>
      <c r="Z3604" s="37"/>
      <c r="AA3604" s="37"/>
      <c r="AD3604" s="37"/>
      <c r="AE3604" s="37"/>
      <c r="AF3604" s="37"/>
    </row>
    <row r="3605" spans="1:32" x14ac:dyDescent="0.25">
      <c r="A3605" s="37"/>
      <c r="B3605" s="37"/>
      <c r="C3605" s="37"/>
      <c r="F3605" s="38"/>
      <c r="G3605" s="38"/>
      <c r="H3605" s="38"/>
      <c r="I3605" s="37"/>
      <c r="J3605" s="38"/>
      <c r="K3605" s="38"/>
      <c r="L3605" s="42"/>
      <c r="M3605" s="42"/>
      <c r="N3605" s="42"/>
      <c r="O3605" s="42"/>
      <c r="R3605" s="37"/>
      <c r="S3605" s="37"/>
      <c r="T3605" s="91"/>
      <c r="U3605" s="91"/>
      <c r="V3605" s="41"/>
      <c r="W3605" s="37"/>
      <c r="X3605" s="37"/>
      <c r="Y3605" s="43"/>
      <c r="Z3605" s="37"/>
      <c r="AA3605" s="37"/>
      <c r="AD3605" s="37"/>
      <c r="AE3605" s="37"/>
      <c r="AF3605" s="37"/>
    </row>
    <row r="3606" spans="1:32" x14ac:dyDescent="0.25">
      <c r="A3606" s="37"/>
      <c r="B3606" s="37"/>
      <c r="C3606" s="37"/>
      <c r="F3606" s="38"/>
      <c r="G3606" s="38"/>
      <c r="H3606" s="38"/>
      <c r="I3606" s="37"/>
      <c r="J3606" s="38"/>
      <c r="K3606" s="38"/>
      <c r="L3606" s="42"/>
      <c r="M3606" s="42"/>
      <c r="N3606" s="42"/>
      <c r="O3606" s="42"/>
      <c r="R3606" s="37"/>
      <c r="S3606" s="37"/>
      <c r="T3606" s="91"/>
      <c r="U3606" s="91"/>
      <c r="V3606" s="41"/>
      <c r="W3606" s="37"/>
      <c r="X3606" s="37"/>
      <c r="Y3606" s="43"/>
      <c r="Z3606" s="37"/>
      <c r="AA3606" s="37"/>
      <c r="AD3606" s="37"/>
      <c r="AE3606" s="37"/>
      <c r="AF3606" s="37"/>
    </row>
    <row r="3607" spans="1:32" x14ac:dyDescent="0.25">
      <c r="A3607" s="37"/>
      <c r="B3607" s="37"/>
      <c r="C3607" s="37"/>
      <c r="F3607" s="38"/>
      <c r="G3607" s="38"/>
      <c r="H3607" s="38"/>
      <c r="I3607" s="37"/>
      <c r="J3607" s="38"/>
      <c r="K3607" s="38"/>
      <c r="L3607" s="42"/>
      <c r="M3607" s="42"/>
      <c r="N3607" s="42"/>
      <c r="O3607" s="42"/>
      <c r="R3607" s="37"/>
      <c r="S3607" s="37"/>
      <c r="T3607" s="91"/>
      <c r="U3607" s="91"/>
      <c r="V3607" s="41"/>
      <c r="W3607" s="37"/>
      <c r="X3607" s="37"/>
      <c r="Y3607" s="43"/>
      <c r="Z3607" s="37"/>
      <c r="AA3607" s="37"/>
      <c r="AD3607" s="37"/>
      <c r="AE3607" s="37"/>
      <c r="AF3607" s="37"/>
    </row>
    <row r="3608" spans="1:32" x14ac:dyDescent="0.25">
      <c r="A3608" s="37"/>
      <c r="B3608" s="37"/>
      <c r="C3608" s="37"/>
      <c r="F3608" s="38"/>
      <c r="G3608" s="38"/>
      <c r="H3608" s="38"/>
      <c r="I3608" s="37"/>
      <c r="J3608" s="38"/>
      <c r="K3608" s="38"/>
      <c r="L3608" s="42"/>
      <c r="M3608" s="42"/>
      <c r="N3608" s="42"/>
      <c r="O3608" s="42"/>
      <c r="R3608" s="37"/>
      <c r="S3608" s="37"/>
      <c r="T3608" s="91"/>
      <c r="U3608" s="91"/>
      <c r="V3608" s="41"/>
      <c r="W3608" s="37"/>
      <c r="X3608" s="37"/>
      <c r="Y3608" s="43"/>
      <c r="Z3608" s="37"/>
      <c r="AA3608" s="37"/>
      <c r="AD3608" s="37"/>
      <c r="AE3608" s="37"/>
      <c r="AF3608" s="37"/>
    </row>
    <row r="3609" spans="1:32" x14ac:dyDescent="0.25">
      <c r="A3609" s="37"/>
      <c r="B3609" s="37"/>
      <c r="C3609" s="37"/>
      <c r="F3609" s="38"/>
      <c r="G3609" s="38"/>
      <c r="H3609" s="38"/>
      <c r="I3609" s="37"/>
      <c r="J3609" s="38"/>
      <c r="K3609" s="38"/>
      <c r="L3609" s="42"/>
      <c r="M3609" s="42"/>
      <c r="N3609" s="42"/>
      <c r="O3609" s="42"/>
      <c r="R3609" s="37"/>
      <c r="S3609" s="37"/>
      <c r="T3609" s="91"/>
      <c r="U3609" s="91"/>
      <c r="V3609" s="41"/>
      <c r="W3609" s="37"/>
      <c r="X3609" s="37"/>
      <c r="Y3609" s="43"/>
      <c r="Z3609" s="37"/>
      <c r="AA3609" s="37"/>
      <c r="AD3609" s="37"/>
      <c r="AE3609" s="37"/>
      <c r="AF3609" s="37"/>
    </row>
    <row r="3610" spans="1:32" x14ac:dyDescent="0.25">
      <c r="A3610" s="37"/>
      <c r="B3610" s="37"/>
      <c r="C3610" s="37"/>
      <c r="F3610" s="38"/>
      <c r="G3610" s="38"/>
      <c r="H3610" s="38"/>
      <c r="I3610" s="37"/>
      <c r="J3610" s="38"/>
      <c r="K3610" s="38"/>
      <c r="L3610" s="42"/>
      <c r="M3610" s="42"/>
      <c r="N3610" s="42"/>
      <c r="O3610" s="42"/>
      <c r="R3610" s="37"/>
      <c r="S3610" s="37"/>
      <c r="T3610" s="91"/>
      <c r="U3610" s="91"/>
      <c r="V3610" s="41"/>
      <c r="W3610" s="37"/>
      <c r="X3610" s="37"/>
      <c r="Y3610" s="43"/>
      <c r="Z3610" s="37"/>
      <c r="AA3610" s="37"/>
      <c r="AD3610" s="37"/>
      <c r="AE3610" s="37"/>
      <c r="AF3610" s="37"/>
    </row>
    <row r="3611" spans="1:32" x14ac:dyDescent="0.25">
      <c r="A3611" s="37"/>
      <c r="B3611" s="37"/>
      <c r="C3611" s="37"/>
      <c r="F3611" s="38"/>
      <c r="G3611" s="38"/>
      <c r="H3611" s="38"/>
      <c r="I3611" s="37"/>
      <c r="J3611" s="38"/>
      <c r="K3611" s="38"/>
      <c r="L3611" s="42"/>
      <c r="M3611" s="42"/>
      <c r="N3611" s="42"/>
      <c r="O3611" s="42"/>
      <c r="R3611" s="37"/>
      <c r="S3611" s="37"/>
      <c r="T3611" s="91"/>
      <c r="U3611" s="91"/>
      <c r="V3611" s="41"/>
      <c r="W3611" s="37"/>
      <c r="X3611" s="37"/>
      <c r="Y3611" s="43"/>
      <c r="Z3611" s="37"/>
      <c r="AA3611" s="37"/>
      <c r="AD3611" s="37"/>
      <c r="AE3611" s="37"/>
      <c r="AF3611" s="37"/>
    </row>
    <row r="3612" spans="1:32" x14ac:dyDescent="0.25">
      <c r="A3612" s="37"/>
      <c r="B3612" s="37"/>
      <c r="C3612" s="37"/>
      <c r="F3612" s="38"/>
      <c r="G3612" s="38"/>
      <c r="H3612" s="38"/>
      <c r="I3612" s="37"/>
      <c r="J3612" s="38"/>
      <c r="K3612" s="38"/>
      <c r="L3612" s="42"/>
      <c r="M3612" s="42"/>
      <c r="N3612" s="42"/>
      <c r="O3612" s="42"/>
      <c r="R3612" s="37"/>
      <c r="S3612" s="37"/>
      <c r="T3612" s="91"/>
      <c r="U3612" s="91"/>
      <c r="V3612" s="41"/>
      <c r="W3612" s="37"/>
      <c r="X3612" s="37"/>
      <c r="Y3612" s="43"/>
      <c r="Z3612" s="37"/>
      <c r="AA3612" s="37"/>
      <c r="AD3612" s="37"/>
      <c r="AE3612" s="37"/>
      <c r="AF3612" s="37"/>
    </row>
    <row r="3613" spans="1:32" x14ac:dyDescent="0.25">
      <c r="A3613" s="37"/>
      <c r="B3613" s="37"/>
      <c r="C3613" s="37"/>
      <c r="F3613" s="38"/>
      <c r="G3613" s="38"/>
      <c r="H3613" s="38"/>
      <c r="I3613" s="37"/>
      <c r="J3613" s="38"/>
      <c r="K3613" s="38"/>
      <c r="L3613" s="42"/>
      <c r="M3613" s="42"/>
      <c r="N3613" s="42"/>
      <c r="O3613" s="42"/>
      <c r="R3613" s="37"/>
      <c r="S3613" s="37"/>
      <c r="T3613" s="91"/>
      <c r="U3613" s="91"/>
      <c r="V3613" s="41"/>
      <c r="W3613" s="37"/>
      <c r="X3613" s="37"/>
      <c r="Y3613" s="43"/>
      <c r="Z3613" s="37"/>
      <c r="AA3613" s="37"/>
      <c r="AD3613" s="37"/>
      <c r="AE3613" s="37"/>
      <c r="AF3613" s="37"/>
    </row>
    <row r="3614" spans="1:32" x14ac:dyDescent="0.25">
      <c r="A3614" s="37"/>
      <c r="B3614" s="37"/>
      <c r="C3614" s="37"/>
      <c r="F3614" s="38"/>
      <c r="G3614" s="38"/>
      <c r="H3614" s="38"/>
      <c r="I3614" s="37"/>
      <c r="J3614" s="38"/>
      <c r="K3614" s="38"/>
      <c r="L3614" s="42"/>
      <c r="M3614" s="42"/>
      <c r="N3614" s="42"/>
      <c r="O3614" s="42"/>
      <c r="R3614" s="37"/>
      <c r="S3614" s="37"/>
      <c r="T3614" s="91"/>
      <c r="U3614" s="91"/>
      <c r="V3614" s="41"/>
      <c r="W3614" s="37"/>
      <c r="X3614" s="37"/>
      <c r="Y3614" s="43"/>
      <c r="Z3614" s="37"/>
      <c r="AA3614" s="37"/>
      <c r="AD3614" s="37"/>
      <c r="AE3614" s="37"/>
      <c r="AF3614" s="37"/>
    </row>
    <row r="3615" spans="1:32" x14ac:dyDescent="0.25">
      <c r="A3615" s="37"/>
      <c r="B3615" s="37"/>
      <c r="C3615" s="37"/>
      <c r="F3615" s="38"/>
      <c r="G3615" s="38"/>
      <c r="H3615" s="38"/>
      <c r="I3615" s="37"/>
      <c r="J3615" s="38"/>
      <c r="K3615" s="38"/>
      <c r="L3615" s="42"/>
      <c r="M3615" s="42"/>
      <c r="N3615" s="42"/>
      <c r="O3615" s="42"/>
      <c r="R3615" s="37"/>
      <c r="S3615" s="37"/>
      <c r="T3615" s="91"/>
      <c r="U3615" s="91"/>
      <c r="V3615" s="41"/>
      <c r="W3615" s="37"/>
      <c r="X3615" s="37"/>
      <c r="Y3615" s="43"/>
      <c r="Z3615" s="37"/>
      <c r="AA3615" s="37"/>
      <c r="AD3615" s="37"/>
      <c r="AE3615" s="37"/>
      <c r="AF3615" s="37"/>
    </row>
    <row r="3616" spans="1:32" x14ac:dyDescent="0.25">
      <c r="A3616" s="37"/>
      <c r="B3616" s="37"/>
      <c r="C3616" s="37"/>
      <c r="F3616" s="38"/>
      <c r="G3616" s="38"/>
      <c r="H3616" s="38"/>
      <c r="I3616" s="37"/>
      <c r="J3616" s="38"/>
      <c r="K3616" s="38"/>
      <c r="L3616" s="42"/>
      <c r="M3616" s="42"/>
      <c r="N3616" s="42"/>
      <c r="O3616" s="42"/>
      <c r="R3616" s="37"/>
      <c r="S3616" s="37"/>
      <c r="T3616" s="91"/>
      <c r="U3616" s="91"/>
      <c r="V3616" s="41"/>
      <c r="W3616" s="37"/>
      <c r="X3616" s="37"/>
      <c r="Y3616" s="43"/>
      <c r="Z3616" s="37"/>
      <c r="AA3616" s="37"/>
      <c r="AD3616" s="37"/>
      <c r="AE3616" s="37"/>
      <c r="AF3616" s="37"/>
    </row>
    <row r="3617" spans="1:32" x14ac:dyDescent="0.25">
      <c r="A3617" s="37"/>
      <c r="B3617" s="37"/>
      <c r="C3617" s="37"/>
      <c r="F3617" s="38"/>
      <c r="G3617" s="38"/>
      <c r="H3617" s="38"/>
      <c r="I3617" s="37"/>
      <c r="J3617" s="38"/>
      <c r="K3617" s="38"/>
      <c r="L3617" s="42"/>
      <c r="M3617" s="42"/>
      <c r="N3617" s="42"/>
      <c r="O3617" s="42"/>
      <c r="R3617" s="37"/>
      <c r="S3617" s="37"/>
      <c r="T3617" s="91"/>
      <c r="U3617" s="91"/>
      <c r="V3617" s="41"/>
      <c r="W3617" s="37"/>
      <c r="X3617" s="37"/>
      <c r="Y3617" s="43"/>
      <c r="Z3617" s="37"/>
      <c r="AA3617" s="37"/>
      <c r="AD3617" s="37"/>
      <c r="AE3617" s="37"/>
      <c r="AF3617" s="37"/>
    </row>
    <row r="3618" spans="1:32" x14ac:dyDescent="0.25">
      <c r="A3618" s="37"/>
      <c r="B3618" s="37"/>
      <c r="C3618" s="37"/>
      <c r="F3618" s="38"/>
      <c r="G3618" s="38"/>
      <c r="H3618" s="38"/>
      <c r="I3618" s="37"/>
      <c r="J3618" s="38"/>
      <c r="K3618" s="38"/>
      <c r="L3618" s="42"/>
      <c r="M3618" s="42"/>
      <c r="N3618" s="42"/>
      <c r="O3618" s="42"/>
      <c r="R3618" s="37"/>
      <c r="S3618" s="37"/>
      <c r="T3618" s="91"/>
      <c r="U3618" s="91"/>
      <c r="V3618" s="41"/>
      <c r="W3618" s="37"/>
      <c r="X3618" s="37"/>
      <c r="Y3618" s="43"/>
      <c r="Z3618" s="37"/>
      <c r="AA3618" s="37"/>
      <c r="AD3618" s="37"/>
      <c r="AE3618" s="37"/>
      <c r="AF3618" s="37"/>
    </row>
    <row r="3619" spans="1:32" x14ac:dyDescent="0.25">
      <c r="A3619" s="37"/>
      <c r="B3619" s="37"/>
      <c r="C3619" s="37"/>
      <c r="F3619" s="38"/>
      <c r="G3619" s="38"/>
      <c r="H3619" s="38"/>
      <c r="I3619" s="37"/>
      <c r="J3619" s="38"/>
      <c r="K3619" s="38"/>
      <c r="L3619" s="42"/>
      <c r="M3619" s="42"/>
      <c r="N3619" s="42"/>
      <c r="O3619" s="42"/>
      <c r="R3619" s="37"/>
      <c r="S3619" s="37"/>
      <c r="T3619" s="91"/>
      <c r="U3619" s="91"/>
      <c r="V3619" s="41"/>
      <c r="W3619" s="37"/>
      <c r="X3619" s="37"/>
      <c r="Y3619" s="43"/>
      <c r="Z3619" s="37"/>
      <c r="AA3619" s="37"/>
      <c r="AD3619" s="37"/>
      <c r="AE3619" s="37"/>
      <c r="AF3619" s="37"/>
    </row>
    <row r="3620" spans="1:32" x14ac:dyDescent="0.25">
      <c r="A3620" s="37"/>
      <c r="B3620" s="37"/>
      <c r="C3620" s="37"/>
      <c r="F3620" s="38"/>
      <c r="G3620" s="38"/>
      <c r="H3620" s="38"/>
      <c r="I3620" s="37"/>
      <c r="J3620" s="38"/>
      <c r="K3620" s="38"/>
      <c r="L3620" s="42"/>
      <c r="M3620" s="42"/>
      <c r="N3620" s="42"/>
      <c r="O3620" s="42"/>
      <c r="R3620" s="37"/>
      <c r="S3620" s="37"/>
      <c r="T3620" s="91"/>
      <c r="U3620" s="91"/>
      <c r="V3620" s="41"/>
      <c r="W3620" s="37"/>
      <c r="X3620" s="37"/>
      <c r="Y3620" s="43"/>
      <c r="Z3620" s="37"/>
      <c r="AA3620" s="37"/>
      <c r="AD3620" s="37"/>
      <c r="AE3620" s="37"/>
      <c r="AF3620" s="37"/>
    </row>
    <row r="3621" spans="1:32" x14ac:dyDescent="0.25">
      <c r="A3621" s="37"/>
      <c r="B3621" s="37"/>
      <c r="C3621" s="37"/>
      <c r="F3621" s="38"/>
      <c r="G3621" s="38"/>
      <c r="H3621" s="38"/>
      <c r="I3621" s="37"/>
      <c r="J3621" s="38"/>
      <c r="K3621" s="38"/>
      <c r="L3621" s="42"/>
      <c r="M3621" s="42"/>
      <c r="N3621" s="42"/>
      <c r="O3621" s="42"/>
      <c r="R3621" s="37"/>
      <c r="S3621" s="37"/>
      <c r="T3621" s="91"/>
      <c r="U3621" s="91"/>
      <c r="V3621" s="41"/>
      <c r="W3621" s="37"/>
      <c r="X3621" s="37"/>
      <c r="Y3621" s="43"/>
      <c r="Z3621" s="37"/>
      <c r="AA3621" s="37"/>
      <c r="AD3621" s="37"/>
      <c r="AE3621" s="37"/>
      <c r="AF3621" s="37"/>
    </row>
    <row r="3622" spans="1:32" x14ac:dyDescent="0.25">
      <c r="A3622" s="37"/>
      <c r="B3622" s="37"/>
      <c r="C3622" s="37"/>
      <c r="F3622" s="38"/>
      <c r="G3622" s="38"/>
      <c r="H3622" s="38"/>
      <c r="I3622" s="37"/>
      <c r="J3622" s="38"/>
      <c r="K3622" s="38"/>
      <c r="L3622" s="42"/>
      <c r="M3622" s="42"/>
      <c r="N3622" s="42"/>
      <c r="O3622" s="42"/>
      <c r="R3622" s="37"/>
      <c r="S3622" s="37"/>
      <c r="T3622" s="91"/>
      <c r="U3622" s="91"/>
      <c r="V3622" s="41"/>
      <c r="W3622" s="37"/>
      <c r="X3622" s="37"/>
      <c r="Y3622" s="43"/>
      <c r="Z3622" s="37"/>
      <c r="AA3622" s="37"/>
      <c r="AD3622" s="37"/>
      <c r="AE3622" s="37"/>
      <c r="AF3622" s="37"/>
    </row>
    <row r="3623" spans="1:32" x14ac:dyDescent="0.25">
      <c r="A3623" s="37"/>
      <c r="B3623" s="37"/>
      <c r="C3623" s="37"/>
      <c r="F3623" s="38"/>
      <c r="G3623" s="38"/>
      <c r="H3623" s="38"/>
      <c r="I3623" s="37"/>
      <c r="J3623" s="38"/>
      <c r="K3623" s="38"/>
      <c r="L3623" s="42"/>
      <c r="M3623" s="42"/>
      <c r="N3623" s="42"/>
      <c r="O3623" s="42"/>
      <c r="R3623" s="37"/>
      <c r="S3623" s="37"/>
      <c r="T3623" s="91"/>
      <c r="U3623" s="91"/>
      <c r="V3623" s="41"/>
      <c r="W3623" s="37"/>
      <c r="X3623" s="37"/>
      <c r="Y3623" s="43"/>
      <c r="Z3623" s="37"/>
      <c r="AA3623" s="37"/>
      <c r="AD3623" s="37"/>
      <c r="AE3623" s="37"/>
      <c r="AF3623" s="37"/>
    </row>
    <row r="3624" spans="1:32" x14ac:dyDescent="0.25">
      <c r="A3624" s="37"/>
      <c r="B3624" s="37"/>
      <c r="C3624" s="37"/>
      <c r="F3624" s="38"/>
      <c r="G3624" s="38"/>
      <c r="H3624" s="38"/>
      <c r="I3624" s="37"/>
      <c r="J3624" s="38"/>
      <c r="K3624" s="38"/>
      <c r="L3624" s="42"/>
      <c r="M3624" s="42"/>
      <c r="N3624" s="42"/>
      <c r="O3624" s="42"/>
      <c r="R3624" s="37"/>
      <c r="S3624" s="37"/>
      <c r="T3624" s="91"/>
      <c r="U3624" s="91"/>
      <c r="V3624" s="41"/>
      <c r="W3624" s="37"/>
      <c r="X3624" s="37"/>
      <c r="Y3624" s="43"/>
      <c r="Z3624" s="37"/>
      <c r="AA3624" s="37"/>
      <c r="AD3624" s="37"/>
      <c r="AE3624" s="37"/>
      <c r="AF3624" s="37"/>
    </row>
    <row r="3625" spans="1:32" x14ac:dyDescent="0.25">
      <c r="A3625" s="37"/>
      <c r="B3625" s="37"/>
      <c r="C3625" s="37"/>
      <c r="F3625" s="38"/>
      <c r="G3625" s="38"/>
      <c r="H3625" s="38"/>
      <c r="I3625" s="37"/>
      <c r="J3625" s="38"/>
      <c r="K3625" s="38"/>
      <c r="L3625" s="42"/>
      <c r="M3625" s="42"/>
      <c r="N3625" s="42"/>
      <c r="O3625" s="42"/>
      <c r="R3625" s="37"/>
      <c r="S3625" s="37"/>
      <c r="T3625" s="91"/>
      <c r="U3625" s="91"/>
      <c r="V3625" s="41"/>
      <c r="W3625" s="37"/>
      <c r="X3625" s="37"/>
      <c r="Y3625" s="43"/>
      <c r="Z3625" s="37"/>
      <c r="AA3625" s="37"/>
      <c r="AD3625" s="37"/>
      <c r="AE3625" s="37"/>
      <c r="AF3625" s="37"/>
    </row>
    <row r="3626" spans="1:32" x14ac:dyDescent="0.25">
      <c r="A3626" s="37"/>
      <c r="B3626" s="37"/>
      <c r="C3626" s="37"/>
      <c r="F3626" s="38"/>
      <c r="G3626" s="38"/>
      <c r="H3626" s="38"/>
      <c r="I3626" s="37"/>
      <c r="J3626" s="38"/>
      <c r="K3626" s="38"/>
      <c r="L3626" s="42"/>
      <c r="M3626" s="42"/>
      <c r="N3626" s="42"/>
      <c r="O3626" s="42"/>
      <c r="R3626" s="37"/>
      <c r="S3626" s="37"/>
      <c r="T3626" s="91"/>
      <c r="U3626" s="91"/>
      <c r="V3626" s="41"/>
      <c r="W3626" s="37"/>
      <c r="X3626" s="37"/>
      <c r="Y3626" s="43"/>
      <c r="Z3626" s="37"/>
      <c r="AA3626" s="37"/>
      <c r="AD3626" s="37"/>
      <c r="AE3626" s="37"/>
      <c r="AF3626" s="37"/>
    </row>
    <row r="3627" spans="1:32" x14ac:dyDescent="0.25">
      <c r="A3627" s="37"/>
      <c r="B3627" s="37"/>
      <c r="C3627" s="37"/>
      <c r="F3627" s="38"/>
      <c r="G3627" s="38"/>
      <c r="H3627" s="38"/>
      <c r="I3627" s="37"/>
      <c r="J3627" s="38"/>
      <c r="K3627" s="38"/>
      <c r="L3627" s="42"/>
      <c r="M3627" s="42"/>
      <c r="N3627" s="42"/>
      <c r="O3627" s="42"/>
      <c r="R3627" s="37"/>
      <c r="S3627" s="37"/>
      <c r="T3627" s="91"/>
      <c r="U3627" s="91"/>
      <c r="V3627" s="41"/>
      <c r="W3627" s="37"/>
      <c r="X3627" s="37"/>
      <c r="Y3627" s="43"/>
      <c r="Z3627" s="37"/>
      <c r="AA3627" s="37"/>
      <c r="AD3627" s="37"/>
      <c r="AE3627" s="37"/>
      <c r="AF3627" s="37"/>
    </row>
    <row r="3628" spans="1:32" x14ac:dyDescent="0.25">
      <c r="A3628" s="37"/>
      <c r="B3628" s="37"/>
      <c r="C3628" s="37"/>
      <c r="F3628" s="38"/>
      <c r="G3628" s="38"/>
      <c r="H3628" s="38"/>
      <c r="I3628" s="37"/>
      <c r="J3628" s="38"/>
      <c r="K3628" s="38"/>
      <c r="L3628" s="42"/>
      <c r="M3628" s="42"/>
      <c r="N3628" s="42"/>
      <c r="O3628" s="42"/>
      <c r="R3628" s="37"/>
      <c r="S3628" s="37"/>
      <c r="T3628" s="91"/>
      <c r="U3628" s="91"/>
      <c r="V3628" s="41"/>
      <c r="W3628" s="37"/>
      <c r="X3628" s="37"/>
      <c r="Y3628" s="43"/>
      <c r="Z3628" s="37"/>
      <c r="AA3628" s="37"/>
      <c r="AD3628" s="37"/>
      <c r="AE3628" s="37"/>
      <c r="AF3628" s="37"/>
    </row>
    <row r="3629" spans="1:32" x14ac:dyDescent="0.25">
      <c r="A3629" s="37"/>
      <c r="B3629" s="37"/>
      <c r="C3629" s="37"/>
      <c r="F3629" s="38"/>
      <c r="G3629" s="38"/>
      <c r="H3629" s="38"/>
      <c r="I3629" s="37"/>
      <c r="J3629" s="38"/>
      <c r="K3629" s="38"/>
      <c r="L3629" s="42"/>
      <c r="M3629" s="42"/>
      <c r="N3629" s="42"/>
      <c r="O3629" s="42"/>
      <c r="R3629" s="37"/>
      <c r="S3629" s="37"/>
      <c r="T3629" s="91"/>
      <c r="U3629" s="91"/>
      <c r="V3629" s="41"/>
      <c r="W3629" s="37"/>
      <c r="X3629" s="37"/>
      <c r="Y3629" s="43"/>
      <c r="Z3629" s="37"/>
      <c r="AA3629" s="37"/>
      <c r="AD3629" s="37"/>
      <c r="AE3629" s="37"/>
      <c r="AF3629" s="37"/>
    </row>
    <row r="3630" spans="1:32" x14ac:dyDescent="0.25">
      <c r="A3630" s="37"/>
      <c r="B3630" s="37"/>
      <c r="C3630" s="37"/>
      <c r="F3630" s="38"/>
      <c r="G3630" s="38"/>
      <c r="H3630" s="38"/>
      <c r="I3630" s="37"/>
      <c r="J3630" s="38"/>
      <c r="K3630" s="38"/>
      <c r="L3630" s="42"/>
      <c r="M3630" s="42"/>
      <c r="N3630" s="42"/>
      <c r="O3630" s="42"/>
      <c r="R3630" s="37"/>
      <c r="S3630" s="37"/>
      <c r="T3630" s="91"/>
      <c r="U3630" s="91"/>
      <c r="V3630" s="41"/>
      <c r="W3630" s="37"/>
      <c r="X3630" s="37"/>
      <c r="Y3630" s="43"/>
      <c r="Z3630" s="37"/>
      <c r="AA3630" s="37"/>
      <c r="AD3630" s="37"/>
      <c r="AE3630" s="37"/>
      <c r="AF3630" s="37"/>
    </row>
    <row r="3631" spans="1:32" x14ac:dyDescent="0.25">
      <c r="A3631" s="37"/>
      <c r="B3631" s="37"/>
      <c r="C3631" s="37"/>
      <c r="F3631" s="38"/>
      <c r="G3631" s="38"/>
      <c r="H3631" s="38"/>
      <c r="I3631" s="37"/>
      <c r="J3631" s="38"/>
      <c r="K3631" s="38"/>
      <c r="L3631" s="42"/>
      <c r="M3631" s="42"/>
      <c r="N3631" s="42"/>
      <c r="O3631" s="42"/>
      <c r="R3631" s="37"/>
      <c r="S3631" s="37"/>
      <c r="T3631" s="91"/>
      <c r="U3631" s="91"/>
      <c r="V3631" s="41"/>
      <c r="W3631" s="37"/>
      <c r="X3631" s="37"/>
      <c r="Y3631" s="43"/>
      <c r="Z3631" s="37"/>
      <c r="AA3631" s="37"/>
      <c r="AD3631" s="37"/>
      <c r="AE3631" s="37"/>
      <c r="AF3631" s="37"/>
    </row>
    <row r="3632" spans="1:32" x14ac:dyDescent="0.25">
      <c r="A3632" s="37"/>
      <c r="B3632" s="37"/>
      <c r="C3632" s="37"/>
      <c r="F3632" s="38"/>
      <c r="G3632" s="38"/>
      <c r="H3632" s="38"/>
      <c r="I3632" s="37"/>
      <c r="J3632" s="38"/>
      <c r="K3632" s="38"/>
      <c r="L3632" s="42"/>
      <c r="M3632" s="42"/>
      <c r="N3632" s="42"/>
      <c r="O3632" s="42"/>
      <c r="R3632" s="37"/>
      <c r="S3632" s="37"/>
      <c r="T3632" s="91"/>
      <c r="U3632" s="91"/>
      <c r="V3632" s="41"/>
      <c r="W3632" s="37"/>
      <c r="X3632" s="37"/>
      <c r="Y3632" s="43"/>
      <c r="Z3632" s="37"/>
      <c r="AA3632" s="37"/>
      <c r="AD3632" s="37"/>
      <c r="AE3632" s="37"/>
      <c r="AF3632" s="37"/>
    </row>
    <row r="3633" spans="1:32" x14ac:dyDescent="0.25">
      <c r="A3633" s="37"/>
      <c r="B3633" s="37"/>
      <c r="C3633" s="37"/>
      <c r="F3633" s="38"/>
      <c r="G3633" s="38"/>
      <c r="H3633" s="38"/>
      <c r="I3633" s="37"/>
      <c r="J3633" s="38"/>
      <c r="K3633" s="38"/>
      <c r="L3633" s="42"/>
      <c r="M3633" s="42"/>
      <c r="N3633" s="42"/>
      <c r="O3633" s="42"/>
      <c r="R3633" s="37"/>
      <c r="S3633" s="37"/>
      <c r="T3633" s="91"/>
      <c r="U3633" s="91"/>
      <c r="V3633" s="41"/>
      <c r="W3633" s="37"/>
      <c r="X3633" s="37"/>
      <c r="Y3633" s="43"/>
      <c r="Z3633" s="37"/>
      <c r="AA3633" s="37"/>
      <c r="AD3633" s="37"/>
      <c r="AE3633" s="37"/>
      <c r="AF3633" s="37"/>
    </row>
    <row r="3634" spans="1:32" x14ac:dyDescent="0.25">
      <c r="A3634" s="37"/>
      <c r="B3634" s="37"/>
      <c r="C3634" s="37"/>
      <c r="F3634" s="38"/>
      <c r="G3634" s="38"/>
      <c r="H3634" s="38"/>
      <c r="I3634" s="37"/>
      <c r="J3634" s="38"/>
      <c r="K3634" s="38"/>
      <c r="L3634" s="42"/>
      <c r="M3634" s="42"/>
      <c r="N3634" s="42"/>
      <c r="O3634" s="42"/>
      <c r="R3634" s="37"/>
      <c r="S3634" s="37"/>
      <c r="T3634" s="91"/>
      <c r="U3634" s="91"/>
      <c r="V3634" s="41"/>
      <c r="W3634" s="37"/>
      <c r="X3634" s="37"/>
      <c r="Y3634" s="43"/>
      <c r="Z3634" s="37"/>
      <c r="AA3634" s="37"/>
      <c r="AD3634" s="37"/>
      <c r="AE3634" s="37"/>
      <c r="AF3634" s="37"/>
    </row>
    <row r="3635" spans="1:32" x14ac:dyDescent="0.25">
      <c r="A3635" s="37"/>
      <c r="B3635" s="37"/>
      <c r="C3635" s="37"/>
      <c r="F3635" s="38"/>
      <c r="G3635" s="38"/>
      <c r="H3635" s="38"/>
      <c r="I3635" s="37"/>
      <c r="J3635" s="38"/>
      <c r="K3635" s="38"/>
      <c r="L3635" s="42"/>
      <c r="M3635" s="42"/>
      <c r="N3635" s="42"/>
      <c r="O3635" s="42"/>
      <c r="R3635" s="37"/>
      <c r="S3635" s="37"/>
      <c r="T3635" s="91"/>
      <c r="U3635" s="91"/>
      <c r="V3635" s="41"/>
      <c r="W3635" s="37"/>
      <c r="X3635" s="37"/>
      <c r="Y3635" s="43"/>
      <c r="Z3635" s="37"/>
      <c r="AA3635" s="37"/>
      <c r="AD3635" s="37"/>
      <c r="AE3635" s="37"/>
      <c r="AF3635" s="37"/>
    </row>
    <row r="3636" spans="1:32" x14ac:dyDescent="0.25">
      <c r="A3636" s="37"/>
      <c r="B3636" s="37"/>
      <c r="C3636" s="37"/>
      <c r="F3636" s="38"/>
      <c r="G3636" s="38"/>
      <c r="H3636" s="38"/>
      <c r="I3636" s="37"/>
      <c r="J3636" s="38"/>
      <c r="K3636" s="38"/>
      <c r="L3636" s="42"/>
      <c r="M3636" s="42"/>
      <c r="N3636" s="42"/>
      <c r="O3636" s="42"/>
      <c r="R3636" s="37"/>
      <c r="S3636" s="37"/>
      <c r="T3636" s="91"/>
      <c r="U3636" s="91"/>
      <c r="V3636" s="41"/>
      <c r="W3636" s="37"/>
      <c r="X3636" s="37"/>
      <c r="Y3636" s="43"/>
      <c r="Z3636" s="37"/>
      <c r="AA3636" s="37"/>
      <c r="AD3636" s="37"/>
      <c r="AE3636" s="37"/>
      <c r="AF3636" s="37"/>
    </row>
    <row r="3637" spans="1:32" x14ac:dyDescent="0.25">
      <c r="A3637" s="37"/>
      <c r="B3637" s="37"/>
      <c r="C3637" s="37"/>
      <c r="F3637" s="38"/>
      <c r="G3637" s="38"/>
      <c r="H3637" s="38"/>
      <c r="I3637" s="37"/>
      <c r="J3637" s="38"/>
      <c r="K3637" s="38"/>
      <c r="L3637" s="42"/>
      <c r="M3637" s="42"/>
      <c r="N3637" s="42"/>
      <c r="O3637" s="42"/>
      <c r="R3637" s="37"/>
      <c r="S3637" s="37"/>
      <c r="T3637" s="91"/>
      <c r="U3637" s="91"/>
      <c r="V3637" s="41"/>
      <c r="W3637" s="37"/>
      <c r="X3637" s="37"/>
      <c r="Y3637" s="43"/>
      <c r="Z3637" s="37"/>
      <c r="AA3637" s="37"/>
      <c r="AD3637" s="37"/>
      <c r="AE3637" s="37"/>
      <c r="AF3637" s="37"/>
    </row>
    <row r="3638" spans="1:32" x14ac:dyDescent="0.25">
      <c r="A3638" s="37"/>
      <c r="B3638" s="37"/>
      <c r="C3638" s="37"/>
      <c r="F3638" s="38"/>
      <c r="G3638" s="38"/>
      <c r="H3638" s="38"/>
      <c r="I3638" s="37"/>
      <c r="J3638" s="38"/>
      <c r="K3638" s="38"/>
      <c r="L3638" s="42"/>
      <c r="M3638" s="42"/>
      <c r="N3638" s="42"/>
      <c r="O3638" s="42"/>
      <c r="R3638" s="37"/>
      <c r="S3638" s="37"/>
      <c r="T3638" s="91"/>
      <c r="U3638" s="91"/>
      <c r="V3638" s="41"/>
      <c r="W3638" s="37"/>
      <c r="X3638" s="37"/>
      <c r="Y3638" s="43"/>
      <c r="Z3638" s="37"/>
      <c r="AA3638" s="37"/>
      <c r="AD3638" s="37"/>
      <c r="AE3638" s="37"/>
      <c r="AF3638" s="37"/>
    </row>
    <row r="3639" spans="1:32" x14ac:dyDescent="0.25">
      <c r="A3639" s="37"/>
      <c r="B3639" s="37"/>
      <c r="C3639" s="37"/>
      <c r="F3639" s="38"/>
      <c r="G3639" s="38"/>
      <c r="H3639" s="38"/>
      <c r="I3639" s="37"/>
      <c r="J3639" s="38"/>
      <c r="K3639" s="38"/>
      <c r="L3639" s="42"/>
      <c r="M3639" s="42"/>
      <c r="N3639" s="42"/>
      <c r="O3639" s="42"/>
      <c r="R3639" s="37"/>
      <c r="S3639" s="37"/>
      <c r="T3639" s="91"/>
      <c r="U3639" s="91"/>
      <c r="V3639" s="41"/>
      <c r="W3639" s="37"/>
      <c r="X3639" s="37"/>
      <c r="Y3639" s="43"/>
      <c r="Z3639" s="37"/>
      <c r="AA3639" s="37"/>
      <c r="AD3639" s="37"/>
      <c r="AE3639" s="37"/>
      <c r="AF3639" s="37"/>
    </row>
    <row r="3640" spans="1:32" x14ac:dyDescent="0.25">
      <c r="A3640" s="37"/>
      <c r="B3640" s="37"/>
      <c r="C3640" s="37"/>
      <c r="F3640" s="38"/>
      <c r="G3640" s="38"/>
      <c r="H3640" s="38"/>
      <c r="I3640" s="37"/>
      <c r="J3640" s="38"/>
      <c r="K3640" s="38"/>
      <c r="L3640" s="42"/>
      <c r="M3640" s="42"/>
      <c r="N3640" s="42"/>
      <c r="O3640" s="42"/>
      <c r="R3640" s="37"/>
      <c r="S3640" s="37"/>
      <c r="T3640" s="91"/>
      <c r="U3640" s="91"/>
      <c r="V3640" s="41"/>
      <c r="W3640" s="37"/>
      <c r="X3640" s="37"/>
      <c r="Y3640" s="43"/>
      <c r="Z3640" s="37"/>
      <c r="AA3640" s="37"/>
      <c r="AD3640" s="37"/>
      <c r="AE3640" s="37"/>
      <c r="AF3640" s="37"/>
    </row>
    <row r="3641" spans="1:32" x14ac:dyDescent="0.25">
      <c r="A3641" s="37"/>
      <c r="B3641" s="37"/>
      <c r="C3641" s="37"/>
      <c r="F3641" s="38"/>
      <c r="G3641" s="38"/>
      <c r="H3641" s="38"/>
      <c r="I3641" s="37"/>
      <c r="J3641" s="38"/>
      <c r="K3641" s="38"/>
      <c r="L3641" s="42"/>
      <c r="M3641" s="42"/>
      <c r="N3641" s="42"/>
      <c r="O3641" s="42"/>
      <c r="R3641" s="37"/>
      <c r="S3641" s="37"/>
      <c r="T3641" s="91"/>
      <c r="U3641" s="91"/>
      <c r="V3641" s="41"/>
      <c r="W3641" s="37"/>
      <c r="X3641" s="37"/>
      <c r="Y3641" s="43"/>
      <c r="Z3641" s="37"/>
      <c r="AA3641" s="37"/>
      <c r="AD3641" s="37"/>
      <c r="AE3641" s="37"/>
      <c r="AF3641" s="37"/>
    </row>
    <row r="3642" spans="1:32" x14ac:dyDescent="0.25">
      <c r="A3642" s="37"/>
      <c r="B3642" s="37"/>
      <c r="C3642" s="37"/>
      <c r="F3642" s="38"/>
      <c r="G3642" s="38"/>
      <c r="H3642" s="38"/>
      <c r="I3642" s="37"/>
      <c r="J3642" s="38"/>
      <c r="K3642" s="38"/>
      <c r="L3642" s="42"/>
      <c r="M3642" s="42"/>
      <c r="N3642" s="42"/>
      <c r="O3642" s="42"/>
      <c r="R3642" s="37"/>
      <c r="S3642" s="37"/>
      <c r="T3642" s="91"/>
      <c r="U3642" s="91"/>
      <c r="V3642" s="41"/>
      <c r="W3642" s="37"/>
      <c r="X3642" s="37"/>
      <c r="Y3642" s="43"/>
      <c r="Z3642" s="37"/>
      <c r="AA3642" s="37"/>
      <c r="AD3642" s="37"/>
      <c r="AE3642" s="37"/>
      <c r="AF3642" s="37"/>
    </row>
    <row r="3643" spans="1:32" x14ac:dyDescent="0.25">
      <c r="A3643" s="37"/>
      <c r="B3643" s="37"/>
      <c r="C3643" s="37"/>
      <c r="F3643" s="38"/>
      <c r="G3643" s="38"/>
      <c r="H3643" s="38"/>
      <c r="I3643" s="37"/>
      <c r="J3643" s="38"/>
      <c r="K3643" s="38"/>
      <c r="L3643" s="42"/>
      <c r="M3643" s="42"/>
      <c r="N3643" s="42"/>
      <c r="O3643" s="42"/>
      <c r="R3643" s="37"/>
      <c r="S3643" s="37"/>
      <c r="T3643" s="91"/>
      <c r="U3643" s="91"/>
      <c r="V3643" s="41"/>
      <c r="W3643" s="37"/>
      <c r="X3643" s="37"/>
      <c r="Y3643" s="43"/>
      <c r="Z3643" s="37"/>
      <c r="AA3643" s="37"/>
      <c r="AD3643" s="37"/>
      <c r="AE3643" s="37"/>
      <c r="AF3643" s="37"/>
    </row>
    <row r="3644" spans="1:32" x14ac:dyDescent="0.25">
      <c r="A3644" s="37"/>
      <c r="B3644" s="37"/>
      <c r="C3644" s="37"/>
      <c r="F3644" s="38"/>
      <c r="G3644" s="38"/>
      <c r="H3644" s="38"/>
      <c r="I3644" s="37"/>
      <c r="J3644" s="38"/>
      <c r="K3644" s="38"/>
      <c r="L3644" s="42"/>
      <c r="M3644" s="42"/>
      <c r="N3644" s="42"/>
      <c r="O3644" s="42"/>
      <c r="R3644" s="37"/>
      <c r="S3644" s="37"/>
      <c r="T3644" s="91"/>
      <c r="U3644" s="91"/>
      <c r="V3644" s="41"/>
      <c r="W3644" s="37"/>
      <c r="X3644" s="37"/>
      <c r="Y3644" s="43"/>
      <c r="Z3644" s="37"/>
      <c r="AA3644" s="37"/>
      <c r="AD3644" s="37"/>
      <c r="AE3644" s="37"/>
      <c r="AF3644" s="37"/>
    </row>
    <row r="3645" spans="1:32" x14ac:dyDescent="0.25">
      <c r="A3645" s="37"/>
      <c r="B3645" s="37"/>
      <c r="C3645" s="37"/>
      <c r="F3645" s="38"/>
      <c r="G3645" s="38"/>
      <c r="H3645" s="38"/>
      <c r="I3645" s="37"/>
      <c r="J3645" s="38"/>
      <c r="K3645" s="38"/>
      <c r="L3645" s="42"/>
      <c r="M3645" s="42"/>
      <c r="N3645" s="42"/>
      <c r="O3645" s="42"/>
      <c r="R3645" s="37"/>
      <c r="S3645" s="37"/>
      <c r="T3645" s="91"/>
      <c r="U3645" s="91"/>
      <c r="V3645" s="41"/>
      <c r="W3645" s="37"/>
      <c r="X3645" s="37"/>
      <c r="Y3645" s="43"/>
      <c r="Z3645" s="37"/>
      <c r="AA3645" s="37"/>
      <c r="AD3645" s="37"/>
      <c r="AE3645" s="37"/>
      <c r="AF3645" s="37"/>
    </row>
    <row r="3646" spans="1:32" x14ac:dyDescent="0.25">
      <c r="A3646" s="37"/>
      <c r="B3646" s="37"/>
      <c r="C3646" s="37"/>
      <c r="F3646" s="38"/>
      <c r="G3646" s="38"/>
      <c r="H3646" s="38"/>
      <c r="I3646" s="37"/>
      <c r="J3646" s="38"/>
      <c r="K3646" s="38"/>
      <c r="L3646" s="42"/>
      <c r="M3646" s="42"/>
      <c r="N3646" s="42"/>
      <c r="O3646" s="42"/>
      <c r="R3646" s="37"/>
      <c r="S3646" s="37"/>
      <c r="T3646" s="91"/>
      <c r="U3646" s="91"/>
      <c r="V3646" s="41"/>
      <c r="W3646" s="37"/>
      <c r="X3646" s="37"/>
      <c r="Y3646" s="43"/>
      <c r="Z3646" s="37"/>
      <c r="AA3646" s="37"/>
      <c r="AD3646" s="37"/>
      <c r="AE3646" s="37"/>
      <c r="AF3646" s="37"/>
    </row>
    <row r="3647" spans="1:32" x14ac:dyDescent="0.25">
      <c r="A3647" s="37"/>
      <c r="B3647" s="37"/>
      <c r="C3647" s="37"/>
      <c r="F3647" s="38"/>
      <c r="G3647" s="38"/>
      <c r="H3647" s="38"/>
      <c r="I3647" s="37"/>
      <c r="J3647" s="38"/>
      <c r="K3647" s="38"/>
      <c r="L3647" s="42"/>
      <c r="M3647" s="42"/>
      <c r="N3647" s="42"/>
      <c r="O3647" s="42"/>
      <c r="R3647" s="37"/>
      <c r="S3647" s="37"/>
      <c r="T3647" s="91"/>
      <c r="U3647" s="91"/>
      <c r="V3647" s="41"/>
      <c r="W3647" s="37"/>
      <c r="X3647" s="37"/>
      <c r="Y3647" s="43"/>
      <c r="Z3647" s="37"/>
      <c r="AA3647" s="37"/>
      <c r="AD3647" s="37"/>
      <c r="AE3647" s="37"/>
      <c r="AF3647" s="37"/>
    </row>
    <row r="3648" spans="1:32" x14ac:dyDescent="0.25">
      <c r="A3648" s="37"/>
      <c r="B3648" s="37"/>
      <c r="C3648" s="37"/>
      <c r="F3648" s="38"/>
      <c r="G3648" s="38"/>
      <c r="H3648" s="38"/>
      <c r="I3648" s="37"/>
      <c r="J3648" s="38"/>
      <c r="K3648" s="38"/>
      <c r="L3648" s="42"/>
      <c r="M3648" s="42"/>
      <c r="N3648" s="42"/>
      <c r="O3648" s="42"/>
      <c r="R3648" s="37"/>
      <c r="S3648" s="37"/>
      <c r="T3648" s="91"/>
      <c r="U3648" s="91"/>
      <c r="V3648" s="41"/>
      <c r="W3648" s="37"/>
      <c r="X3648" s="37"/>
      <c r="Y3648" s="43"/>
      <c r="Z3648" s="37"/>
      <c r="AA3648" s="37"/>
      <c r="AD3648" s="37"/>
      <c r="AE3648" s="37"/>
      <c r="AF3648" s="37"/>
    </row>
    <row r="3649" spans="1:32" x14ac:dyDescent="0.25">
      <c r="A3649" s="37"/>
      <c r="B3649" s="37"/>
      <c r="C3649" s="37"/>
      <c r="F3649" s="38"/>
      <c r="G3649" s="38"/>
      <c r="H3649" s="38"/>
      <c r="I3649" s="37"/>
      <c r="J3649" s="38"/>
      <c r="K3649" s="38"/>
      <c r="L3649" s="42"/>
      <c r="M3649" s="42"/>
      <c r="N3649" s="42"/>
      <c r="O3649" s="42"/>
      <c r="R3649" s="37"/>
      <c r="S3649" s="37"/>
      <c r="T3649" s="91"/>
      <c r="U3649" s="91"/>
      <c r="V3649" s="41"/>
      <c r="W3649" s="37"/>
      <c r="X3649" s="37"/>
      <c r="Y3649" s="43"/>
      <c r="Z3649" s="37"/>
      <c r="AA3649" s="37"/>
      <c r="AD3649" s="37"/>
      <c r="AE3649" s="37"/>
      <c r="AF3649" s="37"/>
    </row>
    <row r="3650" spans="1:32" x14ac:dyDescent="0.25">
      <c r="A3650" s="37"/>
      <c r="B3650" s="37"/>
      <c r="C3650" s="37"/>
      <c r="F3650" s="38"/>
      <c r="G3650" s="38"/>
      <c r="H3650" s="38"/>
      <c r="I3650" s="37"/>
      <c r="J3650" s="38"/>
      <c r="K3650" s="38"/>
      <c r="L3650" s="42"/>
      <c r="M3650" s="42"/>
      <c r="N3650" s="42"/>
      <c r="O3650" s="42"/>
      <c r="R3650" s="37"/>
      <c r="S3650" s="37"/>
      <c r="T3650" s="91"/>
      <c r="U3650" s="91"/>
      <c r="V3650" s="41"/>
      <c r="W3650" s="37"/>
      <c r="X3650" s="37"/>
      <c r="Y3650" s="43"/>
      <c r="Z3650" s="37"/>
      <c r="AA3650" s="37"/>
      <c r="AD3650" s="37"/>
      <c r="AE3650" s="37"/>
      <c r="AF3650" s="37"/>
    </row>
    <row r="3651" spans="1:32" x14ac:dyDescent="0.25">
      <c r="A3651" s="37"/>
      <c r="B3651" s="37"/>
      <c r="C3651" s="37"/>
      <c r="F3651" s="38"/>
      <c r="G3651" s="38"/>
      <c r="H3651" s="38"/>
      <c r="I3651" s="37"/>
      <c r="J3651" s="38"/>
      <c r="K3651" s="38"/>
      <c r="L3651" s="42"/>
      <c r="M3651" s="42"/>
      <c r="N3651" s="42"/>
      <c r="O3651" s="42"/>
      <c r="R3651" s="37"/>
      <c r="S3651" s="37"/>
      <c r="T3651" s="91"/>
      <c r="U3651" s="91"/>
      <c r="V3651" s="41"/>
      <c r="W3651" s="37"/>
      <c r="X3651" s="37"/>
      <c r="Y3651" s="43"/>
      <c r="Z3651" s="37"/>
      <c r="AA3651" s="37"/>
      <c r="AD3651" s="37"/>
      <c r="AE3651" s="37"/>
      <c r="AF3651" s="37"/>
    </row>
    <row r="3652" spans="1:32" x14ac:dyDescent="0.25">
      <c r="A3652" s="37"/>
      <c r="B3652" s="37"/>
      <c r="C3652" s="37"/>
      <c r="F3652" s="38"/>
      <c r="G3652" s="38"/>
      <c r="H3652" s="38"/>
      <c r="I3652" s="37"/>
      <c r="J3652" s="38"/>
      <c r="K3652" s="38"/>
      <c r="L3652" s="42"/>
      <c r="M3652" s="42"/>
      <c r="N3652" s="42"/>
      <c r="O3652" s="42"/>
      <c r="R3652" s="37"/>
      <c r="S3652" s="37"/>
      <c r="T3652" s="91"/>
      <c r="U3652" s="91"/>
      <c r="V3652" s="41"/>
      <c r="W3652" s="37"/>
      <c r="X3652" s="37"/>
      <c r="Y3652" s="43"/>
      <c r="Z3652" s="37"/>
      <c r="AA3652" s="37"/>
      <c r="AD3652" s="37"/>
      <c r="AE3652" s="37"/>
      <c r="AF3652" s="37"/>
    </row>
    <row r="3653" spans="1:32" x14ac:dyDescent="0.25">
      <c r="A3653" s="37"/>
      <c r="B3653" s="37"/>
      <c r="C3653" s="37"/>
      <c r="F3653" s="38"/>
      <c r="G3653" s="38"/>
      <c r="H3653" s="38"/>
      <c r="I3653" s="37"/>
      <c r="J3653" s="38"/>
      <c r="K3653" s="38"/>
      <c r="L3653" s="42"/>
      <c r="M3653" s="42"/>
      <c r="N3653" s="42"/>
      <c r="O3653" s="42"/>
      <c r="R3653" s="37"/>
      <c r="S3653" s="37"/>
      <c r="T3653" s="91"/>
      <c r="U3653" s="91"/>
      <c r="V3653" s="41"/>
      <c r="W3653" s="37"/>
      <c r="X3653" s="37"/>
      <c r="Y3653" s="43"/>
      <c r="Z3653" s="37"/>
      <c r="AA3653" s="37"/>
      <c r="AD3653" s="37"/>
      <c r="AE3653" s="37"/>
      <c r="AF3653" s="37"/>
    </row>
    <row r="3654" spans="1:32" x14ac:dyDescent="0.25">
      <c r="A3654" s="37"/>
      <c r="B3654" s="37"/>
      <c r="C3654" s="37"/>
      <c r="F3654" s="38"/>
      <c r="G3654" s="38"/>
      <c r="H3654" s="38"/>
      <c r="I3654" s="37"/>
      <c r="J3654" s="38"/>
      <c r="K3654" s="38"/>
      <c r="L3654" s="42"/>
      <c r="M3654" s="42"/>
      <c r="N3654" s="42"/>
      <c r="O3654" s="42"/>
      <c r="R3654" s="37"/>
      <c r="S3654" s="37"/>
      <c r="T3654" s="91"/>
      <c r="U3654" s="91"/>
      <c r="V3654" s="41"/>
      <c r="W3654" s="37"/>
      <c r="X3654" s="37"/>
      <c r="Y3654" s="43"/>
      <c r="Z3654" s="37"/>
      <c r="AA3654" s="37"/>
      <c r="AD3654" s="37"/>
      <c r="AE3654" s="37"/>
      <c r="AF3654" s="37"/>
    </row>
    <row r="3655" spans="1:32" x14ac:dyDescent="0.25">
      <c r="A3655" s="37"/>
      <c r="B3655" s="37"/>
      <c r="C3655" s="37"/>
      <c r="F3655" s="38"/>
      <c r="G3655" s="38"/>
      <c r="H3655" s="38"/>
      <c r="I3655" s="37"/>
      <c r="J3655" s="38"/>
      <c r="K3655" s="38"/>
      <c r="L3655" s="42"/>
      <c r="M3655" s="42"/>
      <c r="N3655" s="42"/>
      <c r="O3655" s="42"/>
      <c r="R3655" s="37"/>
      <c r="S3655" s="37"/>
      <c r="T3655" s="91"/>
      <c r="U3655" s="91"/>
      <c r="V3655" s="41"/>
      <c r="W3655" s="37"/>
      <c r="X3655" s="37"/>
      <c r="Y3655" s="43"/>
      <c r="Z3655" s="37"/>
      <c r="AA3655" s="37"/>
      <c r="AD3655" s="37"/>
      <c r="AE3655" s="37"/>
      <c r="AF3655" s="37"/>
    </row>
    <row r="3656" spans="1:32" x14ac:dyDescent="0.25">
      <c r="A3656" s="37"/>
      <c r="B3656" s="37"/>
      <c r="C3656" s="37"/>
      <c r="F3656" s="38"/>
      <c r="G3656" s="38"/>
      <c r="H3656" s="38"/>
      <c r="I3656" s="37"/>
      <c r="J3656" s="38"/>
      <c r="K3656" s="38"/>
      <c r="L3656" s="42"/>
      <c r="M3656" s="42"/>
      <c r="N3656" s="42"/>
      <c r="O3656" s="42"/>
      <c r="R3656" s="37"/>
      <c r="S3656" s="37"/>
      <c r="T3656" s="91"/>
      <c r="U3656" s="91"/>
      <c r="V3656" s="41"/>
      <c r="W3656" s="37"/>
      <c r="X3656" s="37"/>
      <c r="Y3656" s="43"/>
      <c r="Z3656" s="37"/>
      <c r="AA3656" s="37"/>
      <c r="AD3656" s="37"/>
      <c r="AE3656" s="37"/>
      <c r="AF3656" s="37"/>
    </row>
    <row r="3657" spans="1:32" x14ac:dyDescent="0.25">
      <c r="A3657" s="37"/>
      <c r="B3657" s="37"/>
      <c r="C3657" s="37"/>
      <c r="F3657" s="38"/>
      <c r="G3657" s="38"/>
      <c r="H3657" s="38"/>
      <c r="I3657" s="37"/>
      <c r="J3657" s="38"/>
      <c r="K3657" s="38"/>
      <c r="L3657" s="42"/>
      <c r="M3657" s="42"/>
      <c r="N3657" s="42"/>
      <c r="O3657" s="42"/>
      <c r="R3657" s="37"/>
      <c r="S3657" s="37"/>
      <c r="T3657" s="91"/>
      <c r="U3657" s="91"/>
      <c r="V3657" s="41"/>
      <c r="W3657" s="37"/>
      <c r="X3657" s="37"/>
      <c r="Y3657" s="43"/>
      <c r="Z3657" s="37"/>
      <c r="AA3657" s="37"/>
      <c r="AD3657" s="37"/>
      <c r="AE3657" s="37"/>
      <c r="AF3657" s="37"/>
    </row>
    <row r="3658" spans="1:32" x14ac:dyDescent="0.25">
      <c r="A3658" s="37"/>
      <c r="B3658" s="37"/>
      <c r="C3658" s="37"/>
      <c r="F3658" s="38"/>
      <c r="G3658" s="38"/>
      <c r="H3658" s="38"/>
      <c r="I3658" s="37"/>
      <c r="J3658" s="38"/>
      <c r="K3658" s="38"/>
      <c r="L3658" s="42"/>
      <c r="M3658" s="42"/>
      <c r="N3658" s="42"/>
      <c r="O3658" s="42"/>
      <c r="R3658" s="37"/>
      <c r="S3658" s="37"/>
      <c r="T3658" s="91"/>
      <c r="U3658" s="91"/>
      <c r="V3658" s="41"/>
      <c r="W3658" s="37"/>
      <c r="X3658" s="37"/>
      <c r="Y3658" s="43"/>
      <c r="Z3658" s="37"/>
      <c r="AA3658" s="37"/>
      <c r="AD3658" s="37"/>
      <c r="AE3658" s="37"/>
      <c r="AF3658" s="37"/>
    </row>
    <row r="3659" spans="1:32" x14ac:dyDescent="0.25">
      <c r="A3659" s="37"/>
      <c r="B3659" s="37"/>
      <c r="C3659" s="37"/>
      <c r="F3659" s="38"/>
      <c r="G3659" s="38"/>
      <c r="H3659" s="38"/>
      <c r="I3659" s="37"/>
      <c r="J3659" s="38"/>
      <c r="K3659" s="38"/>
      <c r="L3659" s="42"/>
      <c r="M3659" s="42"/>
      <c r="N3659" s="42"/>
      <c r="O3659" s="42"/>
      <c r="R3659" s="37"/>
      <c r="S3659" s="37"/>
      <c r="T3659" s="91"/>
      <c r="U3659" s="91"/>
      <c r="V3659" s="41"/>
      <c r="W3659" s="37"/>
      <c r="X3659" s="37"/>
      <c r="Y3659" s="43"/>
      <c r="Z3659" s="37"/>
      <c r="AA3659" s="37"/>
      <c r="AD3659" s="37"/>
      <c r="AE3659" s="37"/>
      <c r="AF3659" s="37"/>
    </row>
    <row r="3660" spans="1:32" x14ac:dyDescent="0.25">
      <c r="A3660" s="37"/>
      <c r="B3660" s="37"/>
      <c r="C3660" s="37"/>
      <c r="F3660" s="38"/>
      <c r="G3660" s="38"/>
      <c r="H3660" s="38"/>
      <c r="I3660" s="37"/>
      <c r="J3660" s="38"/>
      <c r="K3660" s="38"/>
      <c r="L3660" s="42"/>
      <c r="M3660" s="42"/>
      <c r="N3660" s="42"/>
      <c r="O3660" s="42"/>
      <c r="R3660" s="37"/>
      <c r="S3660" s="37"/>
      <c r="T3660" s="91"/>
      <c r="U3660" s="91"/>
      <c r="V3660" s="41"/>
      <c r="W3660" s="37"/>
      <c r="X3660" s="37"/>
      <c r="Y3660" s="43"/>
      <c r="Z3660" s="37"/>
      <c r="AA3660" s="37"/>
      <c r="AD3660" s="37"/>
      <c r="AE3660" s="37"/>
      <c r="AF3660" s="37"/>
    </row>
    <row r="3661" spans="1:32" x14ac:dyDescent="0.25">
      <c r="A3661" s="37"/>
      <c r="B3661" s="37"/>
      <c r="C3661" s="37"/>
      <c r="F3661" s="38"/>
      <c r="G3661" s="38"/>
      <c r="H3661" s="38"/>
      <c r="I3661" s="37"/>
      <c r="J3661" s="38"/>
      <c r="K3661" s="38"/>
      <c r="L3661" s="42"/>
      <c r="M3661" s="42"/>
      <c r="N3661" s="42"/>
      <c r="O3661" s="42"/>
      <c r="R3661" s="37"/>
      <c r="S3661" s="37"/>
      <c r="T3661" s="91"/>
      <c r="U3661" s="91"/>
      <c r="V3661" s="41"/>
      <c r="W3661" s="37"/>
      <c r="X3661" s="37"/>
      <c r="Y3661" s="43"/>
      <c r="Z3661" s="37"/>
      <c r="AA3661" s="37"/>
      <c r="AD3661" s="37"/>
      <c r="AE3661" s="37"/>
      <c r="AF3661" s="37"/>
    </row>
    <row r="3662" spans="1:32" x14ac:dyDescent="0.25">
      <c r="A3662" s="37"/>
      <c r="B3662" s="37"/>
      <c r="C3662" s="37"/>
      <c r="F3662" s="38"/>
      <c r="G3662" s="38"/>
      <c r="H3662" s="38"/>
      <c r="I3662" s="37"/>
      <c r="J3662" s="38"/>
      <c r="K3662" s="38"/>
      <c r="L3662" s="42"/>
      <c r="M3662" s="42"/>
      <c r="N3662" s="42"/>
      <c r="O3662" s="42"/>
      <c r="R3662" s="37"/>
      <c r="S3662" s="37"/>
      <c r="T3662" s="91"/>
      <c r="U3662" s="91"/>
      <c r="V3662" s="41"/>
      <c r="W3662" s="37"/>
      <c r="X3662" s="37"/>
      <c r="Y3662" s="43"/>
      <c r="Z3662" s="37"/>
      <c r="AA3662" s="37"/>
      <c r="AD3662" s="37"/>
      <c r="AE3662" s="37"/>
      <c r="AF3662" s="37"/>
    </row>
    <row r="3663" spans="1:32" x14ac:dyDescent="0.25">
      <c r="A3663" s="37"/>
      <c r="B3663" s="37"/>
      <c r="C3663" s="37"/>
      <c r="F3663" s="38"/>
      <c r="G3663" s="38"/>
      <c r="H3663" s="38"/>
      <c r="I3663" s="37"/>
      <c r="J3663" s="38"/>
      <c r="K3663" s="38"/>
      <c r="L3663" s="42"/>
      <c r="M3663" s="42"/>
      <c r="N3663" s="42"/>
      <c r="O3663" s="42"/>
      <c r="R3663" s="37"/>
      <c r="S3663" s="37"/>
      <c r="T3663" s="91"/>
      <c r="U3663" s="91"/>
      <c r="V3663" s="41"/>
      <c r="W3663" s="37"/>
      <c r="X3663" s="37"/>
      <c r="Y3663" s="43"/>
      <c r="Z3663" s="37"/>
      <c r="AA3663" s="37"/>
      <c r="AD3663" s="37"/>
      <c r="AE3663" s="37"/>
      <c r="AF3663" s="37"/>
    </row>
    <row r="3664" spans="1:32" x14ac:dyDescent="0.25">
      <c r="A3664" s="37"/>
      <c r="B3664" s="37"/>
      <c r="C3664" s="37"/>
      <c r="F3664" s="38"/>
      <c r="G3664" s="38"/>
      <c r="H3664" s="38"/>
      <c r="I3664" s="37"/>
      <c r="J3664" s="38"/>
      <c r="K3664" s="38"/>
      <c r="L3664" s="42"/>
      <c r="M3664" s="42"/>
      <c r="N3664" s="42"/>
      <c r="O3664" s="42"/>
      <c r="R3664" s="37"/>
      <c r="S3664" s="37"/>
      <c r="T3664" s="91"/>
      <c r="U3664" s="91"/>
      <c r="V3664" s="41"/>
      <c r="W3664" s="37"/>
      <c r="X3664" s="37"/>
      <c r="Y3664" s="43"/>
      <c r="Z3664" s="37"/>
      <c r="AA3664" s="37"/>
      <c r="AD3664" s="37"/>
      <c r="AE3664" s="37"/>
      <c r="AF3664" s="37"/>
    </row>
    <row r="3665" spans="1:32" x14ac:dyDescent="0.25">
      <c r="A3665" s="37"/>
      <c r="B3665" s="37"/>
      <c r="C3665" s="37"/>
      <c r="F3665" s="38"/>
      <c r="G3665" s="38"/>
      <c r="H3665" s="38"/>
      <c r="I3665" s="37"/>
      <c r="J3665" s="38"/>
      <c r="K3665" s="38"/>
      <c r="L3665" s="42"/>
      <c r="M3665" s="42"/>
      <c r="N3665" s="42"/>
      <c r="O3665" s="42"/>
      <c r="R3665" s="37"/>
      <c r="S3665" s="37"/>
      <c r="T3665" s="91"/>
      <c r="U3665" s="91"/>
      <c r="V3665" s="41"/>
      <c r="W3665" s="37"/>
      <c r="X3665" s="37"/>
      <c r="Y3665" s="43"/>
      <c r="Z3665" s="37"/>
      <c r="AA3665" s="37"/>
      <c r="AD3665" s="37"/>
      <c r="AE3665" s="37"/>
      <c r="AF3665" s="37"/>
    </row>
    <row r="3666" spans="1:32" x14ac:dyDescent="0.25">
      <c r="A3666" s="37"/>
      <c r="B3666" s="37"/>
      <c r="C3666" s="37"/>
      <c r="F3666" s="38"/>
      <c r="G3666" s="38"/>
      <c r="H3666" s="38"/>
      <c r="I3666" s="37"/>
      <c r="J3666" s="38"/>
      <c r="K3666" s="38"/>
      <c r="L3666" s="42"/>
      <c r="M3666" s="42"/>
      <c r="N3666" s="42"/>
      <c r="O3666" s="42"/>
      <c r="R3666" s="37"/>
      <c r="S3666" s="37"/>
      <c r="T3666" s="91"/>
      <c r="U3666" s="91"/>
      <c r="V3666" s="41"/>
      <c r="W3666" s="37"/>
      <c r="X3666" s="37"/>
      <c r="Y3666" s="43"/>
      <c r="Z3666" s="37"/>
      <c r="AA3666" s="37"/>
      <c r="AD3666" s="37"/>
      <c r="AE3666" s="37"/>
      <c r="AF3666" s="37"/>
    </row>
    <row r="3667" spans="1:32" x14ac:dyDescent="0.25">
      <c r="A3667" s="37"/>
      <c r="B3667" s="37"/>
      <c r="C3667" s="37"/>
      <c r="F3667" s="38"/>
      <c r="G3667" s="38"/>
      <c r="H3667" s="38"/>
      <c r="I3667" s="37"/>
      <c r="J3667" s="38"/>
      <c r="K3667" s="38"/>
      <c r="L3667" s="42"/>
      <c r="M3667" s="42"/>
      <c r="N3667" s="42"/>
      <c r="O3667" s="42"/>
      <c r="R3667" s="37"/>
      <c r="S3667" s="37"/>
      <c r="T3667" s="91"/>
      <c r="U3667" s="91"/>
      <c r="V3667" s="41"/>
      <c r="W3667" s="37"/>
      <c r="X3667" s="37"/>
      <c r="Y3667" s="43"/>
      <c r="Z3667" s="37"/>
      <c r="AA3667" s="37"/>
      <c r="AD3667" s="37"/>
      <c r="AE3667" s="37"/>
      <c r="AF3667" s="37"/>
    </row>
    <row r="3668" spans="1:32" x14ac:dyDescent="0.25">
      <c r="A3668" s="37"/>
      <c r="B3668" s="37"/>
      <c r="C3668" s="37"/>
      <c r="F3668" s="38"/>
      <c r="G3668" s="38"/>
      <c r="H3668" s="38"/>
      <c r="I3668" s="37"/>
      <c r="J3668" s="38"/>
      <c r="K3668" s="38"/>
      <c r="L3668" s="42"/>
      <c r="M3668" s="42"/>
      <c r="N3668" s="42"/>
      <c r="O3668" s="42"/>
      <c r="R3668" s="37"/>
      <c r="S3668" s="37"/>
      <c r="T3668" s="91"/>
      <c r="U3668" s="91"/>
      <c r="V3668" s="41"/>
      <c r="W3668" s="37"/>
      <c r="X3668" s="37"/>
      <c r="Y3668" s="43"/>
      <c r="Z3668" s="37"/>
      <c r="AA3668" s="37"/>
      <c r="AD3668" s="37"/>
      <c r="AE3668" s="37"/>
      <c r="AF3668" s="37"/>
    </row>
    <row r="3669" spans="1:32" x14ac:dyDescent="0.25">
      <c r="A3669" s="37"/>
      <c r="B3669" s="37"/>
      <c r="C3669" s="37"/>
      <c r="F3669" s="38"/>
      <c r="G3669" s="38"/>
      <c r="H3669" s="38"/>
      <c r="I3669" s="37"/>
      <c r="J3669" s="38"/>
      <c r="K3669" s="38"/>
      <c r="L3669" s="42"/>
      <c r="M3669" s="42"/>
      <c r="N3669" s="42"/>
      <c r="O3669" s="42"/>
      <c r="R3669" s="37"/>
      <c r="S3669" s="37"/>
      <c r="T3669" s="91"/>
      <c r="U3669" s="91"/>
      <c r="V3669" s="41"/>
      <c r="W3669" s="37"/>
      <c r="X3669" s="37"/>
      <c r="Y3669" s="43"/>
      <c r="Z3669" s="37"/>
      <c r="AA3669" s="37"/>
      <c r="AD3669" s="37"/>
      <c r="AE3669" s="37"/>
      <c r="AF3669" s="37"/>
    </row>
    <row r="3670" spans="1:32" x14ac:dyDescent="0.25">
      <c r="A3670" s="37"/>
      <c r="B3670" s="37"/>
      <c r="C3670" s="37"/>
      <c r="F3670" s="38"/>
      <c r="G3670" s="38"/>
      <c r="H3670" s="38"/>
      <c r="I3670" s="37"/>
      <c r="J3670" s="38"/>
      <c r="K3670" s="38"/>
      <c r="L3670" s="42"/>
      <c r="M3670" s="42"/>
      <c r="N3670" s="42"/>
      <c r="O3670" s="42"/>
      <c r="R3670" s="37"/>
      <c r="S3670" s="37"/>
      <c r="T3670" s="91"/>
      <c r="U3670" s="91"/>
      <c r="V3670" s="41"/>
      <c r="W3670" s="37"/>
      <c r="X3670" s="37"/>
      <c r="Y3670" s="43"/>
      <c r="Z3670" s="37"/>
      <c r="AA3670" s="37"/>
      <c r="AD3670" s="37"/>
      <c r="AE3670" s="37"/>
      <c r="AF3670" s="37"/>
    </row>
    <row r="3671" spans="1:32" x14ac:dyDescent="0.25">
      <c r="A3671" s="37"/>
      <c r="B3671" s="37"/>
      <c r="C3671" s="37"/>
      <c r="F3671" s="38"/>
      <c r="G3671" s="38"/>
      <c r="H3671" s="38"/>
      <c r="I3671" s="37"/>
      <c r="J3671" s="38"/>
      <c r="K3671" s="38"/>
      <c r="L3671" s="42"/>
      <c r="M3671" s="42"/>
      <c r="N3671" s="42"/>
      <c r="O3671" s="42"/>
      <c r="R3671" s="37"/>
      <c r="S3671" s="37"/>
      <c r="T3671" s="91"/>
      <c r="U3671" s="91"/>
      <c r="V3671" s="41"/>
      <c r="W3671" s="37"/>
      <c r="X3671" s="37"/>
      <c r="Y3671" s="43"/>
      <c r="Z3671" s="37"/>
      <c r="AA3671" s="37"/>
      <c r="AD3671" s="37"/>
      <c r="AE3671" s="37"/>
      <c r="AF3671" s="37"/>
    </row>
    <row r="3672" spans="1:32" x14ac:dyDescent="0.25">
      <c r="A3672" s="37"/>
      <c r="B3672" s="37"/>
      <c r="C3672" s="37"/>
      <c r="F3672" s="38"/>
      <c r="G3672" s="38"/>
      <c r="H3672" s="38"/>
      <c r="I3672" s="37"/>
      <c r="J3672" s="38"/>
      <c r="K3672" s="38"/>
      <c r="L3672" s="42"/>
      <c r="M3672" s="42"/>
      <c r="N3672" s="42"/>
      <c r="O3672" s="42"/>
      <c r="R3672" s="37"/>
      <c r="S3672" s="37"/>
      <c r="T3672" s="91"/>
      <c r="U3672" s="91"/>
      <c r="V3672" s="41"/>
      <c r="W3672" s="37"/>
      <c r="X3672" s="37"/>
      <c r="Y3672" s="43"/>
      <c r="Z3672" s="37"/>
      <c r="AA3672" s="37"/>
      <c r="AD3672" s="37"/>
      <c r="AE3672" s="37"/>
      <c r="AF3672" s="37"/>
    </row>
    <row r="3673" spans="1:32" x14ac:dyDescent="0.25">
      <c r="A3673" s="37"/>
      <c r="B3673" s="37"/>
      <c r="C3673" s="37"/>
      <c r="F3673" s="38"/>
      <c r="G3673" s="38"/>
      <c r="H3673" s="38"/>
      <c r="I3673" s="37"/>
      <c r="J3673" s="38"/>
      <c r="K3673" s="38"/>
      <c r="L3673" s="42"/>
      <c r="M3673" s="42"/>
      <c r="N3673" s="42"/>
      <c r="O3673" s="42"/>
      <c r="R3673" s="37"/>
      <c r="S3673" s="37"/>
      <c r="T3673" s="91"/>
      <c r="U3673" s="91"/>
      <c r="V3673" s="41"/>
      <c r="W3673" s="37"/>
      <c r="X3673" s="37"/>
      <c r="Y3673" s="43"/>
      <c r="Z3673" s="37"/>
      <c r="AA3673" s="37"/>
      <c r="AD3673" s="37"/>
      <c r="AE3673" s="37"/>
      <c r="AF3673" s="37"/>
    </row>
    <row r="3674" spans="1:32" x14ac:dyDescent="0.25">
      <c r="A3674" s="37"/>
      <c r="B3674" s="37"/>
      <c r="C3674" s="37"/>
      <c r="F3674" s="38"/>
      <c r="G3674" s="38"/>
      <c r="H3674" s="38"/>
      <c r="I3674" s="37"/>
      <c r="J3674" s="38"/>
      <c r="K3674" s="38"/>
      <c r="L3674" s="42"/>
      <c r="M3674" s="42"/>
      <c r="N3674" s="42"/>
      <c r="O3674" s="42"/>
      <c r="R3674" s="37"/>
      <c r="S3674" s="37"/>
      <c r="T3674" s="91"/>
      <c r="U3674" s="91"/>
      <c r="V3674" s="41"/>
      <c r="W3674" s="37"/>
      <c r="X3674" s="37"/>
      <c r="Y3674" s="43"/>
      <c r="Z3674" s="37"/>
      <c r="AA3674" s="37"/>
      <c r="AD3674" s="37"/>
      <c r="AE3674" s="37"/>
      <c r="AF3674" s="37"/>
    </row>
    <row r="3675" spans="1:32" x14ac:dyDescent="0.25">
      <c r="A3675" s="37"/>
      <c r="B3675" s="37"/>
      <c r="C3675" s="37"/>
      <c r="F3675" s="38"/>
      <c r="G3675" s="38"/>
      <c r="H3675" s="38"/>
      <c r="I3675" s="37"/>
      <c r="J3675" s="38"/>
      <c r="K3675" s="38"/>
      <c r="L3675" s="42"/>
      <c r="M3675" s="42"/>
      <c r="N3675" s="42"/>
      <c r="O3675" s="42"/>
      <c r="R3675" s="37"/>
      <c r="S3675" s="37"/>
      <c r="T3675" s="91"/>
      <c r="U3675" s="91"/>
      <c r="V3675" s="41"/>
      <c r="W3675" s="37"/>
      <c r="X3675" s="37"/>
      <c r="Y3675" s="43"/>
      <c r="Z3675" s="37"/>
      <c r="AA3675" s="37"/>
      <c r="AD3675" s="37"/>
      <c r="AE3675" s="37"/>
      <c r="AF3675" s="37"/>
    </row>
    <row r="3676" spans="1:32" x14ac:dyDescent="0.25">
      <c r="A3676" s="37"/>
      <c r="B3676" s="37"/>
      <c r="C3676" s="37"/>
      <c r="F3676" s="38"/>
      <c r="G3676" s="38"/>
      <c r="H3676" s="38"/>
      <c r="I3676" s="37"/>
      <c r="J3676" s="38"/>
      <c r="K3676" s="38"/>
      <c r="L3676" s="42"/>
      <c r="M3676" s="42"/>
      <c r="N3676" s="42"/>
      <c r="O3676" s="42"/>
      <c r="R3676" s="37"/>
      <c r="S3676" s="37"/>
      <c r="T3676" s="91"/>
      <c r="U3676" s="91"/>
      <c r="V3676" s="41"/>
      <c r="W3676" s="37"/>
      <c r="X3676" s="37"/>
      <c r="Y3676" s="43"/>
      <c r="Z3676" s="37"/>
      <c r="AA3676" s="37"/>
      <c r="AD3676" s="37"/>
      <c r="AE3676" s="37"/>
      <c r="AF3676" s="37"/>
    </row>
    <row r="3677" spans="1:32" x14ac:dyDescent="0.25">
      <c r="A3677" s="37"/>
      <c r="B3677" s="37"/>
      <c r="C3677" s="37"/>
      <c r="F3677" s="38"/>
      <c r="G3677" s="38"/>
      <c r="H3677" s="38"/>
      <c r="I3677" s="37"/>
      <c r="J3677" s="38"/>
      <c r="K3677" s="38"/>
      <c r="L3677" s="42"/>
      <c r="M3677" s="42"/>
      <c r="N3677" s="42"/>
      <c r="O3677" s="42"/>
      <c r="R3677" s="37"/>
      <c r="S3677" s="37"/>
      <c r="T3677" s="91"/>
      <c r="U3677" s="91"/>
      <c r="V3677" s="41"/>
      <c r="W3677" s="37"/>
      <c r="X3677" s="37"/>
      <c r="Y3677" s="43"/>
      <c r="Z3677" s="37"/>
      <c r="AA3677" s="37"/>
      <c r="AD3677" s="37"/>
      <c r="AE3677" s="37"/>
      <c r="AF3677" s="37"/>
    </row>
    <row r="3678" spans="1:32" x14ac:dyDescent="0.25">
      <c r="A3678" s="37"/>
      <c r="B3678" s="37"/>
      <c r="C3678" s="37"/>
      <c r="F3678" s="38"/>
      <c r="G3678" s="38"/>
      <c r="H3678" s="38"/>
      <c r="I3678" s="37"/>
      <c r="J3678" s="38"/>
      <c r="K3678" s="38"/>
      <c r="L3678" s="42"/>
      <c r="M3678" s="42"/>
      <c r="N3678" s="42"/>
      <c r="O3678" s="42"/>
      <c r="R3678" s="37"/>
      <c r="S3678" s="37"/>
      <c r="T3678" s="91"/>
      <c r="U3678" s="91"/>
      <c r="V3678" s="41"/>
      <c r="W3678" s="37"/>
      <c r="X3678" s="37"/>
      <c r="Y3678" s="43"/>
      <c r="Z3678" s="37"/>
      <c r="AA3678" s="37"/>
      <c r="AD3678" s="37"/>
      <c r="AE3678" s="37"/>
      <c r="AF3678" s="37"/>
    </row>
    <row r="3679" spans="1:32" x14ac:dyDescent="0.25">
      <c r="A3679" s="37"/>
      <c r="B3679" s="37"/>
      <c r="C3679" s="37"/>
      <c r="F3679" s="38"/>
      <c r="G3679" s="38"/>
      <c r="H3679" s="38"/>
      <c r="I3679" s="37"/>
      <c r="J3679" s="38"/>
      <c r="K3679" s="38"/>
      <c r="L3679" s="42"/>
      <c r="M3679" s="42"/>
      <c r="N3679" s="42"/>
      <c r="O3679" s="42"/>
      <c r="R3679" s="37"/>
      <c r="S3679" s="37"/>
      <c r="T3679" s="91"/>
      <c r="U3679" s="91"/>
      <c r="V3679" s="41"/>
      <c r="W3679" s="37"/>
      <c r="X3679" s="37"/>
      <c r="Y3679" s="43"/>
      <c r="Z3679" s="37"/>
      <c r="AA3679" s="37"/>
      <c r="AD3679" s="37"/>
      <c r="AE3679" s="37"/>
      <c r="AF3679" s="37"/>
    </row>
    <row r="3680" spans="1:32" x14ac:dyDescent="0.25">
      <c r="A3680" s="37"/>
      <c r="B3680" s="37"/>
      <c r="C3680" s="37"/>
      <c r="F3680" s="38"/>
      <c r="G3680" s="38"/>
      <c r="H3680" s="38"/>
      <c r="I3680" s="37"/>
      <c r="J3680" s="38"/>
      <c r="K3680" s="38"/>
      <c r="L3680" s="42"/>
      <c r="M3680" s="42"/>
      <c r="N3680" s="42"/>
      <c r="O3680" s="42"/>
      <c r="R3680" s="37"/>
      <c r="S3680" s="37"/>
      <c r="T3680" s="91"/>
      <c r="U3680" s="91"/>
      <c r="V3680" s="41"/>
      <c r="W3680" s="37"/>
      <c r="X3680" s="37"/>
      <c r="Y3680" s="43"/>
      <c r="Z3680" s="37"/>
      <c r="AA3680" s="37"/>
      <c r="AD3680" s="37"/>
      <c r="AE3680" s="37"/>
      <c r="AF3680" s="37"/>
    </row>
    <row r="3681" spans="1:32" x14ac:dyDescent="0.25">
      <c r="A3681" s="37"/>
      <c r="B3681" s="37"/>
      <c r="C3681" s="37"/>
      <c r="F3681" s="38"/>
      <c r="G3681" s="38"/>
      <c r="H3681" s="38"/>
      <c r="I3681" s="37"/>
      <c r="J3681" s="38"/>
      <c r="K3681" s="38"/>
      <c r="L3681" s="42"/>
      <c r="M3681" s="42"/>
      <c r="N3681" s="42"/>
      <c r="O3681" s="42"/>
      <c r="R3681" s="37"/>
      <c r="S3681" s="37"/>
      <c r="T3681" s="91"/>
      <c r="U3681" s="91"/>
      <c r="V3681" s="41"/>
      <c r="W3681" s="37"/>
      <c r="X3681" s="37"/>
      <c r="Y3681" s="43"/>
      <c r="Z3681" s="37"/>
      <c r="AA3681" s="37"/>
      <c r="AD3681" s="37"/>
      <c r="AE3681" s="37"/>
      <c r="AF3681" s="37"/>
    </row>
    <row r="3682" spans="1:32" x14ac:dyDescent="0.25">
      <c r="A3682" s="37"/>
      <c r="B3682" s="37"/>
      <c r="C3682" s="37"/>
      <c r="F3682" s="38"/>
      <c r="G3682" s="38"/>
      <c r="H3682" s="38"/>
      <c r="I3682" s="37"/>
      <c r="J3682" s="38"/>
      <c r="K3682" s="38"/>
      <c r="L3682" s="42"/>
      <c r="M3682" s="42"/>
      <c r="N3682" s="42"/>
      <c r="O3682" s="42"/>
      <c r="R3682" s="37"/>
      <c r="S3682" s="37"/>
      <c r="T3682" s="91"/>
      <c r="U3682" s="91"/>
      <c r="V3682" s="41"/>
      <c r="W3682" s="37"/>
      <c r="X3682" s="37"/>
      <c r="Y3682" s="43"/>
      <c r="Z3682" s="37"/>
      <c r="AA3682" s="37"/>
      <c r="AD3682" s="37"/>
      <c r="AE3682" s="37"/>
      <c r="AF3682" s="37"/>
    </row>
    <row r="3683" spans="1:32" x14ac:dyDescent="0.25">
      <c r="A3683" s="37"/>
      <c r="B3683" s="37"/>
      <c r="C3683" s="37"/>
      <c r="F3683" s="38"/>
      <c r="G3683" s="38"/>
      <c r="H3683" s="38"/>
      <c r="I3683" s="37"/>
      <c r="J3683" s="38"/>
      <c r="K3683" s="38"/>
      <c r="L3683" s="42"/>
      <c r="M3683" s="42"/>
      <c r="N3683" s="42"/>
      <c r="O3683" s="42"/>
      <c r="R3683" s="37"/>
      <c r="S3683" s="37"/>
      <c r="T3683" s="91"/>
      <c r="U3683" s="91"/>
      <c r="V3683" s="41"/>
      <c r="W3683" s="37"/>
      <c r="X3683" s="37"/>
      <c r="Y3683" s="43"/>
      <c r="Z3683" s="37"/>
      <c r="AA3683" s="37"/>
      <c r="AD3683" s="37"/>
      <c r="AE3683" s="37"/>
      <c r="AF3683" s="37"/>
    </row>
    <row r="3684" spans="1:32" x14ac:dyDescent="0.25">
      <c r="A3684" s="37"/>
      <c r="B3684" s="37"/>
      <c r="C3684" s="37"/>
      <c r="F3684" s="38"/>
      <c r="G3684" s="38"/>
      <c r="H3684" s="38"/>
      <c r="I3684" s="37"/>
      <c r="J3684" s="38"/>
      <c r="K3684" s="38"/>
      <c r="L3684" s="42"/>
      <c r="M3684" s="42"/>
      <c r="N3684" s="42"/>
      <c r="O3684" s="42"/>
      <c r="R3684" s="37"/>
      <c r="S3684" s="37"/>
      <c r="T3684" s="91"/>
      <c r="U3684" s="91"/>
      <c r="V3684" s="41"/>
      <c r="W3684" s="37"/>
      <c r="X3684" s="37"/>
      <c r="Y3684" s="43"/>
      <c r="Z3684" s="37"/>
      <c r="AA3684" s="37"/>
      <c r="AD3684" s="37"/>
      <c r="AE3684" s="37"/>
      <c r="AF3684" s="37"/>
    </row>
    <row r="3685" spans="1:32" x14ac:dyDescent="0.25">
      <c r="A3685" s="37"/>
      <c r="B3685" s="37"/>
      <c r="C3685" s="37"/>
      <c r="F3685" s="38"/>
      <c r="G3685" s="38"/>
      <c r="H3685" s="38"/>
      <c r="I3685" s="37"/>
      <c r="J3685" s="38"/>
      <c r="K3685" s="38"/>
      <c r="L3685" s="42"/>
      <c r="M3685" s="42"/>
      <c r="N3685" s="42"/>
      <c r="O3685" s="42"/>
      <c r="R3685" s="37"/>
      <c r="S3685" s="37"/>
      <c r="T3685" s="91"/>
      <c r="U3685" s="91"/>
      <c r="V3685" s="41"/>
      <c r="W3685" s="37"/>
      <c r="X3685" s="37"/>
      <c r="Y3685" s="43"/>
      <c r="Z3685" s="37"/>
      <c r="AA3685" s="37"/>
      <c r="AD3685" s="37"/>
      <c r="AE3685" s="37"/>
      <c r="AF3685" s="37"/>
    </row>
    <row r="3686" spans="1:32" x14ac:dyDescent="0.25">
      <c r="A3686" s="37"/>
      <c r="B3686" s="37"/>
      <c r="C3686" s="37"/>
      <c r="F3686" s="38"/>
      <c r="G3686" s="38"/>
      <c r="H3686" s="38"/>
      <c r="I3686" s="37"/>
      <c r="J3686" s="38"/>
      <c r="K3686" s="38"/>
      <c r="L3686" s="42"/>
      <c r="M3686" s="42"/>
      <c r="N3686" s="42"/>
      <c r="O3686" s="42"/>
      <c r="R3686" s="37"/>
      <c r="S3686" s="37"/>
      <c r="T3686" s="91"/>
      <c r="U3686" s="91"/>
      <c r="V3686" s="41"/>
      <c r="W3686" s="37"/>
      <c r="X3686" s="37"/>
      <c r="Y3686" s="43"/>
      <c r="Z3686" s="37"/>
      <c r="AA3686" s="37"/>
      <c r="AD3686" s="37"/>
      <c r="AE3686" s="37"/>
      <c r="AF3686" s="37"/>
    </row>
    <row r="3687" spans="1:32" x14ac:dyDescent="0.25">
      <c r="A3687" s="37"/>
      <c r="B3687" s="37"/>
      <c r="C3687" s="37"/>
      <c r="F3687" s="38"/>
      <c r="G3687" s="38"/>
      <c r="H3687" s="38"/>
      <c r="I3687" s="37"/>
      <c r="J3687" s="38"/>
      <c r="K3687" s="38"/>
      <c r="L3687" s="42"/>
      <c r="M3687" s="42"/>
      <c r="N3687" s="42"/>
      <c r="O3687" s="42"/>
      <c r="R3687" s="37"/>
      <c r="S3687" s="37"/>
      <c r="T3687" s="91"/>
      <c r="U3687" s="91"/>
      <c r="V3687" s="41"/>
      <c r="W3687" s="37"/>
      <c r="X3687" s="37"/>
      <c r="Y3687" s="43"/>
      <c r="Z3687" s="37"/>
      <c r="AA3687" s="37"/>
      <c r="AD3687" s="37"/>
      <c r="AE3687" s="37"/>
      <c r="AF3687" s="37"/>
    </row>
    <row r="3688" spans="1:32" x14ac:dyDescent="0.25">
      <c r="A3688" s="37"/>
      <c r="B3688" s="37"/>
      <c r="C3688" s="37"/>
      <c r="F3688" s="38"/>
      <c r="G3688" s="38"/>
      <c r="H3688" s="38"/>
      <c r="I3688" s="37"/>
      <c r="J3688" s="38"/>
      <c r="K3688" s="38"/>
      <c r="L3688" s="42"/>
      <c r="M3688" s="42"/>
      <c r="N3688" s="42"/>
      <c r="O3688" s="42"/>
      <c r="R3688" s="37"/>
      <c r="S3688" s="37"/>
      <c r="T3688" s="91"/>
      <c r="U3688" s="91"/>
      <c r="V3688" s="41"/>
      <c r="W3688" s="37"/>
      <c r="X3688" s="37"/>
      <c r="Y3688" s="43"/>
      <c r="Z3688" s="37"/>
      <c r="AA3688" s="37"/>
      <c r="AD3688" s="37"/>
      <c r="AE3688" s="37"/>
      <c r="AF3688" s="37"/>
    </row>
    <row r="3689" spans="1:32" x14ac:dyDescent="0.25">
      <c r="A3689" s="37"/>
      <c r="B3689" s="37"/>
      <c r="C3689" s="37"/>
      <c r="F3689" s="38"/>
      <c r="G3689" s="38"/>
      <c r="H3689" s="38"/>
      <c r="I3689" s="37"/>
      <c r="J3689" s="38"/>
      <c r="K3689" s="38"/>
      <c r="L3689" s="42"/>
      <c r="M3689" s="42"/>
      <c r="N3689" s="42"/>
      <c r="O3689" s="42"/>
      <c r="R3689" s="37"/>
      <c r="S3689" s="37"/>
      <c r="T3689" s="91"/>
      <c r="U3689" s="91"/>
      <c r="V3689" s="41"/>
      <c r="W3689" s="37"/>
      <c r="X3689" s="37"/>
      <c r="Y3689" s="43"/>
      <c r="Z3689" s="37"/>
      <c r="AA3689" s="37"/>
      <c r="AD3689" s="37"/>
      <c r="AE3689" s="37"/>
      <c r="AF3689" s="37"/>
    </row>
    <row r="3690" spans="1:32" x14ac:dyDescent="0.25">
      <c r="A3690" s="37"/>
      <c r="B3690" s="37"/>
      <c r="C3690" s="37"/>
      <c r="F3690" s="38"/>
      <c r="G3690" s="38"/>
      <c r="H3690" s="38"/>
      <c r="I3690" s="37"/>
      <c r="J3690" s="38"/>
      <c r="K3690" s="38"/>
      <c r="L3690" s="42"/>
      <c r="M3690" s="42"/>
      <c r="N3690" s="42"/>
      <c r="O3690" s="42"/>
      <c r="R3690" s="37"/>
      <c r="S3690" s="37"/>
      <c r="T3690" s="91"/>
      <c r="U3690" s="91"/>
      <c r="V3690" s="41"/>
      <c r="W3690" s="37"/>
      <c r="X3690" s="37"/>
      <c r="Y3690" s="43"/>
      <c r="Z3690" s="37"/>
      <c r="AA3690" s="37"/>
      <c r="AD3690" s="37"/>
      <c r="AE3690" s="37"/>
      <c r="AF3690" s="37"/>
    </row>
    <row r="3691" spans="1:32" x14ac:dyDescent="0.25">
      <c r="A3691" s="37"/>
      <c r="B3691" s="37"/>
      <c r="C3691" s="37"/>
      <c r="F3691" s="38"/>
      <c r="G3691" s="38"/>
      <c r="H3691" s="38"/>
      <c r="I3691" s="37"/>
      <c r="J3691" s="38"/>
      <c r="K3691" s="38"/>
      <c r="L3691" s="42"/>
      <c r="M3691" s="42"/>
      <c r="N3691" s="42"/>
      <c r="O3691" s="42"/>
      <c r="R3691" s="37"/>
      <c r="S3691" s="37"/>
      <c r="T3691" s="91"/>
      <c r="U3691" s="91"/>
      <c r="V3691" s="41"/>
      <c r="W3691" s="37"/>
      <c r="X3691" s="37"/>
      <c r="Y3691" s="43"/>
      <c r="Z3691" s="37"/>
      <c r="AA3691" s="37"/>
      <c r="AD3691" s="37"/>
      <c r="AE3691" s="37"/>
      <c r="AF3691" s="37"/>
    </row>
    <row r="3692" spans="1:32" x14ac:dyDescent="0.25">
      <c r="A3692" s="37"/>
      <c r="B3692" s="37"/>
      <c r="C3692" s="37"/>
      <c r="F3692" s="38"/>
      <c r="G3692" s="38"/>
      <c r="H3692" s="38"/>
      <c r="I3692" s="37"/>
      <c r="J3692" s="38"/>
      <c r="K3692" s="38"/>
      <c r="L3692" s="42"/>
      <c r="M3692" s="42"/>
      <c r="N3692" s="42"/>
      <c r="O3692" s="42"/>
      <c r="R3692" s="37"/>
      <c r="S3692" s="37"/>
      <c r="T3692" s="91"/>
      <c r="U3692" s="91"/>
      <c r="V3692" s="41"/>
      <c r="W3692" s="37"/>
      <c r="X3692" s="37"/>
      <c r="Y3692" s="43"/>
      <c r="Z3692" s="37"/>
      <c r="AA3692" s="37"/>
      <c r="AD3692" s="37"/>
      <c r="AE3692" s="37"/>
      <c r="AF3692" s="37"/>
    </row>
    <row r="3693" spans="1:32" x14ac:dyDescent="0.25">
      <c r="A3693" s="37"/>
      <c r="B3693" s="37"/>
      <c r="C3693" s="37"/>
      <c r="F3693" s="38"/>
      <c r="G3693" s="38"/>
      <c r="H3693" s="38"/>
      <c r="I3693" s="37"/>
      <c r="J3693" s="38"/>
      <c r="K3693" s="38"/>
      <c r="L3693" s="42"/>
      <c r="M3693" s="42"/>
      <c r="N3693" s="42"/>
      <c r="O3693" s="42"/>
      <c r="R3693" s="37"/>
      <c r="S3693" s="37"/>
      <c r="T3693" s="91"/>
      <c r="U3693" s="91"/>
      <c r="V3693" s="41"/>
      <c r="W3693" s="37"/>
      <c r="X3693" s="37"/>
      <c r="Y3693" s="43"/>
      <c r="Z3693" s="37"/>
      <c r="AA3693" s="37"/>
      <c r="AD3693" s="37"/>
      <c r="AE3693" s="37"/>
      <c r="AF3693" s="37"/>
    </row>
    <row r="3694" spans="1:32" x14ac:dyDescent="0.25">
      <c r="A3694" s="37"/>
      <c r="B3694" s="37"/>
      <c r="C3694" s="37"/>
      <c r="F3694" s="38"/>
      <c r="G3694" s="38"/>
      <c r="H3694" s="38"/>
      <c r="I3694" s="37"/>
      <c r="J3694" s="38"/>
      <c r="K3694" s="38"/>
      <c r="L3694" s="42"/>
      <c r="M3694" s="42"/>
      <c r="N3694" s="42"/>
      <c r="O3694" s="42"/>
      <c r="R3694" s="37"/>
      <c r="S3694" s="37"/>
      <c r="T3694" s="91"/>
      <c r="U3694" s="91"/>
      <c r="V3694" s="41"/>
      <c r="W3694" s="37"/>
      <c r="X3694" s="37"/>
      <c r="Y3694" s="43"/>
      <c r="Z3694" s="37"/>
      <c r="AA3694" s="37"/>
      <c r="AD3694" s="37"/>
      <c r="AE3694" s="37"/>
      <c r="AF3694" s="37"/>
    </row>
    <row r="3695" spans="1:32" x14ac:dyDescent="0.25">
      <c r="A3695" s="37"/>
      <c r="B3695" s="37"/>
      <c r="C3695" s="37"/>
      <c r="F3695" s="38"/>
      <c r="G3695" s="38"/>
      <c r="H3695" s="38"/>
      <c r="I3695" s="37"/>
      <c r="J3695" s="38"/>
      <c r="K3695" s="38"/>
      <c r="L3695" s="42"/>
      <c r="M3695" s="42"/>
      <c r="N3695" s="42"/>
      <c r="O3695" s="42"/>
      <c r="R3695" s="37"/>
      <c r="S3695" s="37"/>
      <c r="T3695" s="91"/>
      <c r="U3695" s="91"/>
      <c r="V3695" s="41"/>
      <c r="W3695" s="37"/>
      <c r="X3695" s="37"/>
      <c r="Y3695" s="43"/>
      <c r="Z3695" s="37"/>
      <c r="AA3695" s="37"/>
      <c r="AD3695" s="37"/>
      <c r="AE3695" s="37"/>
      <c r="AF3695" s="37"/>
    </row>
    <row r="3696" spans="1:32" x14ac:dyDescent="0.25">
      <c r="A3696" s="37"/>
      <c r="B3696" s="37"/>
      <c r="C3696" s="37"/>
      <c r="F3696" s="38"/>
      <c r="G3696" s="38"/>
      <c r="H3696" s="38"/>
      <c r="I3696" s="37"/>
      <c r="J3696" s="38"/>
      <c r="K3696" s="38"/>
      <c r="L3696" s="42"/>
      <c r="M3696" s="42"/>
      <c r="N3696" s="42"/>
      <c r="O3696" s="42"/>
      <c r="R3696" s="37"/>
      <c r="S3696" s="37"/>
      <c r="T3696" s="91"/>
      <c r="U3696" s="91"/>
      <c r="V3696" s="41"/>
      <c r="W3696" s="37"/>
      <c r="X3696" s="37"/>
      <c r="Y3696" s="43"/>
      <c r="Z3696" s="37"/>
      <c r="AA3696" s="37"/>
      <c r="AD3696" s="37"/>
      <c r="AE3696" s="37"/>
      <c r="AF3696" s="37"/>
    </row>
    <row r="3697" spans="1:32" x14ac:dyDescent="0.25">
      <c r="A3697" s="37"/>
      <c r="B3697" s="37"/>
      <c r="C3697" s="37"/>
      <c r="F3697" s="38"/>
      <c r="G3697" s="38"/>
      <c r="H3697" s="38"/>
      <c r="I3697" s="37"/>
      <c r="J3697" s="38"/>
      <c r="K3697" s="38"/>
      <c r="L3697" s="42"/>
      <c r="M3697" s="42"/>
      <c r="N3697" s="42"/>
      <c r="O3697" s="42"/>
      <c r="R3697" s="37"/>
      <c r="S3697" s="37"/>
      <c r="T3697" s="91"/>
      <c r="U3697" s="91"/>
      <c r="V3697" s="41"/>
      <c r="W3697" s="37"/>
      <c r="X3697" s="37"/>
      <c r="Y3697" s="43"/>
      <c r="Z3697" s="37"/>
      <c r="AA3697" s="37"/>
      <c r="AD3697" s="37"/>
      <c r="AE3697" s="37"/>
      <c r="AF3697" s="37"/>
    </row>
    <row r="3698" spans="1:32" x14ac:dyDescent="0.25">
      <c r="A3698" s="37"/>
      <c r="B3698" s="37"/>
      <c r="C3698" s="37"/>
      <c r="F3698" s="38"/>
      <c r="G3698" s="38"/>
      <c r="H3698" s="38"/>
      <c r="I3698" s="37"/>
      <c r="J3698" s="38"/>
      <c r="K3698" s="38"/>
      <c r="L3698" s="42"/>
      <c r="M3698" s="42"/>
      <c r="N3698" s="42"/>
      <c r="O3698" s="42"/>
      <c r="R3698" s="37"/>
      <c r="S3698" s="37"/>
      <c r="T3698" s="91"/>
      <c r="U3698" s="91"/>
      <c r="V3698" s="41"/>
      <c r="W3698" s="37"/>
      <c r="X3698" s="37"/>
      <c r="Y3698" s="43"/>
      <c r="Z3698" s="37"/>
      <c r="AA3698" s="37"/>
      <c r="AD3698" s="37"/>
      <c r="AE3698" s="37"/>
      <c r="AF3698" s="37"/>
    </row>
    <row r="3699" spans="1:32" x14ac:dyDescent="0.25">
      <c r="A3699" s="37"/>
      <c r="B3699" s="37"/>
      <c r="C3699" s="37"/>
      <c r="F3699" s="38"/>
      <c r="G3699" s="38"/>
      <c r="H3699" s="38"/>
      <c r="I3699" s="37"/>
      <c r="J3699" s="38"/>
      <c r="K3699" s="38"/>
      <c r="L3699" s="42"/>
      <c r="M3699" s="42"/>
      <c r="N3699" s="42"/>
      <c r="O3699" s="42"/>
      <c r="R3699" s="37"/>
      <c r="S3699" s="37"/>
      <c r="T3699" s="91"/>
      <c r="U3699" s="91"/>
      <c r="V3699" s="41"/>
      <c r="W3699" s="37"/>
      <c r="X3699" s="37"/>
      <c r="Y3699" s="43"/>
      <c r="Z3699" s="37"/>
      <c r="AA3699" s="37"/>
      <c r="AD3699" s="37"/>
      <c r="AE3699" s="37"/>
      <c r="AF3699" s="37"/>
    </row>
    <row r="3700" spans="1:32" x14ac:dyDescent="0.25">
      <c r="A3700" s="37"/>
      <c r="B3700" s="37"/>
      <c r="C3700" s="37"/>
      <c r="F3700" s="38"/>
      <c r="G3700" s="38"/>
      <c r="H3700" s="38"/>
      <c r="I3700" s="37"/>
      <c r="J3700" s="38"/>
      <c r="K3700" s="38"/>
      <c r="L3700" s="42"/>
      <c r="M3700" s="42"/>
      <c r="N3700" s="42"/>
      <c r="O3700" s="42"/>
      <c r="R3700" s="37"/>
      <c r="S3700" s="37"/>
      <c r="T3700" s="91"/>
      <c r="U3700" s="91"/>
      <c r="V3700" s="41"/>
      <c r="W3700" s="37"/>
      <c r="X3700" s="37"/>
      <c r="Y3700" s="43"/>
      <c r="Z3700" s="37"/>
      <c r="AA3700" s="37"/>
      <c r="AD3700" s="37"/>
      <c r="AE3700" s="37"/>
      <c r="AF3700" s="37"/>
    </row>
    <row r="3701" spans="1:32" x14ac:dyDescent="0.25">
      <c r="A3701" s="37"/>
      <c r="B3701" s="37"/>
      <c r="C3701" s="37"/>
      <c r="F3701" s="38"/>
      <c r="G3701" s="38"/>
      <c r="H3701" s="38"/>
      <c r="I3701" s="37"/>
      <c r="J3701" s="38"/>
      <c r="K3701" s="38"/>
      <c r="L3701" s="42"/>
      <c r="M3701" s="42"/>
      <c r="N3701" s="42"/>
      <c r="O3701" s="42"/>
      <c r="R3701" s="37"/>
      <c r="S3701" s="37"/>
      <c r="T3701" s="91"/>
      <c r="U3701" s="91"/>
      <c r="V3701" s="41"/>
      <c r="W3701" s="37"/>
      <c r="X3701" s="37"/>
      <c r="Y3701" s="43"/>
      <c r="Z3701" s="37"/>
      <c r="AA3701" s="37"/>
      <c r="AD3701" s="37"/>
      <c r="AE3701" s="37"/>
      <c r="AF3701" s="37"/>
    </row>
    <row r="3702" spans="1:32" x14ac:dyDescent="0.25">
      <c r="A3702" s="37"/>
      <c r="B3702" s="37"/>
      <c r="C3702" s="37"/>
      <c r="F3702" s="38"/>
      <c r="G3702" s="38"/>
      <c r="H3702" s="38"/>
      <c r="I3702" s="37"/>
      <c r="J3702" s="38"/>
      <c r="K3702" s="38"/>
      <c r="L3702" s="42"/>
      <c r="M3702" s="42"/>
      <c r="N3702" s="42"/>
      <c r="O3702" s="42"/>
      <c r="R3702" s="37"/>
      <c r="S3702" s="37"/>
      <c r="T3702" s="91"/>
      <c r="U3702" s="91"/>
      <c r="V3702" s="41"/>
      <c r="W3702" s="37"/>
      <c r="X3702" s="37"/>
      <c r="Y3702" s="43"/>
      <c r="Z3702" s="37"/>
      <c r="AA3702" s="37"/>
      <c r="AD3702" s="37"/>
      <c r="AE3702" s="37"/>
      <c r="AF3702" s="37"/>
    </row>
    <row r="3703" spans="1:32" x14ac:dyDescent="0.25">
      <c r="A3703" s="37"/>
      <c r="B3703" s="37"/>
      <c r="C3703" s="37"/>
      <c r="F3703" s="38"/>
      <c r="G3703" s="38"/>
      <c r="H3703" s="38"/>
      <c r="I3703" s="37"/>
      <c r="J3703" s="38"/>
      <c r="K3703" s="38"/>
      <c r="L3703" s="42"/>
      <c r="M3703" s="42"/>
      <c r="N3703" s="42"/>
      <c r="O3703" s="42"/>
      <c r="R3703" s="37"/>
      <c r="S3703" s="37"/>
      <c r="T3703" s="91"/>
      <c r="U3703" s="91"/>
      <c r="V3703" s="41"/>
      <c r="W3703" s="37"/>
      <c r="X3703" s="37"/>
      <c r="Y3703" s="43"/>
      <c r="Z3703" s="37"/>
      <c r="AA3703" s="37"/>
      <c r="AD3703" s="37"/>
      <c r="AE3703" s="37"/>
      <c r="AF3703" s="37"/>
    </row>
    <row r="3704" spans="1:32" x14ac:dyDescent="0.25">
      <c r="A3704" s="37"/>
      <c r="B3704" s="37"/>
      <c r="C3704" s="37"/>
      <c r="F3704" s="38"/>
      <c r="G3704" s="38"/>
      <c r="H3704" s="38"/>
      <c r="I3704" s="37"/>
      <c r="J3704" s="38"/>
      <c r="K3704" s="38"/>
      <c r="L3704" s="42"/>
      <c r="M3704" s="42"/>
      <c r="N3704" s="42"/>
      <c r="O3704" s="42"/>
      <c r="R3704" s="37"/>
      <c r="S3704" s="37"/>
      <c r="T3704" s="91"/>
      <c r="U3704" s="91"/>
      <c r="V3704" s="41"/>
      <c r="W3704" s="37"/>
      <c r="X3704" s="37"/>
      <c r="Y3704" s="43"/>
      <c r="Z3704" s="37"/>
      <c r="AA3704" s="37"/>
      <c r="AD3704" s="37"/>
      <c r="AE3704" s="37"/>
      <c r="AF3704" s="37"/>
    </row>
    <row r="3705" spans="1:32" x14ac:dyDescent="0.25">
      <c r="A3705" s="37"/>
      <c r="B3705" s="37"/>
      <c r="C3705" s="37"/>
      <c r="F3705" s="38"/>
      <c r="G3705" s="38"/>
      <c r="H3705" s="38"/>
      <c r="I3705" s="37"/>
      <c r="J3705" s="38"/>
      <c r="K3705" s="38"/>
      <c r="L3705" s="42"/>
      <c r="M3705" s="42"/>
      <c r="N3705" s="42"/>
      <c r="O3705" s="42"/>
      <c r="R3705" s="37"/>
      <c r="S3705" s="37"/>
      <c r="T3705" s="91"/>
      <c r="U3705" s="91"/>
      <c r="V3705" s="41"/>
      <c r="W3705" s="37"/>
      <c r="X3705" s="37"/>
      <c r="Y3705" s="43"/>
      <c r="Z3705" s="37"/>
      <c r="AA3705" s="37"/>
      <c r="AD3705" s="37"/>
      <c r="AE3705" s="37"/>
      <c r="AF3705" s="37"/>
    </row>
    <row r="3706" spans="1:32" x14ac:dyDescent="0.25">
      <c r="A3706" s="37"/>
      <c r="B3706" s="37"/>
      <c r="C3706" s="37"/>
      <c r="F3706" s="38"/>
      <c r="G3706" s="38"/>
      <c r="H3706" s="38"/>
      <c r="I3706" s="37"/>
      <c r="J3706" s="38"/>
      <c r="K3706" s="38"/>
      <c r="L3706" s="42"/>
      <c r="M3706" s="42"/>
      <c r="N3706" s="42"/>
      <c r="O3706" s="42"/>
      <c r="R3706" s="37"/>
      <c r="S3706" s="37"/>
      <c r="T3706" s="91"/>
      <c r="U3706" s="91"/>
      <c r="V3706" s="41"/>
      <c r="W3706" s="37"/>
      <c r="X3706" s="37"/>
      <c r="Y3706" s="43"/>
      <c r="Z3706" s="37"/>
      <c r="AA3706" s="37"/>
      <c r="AD3706" s="37"/>
      <c r="AE3706" s="37"/>
      <c r="AF3706" s="37"/>
    </row>
    <row r="3707" spans="1:32" x14ac:dyDescent="0.25">
      <c r="A3707" s="37"/>
      <c r="B3707" s="37"/>
      <c r="C3707" s="37"/>
      <c r="F3707" s="38"/>
      <c r="G3707" s="38"/>
      <c r="H3707" s="38"/>
      <c r="I3707" s="37"/>
      <c r="J3707" s="38"/>
      <c r="K3707" s="38"/>
      <c r="L3707" s="42"/>
      <c r="M3707" s="42"/>
      <c r="N3707" s="42"/>
      <c r="O3707" s="42"/>
      <c r="R3707" s="37"/>
      <c r="S3707" s="37"/>
      <c r="T3707" s="91"/>
      <c r="U3707" s="91"/>
      <c r="V3707" s="41"/>
      <c r="W3707" s="37"/>
      <c r="X3707" s="37"/>
      <c r="Y3707" s="43"/>
      <c r="Z3707" s="37"/>
      <c r="AA3707" s="37"/>
      <c r="AD3707" s="37"/>
      <c r="AE3707" s="37"/>
      <c r="AF3707" s="37"/>
    </row>
    <row r="3708" spans="1:32" x14ac:dyDescent="0.25">
      <c r="A3708" s="37"/>
      <c r="B3708" s="37"/>
      <c r="C3708" s="37"/>
      <c r="F3708" s="38"/>
      <c r="G3708" s="38"/>
      <c r="H3708" s="38"/>
      <c r="I3708" s="37"/>
      <c r="J3708" s="38"/>
      <c r="K3708" s="38"/>
      <c r="L3708" s="42"/>
      <c r="M3708" s="42"/>
      <c r="N3708" s="42"/>
      <c r="O3708" s="42"/>
      <c r="R3708" s="37"/>
      <c r="S3708" s="37"/>
      <c r="T3708" s="91"/>
      <c r="U3708" s="91"/>
      <c r="V3708" s="41"/>
      <c r="W3708" s="37"/>
      <c r="X3708" s="37"/>
      <c r="Y3708" s="43"/>
      <c r="Z3708" s="37"/>
      <c r="AA3708" s="37"/>
      <c r="AD3708" s="37"/>
      <c r="AE3708" s="37"/>
      <c r="AF3708" s="37"/>
    </row>
    <row r="3709" spans="1:32" x14ac:dyDescent="0.25">
      <c r="A3709" s="37"/>
      <c r="B3709" s="37"/>
      <c r="C3709" s="37"/>
      <c r="F3709" s="38"/>
      <c r="G3709" s="38"/>
      <c r="H3709" s="38"/>
      <c r="I3709" s="37"/>
      <c r="J3709" s="38"/>
      <c r="K3709" s="38"/>
      <c r="L3709" s="42"/>
      <c r="M3709" s="42"/>
      <c r="N3709" s="42"/>
      <c r="O3709" s="42"/>
      <c r="R3709" s="37"/>
      <c r="S3709" s="37"/>
      <c r="T3709" s="91"/>
      <c r="U3709" s="91"/>
      <c r="V3709" s="41"/>
      <c r="W3709" s="37"/>
      <c r="X3709" s="37"/>
      <c r="Y3709" s="43"/>
      <c r="Z3709" s="37"/>
      <c r="AA3709" s="37"/>
      <c r="AD3709" s="37"/>
      <c r="AE3709" s="37"/>
      <c r="AF3709" s="37"/>
    </row>
    <row r="3710" spans="1:32" x14ac:dyDescent="0.25">
      <c r="A3710" s="37"/>
      <c r="B3710" s="37"/>
      <c r="C3710" s="37"/>
      <c r="F3710" s="38"/>
      <c r="G3710" s="38"/>
      <c r="H3710" s="38"/>
      <c r="I3710" s="37"/>
      <c r="J3710" s="38"/>
      <c r="K3710" s="38"/>
      <c r="L3710" s="42"/>
      <c r="M3710" s="42"/>
      <c r="N3710" s="42"/>
      <c r="O3710" s="42"/>
      <c r="R3710" s="37"/>
      <c r="S3710" s="37"/>
      <c r="T3710" s="91"/>
      <c r="U3710" s="91"/>
      <c r="V3710" s="41"/>
      <c r="W3710" s="37"/>
      <c r="X3710" s="37"/>
      <c r="Y3710" s="43"/>
      <c r="Z3710" s="37"/>
      <c r="AA3710" s="37"/>
      <c r="AD3710" s="37"/>
      <c r="AE3710" s="37"/>
      <c r="AF3710" s="37"/>
    </row>
    <row r="3711" spans="1:32" x14ac:dyDescent="0.25">
      <c r="A3711" s="37"/>
      <c r="B3711" s="37"/>
      <c r="C3711" s="37"/>
      <c r="F3711" s="38"/>
      <c r="G3711" s="38"/>
      <c r="H3711" s="38"/>
      <c r="I3711" s="37"/>
      <c r="J3711" s="38"/>
      <c r="K3711" s="38"/>
      <c r="L3711" s="42"/>
      <c r="M3711" s="42"/>
      <c r="N3711" s="42"/>
      <c r="O3711" s="42"/>
      <c r="R3711" s="37"/>
      <c r="S3711" s="37"/>
      <c r="T3711" s="91"/>
      <c r="U3711" s="91"/>
      <c r="V3711" s="41"/>
      <c r="W3711" s="37"/>
      <c r="X3711" s="37"/>
      <c r="Y3711" s="43"/>
      <c r="Z3711" s="37"/>
      <c r="AA3711" s="37"/>
      <c r="AD3711" s="37"/>
      <c r="AE3711" s="37"/>
      <c r="AF3711" s="37"/>
    </row>
    <row r="3712" spans="1:32" x14ac:dyDescent="0.25">
      <c r="A3712" s="37"/>
      <c r="B3712" s="37"/>
      <c r="C3712" s="37"/>
      <c r="F3712" s="38"/>
      <c r="G3712" s="38"/>
      <c r="H3712" s="38"/>
      <c r="I3712" s="37"/>
      <c r="J3712" s="38"/>
      <c r="K3712" s="38"/>
      <c r="L3712" s="42"/>
      <c r="M3712" s="42"/>
      <c r="N3712" s="42"/>
      <c r="O3712" s="42"/>
      <c r="R3712" s="37"/>
      <c r="S3712" s="37"/>
      <c r="T3712" s="91"/>
      <c r="U3712" s="91"/>
      <c r="V3712" s="41"/>
      <c r="W3712" s="37"/>
      <c r="X3712" s="37"/>
      <c r="Y3712" s="43"/>
      <c r="Z3712" s="37"/>
      <c r="AA3712" s="37"/>
      <c r="AD3712" s="37"/>
      <c r="AE3712" s="37"/>
      <c r="AF3712" s="37"/>
    </row>
    <row r="3713" spans="1:32" x14ac:dyDescent="0.25">
      <c r="A3713" s="37"/>
      <c r="B3713" s="37"/>
      <c r="C3713" s="37"/>
      <c r="F3713" s="38"/>
      <c r="G3713" s="38"/>
      <c r="H3713" s="38"/>
      <c r="I3713" s="37"/>
      <c r="J3713" s="38"/>
      <c r="K3713" s="38"/>
      <c r="L3713" s="42"/>
      <c r="M3713" s="42"/>
      <c r="N3713" s="42"/>
      <c r="O3713" s="42"/>
      <c r="R3713" s="37"/>
      <c r="S3713" s="37"/>
      <c r="T3713" s="91"/>
      <c r="U3713" s="91"/>
      <c r="V3713" s="41"/>
      <c r="W3713" s="37"/>
      <c r="X3713" s="37"/>
      <c r="Y3713" s="43"/>
      <c r="Z3713" s="37"/>
      <c r="AA3713" s="37"/>
      <c r="AD3713" s="37"/>
      <c r="AE3713" s="37"/>
      <c r="AF3713" s="37"/>
    </row>
    <row r="3714" spans="1:32" x14ac:dyDescent="0.25">
      <c r="A3714" s="37"/>
      <c r="B3714" s="37"/>
      <c r="C3714" s="37"/>
      <c r="F3714" s="38"/>
      <c r="G3714" s="38"/>
      <c r="H3714" s="38"/>
      <c r="I3714" s="37"/>
      <c r="J3714" s="38"/>
      <c r="K3714" s="38"/>
      <c r="L3714" s="42"/>
      <c r="M3714" s="42"/>
      <c r="N3714" s="42"/>
      <c r="O3714" s="42"/>
      <c r="R3714" s="37"/>
      <c r="S3714" s="37"/>
      <c r="T3714" s="91"/>
      <c r="U3714" s="91"/>
      <c r="V3714" s="41"/>
      <c r="W3714" s="37"/>
      <c r="X3714" s="37"/>
      <c r="Y3714" s="43"/>
      <c r="Z3714" s="37"/>
      <c r="AA3714" s="37"/>
      <c r="AD3714" s="37"/>
      <c r="AE3714" s="37"/>
      <c r="AF3714" s="37"/>
    </row>
    <row r="3715" spans="1:32" x14ac:dyDescent="0.25">
      <c r="A3715" s="37"/>
      <c r="B3715" s="37"/>
      <c r="C3715" s="37"/>
      <c r="F3715" s="38"/>
      <c r="G3715" s="38"/>
      <c r="H3715" s="38"/>
      <c r="I3715" s="37"/>
      <c r="J3715" s="38"/>
      <c r="K3715" s="38"/>
      <c r="L3715" s="42"/>
      <c r="M3715" s="42"/>
      <c r="N3715" s="42"/>
      <c r="O3715" s="42"/>
      <c r="R3715" s="37"/>
      <c r="S3715" s="37"/>
      <c r="T3715" s="91"/>
      <c r="U3715" s="91"/>
      <c r="V3715" s="41"/>
      <c r="W3715" s="37"/>
      <c r="X3715" s="37"/>
      <c r="Y3715" s="43"/>
      <c r="Z3715" s="37"/>
      <c r="AA3715" s="37"/>
      <c r="AD3715" s="37"/>
      <c r="AE3715" s="37"/>
      <c r="AF3715" s="37"/>
    </row>
    <row r="3716" spans="1:32" x14ac:dyDescent="0.25">
      <c r="A3716" s="37"/>
      <c r="B3716" s="37"/>
      <c r="C3716" s="37"/>
      <c r="F3716" s="38"/>
      <c r="G3716" s="38"/>
      <c r="H3716" s="38"/>
      <c r="I3716" s="37"/>
      <c r="J3716" s="38"/>
      <c r="K3716" s="38"/>
      <c r="L3716" s="42"/>
      <c r="M3716" s="42"/>
      <c r="N3716" s="42"/>
      <c r="O3716" s="42"/>
      <c r="R3716" s="37"/>
      <c r="S3716" s="37"/>
      <c r="T3716" s="91"/>
      <c r="U3716" s="91"/>
      <c r="V3716" s="41"/>
      <c r="W3716" s="37"/>
      <c r="X3716" s="37"/>
      <c r="Y3716" s="43"/>
      <c r="Z3716" s="37"/>
      <c r="AA3716" s="37"/>
      <c r="AD3716" s="37"/>
      <c r="AE3716" s="37"/>
      <c r="AF3716" s="37"/>
    </row>
    <row r="3717" spans="1:32" x14ac:dyDescent="0.25">
      <c r="A3717" s="37"/>
      <c r="B3717" s="37"/>
      <c r="C3717" s="37"/>
      <c r="F3717" s="38"/>
      <c r="G3717" s="38"/>
      <c r="H3717" s="38"/>
      <c r="I3717" s="37"/>
      <c r="J3717" s="38"/>
      <c r="K3717" s="38"/>
      <c r="L3717" s="42"/>
      <c r="M3717" s="42"/>
      <c r="N3717" s="42"/>
      <c r="O3717" s="42"/>
      <c r="R3717" s="37"/>
      <c r="S3717" s="37"/>
      <c r="T3717" s="91"/>
      <c r="U3717" s="91"/>
      <c r="V3717" s="41"/>
      <c r="W3717" s="37"/>
      <c r="X3717" s="37"/>
      <c r="Y3717" s="43"/>
      <c r="Z3717" s="37"/>
      <c r="AA3717" s="37"/>
      <c r="AD3717" s="37"/>
      <c r="AE3717" s="37"/>
      <c r="AF3717" s="37"/>
    </row>
    <row r="3718" spans="1:32" x14ac:dyDescent="0.25">
      <c r="A3718" s="37"/>
      <c r="B3718" s="37"/>
      <c r="C3718" s="37"/>
      <c r="F3718" s="38"/>
      <c r="G3718" s="38"/>
      <c r="H3718" s="38"/>
      <c r="I3718" s="37"/>
      <c r="J3718" s="38"/>
      <c r="K3718" s="38"/>
      <c r="L3718" s="42"/>
      <c r="M3718" s="42"/>
      <c r="N3718" s="42"/>
      <c r="O3718" s="42"/>
      <c r="R3718" s="37"/>
      <c r="S3718" s="37"/>
      <c r="T3718" s="91"/>
      <c r="U3718" s="91"/>
      <c r="V3718" s="41"/>
      <c r="W3718" s="37"/>
      <c r="X3718" s="37"/>
      <c r="Y3718" s="43"/>
      <c r="Z3718" s="37"/>
      <c r="AA3718" s="37"/>
      <c r="AD3718" s="37"/>
      <c r="AE3718" s="37"/>
      <c r="AF3718" s="37"/>
    </row>
    <row r="3719" spans="1:32" x14ac:dyDescent="0.25">
      <c r="A3719" s="37"/>
      <c r="B3719" s="37"/>
      <c r="C3719" s="37"/>
      <c r="F3719" s="38"/>
      <c r="G3719" s="38"/>
      <c r="H3719" s="38"/>
      <c r="I3719" s="37"/>
      <c r="J3719" s="38"/>
      <c r="K3719" s="38"/>
      <c r="L3719" s="42"/>
      <c r="M3719" s="42"/>
      <c r="N3719" s="42"/>
      <c r="O3719" s="42"/>
      <c r="R3719" s="37"/>
      <c r="S3719" s="37"/>
      <c r="T3719" s="91"/>
      <c r="U3719" s="91"/>
      <c r="V3719" s="41"/>
      <c r="W3719" s="37"/>
      <c r="X3719" s="37"/>
      <c r="Y3719" s="43"/>
      <c r="Z3719" s="37"/>
      <c r="AA3719" s="37"/>
      <c r="AD3719" s="37"/>
      <c r="AE3719" s="37"/>
      <c r="AF3719" s="37"/>
    </row>
    <row r="3720" spans="1:32" x14ac:dyDescent="0.25">
      <c r="A3720" s="37"/>
      <c r="B3720" s="37"/>
      <c r="C3720" s="37"/>
      <c r="F3720" s="38"/>
      <c r="G3720" s="38"/>
      <c r="H3720" s="38"/>
      <c r="I3720" s="37"/>
      <c r="J3720" s="38"/>
      <c r="K3720" s="38"/>
      <c r="L3720" s="42"/>
      <c r="M3720" s="42"/>
      <c r="N3720" s="42"/>
      <c r="O3720" s="42"/>
      <c r="R3720" s="37"/>
      <c r="S3720" s="37"/>
      <c r="T3720" s="91"/>
      <c r="U3720" s="91"/>
      <c r="V3720" s="41"/>
      <c r="W3720" s="37"/>
      <c r="X3720" s="37"/>
      <c r="Y3720" s="43"/>
      <c r="Z3720" s="37"/>
      <c r="AA3720" s="37"/>
      <c r="AD3720" s="37"/>
      <c r="AE3720" s="37"/>
      <c r="AF3720" s="37"/>
    </row>
    <row r="3721" spans="1:32" x14ac:dyDescent="0.25">
      <c r="A3721" s="37"/>
      <c r="B3721" s="37"/>
      <c r="C3721" s="37"/>
      <c r="F3721" s="38"/>
      <c r="G3721" s="38"/>
      <c r="H3721" s="38"/>
      <c r="I3721" s="37"/>
      <c r="J3721" s="38"/>
      <c r="K3721" s="38"/>
      <c r="L3721" s="42"/>
      <c r="M3721" s="42"/>
      <c r="N3721" s="42"/>
      <c r="O3721" s="42"/>
      <c r="R3721" s="37"/>
      <c r="S3721" s="37"/>
      <c r="T3721" s="91"/>
      <c r="U3721" s="91"/>
      <c r="V3721" s="41"/>
      <c r="W3721" s="37"/>
      <c r="X3721" s="37"/>
      <c r="Y3721" s="43"/>
      <c r="Z3721" s="37"/>
      <c r="AA3721" s="37"/>
      <c r="AD3721" s="37"/>
      <c r="AE3721" s="37"/>
      <c r="AF3721" s="37"/>
    </row>
    <row r="3722" spans="1:32" x14ac:dyDescent="0.25">
      <c r="A3722" s="37"/>
      <c r="B3722" s="37"/>
      <c r="C3722" s="37"/>
      <c r="F3722" s="38"/>
      <c r="G3722" s="38"/>
      <c r="H3722" s="38"/>
      <c r="I3722" s="37"/>
      <c r="J3722" s="38"/>
      <c r="K3722" s="38"/>
      <c r="L3722" s="42"/>
      <c r="M3722" s="42"/>
      <c r="N3722" s="42"/>
      <c r="O3722" s="42"/>
      <c r="R3722" s="37"/>
      <c r="S3722" s="37"/>
      <c r="T3722" s="91"/>
      <c r="U3722" s="91"/>
      <c r="V3722" s="41"/>
      <c r="W3722" s="37"/>
      <c r="X3722" s="37"/>
      <c r="Y3722" s="43"/>
      <c r="Z3722" s="37"/>
      <c r="AA3722" s="37"/>
      <c r="AD3722" s="37"/>
      <c r="AE3722" s="37"/>
      <c r="AF3722" s="37"/>
    </row>
    <row r="3723" spans="1:32" x14ac:dyDescent="0.25">
      <c r="A3723" s="37"/>
      <c r="B3723" s="37"/>
      <c r="C3723" s="37"/>
      <c r="F3723" s="38"/>
      <c r="G3723" s="38"/>
      <c r="H3723" s="38"/>
      <c r="I3723" s="37"/>
      <c r="J3723" s="38"/>
      <c r="K3723" s="38"/>
      <c r="L3723" s="42"/>
      <c r="M3723" s="42"/>
      <c r="N3723" s="42"/>
      <c r="O3723" s="42"/>
      <c r="R3723" s="37"/>
      <c r="S3723" s="37"/>
      <c r="T3723" s="91"/>
      <c r="U3723" s="91"/>
      <c r="V3723" s="41"/>
      <c r="W3723" s="37"/>
      <c r="X3723" s="37"/>
      <c r="Y3723" s="43"/>
      <c r="Z3723" s="37"/>
      <c r="AA3723" s="37"/>
      <c r="AD3723" s="37"/>
      <c r="AE3723" s="37"/>
      <c r="AF3723" s="37"/>
    </row>
    <row r="3724" spans="1:32" x14ac:dyDescent="0.25">
      <c r="A3724" s="37"/>
      <c r="B3724" s="37"/>
      <c r="C3724" s="37"/>
      <c r="F3724" s="38"/>
      <c r="G3724" s="38"/>
      <c r="H3724" s="38"/>
      <c r="I3724" s="37"/>
      <c r="J3724" s="38"/>
      <c r="K3724" s="38"/>
      <c r="L3724" s="42"/>
      <c r="M3724" s="42"/>
      <c r="N3724" s="42"/>
      <c r="O3724" s="42"/>
      <c r="R3724" s="37"/>
      <c r="S3724" s="37"/>
      <c r="T3724" s="91"/>
      <c r="U3724" s="91"/>
      <c r="V3724" s="41"/>
      <c r="W3724" s="37"/>
      <c r="X3724" s="37"/>
      <c r="Y3724" s="43"/>
      <c r="Z3724" s="37"/>
      <c r="AA3724" s="37"/>
      <c r="AD3724" s="37"/>
      <c r="AE3724" s="37"/>
      <c r="AF3724" s="37"/>
    </row>
    <row r="3725" spans="1:32" x14ac:dyDescent="0.25">
      <c r="A3725" s="37"/>
      <c r="B3725" s="37"/>
      <c r="C3725" s="37"/>
      <c r="F3725" s="38"/>
      <c r="G3725" s="38"/>
      <c r="H3725" s="38"/>
      <c r="I3725" s="37"/>
      <c r="J3725" s="38"/>
      <c r="K3725" s="38"/>
      <c r="L3725" s="42"/>
      <c r="M3725" s="42"/>
      <c r="N3725" s="42"/>
      <c r="O3725" s="42"/>
      <c r="R3725" s="37"/>
      <c r="S3725" s="37"/>
      <c r="T3725" s="91"/>
      <c r="U3725" s="91"/>
      <c r="V3725" s="41"/>
      <c r="W3725" s="37"/>
      <c r="X3725" s="37"/>
      <c r="Y3725" s="43"/>
      <c r="Z3725" s="37"/>
      <c r="AA3725" s="37"/>
      <c r="AD3725" s="37"/>
      <c r="AE3725" s="37"/>
      <c r="AF3725" s="37"/>
    </row>
    <row r="3726" spans="1:32" x14ac:dyDescent="0.25">
      <c r="A3726" s="37"/>
      <c r="B3726" s="37"/>
      <c r="C3726" s="37"/>
      <c r="F3726" s="38"/>
      <c r="G3726" s="38"/>
      <c r="H3726" s="38"/>
      <c r="I3726" s="37"/>
      <c r="J3726" s="38"/>
      <c r="K3726" s="38"/>
      <c r="L3726" s="42"/>
      <c r="M3726" s="42"/>
      <c r="N3726" s="42"/>
      <c r="O3726" s="42"/>
      <c r="R3726" s="37"/>
      <c r="S3726" s="37"/>
      <c r="T3726" s="91"/>
      <c r="U3726" s="91"/>
      <c r="V3726" s="41"/>
      <c r="W3726" s="37"/>
      <c r="X3726" s="37"/>
      <c r="Y3726" s="43"/>
      <c r="Z3726" s="37"/>
      <c r="AA3726" s="37"/>
      <c r="AD3726" s="37"/>
      <c r="AE3726" s="37"/>
      <c r="AF3726" s="37"/>
    </row>
    <row r="3727" spans="1:32" x14ac:dyDescent="0.25">
      <c r="A3727" s="37"/>
      <c r="B3727" s="37"/>
      <c r="C3727" s="37"/>
      <c r="F3727" s="38"/>
      <c r="G3727" s="38"/>
      <c r="H3727" s="38"/>
      <c r="I3727" s="37"/>
      <c r="J3727" s="38"/>
      <c r="K3727" s="38"/>
      <c r="L3727" s="42"/>
      <c r="M3727" s="42"/>
      <c r="N3727" s="42"/>
      <c r="O3727" s="42"/>
      <c r="R3727" s="37"/>
      <c r="S3727" s="37"/>
      <c r="T3727" s="91"/>
      <c r="U3727" s="91"/>
      <c r="V3727" s="41"/>
      <c r="W3727" s="37"/>
      <c r="X3727" s="37"/>
      <c r="Y3727" s="43"/>
      <c r="Z3727" s="37"/>
      <c r="AA3727" s="37"/>
      <c r="AD3727" s="37"/>
      <c r="AE3727" s="37"/>
      <c r="AF3727" s="37"/>
    </row>
    <row r="3728" spans="1:32" x14ac:dyDescent="0.25">
      <c r="A3728" s="37"/>
      <c r="B3728" s="37"/>
      <c r="C3728" s="37"/>
      <c r="F3728" s="38"/>
      <c r="G3728" s="38"/>
      <c r="H3728" s="38"/>
      <c r="I3728" s="37"/>
      <c r="J3728" s="38"/>
      <c r="K3728" s="38"/>
      <c r="L3728" s="42"/>
      <c r="M3728" s="42"/>
      <c r="N3728" s="42"/>
      <c r="O3728" s="42"/>
      <c r="R3728" s="37"/>
      <c r="S3728" s="37"/>
      <c r="T3728" s="91"/>
      <c r="U3728" s="91"/>
      <c r="V3728" s="41"/>
      <c r="W3728" s="37"/>
      <c r="X3728" s="37"/>
      <c r="Y3728" s="43"/>
      <c r="Z3728" s="37"/>
      <c r="AA3728" s="37"/>
      <c r="AD3728" s="37"/>
      <c r="AE3728" s="37"/>
      <c r="AF3728" s="37"/>
    </row>
    <row r="3729" spans="1:32" x14ac:dyDescent="0.25">
      <c r="A3729" s="37"/>
      <c r="B3729" s="37"/>
      <c r="C3729" s="37"/>
      <c r="F3729" s="38"/>
      <c r="G3729" s="38"/>
      <c r="H3729" s="38"/>
      <c r="I3729" s="37"/>
      <c r="J3729" s="38"/>
      <c r="K3729" s="38"/>
      <c r="L3729" s="42"/>
      <c r="M3729" s="42"/>
      <c r="N3729" s="42"/>
      <c r="O3729" s="42"/>
      <c r="R3729" s="37"/>
      <c r="S3729" s="37"/>
      <c r="T3729" s="91"/>
      <c r="U3729" s="91"/>
      <c r="V3729" s="41"/>
      <c r="W3729" s="37"/>
      <c r="X3729" s="37"/>
      <c r="Y3729" s="43"/>
      <c r="Z3729" s="37"/>
      <c r="AA3729" s="37"/>
      <c r="AD3729" s="37"/>
      <c r="AE3729" s="37"/>
      <c r="AF3729" s="37"/>
    </row>
    <row r="3730" spans="1:32" x14ac:dyDescent="0.25">
      <c r="A3730" s="37"/>
      <c r="B3730" s="37"/>
      <c r="C3730" s="37"/>
      <c r="F3730" s="38"/>
      <c r="G3730" s="38"/>
      <c r="H3730" s="38"/>
      <c r="I3730" s="37"/>
      <c r="J3730" s="38"/>
      <c r="K3730" s="38"/>
      <c r="L3730" s="42"/>
      <c r="M3730" s="42"/>
      <c r="N3730" s="42"/>
      <c r="O3730" s="42"/>
      <c r="R3730" s="37"/>
      <c r="S3730" s="37"/>
      <c r="T3730" s="91"/>
      <c r="U3730" s="91"/>
      <c r="V3730" s="41"/>
      <c r="W3730" s="37"/>
      <c r="X3730" s="37"/>
      <c r="Y3730" s="43"/>
      <c r="Z3730" s="37"/>
      <c r="AA3730" s="37"/>
      <c r="AD3730" s="37"/>
      <c r="AE3730" s="37"/>
      <c r="AF3730" s="37"/>
    </row>
    <row r="3731" spans="1:32" x14ac:dyDescent="0.25">
      <c r="A3731" s="37"/>
      <c r="B3731" s="37"/>
      <c r="C3731" s="37"/>
      <c r="F3731" s="38"/>
      <c r="G3731" s="38"/>
      <c r="H3731" s="38"/>
      <c r="I3731" s="37"/>
      <c r="J3731" s="38"/>
      <c r="K3731" s="38"/>
      <c r="L3731" s="42"/>
      <c r="M3731" s="42"/>
      <c r="N3731" s="42"/>
      <c r="O3731" s="42"/>
      <c r="R3731" s="37"/>
      <c r="S3731" s="37"/>
      <c r="T3731" s="91"/>
      <c r="U3731" s="91"/>
      <c r="V3731" s="41"/>
      <c r="W3731" s="37"/>
      <c r="X3731" s="37"/>
      <c r="Y3731" s="43"/>
      <c r="Z3731" s="37"/>
      <c r="AA3731" s="37"/>
      <c r="AD3731" s="37"/>
      <c r="AE3731" s="37"/>
      <c r="AF3731" s="37"/>
    </row>
    <row r="3732" spans="1:32" x14ac:dyDescent="0.25">
      <c r="A3732" s="37"/>
      <c r="B3732" s="37"/>
      <c r="C3732" s="37"/>
      <c r="F3732" s="38"/>
      <c r="G3732" s="38"/>
      <c r="H3732" s="38"/>
      <c r="I3732" s="37"/>
      <c r="J3732" s="38"/>
      <c r="K3732" s="38"/>
      <c r="L3732" s="42"/>
      <c r="M3732" s="42"/>
      <c r="N3732" s="42"/>
      <c r="O3732" s="42"/>
      <c r="R3732" s="37"/>
      <c r="S3732" s="37"/>
      <c r="T3732" s="91"/>
      <c r="U3732" s="91"/>
      <c r="V3732" s="41"/>
      <c r="W3732" s="37"/>
      <c r="X3732" s="37"/>
      <c r="Y3732" s="43"/>
      <c r="Z3732" s="37"/>
      <c r="AA3732" s="37"/>
      <c r="AD3732" s="37"/>
      <c r="AE3732" s="37"/>
      <c r="AF3732" s="37"/>
    </row>
    <row r="3733" spans="1:32" x14ac:dyDescent="0.25">
      <c r="A3733" s="37"/>
      <c r="B3733" s="37"/>
      <c r="C3733" s="37"/>
      <c r="F3733" s="38"/>
      <c r="G3733" s="38"/>
      <c r="H3733" s="38"/>
      <c r="I3733" s="37"/>
      <c r="J3733" s="38"/>
      <c r="K3733" s="38"/>
      <c r="L3733" s="42"/>
      <c r="M3733" s="42"/>
      <c r="N3733" s="42"/>
      <c r="O3733" s="42"/>
      <c r="R3733" s="37"/>
      <c r="S3733" s="37"/>
      <c r="T3733" s="91"/>
      <c r="U3733" s="91"/>
      <c r="V3733" s="41"/>
      <c r="W3733" s="37"/>
      <c r="X3733" s="37"/>
      <c r="Y3733" s="43"/>
      <c r="Z3733" s="37"/>
      <c r="AA3733" s="37"/>
      <c r="AD3733" s="37"/>
      <c r="AE3733" s="37"/>
      <c r="AF3733" s="37"/>
    </row>
    <row r="3734" spans="1:32" x14ac:dyDescent="0.25">
      <c r="A3734" s="37"/>
      <c r="B3734" s="37"/>
      <c r="C3734" s="37"/>
      <c r="F3734" s="38"/>
      <c r="G3734" s="38"/>
      <c r="H3734" s="38"/>
      <c r="I3734" s="37"/>
      <c r="J3734" s="38"/>
      <c r="K3734" s="38"/>
      <c r="L3734" s="42"/>
      <c r="M3734" s="42"/>
      <c r="N3734" s="42"/>
      <c r="O3734" s="42"/>
      <c r="R3734" s="37"/>
      <c r="S3734" s="37"/>
      <c r="T3734" s="91"/>
      <c r="U3734" s="91"/>
      <c r="V3734" s="41"/>
      <c r="W3734" s="37"/>
      <c r="X3734" s="37"/>
      <c r="Y3734" s="43"/>
      <c r="Z3734" s="37"/>
      <c r="AA3734" s="37"/>
      <c r="AD3734" s="37"/>
      <c r="AE3734" s="37"/>
      <c r="AF3734" s="37"/>
    </row>
    <row r="3735" spans="1:32" x14ac:dyDescent="0.25">
      <c r="A3735" s="37"/>
      <c r="B3735" s="37"/>
      <c r="C3735" s="37"/>
      <c r="F3735" s="38"/>
      <c r="G3735" s="38"/>
      <c r="H3735" s="38"/>
      <c r="I3735" s="37"/>
      <c r="J3735" s="38"/>
      <c r="K3735" s="38"/>
      <c r="L3735" s="42"/>
      <c r="M3735" s="42"/>
      <c r="N3735" s="42"/>
      <c r="O3735" s="42"/>
      <c r="R3735" s="37"/>
      <c r="S3735" s="37"/>
      <c r="T3735" s="91"/>
      <c r="U3735" s="91"/>
      <c r="V3735" s="41"/>
      <c r="W3735" s="37"/>
      <c r="X3735" s="37"/>
      <c r="Y3735" s="43"/>
      <c r="Z3735" s="37"/>
      <c r="AA3735" s="37"/>
      <c r="AD3735" s="37"/>
      <c r="AE3735" s="37"/>
      <c r="AF3735" s="37"/>
    </row>
    <row r="3736" spans="1:32" x14ac:dyDescent="0.25">
      <c r="A3736" s="37"/>
      <c r="B3736" s="37"/>
      <c r="C3736" s="37"/>
      <c r="F3736" s="38"/>
      <c r="G3736" s="38"/>
      <c r="H3736" s="38"/>
      <c r="I3736" s="37"/>
      <c r="J3736" s="38"/>
      <c r="K3736" s="38"/>
      <c r="L3736" s="42"/>
      <c r="M3736" s="42"/>
      <c r="N3736" s="42"/>
      <c r="O3736" s="42"/>
      <c r="R3736" s="37"/>
      <c r="S3736" s="37"/>
      <c r="T3736" s="91"/>
      <c r="U3736" s="91"/>
      <c r="V3736" s="41"/>
      <c r="W3736" s="37"/>
      <c r="X3736" s="37"/>
      <c r="Y3736" s="43"/>
      <c r="Z3736" s="37"/>
      <c r="AA3736" s="37"/>
      <c r="AD3736" s="37"/>
      <c r="AE3736" s="37"/>
      <c r="AF3736" s="37"/>
    </row>
    <row r="3737" spans="1:32" x14ac:dyDescent="0.25">
      <c r="A3737" s="37"/>
      <c r="B3737" s="37"/>
      <c r="C3737" s="37"/>
      <c r="F3737" s="38"/>
      <c r="G3737" s="38"/>
      <c r="H3737" s="38"/>
      <c r="I3737" s="37"/>
      <c r="J3737" s="38"/>
      <c r="K3737" s="38"/>
      <c r="L3737" s="42"/>
      <c r="M3737" s="42"/>
      <c r="N3737" s="42"/>
      <c r="O3737" s="42"/>
      <c r="R3737" s="37"/>
      <c r="S3737" s="37"/>
      <c r="T3737" s="91"/>
      <c r="U3737" s="91"/>
      <c r="V3737" s="41"/>
      <c r="W3737" s="37"/>
      <c r="X3737" s="37"/>
      <c r="Y3737" s="43"/>
      <c r="Z3737" s="37"/>
      <c r="AA3737" s="37"/>
      <c r="AD3737" s="37"/>
      <c r="AE3737" s="37"/>
      <c r="AF3737" s="37"/>
    </row>
    <row r="3738" spans="1:32" x14ac:dyDescent="0.25">
      <c r="A3738" s="37"/>
      <c r="B3738" s="37"/>
      <c r="C3738" s="37"/>
      <c r="F3738" s="38"/>
      <c r="G3738" s="38"/>
      <c r="H3738" s="38"/>
      <c r="I3738" s="37"/>
      <c r="J3738" s="38"/>
      <c r="K3738" s="38"/>
      <c r="L3738" s="42"/>
      <c r="M3738" s="42"/>
      <c r="N3738" s="42"/>
      <c r="O3738" s="42"/>
      <c r="R3738" s="37"/>
      <c r="S3738" s="37"/>
      <c r="T3738" s="91"/>
      <c r="U3738" s="91"/>
      <c r="V3738" s="41"/>
      <c r="W3738" s="37"/>
      <c r="X3738" s="37"/>
      <c r="Y3738" s="43"/>
      <c r="Z3738" s="37"/>
      <c r="AA3738" s="37"/>
      <c r="AD3738" s="37"/>
      <c r="AE3738" s="37"/>
      <c r="AF3738" s="37"/>
    </row>
    <row r="3739" spans="1:32" x14ac:dyDescent="0.25">
      <c r="A3739" s="37"/>
      <c r="B3739" s="37"/>
      <c r="C3739" s="37"/>
      <c r="F3739" s="38"/>
      <c r="G3739" s="38"/>
      <c r="H3739" s="38"/>
      <c r="I3739" s="37"/>
      <c r="J3739" s="38"/>
      <c r="K3739" s="38"/>
      <c r="L3739" s="42"/>
      <c r="M3739" s="42"/>
      <c r="N3739" s="42"/>
      <c r="O3739" s="42"/>
      <c r="R3739" s="37"/>
      <c r="S3739" s="37"/>
      <c r="T3739" s="91"/>
      <c r="U3739" s="91"/>
      <c r="V3739" s="41"/>
      <c r="W3739" s="37"/>
      <c r="X3739" s="37"/>
      <c r="Y3739" s="43"/>
      <c r="Z3739" s="37"/>
      <c r="AA3739" s="37"/>
      <c r="AD3739" s="37"/>
      <c r="AE3739" s="37"/>
      <c r="AF3739" s="37"/>
    </row>
    <row r="3740" spans="1:32" x14ac:dyDescent="0.25">
      <c r="A3740" s="37"/>
      <c r="B3740" s="37"/>
      <c r="C3740" s="37"/>
      <c r="F3740" s="38"/>
      <c r="G3740" s="38"/>
      <c r="H3740" s="38"/>
      <c r="I3740" s="37"/>
      <c r="J3740" s="38"/>
      <c r="K3740" s="38"/>
      <c r="L3740" s="42"/>
      <c r="M3740" s="42"/>
      <c r="N3740" s="42"/>
      <c r="O3740" s="42"/>
      <c r="R3740" s="37"/>
      <c r="S3740" s="37"/>
      <c r="T3740" s="91"/>
      <c r="U3740" s="91"/>
      <c r="V3740" s="41"/>
      <c r="W3740" s="37"/>
      <c r="X3740" s="37"/>
      <c r="Y3740" s="43"/>
      <c r="Z3740" s="37"/>
      <c r="AA3740" s="37"/>
      <c r="AD3740" s="37"/>
      <c r="AE3740" s="37"/>
      <c r="AF3740" s="37"/>
    </row>
    <row r="3741" spans="1:32" x14ac:dyDescent="0.25">
      <c r="A3741" s="37"/>
      <c r="B3741" s="37"/>
      <c r="C3741" s="37"/>
      <c r="F3741" s="38"/>
      <c r="G3741" s="38"/>
      <c r="H3741" s="38"/>
      <c r="I3741" s="37"/>
      <c r="J3741" s="38"/>
      <c r="K3741" s="38"/>
      <c r="L3741" s="42"/>
      <c r="M3741" s="42"/>
      <c r="N3741" s="42"/>
      <c r="O3741" s="42"/>
      <c r="R3741" s="37"/>
      <c r="S3741" s="37"/>
      <c r="T3741" s="91"/>
      <c r="U3741" s="91"/>
      <c r="V3741" s="41"/>
      <c r="W3741" s="37"/>
      <c r="X3741" s="37"/>
      <c r="Y3741" s="43"/>
      <c r="Z3741" s="37"/>
      <c r="AA3741" s="37"/>
      <c r="AD3741" s="37"/>
      <c r="AE3741" s="37"/>
      <c r="AF3741" s="37"/>
    </row>
    <row r="3742" spans="1:32" x14ac:dyDescent="0.25">
      <c r="A3742" s="37"/>
      <c r="B3742" s="37"/>
      <c r="C3742" s="37"/>
      <c r="F3742" s="38"/>
      <c r="G3742" s="38"/>
      <c r="H3742" s="38"/>
      <c r="I3742" s="37"/>
      <c r="J3742" s="38"/>
      <c r="K3742" s="38"/>
      <c r="L3742" s="42"/>
      <c r="M3742" s="42"/>
      <c r="N3742" s="42"/>
      <c r="O3742" s="42"/>
      <c r="R3742" s="37"/>
      <c r="S3742" s="37"/>
      <c r="T3742" s="91"/>
      <c r="U3742" s="91"/>
      <c r="V3742" s="41"/>
      <c r="W3742" s="37"/>
      <c r="X3742" s="37"/>
      <c r="Y3742" s="43"/>
      <c r="Z3742" s="37"/>
      <c r="AA3742" s="37"/>
      <c r="AD3742" s="37"/>
      <c r="AE3742" s="37"/>
      <c r="AF3742" s="37"/>
    </row>
    <row r="3743" spans="1:32" x14ac:dyDescent="0.25">
      <c r="A3743" s="37"/>
      <c r="B3743" s="37"/>
      <c r="C3743" s="37"/>
      <c r="F3743" s="38"/>
      <c r="G3743" s="38"/>
      <c r="H3743" s="38"/>
      <c r="I3743" s="37"/>
      <c r="J3743" s="38"/>
      <c r="K3743" s="38"/>
      <c r="L3743" s="42"/>
      <c r="M3743" s="42"/>
      <c r="N3743" s="42"/>
      <c r="O3743" s="42"/>
      <c r="R3743" s="37"/>
      <c r="S3743" s="37"/>
      <c r="T3743" s="91"/>
      <c r="U3743" s="91"/>
      <c r="V3743" s="41"/>
      <c r="W3743" s="37"/>
      <c r="X3743" s="37"/>
      <c r="Y3743" s="43"/>
      <c r="Z3743" s="37"/>
      <c r="AA3743" s="37"/>
      <c r="AD3743" s="37"/>
      <c r="AE3743" s="37"/>
      <c r="AF3743" s="37"/>
    </row>
    <row r="3744" spans="1:32" x14ac:dyDescent="0.25">
      <c r="A3744" s="37"/>
      <c r="B3744" s="37"/>
      <c r="C3744" s="37"/>
      <c r="F3744" s="38"/>
      <c r="G3744" s="38"/>
      <c r="H3744" s="38"/>
      <c r="I3744" s="37"/>
      <c r="J3744" s="38"/>
      <c r="K3744" s="38"/>
      <c r="L3744" s="42"/>
      <c r="M3744" s="42"/>
      <c r="N3744" s="42"/>
      <c r="O3744" s="42"/>
      <c r="R3744" s="37"/>
      <c r="S3744" s="37"/>
      <c r="T3744" s="91"/>
      <c r="U3744" s="91"/>
      <c r="V3744" s="41"/>
      <c r="W3744" s="37"/>
      <c r="X3744" s="37"/>
      <c r="Y3744" s="43"/>
      <c r="Z3744" s="37"/>
      <c r="AA3744" s="37"/>
      <c r="AD3744" s="37"/>
      <c r="AE3744" s="37"/>
      <c r="AF3744" s="37"/>
    </row>
    <row r="3745" spans="1:32" x14ac:dyDescent="0.25">
      <c r="A3745" s="37"/>
      <c r="B3745" s="37"/>
      <c r="C3745" s="37"/>
      <c r="F3745" s="38"/>
      <c r="G3745" s="38"/>
      <c r="H3745" s="38"/>
      <c r="I3745" s="37"/>
      <c r="J3745" s="38"/>
      <c r="K3745" s="38"/>
      <c r="L3745" s="42"/>
      <c r="M3745" s="42"/>
      <c r="N3745" s="42"/>
      <c r="O3745" s="42"/>
      <c r="R3745" s="37"/>
      <c r="S3745" s="37"/>
      <c r="T3745" s="91"/>
      <c r="U3745" s="91"/>
      <c r="V3745" s="41"/>
      <c r="W3745" s="37"/>
      <c r="X3745" s="37"/>
      <c r="Y3745" s="43"/>
      <c r="Z3745" s="37"/>
      <c r="AA3745" s="37"/>
      <c r="AD3745" s="37"/>
      <c r="AE3745" s="37"/>
      <c r="AF3745" s="37"/>
    </row>
    <row r="3746" spans="1:32" x14ac:dyDescent="0.25">
      <c r="A3746" s="37"/>
      <c r="B3746" s="37"/>
      <c r="C3746" s="37"/>
      <c r="F3746" s="38"/>
      <c r="G3746" s="38"/>
      <c r="H3746" s="38"/>
      <c r="I3746" s="37"/>
      <c r="J3746" s="38"/>
      <c r="K3746" s="38"/>
      <c r="L3746" s="42"/>
      <c r="M3746" s="42"/>
      <c r="N3746" s="42"/>
      <c r="O3746" s="42"/>
      <c r="R3746" s="37"/>
      <c r="S3746" s="37"/>
      <c r="T3746" s="91"/>
      <c r="U3746" s="91"/>
      <c r="V3746" s="41"/>
      <c r="W3746" s="37"/>
      <c r="X3746" s="37"/>
      <c r="Y3746" s="43"/>
      <c r="Z3746" s="37"/>
      <c r="AA3746" s="37"/>
      <c r="AD3746" s="37"/>
      <c r="AE3746" s="37"/>
      <c r="AF3746" s="37"/>
    </row>
    <row r="3747" spans="1:32" x14ac:dyDescent="0.25">
      <c r="A3747" s="37"/>
      <c r="B3747" s="37"/>
      <c r="C3747" s="37"/>
      <c r="F3747" s="38"/>
      <c r="G3747" s="38"/>
      <c r="H3747" s="38"/>
      <c r="I3747" s="37"/>
      <c r="J3747" s="38"/>
      <c r="K3747" s="38"/>
      <c r="L3747" s="42"/>
      <c r="M3747" s="42"/>
      <c r="N3747" s="42"/>
      <c r="O3747" s="42"/>
      <c r="R3747" s="37"/>
      <c r="S3747" s="37"/>
      <c r="T3747" s="91"/>
      <c r="U3747" s="91"/>
      <c r="V3747" s="41"/>
      <c r="W3747" s="37"/>
      <c r="X3747" s="37"/>
      <c r="Y3747" s="43"/>
      <c r="Z3747" s="37"/>
      <c r="AA3747" s="37"/>
      <c r="AD3747" s="37"/>
      <c r="AE3747" s="37"/>
      <c r="AF3747" s="37"/>
    </row>
    <row r="3748" spans="1:32" x14ac:dyDescent="0.25">
      <c r="A3748" s="37"/>
      <c r="B3748" s="37"/>
      <c r="C3748" s="37"/>
      <c r="F3748" s="38"/>
      <c r="G3748" s="38"/>
      <c r="H3748" s="38"/>
      <c r="I3748" s="37"/>
      <c r="J3748" s="38"/>
      <c r="K3748" s="38"/>
      <c r="L3748" s="42"/>
      <c r="M3748" s="42"/>
      <c r="N3748" s="42"/>
      <c r="O3748" s="42"/>
      <c r="R3748" s="37"/>
      <c r="S3748" s="37"/>
      <c r="T3748" s="91"/>
      <c r="U3748" s="91"/>
      <c r="V3748" s="41"/>
      <c r="W3748" s="37"/>
      <c r="X3748" s="37"/>
      <c r="Y3748" s="43"/>
      <c r="Z3748" s="37"/>
      <c r="AA3748" s="37"/>
      <c r="AD3748" s="37"/>
      <c r="AE3748" s="37"/>
      <c r="AF3748" s="37"/>
    </row>
    <row r="3749" spans="1:32" x14ac:dyDescent="0.25">
      <c r="A3749" s="37"/>
      <c r="B3749" s="37"/>
      <c r="C3749" s="37"/>
      <c r="F3749" s="38"/>
      <c r="G3749" s="38"/>
      <c r="H3749" s="38"/>
      <c r="I3749" s="37"/>
      <c r="J3749" s="38"/>
      <c r="K3749" s="38"/>
      <c r="L3749" s="42"/>
      <c r="M3749" s="42"/>
      <c r="N3749" s="42"/>
      <c r="O3749" s="42"/>
      <c r="R3749" s="37"/>
      <c r="S3749" s="37"/>
      <c r="T3749" s="91"/>
      <c r="U3749" s="91"/>
      <c r="V3749" s="41"/>
      <c r="W3749" s="37"/>
      <c r="X3749" s="37"/>
      <c r="Y3749" s="43"/>
      <c r="Z3749" s="37"/>
      <c r="AA3749" s="37"/>
      <c r="AD3749" s="37"/>
      <c r="AE3749" s="37"/>
      <c r="AF3749" s="37"/>
    </row>
    <row r="3750" spans="1:32" x14ac:dyDescent="0.25">
      <c r="A3750" s="37"/>
      <c r="B3750" s="37"/>
      <c r="C3750" s="37"/>
      <c r="F3750" s="38"/>
      <c r="G3750" s="38"/>
      <c r="H3750" s="38"/>
      <c r="I3750" s="37"/>
      <c r="J3750" s="38"/>
      <c r="K3750" s="38"/>
      <c r="L3750" s="42"/>
      <c r="M3750" s="42"/>
      <c r="N3750" s="42"/>
      <c r="O3750" s="42"/>
      <c r="R3750" s="37"/>
      <c r="S3750" s="37"/>
      <c r="T3750" s="91"/>
      <c r="U3750" s="91"/>
      <c r="V3750" s="41"/>
      <c r="W3750" s="37"/>
      <c r="X3750" s="37"/>
      <c r="Y3750" s="43"/>
      <c r="Z3750" s="37"/>
      <c r="AA3750" s="37"/>
      <c r="AD3750" s="37"/>
      <c r="AE3750" s="37"/>
      <c r="AF3750" s="37"/>
    </row>
    <row r="3751" spans="1:32" x14ac:dyDescent="0.25">
      <c r="A3751" s="37"/>
      <c r="B3751" s="37"/>
      <c r="C3751" s="37"/>
      <c r="F3751" s="38"/>
      <c r="G3751" s="38"/>
      <c r="H3751" s="38"/>
      <c r="I3751" s="37"/>
      <c r="J3751" s="38"/>
      <c r="K3751" s="38"/>
      <c r="L3751" s="42"/>
      <c r="M3751" s="42"/>
      <c r="N3751" s="42"/>
      <c r="O3751" s="42"/>
      <c r="R3751" s="37"/>
      <c r="S3751" s="37"/>
      <c r="T3751" s="91"/>
      <c r="U3751" s="91"/>
      <c r="V3751" s="41"/>
      <c r="W3751" s="37"/>
      <c r="X3751" s="37"/>
      <c r="Y3751" s="43"/>
      <c r="Z3751" s="37"/>
      <c r="AA3751" s="37"/>
      <c r="AD3751" s="37"/>
      <c r="AE3751" s="37"/>
      <c r="AF3751" s="37"/>
    </row>
    <row r="3752" spans="1:32" x14ac:dyDescent="0.25">
      <c r="A3752" s="37"/>
      <c r="B3752" s="37"/>
      <c r="C3752" s="37"/>
      <c r="F3752" s="38"/>
      <c r="G3752" s="38"/>
      <c r="H3752" s="38"/>
      <c r="I3752" s="37"/>
      <c r="J3752" s="38"/>
      <c r="K3752" s="38"/>
      <c r="L3752" s="42"/>
      <c r="M3752" s="42"/>
      <c r="N3752" s="42"/>
      <c r="O3752" s="42"/>
      <c r="R3752" s="37"/>
      <c r="S3752" s="37"/>
      <c r="T3752" s="91"/>
      <c r="U3752" s="91"/>
      <c r="V3752" s="41"/>
      <c r="W3752" s="37"/>
      <c r="X3752" s="37"/>
      <c r="Y3752" s="43"/>
      <c r="Z3752" s="37"/>
      <c r="AA3752" s="37"/>
      <c r="AD3752" s="37"/>
      <c r="AE3752" s="37"/>
      <c r="AF3752" s="37"/>
    </row>
    <row r="3753" spans="1:32" x14ac:dyDescent="0.25">
      <c r="A3753" s="37"/>
      <c r="B3753" s="37"/>
      <c r="C3753" s="37"/>
      <c r="F3753" s="38"/>
      <c r="G3753" s="38"/>
      <c r="H3753" s="38"/>
      <c r="I3753" s="37"/>
      <c r="J3753" s="38"/>
      <c r="K3753" s="38"/>
      <c r="L3753" s="42"/>
      <c r="M3753" s="42"/>
      <c r="N3753" s="42"/>
      <c r="O3753" s="42"/>
      <c r="R3753" s="37"/>
      <c r="S3753" s="37"/>
      <c r="T3753" s="91"/>
      <c r="U3753" s="91"/>
      <c r="V3753" s="41"/>
      <c r="W3753" s="37"/>
      <c r="X3753" s="37"/>
      <c r="Y3753" s="43"/>
      <c r="Z3753" s="37"/>
      <c r="AA3753" s="37"/>
      <c r="AD3753" s="37"/>
      <c r="AE3753" s="37"/>
      <c r="AF3753" s="37"/>
    </row>
    <row r="3754" spans="1:32" x14ac:dyDescent="0.25">
      <c r="A3754" s="37"/>
      <c r="B3754" s="37"/>
      <c r="C3754" s="37"/>
      <c r="F3754" s="38"/>
      <c r="G3754" s="38"/>
      <c r="H3754" s="38"/>
      <c r="I3754" s="37"/>
      <c r="J3754" s="38"/>
      <c r="K3754" s="38"/>
      <c r="L3754" s="42"/>
      <c r="M3754" s="42"/>
      <c r="N3754" s="42"/>
      <c r="O3754" s="42"/>
      <c r="R3754" s="37"/>
      <c r="S3754" s="37"/>
      <c r="T3754" s="91"/>
      <c r="U3754" s="91"/>
      <c r="V3754" s="41"/>
      <c r="W3754" s="37"/>
      <c r="X3754" s="37"/>
      <c r="Y3754" s="43"/>
      <c r="Z3754" s="37"/>
      <c r="AA3754" s="37"/>
      <c r="AD3754" s="37"/>
      <c r="AE3754" s="37"/>
      <c r="AF3754" s="37"/>
    </row>
    <row r="3755" spans="1:32" x14ac:dyDescent="0.25">
      <c r="A3755" s="37"/>
      <c r="B3755" s="37"/>
      <c r="C3755" s="37"/>
      <c r="F3755" s="38"/>
      <c r="G3755" s="38"/>
      <c r="H3755" s="38"/>
      <c r="I3755" s="37"/>
      <c r="J3755" s="38"/>
      <c r="K3755" s="38"/>
      <c r="L3755" s="42"/>
      <c r="M3755" s="42"/>
      <c r="N3755" s="42"/>
      <c r="O3755" s="42"/>
      <c r="R3755" s="37"/>
      <c r="S3755" s="37"/>
      <c r="T3755" s="91"/>
      <c r="U3755" s="91"/>
      <c r="V3755" s="41"/>
      <c r="W3755" s="37"/>
      <c r="X3755" s="37"/>
      <c r="Y3755" s="43"/>
      <c r="Z3755" s="37"/>
      <c r="AA3755" s="37"/>
      <c r="AD3755" s="37"/>
      <c r="AE3755" s="37"/>
      <c r="AF3755" s="37"/>
    </row>
    <row r="3756" spans="1:32" x14ac:dyDescent="0.25">
      <c r="A3756" s="37"/>
      <c r="B3756" s="37"/>
      <c r="C3756" s="37"/>
      <c r="F3756" s="38"/>
      <c r="G3756" s="38"/>
      <c r="H3756" s="38"/>
      <c r="I3756" s="37"/>
      <c r="J3756" s="38"/>
      <c r="K3756" s="38"/>
      <c r="L3756" s="42"/>
      <c r="M3756" s="42"/>
      <c r="N3756" s="42"/>
      <c r="O3756" s="42"/>
      <c r="R3756" s="37"/>
      <c r="S3756" s="37"/>
      <c r="T3756" s="91"/>
      <c r="U3756" s="91"/>
      <c r="V3756" s="41"/>
      <c r="W3756" s="37"/>
      <c r="X3756" s="37"/>
      <c r="Y3756" s="43"/>
      <c r="Z3756" s="37"/>
      <c r="AA3756" s="37"/>
      <c r="AD3756" s="37"/>
      <c r="AE3756" s="37"/>
      <c r="AF3756" s="37"/>
    </row>
    <row r="3757" spans="1:32" x14ac:dyDescent="0.25">
      <c r="A3757" s="37"/>
      <c r="B3757" s="37"/>
      <c r="C3757" s="37"/>
      <c r="F3757" s="38"/>
      <c r="G3757" s="38"/>
      <c r="H3757" s="38"/>
      <c r="I3757" s="37"/>
      <c r="J3757" s="38"/>
      <c r="K3757" s="38"/>
      <c r="L3757" s="42"/>
      <c r="M3757" s="42"/>
      <c r="N3757" s="42"/>
      <c r="O3757" s="42"/>
      <c r="R3757" s="37"/>
      <c r="S3757" s="37"/>
      <c r="T3757" s="91"/>
      <c r="U3757" s="91"/>
      <c r="V3757" s="41"/>
      <c r="W3757" s="37"/>
      <c r="X3757" s="37"/>
      <c r="Y3757" s="43"/>
      <c r="Z3757" s="37"/>
      <c r="AA3757" s="37"/>
      <c r="AD3757" s="37"/>
      <c r="AE3757" s="37"/>
      <c r="AF3757" s="37"/>
    </row>
    <row r="3758" spans="1:32" x14ac:dyDescent="0.25">
      <c r="A3758" s="37"/>
      <c r="B3758" s="37"/>
      <c r="C3758" s="37"/>
      <c r="F3758" s="38"/>
      <c r="G3758" s="38"/>
      <c r="H3758" s="38"/>
      <c r="I3758" s="37"/>
      <c r="J3758" s="38"/>
      <c r="K3758" s="38"/>
      <c r="L3758" s="42"/>
      <c r="M3758" s="42"/>
      <c r="N3758" s="42"/>
      <c r="O3758" s="42"/>
      <c r="R3758" s="37"/>
      <c r="S3758" s="37"/>
      <c r="T3758" s="91"/>
      <c r="U3758" s="91"/>
      <c r="V3758" s="41"/>
      <c r="W3758" s="37"/>
      <c r="X3758" s="37"/>
      <c r="Y3758" s="43"/>
      <c r="Z3758" s="37"/>
      <c r="AA3758" s="37"/>
      <c r="AD3758" s="37"/>
      <c r="AE3758" s="37"/>
      <c r="AF3758" s="37"/>
    </row>
    <row r="3759" spans="1:32" x14ac:dyDescent="0.25">
      <c r="A3759" s="37"/>
      <c r="B3759" s="37"/>
      <c r="C3759" s="37"/>
      <c r="F3759" s="38"/>
      <c r="G3759" s="38"/>
      <c r="H3759" s="38"/>
      <c r="I3759" s="37"/>
      <c r="J3759" s="38"/>
      <c r="K3759" s="38"/>
      <c r="L3759" s="42"/>
      <c r="M3759" s="42"/>
      <c r="N3759" s="42"/>
      <c r="O3759" s="42"/>
      <c r="R3759" s="37"/>
      <c r="S3759" s="37"/>
      <c r="T3759" s="91"/>
      <c r="U3759" s="91"/>
      <c r="V3759" s="41"/>
      <c r="W3759" s="37"/>
      <c r="X3759" s="37"/>
      <c r="Y3759" s="43"/>
      <c r="Z3759" s="37"/>
      <c r="AA3759" s="37"/>
      <c r="AD3759" s="37"/>
      <c r="AE3759" s="37"/>
      <c r="AF3759" s="37"/>
    </row>
    <row r="3760" spans="1:32" x14ac:dyDescent="0.25">
      <c r="A3760" s="37"/>
      <c r="B3760" s="37"/>
      <c r="C3760" s="37"/>
      <c r="F3760" s="38"/>
      <c r="G3760" s="38"/>
      <c r="H3760" s="38"/>
      <c r="I3760" s="37"/>
      <c r="J3760" s="38"/>
      <c r="K3760" s="38"/>
      <c r="L3760" s="42"/>
      <c r="M3760" s="42"/>
      <c r="N3760" s="42"/>
      <c r="O3760" s="42"/>
      <c r="R3760" s="37"/>
      <c r="S3760" s="37"/>
      <c r="T3760" s="91"/>
      <c r="U3760" s="91"/>
      <c r="V3760" s="41"/>
      <c r="W3760" s="37"/>
      <c r="X3760" s="37"/>
      <c r="Y3760" s="43"/>
      <c r="Z3760" s="37"/>
      <c r="AA3760" s="37"/>
      <c r="AD3760" s="37"/>
      <c r="AE3760" s="37"/>
      <c r="AF3760" s="37"/>
    </row>
    <row r="3761" spans="1:32" x14ac:dyDescent="0.25">
      <c r="A3761" s="37"/>
      <c r="B3761" s="37"/>
      <c r="C3761" s="37"/>
      <c r="F3761" s="38"/>
      <c r="G3761" s="38"/>
      <c r="H3761" s="38"/>
      <c r="I3761" s="37"/>
      <c r="J3761" s="38"/>
      <c r="K3761" s="38"/>
      <c r="L3761" s="42"/>
      <c r="M3761" s="42"/>
      <c r="N3761" s="42"/>
      <c r="O3761" s="42"/>
      <c r="R3761" s="37"/>
      <c r="S3761" s="37"/>
      <c r="T3761" s="91"/>
      <c r="U3761" s="91"/>
      <c r="V3761" s="41"/>
      <c r="W3761" s="37"/>
      <c r="X3761" s="37"/>
      <c r="Y3761" s="43"/>
      <c r="Z3761" s="37"/>
      <c r="AA3761" s="37"/>
      <c r="AD3761" s="37"/>
      <c r="AE3761" s="37"/>
      <c r="AF3761" s="37"/>
    </row>
    <row r="3762" spans="1:32" x14ac:dyDescent="0.25">
      <c r="A3762" s="37"/>
      <c r="B3762" s="37"/>
      <c r="C3762" s="37"/>
      <c r="F3762" s="38"/>
      <c r="G3762" s="38"/>
      <c r="H3762" s="38"/>
      <c r="I3762" s="37"/>
      <c r="J3762" s="38"/>
      <c r="K3762" s="38"/>
      <c r="L3762" s="42"/>
      <c r="M3762" s="42"/>
      <c r="N3762" s="42"/>
      <c r="O3762" s="42"/>
      <c r="R3762" s="37"/>
      <c r="S3762" s="37"/>
      <c r="T3762" s="91"/>
      <c r="U3762" s="91"/>
      <c r="V3762" s="41"/>
      <c r="W3762" s="37"/>
      <c r="X3762" s="37"/>
      <c r="Y3762" s="43"/>
      <c r="Z3762" s="37"/>
      <c r="AA3762" s="37"/>
      <c r="AD3762" s="37"/>
      <c r="AE3762" s="37"/>
      <c r="AF3762" s="37"/>
    </row>
    <row r="3763" spans="1:32" x14ac:dyDescent="0.25">
      <c r="A3763" s="37"/>
      <c r="B3763" s="37"/>
      <c r="C3763" s="37"/>
      <c r="F3763" s="38"/>
      <c r="G3763" s="38"/>
      <c r="H3763" s="38"/>
      <c r="I3763" s="37"/>
      <c r="J3763" s="38"/>
      <c r="K3763" s="38"/>
      <c r="L3763" s="42"/>
      <c r="M3763" s="42"/>
      <c r="N3763" s="42"/>
      <c r="O3763" s="42"/>
      <c r="R3763" s="37"/>
      <c r="S3763" s="37"/>
      <c r="T3763" s="91"/>
      <c r="U3763" s="91"/>
      <c r="V3763" s="41"/>
      <c r="W3763" s="37"/>
      <c r="X3763" s="37"/>
      <c r="Y3763" s="43"/>
      <c r="Z3763" s="37"/>
      <c r="AA3763" s="37"/>
      <c r="AD3763" s="37"/>
      <c r="AE3763" s="37"/>
      <c r="AF3763" s="37"/>
    </row>
    <row r="3764" spans="1:32" x14ac:dyDescent="0.25">
      <c r="A3764" s="37"/>
      <c r="B3764" s="37"/>
      <c r="C3764" s="37"/>
      <c r="F3764" s="38"/>
      <c r="G3764" s="38"/>
      <c r="H3764" s="38"/>
      <c r="I3764" s="37"/>
      <c r="J3764" s="38"/>
      <c r="K3764" s="38"/>
      <c r="L3764" s="42"/>
      <c r="M3764" s="42"/>
      <c r="N3764" s="42"/>
      <c r="O3764" s="42"/>
      <c r="R3764" s="37"/>
      <c r="S3764" s="37"/>
      <c r="T3764" s="91"/>
      <c r="U3764" s="91"/>
      <c r="V3764" s="41"/>
      <c r="W3764" s="37"/>
      <c r="X3764" s="37"/>
      <c r="Y3764" s="43"/>
      <c r="Z3764" s="37"/>
      <c r="AA3764" s="37"/>
      <c r="AD3764" s="37"/>
      <c r="AE3764" s="37"/>
      <c r="AF3764" s="37"/>
    </row>
    <row r="3765" spans="1:32" x14ac:dyDescent="0.25">
      <c r="A3765" s="37"/>
      <c r="B3765" s="37"/>
      <c r="C3765" s="37"/>
      <c r="F3765" s="38"/>
      <c r="G3765" s="38"/>
      <c r="H3765" s="38"/>
      <c r="I3765" s="37"/>
      <c r="J3765" s="38"/>
      <c r="K3765" s="38"/>
      <c r="L3765" s="42"/>
      <c r="M3765" s="42"/>
      <c r="N3765" s="42"/>
      <c r="O3765" s="42"/>
      <c r="R3765" s="37"/>
      <c r="S3765" s="37"/>
      <c r="T3765" s="91"/>
      <c r="U3765" s="91"/>
      <c r="V3765" s="41"/>
      <c r="W3765" s="37"/>
      <c r="X3765" s="37"/>
      <c r="Y3765" s="43"/>
      <c r="Z3765" s="37"/>
      <c r="AA3765" s="37"/>
      <c r="AD3765" s="37"/>
      <c r="AE3765" s="37"/>
      <c r="AF3765" s="37"/>
    </row>
    <row r="3766" spans="1:32" x14ac:dyDescent="0.25">
      <c r="A3766" s="37"/>
      <c r="B3766" s="37"/>
      <c r="C3766" s="37"/>
      <c r="F3766" s="38"/>
      <c r="G3766" s="38"/>
      <c r="H3766" s="38"/>
      <c r="I3766" s="37"/>
      <c r="J3766" s="38"/>
      <c r="K3766" s="38"/>
      <c r="L3766" s="42"/>
      <c r="M3766" s="42"/>
      <c r="N3766" s="42"/>
      <c r="O3766" s="42"/>
      <c r="R3766" s="37"/>
      <c r="S3766" s="37"/>
      <c r="T3766" s="91"/>
      <c r="U3766" s="91"/>
      <c r="V3766" s="41"/>
      <c r="W3766" s="37"/>
      <c r="X3766" s="37"/>
      <c r="Y3766" s="43"/>
      <c r="Z3766" s="37"/>
      <c r="AA3766" s="37"/>
      <c r="AD3766" s="37"/>
      <c r="AE3766" s="37"/>
      <c r="AF3766" s="37"/>
    </row>
    <row r="3767" spans="1:32" x14ac:dyDescent="0.25">
      <c r="A3767" s="37"/>
      <c r="B3767" s="37"/>
      <c r="C3767" s="37"/>
      <c r="F3767" s="38"/>
      <c r="G3767" s="38"/>
      <c r="H3767" s="38"/>
      <c r="I3767" s="37"/>
      <c r="J3767" s="38"/>
      <c r="K3767" s="38"/>
      <c r="L3767" s="42"/>
      <c r="M3767" s="42"/>
      <c r="N3767" s="42"/>
      <c r="O3767" s="42"/>
      <c r="R3767" s="37"/>
      <c r="S3767" s="37"/>
      <c r="T3767" s="91"/>
      <c r="U3767" s="91"/>
      <c r="V3767" s="41"/>
      <c r="W3767" s="37"/>
      <c r="X3767" s="37"/>
      <c r="Y3767" s="43"/>
      <c r="Z3767" s="37"/>
      <c r="AA3767" s="37"/>
      <c r="AD3767" s="37"/>
      <c r="AE3767" s="37"/>
      <c r="AF3767" s="37"/>
    </row>
    <row r="3768" spans="1:32" x14ac:dyDescent="0.25">
      <c r="A3768" s="37"/>
      <c r="B3768" s="37"/>
      <c r="C3768" s="37"/>
      <c r="F3768" s="38"/>
      <c r="G3768" s="38"/>
      <c r="H3768" s="38"/>
      <c r="I3768" s="37"/>
      <c r="J3768" s="38"/>
      <c r="K3768" s="38"/>
      <c r="L3768" s="42"/>
      <c r="M3768" s="42"/>
      <c r="N3768" s="42"/>
      <c r="O3768" s="42"/>
      <c r="R3768" s="37"/>
      <c r="S3768" s="37"/>
      <c r="T3768" s="91"/>
      <c r="U3768" s="91"/>
      <c r="V3768" s="41"/>
      <c r="W3768" s="37"/>
      <c r="X3768" s="37"/>
      <c r="Y3768" s="43"/>
      <c r="Z3768" s="37"/>
      <c r="AA3768" s="37"/>
      <c r="AD3768" s="37"/>
      <c r="AE3768" s="37"/>
      <c r="AF3768" s="37"/>
    </row>
    <row r="3769" spans="1:32" x14ac:dyDescent="0.25">
      <c r="A3769" s="37"/>
      <c r="B3769" s="37"/>
      <c r="C3769" s="37"/>
      <c r="F3769" s="38"/>
      <c r="G3769" s="38"/>
      <c r="H3769" s="38"/>
      <c r="I3769" s="37"/>
      <c r="J3769" s="38"/>
      <c r="K3769" s="38"/>
      <c r="L3769" s="42"/>
      <c r="M3769" s="42"/>
      <c r="N3769" s="42"/>
      <c r="O3769" s="42"/>
      <c r="R3769" s="37"/>
      <c r="S3769" s="37"/>
      <c r="T3769" s="91"/>
      <c r="U3769" s="91"/>
      <c r="V3769" s="41"/>
      <c r="W3769" s="37"/>
      <c r="X3769" s="37"/>
      <c r="Y3769" s="43"/>
      <c r="Z3769" s="37"/>
      <c r="AA3769" s="37"/>
      <c r="AD3769" s="37"/>
      <c r="AE3769" s="37"/>
      <c r="AF3769" s="37"/>
    </row>
    <row r="3770" spans="1:32" x14ac:dyDescent="0.25">
      <c r="A3770" s="37"/>
      <c r="B3770" s="37"/>
      <c r="C3770" s="37"/>
      <c r="F3770" s="38"/>
      <c r="G3770" s="38"/>
      <c r="H3770" s="38"/>
      <c r="I3770" s="37"/>
      <c r="J3770" s="38"/>
      <c r="K3770" s="38"/>
      <c r="L3770" s="42"/>
      <c r="M3770" s="42"/>
      <c r="N3770" s="42"/>
      <c r="O3770" s="42"/>
      <c r="R3770" s="37"/>
      <c r="S3770" s="37"/>
      <c r="T3770" s="91"/>
      <c r="U3770" s="91"/>
      <c r="V3770" s="41"/>
      <c r="W3770" s="37"/>
      <c r="X3770" s="37"/>
      <c r="Y3770" s="43"/>
      <c r="Z3770" s="37"/>
      <c r="AA3770" s="37"/>
      <c r="AD3770" s="37"/>
      <c r="AE3770" s="37"/>
      <c r="AF3770" s="37"/>
    </row>
    <row r="3771" spans="1:32" x14ac:dyDescent="0.25">
      <c r="A3771" s="37"/>
      <c r="B3771" s="37"/>
      <c r="C3771" s="37"/>
      <c r="F3771" s="38"/>
      <c r="G3771" s="38"/>
      <c r="H3771" s="38"/>
      <c r="I3771" s="37"/>
      <c r="J3771" s="38"/>
      <c r="K3771" s="38"/>
      <c r="L3771" s="42"/>
      <c r="M3771" s="42"/>
      <c r="N3771" s="42"/>
      <c r="O3771" s="42"/>
      <c r="R3771" s="37"/>
      <c r="S3771" s="37"/>
      <c r="T3771" s="91"/>
      <c r="U3771" s="91"/>
      <c r="V3771" s="41"/>
      <c r="W3771" s="37"/>
      <c r="X3771" s="37"/>
      <c r="Y3771" s="43"/>
      <c r="Z3771" s="37"/>
      <c r="AA3771" s="37"/>
      <c r="AD3771" s="37"/>
      <c r="AE3771" s="37"/>
      <c r="AF3771" s="37"/>
    </row>
    <row r="3772" spans="1:32" x14ac:dyDescent="0.25">
      <c r="A3772" s="37"/>
      <c r="B3772" s="37"/>
      <c r="C3772" s="37"/>
      <c r="F3772" s="38"/>
      <c r="G3772" s="38"/>
      <c r="H3772" s="38"/>
      <c r="I3772" s="37"/>
      <c r="J3772" s="38"/>
      <c r="K3772" s="38"/>
      <c r="L3772" s="42"/>
      <c r="M3772" s="42"/>
      <c r="N3772" s="42"/>
      <c r="O3772" s="42"/>
      <c r="R3772" s="37"/>
      <c r="S3772" s="37"/>
      <c r="T3772" s="91"/>
      <c r="U3772" s="91"/>
      <c r="V3772" s="41"/>
      <c r="W3772" s="37"/>
      <c r="X3772" s="37"/>
      <c r="Y3772" s="43"/>
      <c r="Z3772" s="37"/>
      <c r="AA3772" s="37"/>
      <c r="AD3772" s="37"/>
      <c r="AE3772" s="37"/>
      <c r="AF3772" s="37"/>
    </row>
    <row r="3773" spans="1:32" x14ac:dyDescent="0.25">
      <c r="A3773" s="37"/>
      <c r="B3773" s="37"/>
      <c r="C3773" s="37"/>
      <c r="F3773" s="38"/>
      <c r="G3773" s="38"/>
      <c r="H3773" s="38"/>
      <c r="I3773" s="37"/>
      <c r="J3773" s="38"/>
      <c r="K3773" s="38"/>
      <c r="L3773" s="42"/>
      <c r="M3773" s="42"/>
      <c r="N3773" s="42"/>
      <c r="O3773" s="42"/>
      <c r="R3773" s="37"/>
      <c r="S3773" s="37"/>
      <c r="T3773" s="91"/>
      <c r="U3773" s="91"/>
      <c r="V3773" s="41"/>
      <c r="W3773" s="37"/>
      <c r="X3773" s="37"/>
      <c r="Y3773" s="43"/>
      <c r="Z3773" s="37"/>
      <c r="AA3773" s="37"/>
      <c r="AD3773" s="37"/>
      <c r="AE3773" s="37"/>
      <c r="AF3773" s="37"/>
    </row>
    <row r="3774" spans="1:32" x14ac:dyDescent="0.25">
      <c r="A3774" s="37"/>
      <c r="B3774" s="37"/>
      <c r="C3774" s="37"/>
      <c r="F3774" s="38"/>
      <c r="G3774" s="38"/>
      <c r="H3774" s="38"/>
      <c r="I3774" s="37"/>
      <c r="J3774" s="38"/>
      <c r="K3774" s="38"/>
      <c r="L3774" s="42"/>
      <c r="M3774" s="42"/>
      <c r="N3774" s="42"/>
      <c r="O3774" s="42"/>
      <c r="R3774" s="37"/>
      <c r="S3774" s="37"/>
      <c r="T3774" s="91"/>
      <c r="U3774" s="91"/>
      <c r="V3774" s="41"/>
      <c r="W3774" s="37"/>
      <c r="X3774" s="37"/>
      <c r="Y3774" s="43"/>
      <c r="Z3774" s="37"/>
      <c r="AA3774" s="37"/>
      <c r="AD3774" s="37"/>
      <c r="AE3774" s="37"/>
      <c r="AF3774" s="37"/>
    </row>
    <row r="3775" spans="1:32" x14ac:dyDescent="0.25">
      <c r="A3775" s="37"/>
      <c r="B3775" s="37"/>
      <c r="C3775" s="37"/>
      <c r="F3775" s="38"/>
      <c r="G3775" s="38"/>
      <c r="H3775" s="38"/>
      <c r="I3775" s="37"/>
      <c r="J3775" s="38"/>
      <c r="K3775" s="38"/>
      <c r="L3775" s="42"/>
      <c r="M3775" s="42"/>
      <c r="N3775" s="42"/>
      <c r="O3775" s="42"/>
      <c r="R3775" s="37"/>
      <c r="S3775" s="37"/>
      <c r="T3775" s="91"/>
      <c r="U3775" s="91"/>
      <c r="V3775" s="41"/>
      <c r="W3775" s="37"/>
      <c r="X3775" s="37"/>
      <c r="Y3775" s="43"/>
      <c r="Z3775" s="37"/>
      <c r="AA3775" s="37"/>
      <c r="AD3775" s="37"/>
      <c r="AE3775" s="37"/>
      <c r="AF3775" s="37"/>
    </row>
    <row r="3776" spans="1:32" x14ac:dyDescent="0.25">
      <c r="A3776" s="37"/>
      <c r="B3776" s="37"/>
      <c r="C3776" s="37"/>
      <c r="F3776" s="38"/>
      <c r="G3776" s="38"/>
      <c r="H3776" s="38"/>
      <c r="I3776" s="37"/>
      <c r="J3776" s="38"/>
      <c r="K3776" s="38"/>
      <c r="L3776" s="42"/>
      <c r="M3776" s="42"/>
      <c r="N3776" s="42"/>
      <c r="O3776" s="42"/>
      <c r="R3776" s="37"/>
      <c r="S3776" s="37"/>
      <c r="T3776" s="91"/>
      <c r="U3776" s="91"/>
      <c r="V3776" s="41"/>
      <c r="W3776" s="37"/>
      <c r="X3776" s="37"/>
      <c r="Y3776" s="43"/>
      <c r="Z3776" s="37"/>
      <c r="AA3776" s="37"/>
      <c r="AD3776" s="37"/>
      <c r="AE3776" s="37"/>
      <c r="AF3776" s="37"/>
    </row>
    <row r="3777" spans="1:32" x14ac:dyDescent="0.25">
      <c r="A3777" s="37"/>
      <c r="B3777" s="37"/>
      <c r="C3777" s="37"/>
      <c r="F3777" s="38"/>
      <c r="G3777" s="38"/>
      <c r="H3777" s="38"/>
      <c r="I3777" s="37"/>
      <c r="J3777" s="38"/>
      <c r="K3777" s="38"/>
      <c r="L3777" s="42"/>
      <c r="M3777" s="42"/>
      <c r="N3777" s="42"/>
      <c r="O3777" s="42"/>
      <c r="R3777" s="37"/>
      <c r="S3777" s="37"/>
      <c r="T3777" s="91"/>
      <c r="U3777" s="91"/>
      <c r="V3777" s="41"/>
      <c r="W3777" s="37"/>
      <c r="X3777" s="37"/>
      <c r="Y3777" s="43"/>
      <c r="Z3777" s="37"/>
      <c r="AA3777" s="37"/>
      <c r="AD3777" s="37"/>
      <c r="AE3777" s="37"/>
      <c r="AF3777" s="37"/>
    </row>
    <row r="3778" spans="1:32" x14ac:dyDescent="0.25">
      <c r="A3778" s="37"/>
      <c r="B3778" s="37"/>
      <c r="C3778" s="37"/>
      <c r="F3778" s="38"/>
      <c r="G3778" s="38"/>
      <c r="H3778" s="38"/>
      <c r="I3778" s="37"/>
      <c r="J3778" s="38"/>
      <c r="K3778" s="38"/>
      <c r="L3778" s="42"/>
      <c r="M3778" s="42"/>
      <c r="N3778" s="42"/>
      <c r="O3778" s="42"/>
      <c r="R3778" s="37"/>
      <c r="S3778" s="37"/>
      <c r="T3778" s="91"/>
      <c r="U3778" s="91"/>
      <c r="V3778" s="41"/>
      <c r="W3778" s="37"/>
      <c r="X3778" s="37"/>
      <c r="Y3778" s="43"/>
      <c r="Z3778" s="37"/>
      <c r="AA3778" s="37"/>
      <c r="AD3778" s="37"/>
      <c r="AE3778" s="37"/>
      <c r="AF3778" s="37"/>
    </row>
    <row r="3779" spans="1:32" x14ac:dyDescent="0.25">
      <c r="A3779" s="37"/>
      <c r="B3779" s="37"/>
      <c r="C3779" s="37"/>
      <c r="F3779" s="38"/>
      <c r="G3779" s="38"/>
      <c r="H3779" s="38"/>
      <c r="I3779" s="37"/>
      <c r="J3779" s="38"/>
      <c r="K3779" s="38"/>
      <c r="L3779" s="42"/>
      <c r="M3779" s="42"/>
      <c r="N3779" s="42"/>
      <c r="O3779" s="42"/>
      <c r="R3779" s="37"/>
      <c r="S3779" s="37"/>
      <c r="T3779" s="91"/>
      <c r="U3779" s="91"/>
      <c r="V3779" s="41"/>
      <c r="W3779" s="37"/>
      <c r="X3779" s="37"/>
      <c r="Y3779" s="43"/>
      <c r="Z3779" s="37"/>
      <c r="AA3779" s="37"/>
      <c r="AD3779" s="37"/>
      <c r="AE3779" s="37"/>
      <c r="AF3779" s="37"/>
    </row>
    <row r="3780" spans="1:32" x14ac:dyDescent="0.25">
      <c r="A3780" s="37"/>
      <c r="B3780" s="37"/>
      <c r="C3780" s="37"/>
      <c r="F3780" s="38"/>
      <c r="G3780" s="38"/>
      <c r="H3780" s="38"/>
      <c r="I3780" s="37"/>
      <c r="J3780" s="38"/>
      <c r="K3780" s="38"/>
      <c r="L3780" s="42"/>
      <c r="M3780" s="42"/>
      <c r="N3780" s="42"/>
      <c r="O3780" s="42"/>
      <c r="R3780" s="37"/>
      <c r="S3780" s="37"/>
      <c r="T3780" s="91"/>
      <c r="U3780" s="91"/>
      <c r="V3780" s="41"/>
      <c r="W3780" s="37"/>
      <c r="X3780" s="37"/>
      <c r="Y3780" s="43"/>
      <c r="Z3780" s="37"/>
      <c r="AA3780" s="37"/>
      <c r="AD3780" s="37"/>
      <c r="AE3780" s="37"/>
      <c r="AF3780" s="37"/>
    </row>
    <row r="3781" spans="1:32" x14ac:dyDescent="0.25">
      <c r="A3781" s="37"/>
      <c r="B3781" s="37"/>
      <c r="C3781" s="37"/>
      <c r="F3781" s="38"/>
      <c r="G3781" s="38"/>
      <c r="H3781" s="38"/>
      <c r="I3781" s="37"/>
      <c r="J3781" s="38"/>
      <c r="K3781" s="38"/>
      <c r="L3781" s="42"/>
      <c r="M3781" s="42"/>
      <c r="N3781" s="42"/>
      <c r="O3781" s="42"/>
      <c r="R3781" s="37"/>
      <c r="S3781" s="37"/>
      <c r="T3781" s="91"/>
      <c r="U3781" s="91"/>
      <c r="V3781" s="41"/>
      <c r="W3781" s="37"/>
      <c r="X3781" s="37"/>
      <c r="Y3781" s="43"/>
      <c r="Z3781" s="37"/>
      <c r="AA3781" s="37"/>
      <c r="AD3781" s="37"/>
      <c r="AE3781" s="37"/>
      <c r="AF3781" s="37"/>
    </row>
    <row r="3782" spans="1:32" x14ac:dyDescent="0.25">
      <c r="A3782" s="37"/>
      <c r="B3782" s="37"/>
      <c r="C3782" s="37"/>
      <c r="F3782" s="38"/>
      <c r="G3782" s="38"/>
      <c r="H3782" s="38"/>
      <c r="I3782" s="37"/>
      <c r="J3782" s="38"/>
      <c r="K3782" s="38"/>
      <c r="L3782" s="42"/>
      <c r="M3782" s="42"/>
      <c r="N3782" s="42"/>
      <c r="O3782" s="42"/>
      <c r="R3782" s="37"/>
      <c r="S3782" s="37"/>
      <c r="T3782" s="91"/>
      <c r="U3782" s="91"/>
      <c r="V3782" s="41"/>
      <c r="W3782" s="37"/>
      <c r="X3782" s="37"/>
      <c r="Y3782" s="43"/>
      <c r="Z3782" s="37"/>
      <c r="AA3782" s="37"/>
      <c r="AD3782" s="37"/>
      <c r="AE3782" s="37"/>
      <c r="AF3782" s="37"/>
    </row>
    <row r="3783" spans="1:32" x14ac:dyDescent="0.25">
      <c r="A3783" s="37"/>
      <c r="B3783" s="37"/>
      <c r="C3783" s="37"/>
      <c r="F3783" s="38"/>
      <c r="G3783" s="38"/>
      <c r="H3783" s="38"/>
      <c r="I3783" s="37"/>
      <c r="J3783" s="38"/>
      <c r="K3783" s="38"/>
      <c r="L3783" s="42"/>
      <c r="M3783" s="42"/>
      <c r="N3783" s="42"/>
      <c r="O3783" s="42"/>
      <c r="R3783" s="37"/>
      <c r="S3783" s="37"/>
      <c r="T3783" s="91"/>
      <c r="U3783" s="91"/>
      <c r="V3783" s="41"/>
      <c r="W3783" s="37"/>
      <c r="X3783" s="37"/>
      <c r="Y3783" s="43"/>
      <c r="Z3783" s="37"/>
      <c r="AA3783" s="37"/>
      <c r="AD3783" s="37"/>
      <c r="AE3783" s="37"/>
      <c r="AF3783" s="37"/>
    </row>
    <row r="3784" spans="1:32" x14ac:dyDescent="0.25">
      <c r="A3784" s="37"/>
      <c r="B3784" s="37"/>
      <c r="C3784" s="37"/>
      <c r="F3784" s="38"/>
      <c r="G3784" s="38"/>
      <c r="H3784" s="38"/>
      <c r="I3784" s="37"/>
      <c r="J3784" s="38"/>
      <c r="K3784" s="38"/>
      <c r="L3784" s="42"/>
      <c r="M3784" s="42"/>
      <c r="N3784" s="42"/>
      <c r="O3784" s="42"/>
      <c r="R3784" s="37"/>
      <c r="S3784" s="37"/>
      <c r="T3784" s="91"/>
      <c r="U3784" s="91"/>
      <c r="V3784" s="41"/>
      <c r="W3784" s="37"/>
      <c r="X3784" s="37"/>
      <c r="Y3784" s="43"/>
      <c r="Z3784" s="37"/>
      <c r="AA3784" s="37"/>
      <c r="AD3784" s="37"/>
      <c r="AE3784" s="37"/>
      <c r="AF3784" s="37"/>
    </row>
    <row r="3785" spans="1:32" x14ac:dyDescent="0.25">
      <c r="A3785" s="37"/>
      <c r="B3785" s="37"/>
      <c r="C3785" s="37"/>
      <c r="F3785" s="38"/>
      <c r="G3785" s="38"/>
      <c r="H3785" s="38"/>
      <c r="I3785" s="37"/>
      <c r="J3785" s="38"/>
      <c r="K3785" s="38"/>
      <c r="L3785" s="42"/>
      <c r="M3785" s="42"/>
      <c r="N3785" s="42"/>
      <c r="O3785" s="42"/>
      <c r="R3785" s="37"/>
      <c r="S3785" s="37"/>
      <c r="T3785" s="91"/>
      <c r="U3785" s="91"/>
      <c r="V3785" s="41"/>
      <c r="W3785" s="37"/>
      <c r="X3785" s="37"/>
      <c r="Y3785" s="43"/>
      <c r="Z3785" s="37"/>
      <c r="AA3785" s="37"/>
      <c r="AD3785" s="37"/>
      <c r="AE3785" s="37"/>
      <c r="AF3785" s="37"/>
    </row>
    <row r="3786" spans="1:32" x14ac:dyDescent="0.25">
      <c r="A3786" s="37"/>
      <c r="B3786" s="37"/>
      <c r="C3786" s="37"/>
      <c r="F3786" s="38"/>
      <c r="G3786" s="38"/>
      <c r="H3786" s="38"/>
      <c r="I3786" s="37"/>
      <c r="J3786" s="38"/>
      <c r="K3786" s="38"/>
      <c r="L3786" s="42"/>
      <c r="M3786" s="42"/>
      <c r="N3786" s="42"/>
      <c r="O3786" s="42"/>
      <c r="R3786" s="37"/>
      <c r="S3786" s="37"/>
      <c r="T3786" s="91"/>
      <c r="U3786" s="91"/>
      <c r="V3786" s="41"/>
      <c r="W3786" s="37"/>
      <c r="X3786" s="37"/>
      <c r="Y3786" s="43"/>
      <c r="Z3786" s="37"/>
      <c r="AA3786" s="37"/>
      <c r="AD3786" s="37"/>
      <c r="AE3786" s="37"/>
      <c r="AF3786" s="37"/>
    </row>
    <row r="3787" spans="1:32" x14ac:dyDescent="0.25">
      <c r="A3787" s="37"/>
      <c r="B3787" s="37"/>
      <c r="C3787" s="37"/>
      <c r="F3787" s="38"/>
      <c r="G3787" s="38"/>
      <c r="H3787" s="38"/>
      <c r="I3787" s="37"/>
      <c r="J3787" s="38"/>
      <c r="K3787" s="38"/>
      <c r="L3787" s="42"/>
      <c r="M3787" s="42"/>
      <c r="N3787" s="42"/>
      <c r="O3787" s="42"/>
      <c r="R3787" s="37"/>
      <c r="S3787" s="37"/>
      <c r="T3787" s="91"/>
      <c r="U3787" s="91"/>
      <c r="V3787" s="41"/>
      <c r="W3787" s="37"/>
      <c r="X3787" s="37"/>
      <c r="Y3787" s="43"/>
      <c r="Z3787" s="37"/>
      <c r="AA3787" s="37"/>
      <c r="AD3787" s="37"/>
      <c r="AE3787" s="37"/>
      <c r="AF3787" s="37"/>
    </row>
    <row r="3788" spans="1:32" x14ac:dyDescent="0.25">
      <c r="A3788" s="37"/>
      <c r="B3788" s="37"/>
      <c r="C3788" s="37"/>
      <c r="F3788" s="38"/>
      <c r="G3788" s="38"/>
      <c r="H3788" s="38"/>
      <c r="I3788" s="37"/>
      <c r="J3788" s="38"/>
      <c r="K3788" s="38"/>
      <c r="L3788" s="42"/>
      <c r="M3788" s="42"/>
      <c r="N3788" s="42"/>
      <c r="O3788" s="42"/>
      <c r="R3788" s="37"/>
      <c r="S3788" s="37"/>
      <c r="T3788" s="91"/>
      <c r="U3788" s="91"/>
      <c r="V3788" s="41"/>
      <c r="W3788" s="37"/>
      <c r="X3788" s="37"/>
      <c r="Y3788" s="43"/>
      <c r="Z3788" s="37"/>
      <c r="AA3788" s="37"/>
      <c r="AD3788" s="37"/>
      <c r="AE3788" s="37"/>
      <c r="AF3788" s="37"/>
    </row>
    <row r="3789" spans="1:32" x14ac:dyDescent="0.25">
      <c r="A3789" s="37"/>
      <c r="B3789" s="37"/>
      <c r="C3789" s="37"/>
      <c r="F3789" s="38"/>
      <c r="G3789" s="38"/>
      <c r="H3789" s="38"/>
      <c r="I3789" s="37"/>
      <c r="J3789" s="38"/>
      <c r="K3789" s="38"/>
      <c r="L3789" s="42"/>
      <c r="M3789" s="42"/>
      <c r="N3789" s="42"/>
      <c r="O3789" s="42"/>
      <c r="R3789" s="37"/>
      <c r="S3789" s="37"/>
      <c r="T3789" s="91"/>
      <c r="U3789" s="91"/>
      <c r="V3789" s="41"/>
      <c r="W3789" s="37"/>
      <c r="X3789" s="37"/>
      <c r="Y3789" s="43"/>
      <c r="Z3789" s="37"/>
      <c r="AA3789" s="37"/>
      <c r="AD3789" s="37"/>
      <c r="AE3789" s="37"/>
      <c r="AF3789" s="37"/>
    </row>
    <row r="3790" spans="1:32" x14ac:dyDescent="0.25">
      <c r="A3790" s="37"/>
      <c r="B3790" s="37"/>
      <c r="C3790" s="37"/>
      <c r="F3790" s="38"/>
      <c r="G3790" s="38"/>
      <c r="H3790" s="38"/>
      <c r="I3790" s="37"/>
      <c r="J3790" s="38"/>
      <c r="K3790" s="38"/>
      <c r="L3790" s="42"/>
      <c r="M3790" s="42"/>
      <c r="N3790" s="42"/>
      <c r="O3790" s="42"/>
      <c r="R3790" s="37"/>
      <c r="S3790" s="37"/>
      <c r="T3790" s="91"/>
      <c r="U3790" s="91"/>
      <c r="V3790" s="41"/>
      <c r="W3790" s="37"/>
      <c r="X3790" s="37"/>
      <c r="Y3790" s="43"/>
      <c r="Z3790" s="37"/>
      <c r="AA3790" s="37"/>
      <c r="AD3790" s="37"/>
      <c r="AE3790" s="37"/>
      <c r="AF3790" s="37"/>
    </row>
    <row r="3791" spans="1:32" x14ac:dyDescent="0.25">
      <c r="A3791" s="37"/>
      <c r="B3791" s="37"/>
      <c r="C3791" s="37"/>
      <c r="F3791" s="38"/>
      <c r="G3791" s="38"/>
      <c r="H3791" s="38"/>
      <c r="I3791" s="37"/>
      <c r="J3791" s="38"/>
      <c r="K3791" s="38"/>
      <c r="L3791" s="42"/>
      <c r="M3791" s="42"/>
      <c r="N3791" s="42"/>
      <c r="O3791" s="42"/>
      <c r="R3791" s="37"/>
      <c r="S3791" s="37"/>
      <c r="T3791" s="91"/>
      <c r="U3791" s="91"/>
      <c r="V3791" s="41"/>
      <c r="W3791" s="37"/>
      <c r="X3791" s="37"/>
      <c r="Y3791" s="43"/>
      <c r="Z3791" s="37"/>
      <c r="AA3791" s="37"/>
      <c r="AD3791" s="37"/>
      <c r="AE3791" s="37"/>
      <c r="AF3791" s="37"/>
    </row>
    <row r="3792" spans="1:32" x14ac:dyDescent="0.25">
      <c r="A3792" s="37"/>
      <c r="B3792" s="37"/>
      <c r="C3792" s="37"/>
      <c r="F3792" s="38"/>
      <c r="G3792" s="38"/>
      <c r="H3792" s="38"/>
      <c r="I3792" s="37"/>
      <c r="J3792" s="38"/>
      <c r="K3792" s="38"/>
      <c r="L3792" s="42"/>
      <c r="M3792" s="42"/>
      <c r="N3792" s="42"/>
      <c r="O3792" s="42"/>
      <c r="R3792" s="37"/>
      <c r="S3792" s="37"/>
      <c r="T3792" s="91"/>
      <c r="U3792" s="91"/>
      <c r="V3792" s="41"/>
      <c r="W3792" s="37"/>
      <c r="X3792" s="37"/>
      <c r="Y3792" s="43"/>
      <c r="Z3792" s="37"/>
      <c r="AA3792" s="37"/>
      <c r="AD3792" s="37"/>
      <c r="AE3792" s="37"/>
      <c r="AF3792" s="37"/>
    </row>
    <row r="3793" spans="1:32" x14ac:dyDescent="0.25">
      <c r="A3793" s="37"/>
      <c r="B3793" s="37"/>
      <c r="C3793" s="37"/>
      <c r="F3793" s="38"/>
      <c r="G3793" s="38"/>
      <c r="H3793" s="38"/>
      <c r="I3793" s="37"/>
      <c r="J3793" s="38"/>
      <c r="K3793" s="38"/>
      <c r="L3793" s="42"/>
      <c r="M3793" s="42"/>
      <c r="N3793" s="42"/>
      <c r="O3793" s="42"/>
      <c r="R3793" s="37"/>
      <c r="S3793" s="37"/>
      <c r="T3793" s="91"/>
      <c r="U3793" s="91"/>
      <c r="V3793" s="41"/>
      <c r="W3793" s="37"/>
      <c r="X3793" s="37"/>
      <c r="Y3793" s="43"/>
      <c r="Z3793" s="37"/>
      <c r="AA3793" s="37"/>
      <c r="AD3793" s="37"/>
      <c r="AE3793" s="37"/>
      <c r="AF3793" s="37"/>
    </row>
    <row r="3794" spans="1:32" x14ac:dyDescent="0.25">
      <c r="A3794" s="37"/>
      <c r="B3794" s="37"/>
      <c r="C3794" s="37"/>
      <c r="F3794" s="38"/>
      <c r="G3794" s="38"/>
      <c r="H3794" s="38"/>
      <c r="I3794" s="37"/>
      <c r="J3794" s="38"/>
      <c r="K3794" s="38"/>
      <c r="L3794" s="42"/>
      <c r="M3794" s="42"/>
      <c r="N3794" s="42"/>
      <c r="O3794" s="42"/>
      <c r="R3794" s="37"/>
      <c r="S3794" s="37"/>
      <c r="T3794" s="91"/>
      <c r="U3794" s="91"/>
      <c r="V3794" s="41"/>
      <c r="W3794" s="37"/>
      <c r="X3794" s="37"/>
      <c r="Y3794" s="43"/>
      <c r="Z3794" s="37"/>
      <c r="AA3794" s="37"/>
      <c r="AD3794" s="37"/>
      <c r="AE3794" s="37"/>
      <c r="AF3794" s="37"/>
    </row>
    <row r="3795" spans="1:32" x14ac:dyDescent="0.25">
      <c r="A3795" s="37"/>
      <c r="B3795" s="37"/>
      <c r="C3795" s="37"/>
      <c r="F3795" s="38"/>
      <c r="G3795" s="38"/>
      <c r="H3795" s="38"/>
      <c r="I3795" s="37"/>
      <c r="J3795" s="38"/>
      <c r="K3795" s="38"/>
      <c r="L3795" s="42"/>
      <c r="M3795" s="42"/>
      <c r="N3795" s="42"/>
      <c r="O3795" s="42"/>
      <c r="R3795" s="37"/>
      <c r="S3795" s="37"/>
      <c r="T3795" s="91"/>
      <c r="U3795" s="91"/>
      <c r="V3795" s="41"/>
      <c r="W3795" s="37"/>
      <c r="X3795" s="37"/>
      <c r="Y3795" s="43"/>
      <c r="Z3795" s="37"/>
      <c r="AA3795" s="37"/>
      <c r="AD3795" s="37"/>
      <c r="AE3795" s="37"/>
      <c r="AF3795" s="37"/>
    </row>
    <row r="3796" spans="1:32" x14ac:dyDescent="0.25">
      <c r="A3796" s="37"/>
      <c r="B3796" s="37"/>
      <c r="C3796" s="37"/>
      <c r="F3796" s="38"/>
      <c r="G3796" s="38"/>
      <c r="H3796" s="38"/>
      <c r="I3796" s="37"/>
      <c r="J3796" s="38"/>
      <c r="K3796" s="38"/>
      <c r="L3796" s="42"/>
      <c r="M3796" s="42"/>
      <c r="N3796" s="42"/>
      <c r="O3796" s="42"/>
      <c r="R3796" s="37"/>
      <c r="S3796" s="37"/>
      <c r="T3796" s="91"/>
      <c r="U3796" s="91"/>
      <c r="V3796" s="41"/>
      <c r="W3796" s="37"/>
      <c r="X3796" s="37"/>
      <c r="Y3796" s="43"/>
      <c r="Z3796" s="37"/>
      <c r="AA3796" s="37"/>
      <c r="AD3796" s="37"/>
      <c r="AE3796" s="37"/>
      <c r="AF3796" s="37"/>
    </row>
    <row r="3797" spans="1:32" x14ac:dyDescent="0.25">
      <c r="A3797" s="37"/>
      <c r="B3797" s="37"/>
      <c r="C3797" s="37"/>
      <c r="F3797" s="38"/>
      <c r="G3797" s="38"/>
      <c r="H3797" s="38"/>
      <c r="I3797" s="37"/>
      <c r="J3797" s="38"/>
      <c r="K3797" s="38"/>
      <c r="L3797" s="42"/>
      <c r="M3797" s="42"/>
      <c r="N3797" s="42"/>
      <c r="O3797" s="42"/>
      <c r="R3797" s="37"/>
      <c r="S3797" s="37"/>
      <c r="T3797" s="91"/>
      <c r="U3797" s="91"/>
      <c r="V3797" s="41"/>
      <c r="W3797" s="37"/>
      <c r="X3797" s="37"/>
      <c r="Y3797" s="43"/>
      <c r="Z3797" s="37"/>
      <c r="AA3797" s="37"/>
      <c r="AD3797" s="37"/>
      <c r="AE3797" s="37"/>
      <c r="AF3797" s="37"/>
    </row>
    <row r="3798" spans="1:32" x14ac:dyDescent="0.25">
      <c r="A3798" s="37"/>
      <c r="B3798" s="37"/>
      <c r="C3798" s="37"/>
      <c r="F3798" s="38"/>
      <c r="G3798" s="38"/>
      <c r="H3798" s="38"/>
      <c r="I3798" s="37"/>
      <c r="J3798" s="38"/>
      <c r="K3798" s="38"/>
      <c r="L3798" s="42"/>
      <c r="M3798" s="42"/>
      <c r="N3798" s="42"/>
      <c r="O3798" s="42"/>
      <c r="R3798" s="37"/>
      <c r="S3798" s="37"/>
      <c r="T3798" s="91"/>
      <c r="U3798" s="91"/>
      <c r="V3798" s="41"/>
      <c r="W3798" s="37"/>
      <c r="X3798" s="37"/>
      <c r="Y3798" s="43"/>
      <c r="Z3798" s="37"/>
      <c r="AA3798" s="37"/>
      <c r="AD3798" s="37"/>
      <c r="AE3798" s="37"/>
      <c r="AF3798" s="37"/>
    </row>
    <row r="3799" spans="1:32" x14ac:dyDescent="0.25">
      <c r="A3799" s="37"/>
      <c r="B3799" s="37"/>
      <c r="C3799" s="37"/>
      <c r="F3799" s="38"/>
      <c r="G3799" s="38"/>
      <c r="H3799" s="38"/>
      <c r="I3799" s="37"/>
      <c r="J3799" s="38"/>
      <c r="K3799" s="38"/>
      <c r="L3799" s="42"/>
      <c r="M3799" s="42"/>
      <c r="N3799" s="42"/>
      <c r="O3799" s="42"/>
      <c r="R3799" s="37"/>
      <c r="S3799" s="37"/>
      <c r="T3799" s="91"/>
      <c r="U3799" s="91"/>
      <c r="V3799" s="41"/>
      <c r="W3799" s="37"/>
      <c r="X3799" s="37"/>
      <c r="Y3799" s="43"/>
      <c r="Z3799" s="37"/>
      <c r="AA3799" s="37"/>
      <c r="AD3799" s="37"/>
      <c r="AE3799" s="37"/>
      <c r="AF3799" s="37"/>
    </row>
    <row r="3800" spans="1:32" x14ac:dyDescent="0.25">
      <c r="A3800" s="37"/>
      <c r="B3800" s="37"/>
      <c r="C3800" s="37"/>
      <c r="F3800" s="38"/>
      <c r="G3800" s="38"/>
      <c r="H3800" s="38"/>
      <c r="I3800" s="37"/>
      <c r="J3800" s="38"/>
      <c r="K3800" s="38"/>
      <c r="L3800" s="42"/>
      <c r="M3800" s="42"/>
      <c r="N3800" s="42"/>
      <c r="O3800" s="42"/>
      <c r="R3800" s="37"/>
      <c r="S3800" s="37"/>
      <c r="T3800" s="91"/>
      <c r="U3800" s="91"/>
      <c r="V3800" s="41"/>
      <c r="W3800" s="37"/>
      <c r="X3800" s="37"/>
      <c r="Y3800" s="43"/>
      <c r="Z3800" s="37"/>
      <c r="AA3800" s="37"/>
      <c r="AD3800" s="37"/>
      <c r="AE3800" s="37"/>
      <c r="AF3800" s="37"/>
    </row>
    <row r="3801" spans="1:32" x14ac:dyDescent="0.25">
      <c r="A3801" s="37"/>
      <c r="B3801" s="37"/>
      <c r="C3801" s="37"/>
      <c r="F3801" s="38"/>
      <c r="G3801" s="38"/>
      <c r="H3801" s="38"/>
      <c r="I3801" s="37"/>
      <c r="J3801" s="38"/>
      <c r="K3801" s="38"/>
      <c r="L3801" s="42"/>
      <c r="M3801" s="42"/>
      <c r="N3801" s="42"/>
      <c r="O3801" s="42"/>
      <c r="R3801" s="37"/>
      <c r="S3801" s="37"/>
      <c r="T3801" s="91"/>
      <c r="U3801" s="91"/>
      <c r="V3801" s="41"/>
      <c r="W3801" s="37"/>
      <c r="X3801" s="37"/>
      <c r="Y3801" s="43"/>
      <c r="Z3801" s="37"/>
      <c r="AA3801" s="37"/>
      <c r="AD3801" s="37"/>
      <c r="AE3801" s="37"/>
      <c r="AF3801" s="37"/>
    </row>
    <row r="3802" spans="1:32" x14ac:dyDescent="0.25">
      <c r="A3802" s="37"/>
      <c r="B3802" s="37"/>
      <c r="C3802" s="37"/>
      <c r="F3802" s="38"/>
      <c r="G3802" s="38"/>
      <c r="H3802" s="38"/>
      <c r="I3802" s="37"/>
      <c r="J3802" s="38"/>
      <c r="K3802" s="38"/>
      <c r="L3802" s="42"/>
      <c r="M3802" s="42"/>
      <c r="N3802" s="42"/>
      <c r="O3802" s="42"/>
      <c r="R3802" s="37"/>
      <c r="S3802" s="37"/>
      <c r="T3802" s="91"/>
      <c r="U3802" s="91"/>
      <c r="V3802" s="41"/>
      <c r="W3802" s="37"/>
      <c r="X3802" s="37"/>
      <c r="Y3802" s="43"/>
      <c r="Z3802" s="37"/>
      <c r="AA3802" s="37"/>
      <c r="AD3802" s="37"/>
      <c r="AE3802" s="37"/>
      <c r="AF3802" s="37"/>
    </row>
    <row r="3803" spans="1:32" x14ac:dyDescent="0.25">
      <c r="A3803" s="37"/>
      <c r="B3803" s="37"/>
      <c r="C3803" s="37"/>
      <c r="F3803" s="38"/>
      <c r="G3803" s="38"/>
      <c r="H3803" s="38"/>
      <c r="I3803" s="37"/>
      <c r="J3803" s="38"/>
      <c r="K3803" s="38"/>
      <c r="L3803" s="42"/>
      <c r="M3803" s="42"/>
      <c r="N3803" s="42"/>
      <c r="O3803" s="42"/>
      <c r="R3803" s="37"/>
      <c r="S3803" s="37"/>
      <c r="T3803" s="91"/>
      <c r="U3803" s="91"/>
      <c r="V3803" s="41"/>
      <c r="W3803" s="37"/>
      <c r="X3803" s="37"/>
      <c r="Y3803" s="43"/>
      <c r="Z3803" s="37"/>
      <c r="AA3803" s="37"/>
      <c r="AD3803" s="37"/>
      <c r="AE3803" s="37"/>
      <c r="AF3803" s="37"/>
    </row>
    <row r="3804" spans="1:32" x14ac:dyDescent="0.25">
      <c r="A3804" s="37"/>
      <c r="B3804" s="37"/>
      <c r="C3804" s="37"/>
      <c r="F3804" s="38"/>
      <c r="G3804" s="38"/>
      <c r="H3804" s="38"/>
      <c r="I3804" s="37"/>
      <c r="J3804" s="38"/>
      <c r="K3804" s="38"/>
      <c r="L3804" s="42"/>
      <c r="M3804" s="42"/>
      <c r="N3804" s="42"/>
      <c r="O3804" s="42"/>
      <c r="R3804" s="37"/>
      <c r="S3804" s="37"/>
      <c r="T3804" s="91"/>
      <c r="U3804" s="91"/>
      <c r="V3804" s="41"/>
      <c r="W3804" s="37"/>
      <c r="X3804" s="37"/>
      <c r="Y3804" s="43"/>
      <c r="Z3804" s="37"/>
      <c r="AA3804" s="37"/>
      <c r="AD3804" s="37"/>
      <c r="AE3804" s="37"/>
      <c r="AF3804" s="37"/>
    </row>
    <row r="3805" spans="1:32" x14ac:dyDescent="0.25">
      <c r="A3805" s="37"/>
      <c r="B3805" s="37"/>
      <c r="C3805" s="37"/>
      <c r="F3805" s="38"/>
      <c r="G3805" s="38"/>
      <c r="H3805" s="38"/>
      <c r="I3805" s="37"/>
      <c r="J3805" s="38"/>
      <c r="K3805" s="38"/>
      <c r="L3805" s="42"/>
      <c r="M3805" s="42"/>
      <c r="N3805" s="42"/>
      <c r="O3805" s="42"/>
      <c r="R3805" s="37"/>
      <c r="S3805" s="37"/>
      <c r="T3805" s="91"/>
      <c r="U3805" s="91"/>
      <c r="V3805" s="41"/>
      <c r="W3805" s="37"/>
      <c r="X3805" s="37"/>
      <c r="Y3805" s="43"/>
      <c r="Z3805" s="37"/>
      <c r="AA3805" s="37"/>
      <c r="AD3805" s="37"/>
      <c r="AE3805" s="37"/>
      <c r="AF3805" s="37"/>
    </row>
    <row r="3806" spans="1:32" x14ac:dyDescent="0.25">
      <c r="A3806" s="37"/>
      <c r="B3806" s="37"/>
      <c r="C3806" s="37"/>
      <c r="F3806" s="38"/>
      <c r="G3806" s="38"/>
      <c r="H3806" s="38"/>
      <c r="I3806" s="37"/>
      <c r="J3806" s="38"/>
      <c r="K3806" s="38"/>
      <c r="L3806" s="42"/>
      <c r="M3806" s="42"/>
      <c r="N3806" s="42"/>
      <c r="O3806" s="42"/>
      <c r="R3806" s="37"/>
      <c r="S3806" s="37"/>
      <c r="T3806" s="91"/>
      <c r="U3806" s="91"/>
      <c r="V3806" s="41"/>
      <c r="W3806" s="37"/>
      <c r="X3806" s="37"/>
      <c r="Y3806" s="43"/>
      <c r="Z3806" s="37"/>
      <c r="AA3806" s="37"/>
      <c r="AD3806" s="37"/>
      <c r="AE3806" s="37"/>
      <c r="AF3806" s="37"/>
    </row>
    <row r="3807" spans="1:32" x14ac:dyDescent="0.25">
      <c r="A3807" s="37"/>
      <c r="B3807" s="37"/>
      <c r="C3807" s="37"/>
      <c r="F3807" s="38"/>
      <c r="G3807" s="38"/>
      <c r="H3807" s="38"/>
      <c r="I3807" s="37"/>
      <c r="J3807" s="38"/>
      <c r="K3807" s="38"/>
      <c r="L3807" s="42"/>
      <c r="M3807" s="42"/>
      <c r="N3807" s="42"/>
      <c r="O3807" s="42"/>
      <c r="R3807" s="37"/>
      <c r="S3807" s="37"/>
      <c r="T3807" s="91"/>
      <c r="U3807" s="91"/>
      <c r="V3807" s="41"/>
      <c r="W3807" s="37"/>
      <c r="X3807" s="37"/>
      <c r="Y3807" s="43"/>
      <c r="Z3807" s="37"/>
      <c r="AA3807" s="37"/>
      <c r="AD3807" s="37"/>
      <c r="AE3807" s="37"/>
      <c r="AF3807" s="37"/>
    </row>
    <row r="3808" spans="1:32" x14ac:dyDescent="0.25">
      <c r="A3808" s="37"/>
      <c r="B3808" s="37"/>
      <c r="C3808" s="37"/>
      <c r="F3808" s="38"/>
      <c r="G3808" s="38"/>
      <c r="H3808" s="38"/>
      <c r="I3808" s="37"/>
      <c r="J3808" s="38"/>
      <c r="K3808" s="38"/>
      <c r="L3808" s="42"/>
      <c r="M3808" s="42"/>
      <c r="N3808" s="42"/>
      <c r="O3808" s="42"/>
      <c r="R3808" s="37"/>
      <c r="S3808" s="37"/>
      <c r="T3808" s="91"/>
      <c r="U3808" s="91"/>
      <c r="V3808" s="41"/>
      <c r="W3808" s="37"/>
      <c r="X3808" s="37"/>
      <c r="Y3808" s="43"/>
      <c r="Z3808" s="37"/>
      <c r="AA3808" s="37"/>
      <c r="AD3808" s="37"/>
      <c r="AE3808" s="37"/>
      <c r="AF3808" s="37"/>
    </row>
    <row r="3809" spans="1:32" x14ac:dyDescent="0.25">
      <c r="A3809" s="37"/>
      <c r="B3809" s="37"/>
      <c r="C3809" s="37"/>
      <c r="F3809" s="38"/>
      <c r="G3809" s="38"/>
      <c r="H3809" s="38"/>
      <c r="I3809" s="37"/>
      <c r="J3809" s="38"/>
      <c r="K3809" s="38"/>
      <c r="L3809" s="42"/>
      <c r="M3809" s="42"/>
      <c r="N3809" s="42"/>
      <c r="O3809" s="42"/>
      <c r="R3809" s="37"/>
      <c r="S3809" s="37"/>
      <c r="T3809" s="91"/>
      <c r="U3809" s="91"/>
      <c r="V3809" s="41"/>
      <c r="W3809" s="37"/>
      <c r="X3809" s="37"/>
      <c r="Y3809" s="43"/>
      <c r="Z3809" s="37"/>
      <c r="AA3809" s="37"/>
      <c r="AD3809" s="37"/>
      <c r="AE3809" s="37"/>
      <c r="AF3809" s="37"/>
    </row>
    <row r="3810" spans="1:32" x14ac:dyDescent="0.25">
      <c r="A3810" s="37"/>
      <c r="B3810" s="37"/>
      <c r="C3810" s="37"/>
      <c r="F3810" s="38"/>
      <c r="G3810" s="38"/>
      <c r="H3810" s="38"/>
      <c r="I3810" s="37"/>
      <c r="J3810" s="38"/>
      <c r="K3810" s="38"/>
      <c r="L3810" s="42"/>
      <c r="M3810" s="42"/>
      <c r="N3810" s="42"/>
      <c r="O3810" s="42"/>
      <c r="R3810" s="37"/>
      <c r="S3810" s="37"/>
      <c r="T3810" s="91"/>
      <c r="U3810" s="91"/>
      <c r="V3810" s="41"/>
      <c r="W3810" s="37"/>
      <c r="X3810" s="37"/>
      <c r="Y3810" s="43"/>
      <c r="Z3810" s="37"/>
      <c r="AA3810" s="37"/>
      <c r="AD3810" s="37"/>
      <c r="AE3810" s="37"/>
      <c r="AF3810" s="37"/>
    </row>
    <row r="3811" spans="1:32" x14ac:dyDescent="0.25">
      <c r="A3811" s="37"/>
      <c r="B3811" s="37"/>
      <c r="C3811" s="37"/>
      <c r="F3811" s="38"/>
      <c r="G3811" s="38"/>
      <c r="H3811" s="38"/>
      <c r="I3811" s="37"/>
      <c r="J3811" s="38"/>
      <c r="K3811" s="38"/>
      <c r="L3811" s="42"/>
      <c r="M3811" s="42"/>
      <c r="N3811" s="42"/>
      <c r="O3811" s="42"/>
      <c r="R3811" s="37"/>
      <c r="S3811" s="37"/>
      <c r="T3811" s="91"/>
      <c r="U3811" s="91"/>
      <c r="V3811" s="41"/>
      <c r="W3811" s="37"/>
      <c r="X3811" s="37"/>
      <c r="Y3811" s="43"/>
      <c r="Z3811" s="37"/>
      <c r="AA3811" s="37"/>
      <c r="AD3811" s="37"/>
      <c r="AE3811" s="37"/>
      <c r="AF3811" s="37"/>
    </row>
    <row r="3812" spans="1:32" x14ac:dyDescent="0.25">
      <c r="A3812" s="37"/>
      <c r="B3812" s="37"/>
      <c r="C3812" s="37"/>
      <c r="F3812" s="38"/>
      <c r="G3812" s="38"/>
      <c r="H3812" s="38"/>
      <c r="I3812" s="37"/>
      <c r="J3812" s="38"/>
      <c r="K3812" s="38"/>
      <c r="L3812" s="42"/>
      <c r="M3812" s="42"/>
      <c r="N3812" s="42"/>
      <c r="O3812" s="42"/>
      <c r="R3812" s="37"/>
      <c r="S3812" s="37"/>
      <c r="T3812" s="91"/>
      <c r="U3812" s="91"/>
      <c r="V3812" s="41"/>
      <c r="W3812" s="37"/>
      <c r="X3812" s="37"/>
      <c r="Y3812" s="43"/>
      <c r="Z3812" s="37"/>
      <c r="AA3812" s="37"/>
      <c r="AD3812" s="37"/>
      <c r="AE3812" s="37"/>
      <c r="AF3812" s="37"/>
    </row>
    <row r="3813" spans="1:32" x14ac:dyDescent="0.25">
      <c r="A3813" s="37"/>
      <c r="B3813" s="37"/>
      <c r="C3813" s="37"/>
      <c r="F3813" s="38"/>
      <c r="G3813" s="38"/>
      <c r="H3813" s="38"/>
      <c r="I3813" s="37"/>
      <c r="J3813" s="38"/>
      <c r="K3813" s="38"/>
      <c r="L3813" s="42"/>
      <c r="M3813" s="42"/>
      <c r="N3813" s="42"/>
      <c r="O3813" s="42"/>
      <c r="R3813" s="37"/>
      <c r="S3813" s="37"/>
      <c r="T3813" s="91"/>
      <c r="U3813" s="91"/>
      <c r="V3813" s="41"/>
      <c r="W3813" s="37"/>
      <c r="X3813" s="37"/>
      <c r="Y3813" s="43"/>
      <c r="Z3813" s="37"/>
      <c r="AA3813" s="37"/>
      <c r="AD3813" s="37"/>
      <c r="AE3813" s="37"/>
      <c r="AF3813" s="37"/>
    </row>
    <row r="3814" spans="1:32" x14ac:dyDescent="0.25">
      <c r="A3814" s="37"/>
      <c r="B3814" s="37"/>
      <c r="C3814" s="37"/>
      <c r="F3814" s="38"/>
      <c r="G3814" s="38"/>
      <c r="H3814" s="38"/>
      <c r="I3814" s="37"/>
      <c r="J3814" s="38"/>
      <c r="K3814" s="38"/>
      <c r="L3814" s="42"/>
      <c r="M3814" s="42"/>
      <c r="N3814" s="42"/>
      <c r="O3814" s="42"/>
      <c r="R3814" s="37"/>
      <c r="S3814" s="37"/>
      <c r="T3814" s="91"/>
      <c r="U3814" s="91"/>
      <c r="V3814" s="41"/>
      <c r="W3814" s="37"/>
      <c r="X3814" s="37"/>
      <c r="Y3814" s="43"/>
      <c r="Z3814" s="37"/>
      <c r="AA3814" s="37"/>
      <c r="AD3814" s="37"/>
      <c r="AE3814" s="37"/>
      <c r="AF3814" s="37"/>
    </row>
    <row r="3815" spans="1:32" x14ac:dyDescent="0.25">
      <c r="A3815" s="37"/>
      <c r="B3815" s="37"/>
      <c r="C3815" s="37"/>
      <c r="F3815" s="38"/>
      <c r="G3815" s="38"/>
      <c r="H3815" s="38"/>
      <c r="I3815" s="37"/>
      <c r="J3815" s="38"/>
      <c r="K3815" s="38"/>
      <c r="L3815" s="42"/>
      <c r="M3815" s="42"/>
      <c r="N3815" s="42"/>
      <c r="O3815" s="42"/>
      <c r="R3815" s="37"/>
      <c r="S3815" s="37"/>
      <c r="T3815" s="91"/>
      <c r="U3815" s="91"/>
      <c r="V3815" s="41"/>
      <c r="W3815" s="37"/>
      <c r="X3815" s="37"/>
      <c r="Y3815" s="43"/>
      <c r="Z3815" s="37"/>
      <c r="AA3815" s="37"/>
      <c r="AD3815" s="37"/>
      <c r="AE3815" s="37"/>
      <c r="AF3815" s="37"/>
    </row>
    <row r="3816" spans="1:32" x14ac:dyDescent="0.25">
      <c r="A3816" s="37"/>
      <c r="B3816" s="37"/>
      <c r="C3816" s="37"/>
      <c r="F3816" s="38"/>
      <c r="G3816" s="38"/>
      <c r="H3816" s="38"/>
      <c r="I3816" s="37"/>
      <c r="J3816" s="38"/>
      <c r="K3816" s="38"/>
      <c r="L3816" s="42"/>
      <c r="M3816" s="42"/>
      <c r="N3816" s="42"/>
      <c r="O3816" s="42"/>
      <c r="R3816" s="37"/>
      <c r="S3816" s="37"/>
      <c r="T3816" s="91"/>
      <c r="U3816" s="91"/>
      <c r="V3816" s="41"/>
      <c r="W3816" s="37"/>
      <c r="X3816" s="37"/>
      <c r="Y3816" s="43"/>
      <c r="Z3816" s="37"/>
      <c r="AA3816" s="37"/>
      <c r="AD3816" s="37"/>
      <c r="AE3816" s="37"/>
      <c r="AF3816" s="37"/>
    </row>
    <row r="3817" spans="1:32" x14ac:dyDescent="0.25">
      <c r="A3817" s="37"/>
      <c r="B3817" s="37"/>
      <c r="C3817" s="37"/>
      <c r="F3817" s="38"/>
      <c r="G3817" s="38"/>
      <c r="H3817" s="38"/>
      <c r="I3817" s="37"/>
      <c r="J3817" s="38"/>
      <c r="K3817" s="38"/>
      <c r="L3817" s="42"/>
      <c r="M3817" s="42"/>
      <c r="N3817" s="42"/>
      <c r="O3817" s="42"/>
      <c r="R3817" s="37"/>
      <c r="S3817" s="37"/>
      <c r="T3817" s="91"/>
      <c r="U3817" s="91"/>
      <c r="V3817" s="41"/>
      <c r="W3817" s="37"/>
      <c r="X3817" s="37"/>
      <c r="Y3817" s="43"/>
      <c r="Z3817" s="37"/>
      <c r="AA3817" s="37"/>
      <c r="AD3817" s="37"/>
      <c r="AE3817" s="37"/>
      <c r="AF3817" s="37"/>
    </row>
    <row r="3818" spans="1:32" x14ac:dyDescent="0.25">
      <c r="A3818" s="37"/>
      <c r="B3818" s="37"/>
      <c r="C3818" s="37"/>
      <c r="F3818" s="38"/>
      <c r="G3818" s="38"/>
      <c r="H3818" s="38"/>
      <c r="I3818" s="37"/>
      <c r="J3818" s="38"/>
      <c r="K3818" s="38"/>
      <c r="L3818" s="42"/>
      <c r="M3818" s="42"/>
      <c r="N3818" s="42"/>
      <c r="O3818" s="42"/>
      <c r="R3818" s="37"/>
      <c r="S3818" s="37"/>
      <c r="T3818" s="91"/>
      <c r="U3818" s="91"/>
      <c r="V3818" s="41"/>
      <c r="W3818" s="37"/>
      <c r="X3818" s="37"/>
      <c r="Y3818" s="43"/>
      <c r="Z3818" s="37"/>
      <c r="AA3818" s="37"/>
      <c r="AD3818" s="37"/>
      <c r="AE3818" s="37"/>
      <c r="AF3818" s="37"/>
    </row>
    <row r="3819" spans="1:32" x14ac:dyDescent="0.25">
      <c r="A3819" s="37"/>
      <c r="B3819" s="37"/>
      <c r="C3819" s="37"/>
      <c r="F3819" s="38"/>
      <c r="G3819" s="38"/>
      <c r="H3819" s="38"/>
      <c r="I3819" s="37"/>
      <c r="J3819" s="38"/>
      <c r="K3819" s="38"/>
      <c r="L3819" s="42"/>
      <c r="M3819" s="42"/>
      <c r="N3819" s="42"/>
      <c r="O3819" s="42"/>
      <c r="R3819" s="37"/>
      <c r="S3819" s="37"/>
      <c r="T3819" s="91"/>
      <c r="U3819" s="91"/>
      <c r="V3819" s="41"/>
      <c r="W3819" s="37"/>
      <c r="X3819" s="37"/>
      <c r="Y3819" s="43"/>
      <c r="Z3819" s="37"/>
      <c r="AA3819" s="37"/>
      <c r="AD3819" s="37"/>
      <c r="AE3819" s="37"/>
      <c r="AF3819" s="37"/>
    </row>
    <row r="3820" spans="1:32" x14ac:dyDescent="0.25">
      <c r="A3820" s="37"/>
      <c r="B3820" s="37"/>
      <c r="C3820" s="37"/>
      <c r="F3820" s="38"/>
      <c r="G3820" s="38"/>
      <c r="H3820" s="38"/>
      <c r="I3820" s="37"/>
      <c r="J3820" s="38"/>
      <c r="K3820" s="38"/>
      <c r="L3820" s="42"/>
      <c r="M3820" s="42"/>
      <c r="N3820" s="42"/>
      <c r="O3820" s="42"/>
      <c r="R3820" s="37"/>
      <c r="S3820" s="37"/>
      <c r="T3820" s="91"/>
      <c r="U3820" s="91"/>
      <c r="V3820" s="41"/>
      <c r="W3820" s="37"/>
      <c r="X3820" s="37"/>
      <c r="Y3820" s="43"/>
      <c r="Z3820" s="37"/>
      <c r="AA3820" s="37"/>
      <c r="AD3820" s="37"/>
      <c r="AE3820" s="37"/>
      <c r="AF3820" s="37"/>
    </row>
    <row r="3821" spans="1:32" x14ac:dyDescent="0.25">
      <c r="A3821" s="37"/>
      <c r="B3821" s="37"/>
      <c r="C3821" s="37"/>
      <c r="F3821" s="38"/>
      <c r="G3821" s="38"/>
      <c r="H3821" s="38"/>
      <c r="I3821" s="37"/>
      <c r="J3821" s="38"/>
      <c r="K3821" s="38"/>
      <c r="L3821" s="42"/>
      <c r="M3821" s="42"/>
      <c r="N3821" s="42"/>
      <c r="O3821" s="42"/>
      <c r="R3821" s="37"/>
      <c r="S3821" s="37"/>
      <c r="T3821" s="91"/>
      <c r="U3821" s="91"/>
      <c r="V3821" s="41"/>
      <c r="W3821" s="37"/>
      <c r="X3821" s="37"/>
      <c r="Y3821" s="43"/>
      <c r="Z3821" s="37"/>
      <c r="AA3821" s="37"/>
      <c r="AD3821" s="37"/>
      <c r="AE3821" s="37"/>
      <c r="AF3821" s="37"/>
    </row>
    <row r="3822" spans="1:32" x14ac:dyDescent="0.25">
      <c r="A3822" s="37"/>
      <c r="B3822" s="37"/>
      <c r="C3822" s="37"/>
      <c r="F3822" s="38"/>
      <c r="G3822" s="38"/>
      <c r="H3822" s="38"/>
      <c r="I3822" s="37"/>
      <c r="J3822" s="38"/>
      <c r="K3822" s="38"/>
      <c r="L3822" s="42"/>
      <c r="M3822" s="42"/>
      <c r="N3822" s="42"/>
      <c r="O3822" s="42"/>
      <c r="R3822" s="37"/>
      <c r="S3822" s="37"/>
      <c r="T3822" s="91"/>
      <c r="U3822" s="91"/>
      <c r="V3822" s="41"/>
      <c r="W3822" s="37"/>
      <c r="X3822" s="37"/>
      <c r="Y3822" s="43"/>
      <c r="Z3822" s="37"/>
      <c r="AA3822" s="37"/>
      <c r="AD3822" s="37"/>
      <c r="AE3822" s="37"/>
      <c r="AF3822" s="37"/>
    </row>
    <row r="3823" spans="1:32" x14ac:dyDescent="0.25">
      <c r="A3823" s="37"/>
      <c r="B3823" s="37"/>
      <c r="C3823" s="37"/>
      <c r="F3823" s="38"/>
      <c r="G3823" s="38"/>
      <c r="H3823" s="38"/>
      <c r="I3823" s="37"/>
      <c r="J3823" s="38"/>
      <c r="K3823" s="38"/>
      <c r="L3823" s="42"/>
      <c r="M3823" s="42"/>
      <c r="N3823" s="42"/>
      <c r="O3823" s="42"/>
      <c r="R3823" s="37"/>
      <c r="S3823" s="37"/>
      <c r="T3823" s="91"/>
      <c r="U3823" s="91"/>
      <c r="V3823" s="41"/>
      <c r="W3823" s="37"/>
      <c r="X3823" s="37"/>
      <c r="Y3823" s="43"/>
      <c r="Z3823" s="37"/>
      <c r="AA3823" s="37"/>
      <c r="AD3823" s="37"/>
      <c r="AE3823" s="37"/>
      <c r="AF3823" s="37"/>
    </row>
    <row r="3824" spans="1:32" x14ac:dyDescent="0.25">
      <c r="A3824" s="37"/>
      <c r="B3824" s="37"/>
      <c r="C3824" s="37"/>
      <c r="F3824" s="38"/>
      <c r="G3824" s="38"/>
      <c r="H3824" s="38"/>
      <c r="I3824" s="37"/>
      <c r="J3824" s="38"/>
      <c r="K3824" s="38"/>
      <c r="L3824" s="42"/>
      <c r="M3824" s="42"/>
      <c r="N3824" s="42"/>
      <c r="O3824" s="42"/>
      <c r="R3824" s="37"/>
      <c r="S3824" s="37"/>
      <c r="T3824" s="91"/>
      <c r="U3824" s="91"/>
      <c r="V3824" s="41"/>
      <c r="W3824" s="37"/>
      <c r="X3824" s="37"/>
      <c r="Y3824" s="43"/>
      <c r="Z3824" s="37"/>
      <c r="AA3824" s="37"/>
      <c r="AD3824" s="37"/>
      <c r="AE3824" s="37"/>
      <c r="AF3824" s="37"/>
    </row>
    <row r="3825" spans="1:32" x14ac:dyDescent="0.25">
      <c r="A3825" s="37"/>
      <c r="B3825" s="37"/>
      <c r="C3825" s="37"/>
      <c r="F3825" s="38"/>
      <c r="G3825" s="38"/>
      <c r="H3825" s="38"/>
      <c r="I3825" s="37"/>
      <c r="J3825" s="38"/>
      <c r="K3825" s="38"/>
      <c r="L3825" s="42"/>
      <c r="M3825" s="42"/>
      <c r="N3825" s="42"/>
      <c r="O3825" s="42"/>
      <c r="R3825" s="37"/>
      <c r="S3825" s="37"/>
      <c r="T3825" s="91"/>
      <c r="U3825" s="91"/>
      <c r="V3825" s="41"/>
      <c r="W3825" s="37"/>
      <c r="X3825" s="37"/>
      <c r="Y3825" s="43"/>
      <c r="Z3825" s="37"/>
      <c r="AA3825" s="37"/>
      <c r="AD3825" s="37"/>
      <c r="AE3825" s="37"/>
      <c r="AF3825" s="37"/>
    </row>
    <row r="3826" spans="1:32" x14ac:dyDescent="0.25">
      <c r="A3826" s="37"/>
      <c r="B3826" s="37"/>
      <c r="C3826" s="37"/>
      <c r="F3826" s="38"/>
      <c r="G3826" s="38"/>
      <c r="H3826" s="38"/>
      <c r="I3826" s="37"/>
      <c r="J3826" s="38"/>
      <c r="K3826" s="38"/>
      <c r="L3826" s="42"/>
      <c r="M3826" s="42"/>
      <c r="N3826" s="42"/>
      <c r="O3826" s="42"/>
      <c r="R3826" s="37"/>
      <c r="S3826" s="37"/>
      <c r="T3826" s="91"/>
      <c r="U3826" s="91"/>
      <c r="V3826" s="41"/>
      <c r="W3826" s="37"/>
      <c r="X3826" s="37"/>
      <c r="Y3826" s="43"/>
      <c r="Z3826" s="37"/>
      <c r="AA3826" s="37"/>
      <c r="AD3826" s="37"/>
      <c r="AE3826" s="37"/>
      <c r="AF3826" s="37"/>
    </row>
    <row r="3827" spans="1:32" x14ac:dyDescent="0.25">
      <c r="A3827" s="37"/>
      <c r="B3827" s="37"/>
      <c r="C3827" s="37"/>
      <c r="F3827" s="38"/>
      <c r="G3827" s="38"/>
      <c r="H3827" s="38"/>
      <c r="I3827" s="37"/>
      <c r="J3827" s="38"/>
      <c r="K3827" s="38"/>
      <c r="L3827" s="42"/>
      <c r="M3827" s="42"/>
      <c r="N3827" s="42"/>
      <c r="O3827" s="42"/>
      <c r="R3827" s="37"/>
      <c r="S3827" s="37"/>
      <c r="T3827" s="91"/>
      <c r="U3827" s="91"/>
      <c r="V3827" s="41"/>
      <c r="W3827" s="37"/>
      <c r="X3827" s="37"/>
      <c r="Y3827" s="43"/>
      <c r="Z3827" s="37"/>
      <c r="AA3827" s="37"/>
      <c r="AD3827" s="37"/>
      <c r="AE3827" s="37"/>
      <c r="AF3827" s="37"/>
    </row>
    <row r="3828" spans="1:32" x14ac:dyDescent="0.25">
      <c r="A3828" s="37"/>
      <c r="B3828" s="37"/>
      <c r="C3828" s="37"/>
      <c r="F3828" s="38"/>
      <c r="G3828" s="38"/>
      <c r="H3828" s="38"/>
      <c r="I3828" s="37"/>
      <c r="J3828" s="38"/>
      <c r="K3828" s="38"/>
      <c r="L3828" s="42"/>
      <c r="M3828" s="42"/>
      <c r="N3828" s="42"/>
      <c r="O3828" s="42"/>
      <c r="R3828" s="37"/>
      <c r="S3828" s="37"/>
      <c r="T3828" s="91"/>
      <c r="U3828" s="91"/>
      <c r="V3828" s="41"/>
      <c r="W3828" s="37"/>
      <c r="X3828" s="37"/>
      <c r="Y3828" s="43"/>
      <c r="Z3828" s="37"/>
      <c r="AA3828" s="37"/>
      <c r="AD3828" s="37"/>
      <c r="AE3828" s="37"/>
      <c r="AF3828" s="37"/>
    </row>
    <row r="3829" spans="1:32" x14ac:dyDescent="0.25">
      <c r="A3829" s="37"/>
      <c r="B3829" s="37"/>
      <c r="C3829" s="37"/>
      <c r="F3829" s="38"/>
      <c r="G3829" s="38"/>
      <c r="H3829" s="38"/>
      <c r="I3829" s="37"/>
      <c r="J3829" s="38"/>
      <c r="K3829" s="38"/>
      <c r="L3829" s="42"/>
      <c r="M3829" s="42"/>
      <c r="N3829" s="42"/>
      <c r="O3829" s="42"/>
      <c r="R3829" s="37"/>
      <c r="S3829" s="37"/>
      <c r="T3829" s="91"/>
      <c r="U3829" s="91"/>
      <c r="V3829" s="41"/>
      <c r="W3829" s="37"/>
      <c r="X3829" s="37"/>
      <c r="Y3829" s="43"/>
      <c r="Z3829" s="37"/>
      <c r="AA3829" s="37"/>
      <c r="AD3829" s="37"/>
      <c r="AE3829" s="37"/>
      <c r="AF3829" s="37"/>
    </row>
    <row r="3830" spans="1:32" x14ac:dyDescent="0.25">
      <c r="A3830" s="37"/>
      <c r="B3830" s="37"/>
      <c r="C3830" s="37"/>
      <c r="F3830" s="38"/>
      <c r="G3830" s="38"/>
      <c r="H3830" s="38"/>
      <c r="I3830" s="37"/>
      <c r="J3830" s="38"/>
      <c r="K3830" s="38"/>
      <c r="L3830" s="42"/>
      <c r="M3830" s="42"/>
      <c r="N3830" s="42"/>
      <c r="O3830" s="42"/>
      <c r="R3830" s="37"/>
      <c r="S3830" s="37"/>
      <c r="T3830" s="91"/>
      <c r="U3830" s="91"/>
      <c r="V3830" s="41"/>
      <c r="W3830" s="37"/>
      <c r="X3830" s="37"/>
      <c r="Y3830" s="43"/>
      <c r="Z3830" s="37"/>
      <c r="AA3830" s="37"/>
      <c r="AD3830" s="37"/>
      <c r="AE3830" s="37"/>
      <c r="AF3830" s="37"/>
    </row>
    <row r="3831" spans="1:32" x14ac:dyDescent="0.25">
      <c r="A3831" s="37"/>
      <c r="B3831" s="37"/>
      <c r="C3831" s="37"/>
      <c r="F3831" s="38"/>
      <c r="G3831" s="38"/>
      <c r="H3831" s="38"/>
      <c r="I3831" s="37"/>
      <c r="J3831" s="38"/>
      <c r="K3831" s="38"/>
      <c r="L3831" s="42"/>
      <c r="M3831" s="42"/>
      <c r="N3831" s="42"/>
      <c r="O3831" s="42"/>
      <c r="R3831" s="37"/>
      <c r="S3831" s="37"/>
      <c r="T3831" s="91"/>
      <c r="U3831" s="91"/>
      <c r="V3831" s="41"/>
      <c r="W3831" s="37"/>
      <c r="X3831" s="37"/>
      <c r="Y3831" s="43"/>
      <c r="Z3831" s="37"/>
      <c r="AA3831" s="37"/>
      <c r="AD3831" s="37"/>
      <c r="AE3831" s="37"/>
      <c r="AF3831" s="37"/>
    </row>
    <row r="3832" spans="1:32" x14ac:dyDescent="0.25">
      <c r="A3832" s="37"/>
      <c r="B3832" s="37"/>
      <c r="C3832" s="37"/>
      <c r="F3832" s="38"/>
      <c r="G3832" s="38"/>
      <c r="H3832" s="38"/>
      <c r="I3832" s="37"/>
      <c r="J3832" s="38"/>
      <c r="K3832" s="38"/>
      <c r="L3832" s="42"/>
      <c r="M3832" s="42"/>
      <c r="N3832" s="42"/>
      <c r="O3832" s="42"/>
      <c r="R3832" s="37"/>
      <c r="S3832" s="37"/>
      <c r="T3832" s="91"/>
      <c r="U3832" s="91"/>
      <c r="V3832" s="41"/>
      <c r="W3832" s="37"/>
      <c r="X3832" s="37"/>
      <c r="Y3832" s="43"/>
      <c r="Z3832" s="37"/>
      <c r="AA3832" s="37"/>
      <c r="AD3832" s="37"/>
      <c r="AE3832" s="37"/>
      <c r="AF3832" s="37"/>
    </row>
    <row r="3833" spans="1:32" x14ac:dyDescent="0.25">
      <c r="A3833" s="37"/>
      <c r="B3833" s="37"/>
      <c r="C3833" s="37"/>
      <c r="F3833" s="38"/>
      <c r="G3833" s="38"/>
      <c r="H3833" s="38"/>
      <c r="I3833" s="37"/>
      <c r="J3833" s="38"/>
      <c r="K3833" s="38"/>
      <c r="L3833" s="42"/>
      <c r="M3833" s="42"/>
      <c r="N3833" s="42"/>
      <c r="O3833" s="42"/>
      <c r="R3833" s="37"/>
      <c r="S3833" s="37"/>
      <c r="T3833" s="91"/>
      <c r="U3833" s="91"/>
      <c r="V3833" s="41"/>
      <c r="W3833" s="37"/>
      <c r="X3833" s="37"/>
      <c r="Y3833" s="43"/>
      <c r="Z3833" s="37"/>
      <c r="AA3833" s="37"/>
      <c r="AD3833" s="37"/>
      <c r="AE3833" s="37"/>
      <c r="AF3833" s="37"/>
    </row>
    <row r="3834" spans="1:32" x14ac:dyDescent="0.25">
      <c r="A3834" s="37"/>
      <c r="B3834" s="37"/>
      <c r="C3834" s="37"/>
      <c r="F3834" s="38"/>
      <c r="G3834" s="38"/>
      <c r="H3834" s="38"/>
      <c r="I3834" s="37"/>
      <c r="J3834" s="38"/>
      <c r="K3834" s="38"/>
      <c r="L3834" s="42"/>
      <c r="M3834" s="42"/>
      <c r="N3834" s="42"/>
      <c r="O3834" s="42"/>
      <c r="R3834" s="37"/>
      <c r="S3834" s="37"/>
      <c r="T3834" s="91"/>
      <c r="U3834" s="91"/>
      <c r="V3834" s="41"/>
      <c r="W3834" s="37"/>
      <c r="X3834" s="37"/>
      <c r="Y3834" s="43"/>
      <c r="Z3834" s="37"/>
      <c r="AA3834" s="37"/>
      <c r="AD3834" s="37"/>
      <c r="AE3834" s="37"/>
      <c r="AF3834" s="37"/>
    </row>
    <row r="3835" spans="1:32" x14ac:dyDescent="0.25">
      <c r="A3835" s="37"/>
      <c r="B3835" s="37"/>
      <c r="C3835" s="37"/>
      <c r="F3835" s="38"/>
      <c r="G3835" s="38"/>
      <c r="H3835" s="38"/>
      <c r="I3835" s="37"/>
      <c r="J3835" s="38"/>
      <c r="K3835" s="38"/>
      <c r="L3835" s="42"/>
      <c r="M3835" s="42"/>
      <c r="N3835" s="42"/>
      <c r="O3835" s="42"/>
      <c r="R3835" s="37"/>
      <c r="S3835" s="37"/>
      <c r="T3835" s="91"/>
      <c r="U3835" s="91"/>
      <c r="V3835" s="41"/>
      <c r="W3835" s="37"/>
      <c r="X3835" s="37"/>
      <c r="Y3835" s="43"/>
      <c r="Z3835" s="37"/>
      <c r="AA3835" s="37"/>
      <c r="AD3835" s="37"/>
      <c r="AE3835" s="37"/>
      <c r="AF3835" s="37"/>
    </row>
    <row r="3836" spans="1:32" x14ac:dyDescent="0.25">
      <c r="A3836" s="37"/>
      <c r="B3836" s="37"/>
      <c r="C3836" s="37"/>
      <c r="F3836" s="38"/>
      <c r="G3836" s="38"/>
      <c r="H3836" s="38"/>
      <c r="I3836" s="37"/>
      <c r="J3836" s="38"/>
      <c r="K3836" s="38"/>
      <c r="L3836" s="42"/>
      <c r="M3836" s="42"/>
      <c r="N3836" s="42"/>
      <c r="O3836" s="42"/>
      <c r="R3836" s="37"/>
      <c r="S3836" s="37"/>
      <c r="T3836" s="91"/>
      <c r="U3836" s="91"/>
      <c r="V3836" s="41"/>
      <c r="W3836" s="37"/>
      <c r="X3836" s="37"/>
      <c r="Y3836" s="43"/>
      <c r="Z3836" s="37"/>
      <c r="AA3836" s="37"/>
      <c r="AD3836" s="37"/>
      <c r="AE3836" s="37"/>
      <c r="AF3836" s="37"/>
    </row>
    <row r="3837" spans="1:32" x14ac:dyDescent="0.25">
      <c r="A3837" s="37"/>
      <c r="B3837" s="37"/>
      <c r="C3837" s="37"/>
      <c r="F3837" s="38"/>
      <c r="G3837" s="38"/>
      <c r="H3837" s="38"/>
      <c r="I3837" s="37"/>
      <c r="J3837" s="38"/>
      <c r="K3837" s="38"/>
      <c r="L3837" s="42"/>
      <c r="M3837" s="42"/>
      <c r="N3837" s="42"/>
      <c r="O3837" s="42"/>
      <c r="R3837" s="37"/>
      <c r="S3837" s="37"/>
      <c r="T3837" s="91"/>
      <c r="U3837" s="91"/>
      <c r="V3837" s="41"/>
      <c r="W3837" s="37"/>
      <c r="X3837" s="37"/>
      <c r="Y3837" s="43"/>
      <c r="Z3837" s="37"/>
      <c r="AA3837" s="37"/>
      <c r="AD3837" s="37"/>
      <c r="AE3837" s="37"/>
      <c r="AF3837" s="37"/>
    </row>
    <row r="3838" spans="1:32" x14ac:dyDescent="0.25">
      <c r="A3838" s="37"/>
      <c r="B3838" s="37"/>
      <c r="C3838" s="37"/>
      <c r="F3838" s="38"/>
      <c r="G3838" s="38"/>
      <c r="H3838" s="38"/>
      <c r="I3838" s="37"/>
      <c r="J3838" s="38"/>
      <c r="K3838" s="38"/>
      <c r="L3838" s="42"/>
      <c r="M3838" s="42"/>
      <c r="N3838" s="42"/>
      <c r="O3838" s="42"/>
      <c r="R3838" s="37"/>
      <c r="S3838" s="37"/>
      <c r="T3838" s="91"/>
      <c r="U3838" s="91"/>
      <c r="V3838" s="41"/>
      <c r="W3838" s="37"/>
      <c r="X3838" s="37"/>
      <c r="Y3838" s="43"/>
      <c r="Z3838" s="37"/>
      <c r="AA3838" s="37"/>
      <c r="AD3838" s="37"/>
      <c r="AE3838" s="37"/>
      <c r="AF3838" s="37"/>
    </row>
    <row r="3839" spans="1:32" x14ac:dyDescent="0.25">
      <c r="A3839" s="37"/>
      <c r="B3839" s="37"/>
      <c r="C3839" s="37"/>
      <c r="F3839" s="38"/>
      <c r="G3839" s="38"/>
      <c r="H3839" s="38"/>
      <c r="I3839" s="37"/>
      <c r="J3839" s="38"/>
      <c r="K3839" s="38"/>
      <c r="L3839" s="42"/>
      <c r="M3839" s="42"/>
      <c r="N3839" s="42"/>
      <c r="O3839" s="42"/>
      <c r="R3839" s="37"/>
      <c r="S3839" s="37"/>
      <c r="T3839" s="91"/>
      <c r="U3839" s="91"/>
      <c r="V3839" s="41"/>
      <c r="W3839" s="37"/>
      <c r="X3839" s="37"/>
      <c r="Y3839" s="43"/>
      <c r="Z3839" s="37"/>
      <c r="AA3839" s="37"/>
      <c r="AD3839" s="37"/>
      <c r="AE3839" s="37"/>
      <c r="AF3839" s="37"/>
    </row>
    <row r="3840" spans="1:32" x14ac:dyDescent="0.25">
      <c r="A3840" s="37"/>
      <c r="B3840" s="37"/>
      <c r="C3840" s="37"/>
      <c r="F3840" s="38"/>
      <c r="G3840" s="38"/>
      <c r="H3840" s="38"/>
      <c r="I3840" s="37"/>
      <c r="J3840" s="38"/>
      <c r="K3840" s="38"/>
      <c r="L3840" s="42"/>
      <c r="M3840" s="42"/>
      <c r="N3840" s="42"/>
      <c r="O3840" s="42"/>
      <c r="R3840" s="37"/>
      <c r="S3840" s="37"/>
      <c r="T3840" s="91"/>
      <c r="U3840" s="91"/>
      <c r="V3840" s="41"/>
      <c r="W3840" s="37"/>
      <c r="X3840" s="37"/>
      <c r="Y3840" s="43"/>
      <c r="Z3840" s="37"/>
      <c r="AA3840" s="37"/>
      <c r="AD3840" s="37"/>
      <c r="AE3840" s="37"/>
      <c r="AF3840" s="37"/>
    </row>
    <row r="3841" spans="1:32" x14ac:dyDescent="0.25">
      <c r="A3841" s="37"/>
      <c r="B3841" s="37"/>
      <c r="C3841" s="37"/>
      <c r="F3841" s="38"/>
      <c r="G3841" s="38"/>
      <c r="H3841" s="38"/>
      <c r="I3841" s="37"/>
      <c r="J3841" s="38"/>
      <c r="K3841" s="38"/>
      <c r="L3841" s="42"/>
      <c r="M3841" s="42"/>
      <c r="N3841" s="42"/>
      <c r="O3841" s="42"/>
      <c r="R3841" s="37"/>
      <c r="S3841" s="37"/>
      <c r="T3841" s="91"/>
      <c r="U3841" s="91"/>
      <c r="V3841" s="41"/>
      <c r="W3841" s="37"/>
      <c r="X3841" s="37"/>
      <c r="Y3841" s="43"/>
      <c r="Z3841" s="37"/>
      <c r="AA3841" s="37"/>
      <c r="AD3841" s="37"/>
      <c r="AE3841" s="37"/>
      <c r="AF3841" s="37"/>
    </row>
    <row r="3842" spans="1:32" x14ac:dyDescent="0.25">
      <c r="A3842" s="37"/>
      <c r="B3842" s="37"/>
      <c r="C3842" s="37"/>
      <c r="F3842" s="38"/>
      <c r="G3842" s="38"/>
      <c r="H3842" s="38"/>
      <c r="I3842" s="37"/>
      <c r="J3842" s="38"/>
      <c r="K3842" s="38"/>
      <c r="L3842" s="42"/>
      <c r="M3842" s="42"/>
      <c r="N3842" s="42"/>
      <c r="O3842" s="42"/>
      <c r="R3842" s="37"/>
      <c r="S3842" s="37"/>
      <c r="T3842" s="91"/>
      <c r="U3842" s="91"/>
      <c r="V3842" s="41"/>
      <c r="W3842" s="37"/>
      <c r="X3842" s="37"/>
      <c r="Y3842" s="43"/>
      <c r="Z3842" s="37"/>
      <c r="AA3842" s="37"/>
      <c r="AD3842" s="37"/>
      <c r="AE3842" s="37"/>
      <c r="AF3842" s="37"/>
    </row>
    <row r="3843" spans="1:32" x14ac:dyDescent="0.25">
      <c r="A3843" s="37"/>
      <c r="B3843" s="37"/>
      <c r="C3843" s="37"/>
      <c r="F3843" s="38"/>
      <c r="G3843" s="38"/>
      <c r="H3843" s="38"/>
      <c r="I3843" s="37"/>
      <c r="J3843" s="38"/>
      <c r="K3843" s="38"/>
      <c r="L3843" s="42"/>
      <c r="M3843" s="42"/>
      <c r="N3843" s="42"/>
      <c r="O3843" s="42"/>
      <c r="R3843" s="37"/>
      <c r="S3843" s="37"/>
      <c r="T3843" s="91"/>
      <c r="U3843" s="91"/>
      <c r="V3843" s="41"/>
      <c r="W3843" s="37"/>
      <c r="X3843" s="37"/>
      <c r="Y3843" s="43"/>
      <c r="Z3843" s="37"/>
      <c r="AA3843" s="37"/>
      <c r="AD3843" s="37"/>
      <c r="AE3843" s="37"/>
      <c r="AF3843" s="37"/>
    </row>
    <row r="3844" spans="1:32" x14ac:dyDescent="0.25">
      <c r="A3844" s="37"/>
      <c r="B3844" s="37"/>
      <c r="C3844" s="37"/>
      <c r="F3844" s="38"/>
      <c r="G3844" s="38"/>
      <c r="H3844" s="38"/>
      <c r="I3844" s="37"/>
      <c r="J3844" s="38"/>
      <c r="K3844" s="38"/>
      <c r="L3844" s="42"/>
      <c r="M3844" s="42"/>
      <c r="N3844" s="42"/>
      <c r="O3844" s="42"/>
      <c r="R3844" s="37"/>
      <c r="S3844" s="37"/>
      <c r="T3844" s="91"/>
      <c r="U3844" s="91"/>
      <c r="V3844" s="41"/>
      <c r="W3844" s="37"/>
      <c r="X3844" s="37"/>
      <c r="Y3844" s="43"/>
      <c r="Z3844" s="37"/>
      <c r="AA3844" s="37"/>
      <c r="AD3844" s="37"/>
      <c r="AE3844" s="37"/>
      <c r="AF3844" s="37"/>
    </row>
    <row r="3845" spans="1:32" x14ac:dyDescent="0.25">
      <c r="A3845" s="37"/>
      <c r="B3845" s="37"/>
      <c r="C3845" s="37"/>
      <c r="F3845" s="38"/>
      <c r="G3845" s="38"/>
      <c r="H3845" s="38"/>
      <c r="I3845" s="37"/>
      <c r="J3845" s="38"/>
      <c r="K3845" s="38"/>
      <c r="L3845" s="42"/>
      <c r="M3845" s="42"/>
      <c r="N3845" s="42"/>
      <c r="O3845" s="42"/>
      <c r="R3845" s="37"/>
      <c r="S3845" s="37"/>
      <c r="T3845" s="91"/>
      <c r="U3845" s="91"/>
      <c r="V3845" s="41"/>
      <c r="W3845" s="37"/>
      <c r="X3845" s="37"/>
      <c r="Y3845" s="43"/>
      <c r="Z3845" s="37"/>
      <c r="AA3845" s="37"/>
      <c r="AD3845" s="37"/>
      <c r="AE3845" s="37"/>
      <c r="AF3845" s="37"/>
    </row>
    <row r="3846" spans="1:32" x14ac:dyDescent="0.25">
      <c r="A3846" s="37"/>
      <c r="B3846" s="37"/>
      <c r="C3846" s="37"/>
      <c r="F3846" s="38"/>
      <c r="G3846" s="38"/>
      <c r="H3846" s="38"/>
      <c r="I3846" s="37"/>
      <c r="J3846" s="38"/>
      <c r="K3846" s="38"/>
      <c r="L3846" s="42"/>
      <c r="M3846" s="42"/>
      <c r="N3846" s="42"/>
      <c r="O3846" s="42"/>
      <c r="R3846" s="37"/>
      <c r="S3846" s="37"/>
      <c r="T3846" s="91"/>
      <c r="U3846" s="91"/>
      <c r="V3846" s="41"/>
      <c r="W3846" s="37"/>
      <c r="X3846" s="37"/>
      <c r="Y3846" s="43"/>
      <c r="Z3846" s="37"/>
      <c r="AA3846" s="37"/>
      <c r="AD3846" s="37"/>
      <c r="AE3846" s="37"/>
      <c r="AF3846" s="37"/>
    </row>
    <row r="3847" spans="1:32" x14ac:dyDescent="0.25">
      <c r="A3847" s="37"/>
      <c r="B3847" s="37"/>
      <c r="C3847" s="37"/>
      <c r="F3847" s="38"/>
      <c r="G3847" s="38"/>
      <c r="H3847" s="38"/>
      <c r="I3847" s="37"/>
      <c r="J3847" s="38"/>
      <c r="K3847" s="38"/>
      <c r="L3847" s="42"/>
      <c r="M3847" s="42"/>
      <c r="N3847" s="42"/>
      <c r="O3847" s="42"/>
      <c r="R3847" s="37"/>
      <c r="S3847" s="37"/>
      <c r="T3847" s="91"/>
      <c r="U3847" s="91"/>
      <c r="V3847" s="41"/>
      <c r="W3847" s="37"/>
      <c r="X3847" s="37"/>
      <c r="Y3847" s="43"/>
      <c r="Z3847" s="37"/>
      <c r="AA3847" s="37"/>
      <c r="AD3847" s="37"/>
      <c r="AE3847" s="37"/>
      <c r="AF3847" s="37"/>
    </row>
    <row r="3848" spans="1:32" x14ac:dyDescent="0.25">
      <c r="A3848" s="37"/>
      <c r="B3848" s="37"/>
      <c r="C3848" s="37"/>
      <c r="F3848" s="38"/>
      <c r="G3848" s="38"/>
      <c r="H3848" s="38"/>
      <c r="I3848" s="37"/>
      <c r="J3848" s="38"/>
      <c r="K3848" s="38"/>
      <c r="L3848" s="42"/>
      <c r="M3848" s="42"/>
      <c r="N3848" s="42"/>
      <c r="O3848" s="42"/>
      <c r="R3848" s="37"/>
      <c r="S3848" s="37"/>
      <c r="T3848" s="91"/>
      <c r="U3848" s="91"/>
      <c r="V3848" s="41"/>
      <c r="W3848" s="37"/>
      <c r="X3848" s="37"/>
      <c r="Y3848" s="43"/>
      <c r="Z3848" s="37"/>
      <c r="AA3848" s="37"/>
      <c r="AD3848" s="37"/>
      <c r="AE3848" s="37"/>
      <c r="AF3848" s="37"/>
    </row>
    <row r="3849" spans="1:32" x14ac:dyDescent="0.25">
      <c r="A3849" s="37"/>
      <c r="B3849" s="37"/>
      <c r="C3849" s="37"/>
      <c r="F3849" s="38"/>
      <c r="G3849" s="38"/>
      <c r="H3849" s="38"/>
      <c r="I3849" s="37"/>
      <c r="J3849" s="38"/>
      <c r="K3849" s="38"/>
      <c r="L3849" s="42"/>
      <c r="M3849" s="42"/>
      <c r="N3849" s="42"/>
      <c r="O3849" s="42"/>
      <c r="R3849" s="37"/>
      <c r="S3849" s="37"/>
      <c r="T3849" s="91"/>
      <c r="U3849" s="91"/>
      <c r="V3849" s="41"/>
      <c r="W3849" s="37"/>
      <c r="X3849" s="37"/>
      <c r="Y3849" s="43"/>
      <c r="Z3849" s="37"/>
      <c r="AA3849" s="37"/>
      <c r="AD3849" s="37"/>
      <c r="AE3849" s="37"/>
      <c r="AF3849" s="37"/>
    </row>
    <row r="3850" spans="1:32" x14ac:dyDescent="0.25">
      <c r="A3850" s="37"/>
      <c r="B3850" s="37"/>
      <c r="C3850" s="37"/>
      <c r="F3850" s="38"/>
      <c r="G3850" s="38"/>
      <c r="H3850" s="38"/>
      <c r="I3850" s="37"/>
      <c r="J3850" s="38"/>
      <c r="K3850" s="38"/>
      <c r="L3850" s="42"/>
      <c r="M3850" s="42"/>
      <c r="N3850" s="42"/>
      <c r="O3850" s="42"/>
      <c r="R3850" s="37"/>
      <c r="S3850" s="37"/>
      <c r="T3850" s="91"/>
      <c r="U3850" s="91"/>
      <c r="V3850" s="41"/>
      <c r="W3850" s="37"/>
      <c r="X3850" s="37"/>
      <c r="Y3850" s="43"/>
      <c r="Z3850" s="37"/>
      <c r="AA3850" s="37"/>
      <c r="AD3850" s="37"/>
      <c r="AE3850" s="37"/>
      <c r="AF3850" s="37"/>
    </row>
    <row r="3851" spans="1:32" x14ac:dyDescent="0.25">
      <c r="A3851" s="37"/>
      <c r="B3851" s="37"/>
      <c r="C3851" s="37"/>
      <c r="F3851" s="38"/>
      <c r="G3851" s="38"/>
      <c r="H3851" s="38"/>
      <c r="I3851" s="37"/>
      <c r="J3851" s="38"/>
      <c r="K3851" s="38"/>
      <c r="L3851" s="42"/>
      <c r="M3851" s="42"/>
      <c r="N3851" s="42"/>
      <c r="O3851" s="42"/>
      <c r="R3851" s="37"/>
      <c r="S3851" s="37"/>
      <c r="T3851" s="91"/>
      <c r="U3851" s="91"/>
      <c r="V3851" s="41"/>
      <c r="W3851" s="37"/>
      <c r="X3851" s="37"/>
      <c r="Y3851" s="43"/>
      <c r="Z3851" s="37"/>
      <c r="AA3851" s="37"/>
      <c r="AD3851" s="37"/>
      <c r="AE3851" s="37"/>
      <c r="AF3851" s="37"/>
    </row>
    <row r="3852" spans="1:32" x14ac:dyDescent="0.25">
      <c r="A3852" s="37"/>
      <c r="B3852" s="37"/>
      <c r="C3852" s="37"/>
      <c r="F3852" s="38"/>
      <c r="G3852" s="38"/>
      <c r="H3852" s="38"/>
      <c r="I3852" s="37"/>
      <c r="J3852" s="38"/>
      <c r="K3852" s="38"/>
      <c r="L3852" s="42"/>
      <c r="M3852" s="42"/>
      <c r="N3852" s="42"/>
      <c r="O3852" s="42"/>
      <c r="R3852" s="37"/>
      <c r="S3852" s="37"/>
      <c r="T3852" s="91"/>
      <c r="U3852" s="91"/>
      <c r="V3852" s="41"/>
      <c r="W3852" s="37"/>
      <c r="X3852" s="37"/>
      <c r="Y3852" s="43"/>
      <c r="Z3852" s="37"/>
      <c r="AA3852" s="37"/>
      <c r="AD3852" s="37"/>
      <c r="AE3852" s="37"/>
      <c r="AF3852" s="37"/>
    </row>
    <row r="3853" spans="1:32" x14ac:dyDescent="0.25">
      <c r="A3853" s="37"/>
      <c r="B3853" s="37"/>
      <c r="C3853" s="37"/>
      <c r="F3853" s="38"/>
      <c r="G3853" s="38"/>
      <c r="H3853" s="38"/>
      <c r="I3853" s="37"/>
      <c r="J3853" s="38"/>
      <c r="K3853" s="38"/>
      <c r="L3853" s="42"/>
      <c r="M3853" s="42"/>
      <c r="N3853" s="42"/>
      <c r="O3853" s="42"/>
      <c r="R3853" s="37"/>
      <c r="S3853" s="37"/>
      <c r="T3853" s="91"/>
      <c r="U3853" s="91"/>
      <c r="V3853" s="41"/>
      <c r="W3853" s="37"/>
      <c r="X3853" s="37"/>
      <c r="Y3853" s="43"/>
      <c r="Z3853" s="37"/>
      <c r="AA3853" s="37"/>
      <c r="AD3853" s="37"/>
      <c r="AE3853" s="37"/>
      <c r="AF3853" s="37"/>
    </row>
    <row r="3854" spans="1:32" x14ac:dyDescent="0.25">
      <c r="A3854" s="37"/>
      <c r="B3854" s="37"/>
      <c r="C3854" s="37"/>
      <c r="F3854" s="38"/>
      <c r="G3854" s="38"/>
      <c r="H3854" s="38"/>
      <c r="I3854" s="37"/>
      <c r="J3854" s="38"/>
      <c r="K3854" s="38"/>
      <c r="L3854" s="42"/>
      <c r="M3854" s="42"/>
      <c r="N3854" s="42"/>
      <c r="O3854" s="42"/>
      <c r="R3854" s="37"/>
      <c r="S3854" s="37"/>
      <c r="T3854" s="91"/>
      <c r="U3854" s="91"/>
      <c r="V3854" s="41"/>
      <c r="W3854" s="37"/>
      <c r="X3854" s="37"/>
      <c r="Y3854" s="43"/>
      <c r="Z3854" s="37"/>
      <c r="AA3854" s="37"/>
      <c r="AD3854" s="37"/>
      <c r="AE3854" s="37"/>
      <c r="AF3854" s="37"/>
    </row>
    <row r="3855" spans="1:32" x14ac:dyDescent="0.25">
      <c r="A3855" s="37"/>
      <c r="B3855" s="37"/>
      <c r="C3855" s="37"/>
      <c r="F3855" s="38"/>
      <c r="G3855" s="38"/>
      <c r="H3855" s="38"/>
      <c r="I3855" s="37"/>
      <c r="J3855" s="38"/>
      <c r="K3855" s="38"/>
      <c r="L3855" s="42"/>
      <c r="M3855" s="42"/>
      <c r="N3855" s="42"/>
      <c r="O3855" s="42"/>
      <c r="R3855" s="37"/>
      <c r="S3855" s="37"/>
      <c r="T3855" s="91"/>
      <c r="U3855" s="91"/>
      <c r="V3855" s="41"/>
      <c r="W3855" s="37"/>
      <c r="X3855" s="37"/>
      <c r="Y3855" s="43"/>
      <c r="Z3855" s="37"/>
      <c r="AA3855" s="37"/>
      <c r="AD3855" s="37"/>
      <c r="AE3855" s="37"/>
      <c r="AF3855" s="37"/>
    </row>
    <row r="3856" spans="1:32" x14ac:dyDescent="0.25">
      <c r="A3856" s="37"/>
      <c r="B3856" s="37"/>
      <c r="C3856" s="37"/>
      <c r="F3856" s="38"/>
      <c r="G3856" s="38"/>
      <c r="H3856" s="38"/>
      <c r="I3856" s="37"/>
      <c r="J3856" s="38"/>
      <c r="K3856" s="38"/>
      <c r="L3856" s="42"/>
      <c r="M3856" s="42"/>
      <c r="N3856" s="42"/>
      <c r="O3856" s="42"/>
      <c r="R3856" s="37"/>
      <c r="S3856" s="37"/>
      <c r="T3856" s="91"/>
      <c r="U3856" s="91"/>
      <c r="V3856" s="41"/>
      <c r="W3856" s="37"/>
      <c r="X3856" s="37"/>
      <c r="Y3856" s="43"/>
      <c r="Z3856" s="37"/>
      <c r="AA3856" s="37"/>
      <c r="AD3856" s="37"/>
      <c r="AE3856" s="37"/>
      <c r="AF3856" s="37"/>
    </row>
    <row r="3857" spans="1:32" x14ac:dyDescent="0.25">
      <c r="A3857" s="37"/>
      <c r="B3857" s="37"/>
      <c r="C3857" s="37"/>
      <c r="F3857" s="38"/>
      <c r="G3857" s="38"/>
      <c r="H3857" s="38"/>
      <c r="I3857" s="37"/>
      <c r="J3857" s="38"/>
      <c r="K3857" s="38"/>
      <c r="L3857" s="42"/>
      <c r="M3857" s="42"/>
      <c r="N3857" s="42"/>
      <c r="O3857" s="42"/>
      <c r="R3857" s="37"/>
      <c r="S3857" s="37"/>
      <c r="T3857" s="91"/>
      <c r="U3857" s="91"/>
      <c r="V3857" s="41"/>
      <c r="W3857" s="37"/>
      <c r="X3857" s="37"/>
      <c r="Y3857" s="43"/>
      <c r="Z3857" s="37"/>
      <c r="AA3857" s="37"/>
      <c r="AD3857" s="37"/>
      <c r="AE3857" s="37"/>
      <c r="AF3857" s="37"/>
    </row>
    <row r="3858" spans="1:32" x14ac:dyDescent="0.25">
      <c r="A3858" s="37"/>
      <c r="B3858" s="37"/>
      <c r="C3858" s="37"/>
      <c r="F3858" s="38"/>
      <c r="G3858" s="38"/>
      <c r="H3858" s="38"/>
      <c r="I3858" s="37"/>
      <c r="J3858" s="38"/>
      <c r="K3858" s="38"/>
      <c r="L3858" s="42"/>
      <c r="M3858" s="42"/>
      <c r="N3858" s="42"/>
      <c r="O3858" s="42"/>
      <c r="R3858" s="37"/>
      <c r="S3858" s="37"/>
      <c r="T3858" s="91"/>
      <c r="U3858" s="91"/>
      <c r="V3858" s="41"/>
      <c r="W3858" s="37"/>
      <c r="X3858" s="37"/>
      <c r="Y3858" s="43"/>
      <c r="Z3858" s="37"/>
      <c r="AA3858" s="37"/>
      <c r="AD3858" s="37"/>
      <c r="AE3858" s="37"/>
      <c r="AF3858" s="37"/>
    </row>
    <row r="3859" spans="1:32" x14ac:dyDescent="0.25">
      <c r="A3859" s="37"/>
      <c r="B3859" s="37"/>
      <c r="C3859" s="37"/>
      <c r="F3859" s="38"/>
      <c r="G3859" s="38"/>
      <c r="H3859" s="38"/>
      <c r="I3859" s="37"/>
      <c r="J3859" s="38"/>
      <c r="K3859" s="38"/>
      <c r="L3859" s="42"/>
      <c r="M3859" s="42"/>
      <c r="N3859" s="42"/>
      <c r="O3859" s="42"/>
      <c r="R3859" s="37"/>
      <c r="S3859" s="37"/>
      <c r="T3859" s="91"/>
      <c r="U3859" s="91"/>
      <c r="V3859" s="41"/>
      <c r="W3859" s="37"/>
      <c r="X3859" s="37"/>
      <c r="Y3859" s="43"/>
      <c r="Z3859" s="37"/>
      <c r="AA3859" s="37"/>
      <c r="AD3859" s="37"/>
      <c r="AE3859" s="37"/>
      <c r="AF3859" s="37"/>
    </row>
    <row r="3860" spans="1:32" x14ac:dyDescent="0.25">
      <c r="A3860" s="37"/>
      <c r="B3860" s="37"/>
      <c r="C3860" s="37"/>
      <c r="F3860" s="38"/>
      <c r="G3860" s="38"/>
      <c r="H3860" s="38"/>
      <c r="I3860" s="37"/>
      <c r="J3860" s="38"/>
      <c r="K3860" s="38"/>
      <c r="L3860" s="42"/>
      <c r="M3860" s="42"/>
      <c r="N3860" s="42"/>
      <c r="O3860" s="42"/>
      <c r="R3860" s="37"/>
      <c r="S3860" s="37"/>
      <c r="T3860" s="91"/>
      <c r="U3860" s="91"/>
      <c r="V3860" s="41"/>
      <c r="W3860" s="37"/>
      <c r="X3860" s="37"/>
      <c r="Y3860" s="43"/>
      <c r="Z3860" s="37"/>
      <c r="AA3860" s="37"/>
      <c r="AD3860" s="37"/>
      <c r="AE3860" s="37"/>
      <c r="AF3860" s="37"/>
    </row>
    <row r="3861" spans="1:32" x14ac:dyDescent="0.25">
      <c r="A3861" s="37"/>
      <c r="B3861" s="37"/>
      <c r="C3861" s="37"/>
      <c r="F3861" s="38"/>
      <c r="G3861" s="38"/>
      <c r="H3861" s="38"/>
      <c r="I3861" s="37"/>
      <c r="J3861" s="38"/>
      <c r="K3861" s="38"/>
      <c r="L3861" s="42"/>
      <c r="M3861" s="42"/>
      <c r="N3861" s="42"/>
      <c r="O3861" s="42"/>
      <c r="R3861" s="37"/>
      <c r="S3861" s="37"/>
      <c r="T3861" s="91"/>
      <c r="U3861" s="91"/>
      <c r="V3861" s="41"/>
      <c r="W3861" s="37"/>
      <c r="X3861" s="37"/>
      <c r="Y3861" s="43"/>
      <c r="Z3861" s="37"/>
      <c r="AA3861" s="37"/>
      <c r="AD3861" s="37"/>
      <c r="AE3861" s="37"/>
      <c r="AF3861" s="37"/>
    </row>
    <row r="3862" spans="1:32" x14ac:dyDescent="0.25">
      <c r="A3862" s="37"/>
      <c r="B3862" s="37"/>
      <c r="C3862" s="37"/>
      <c r="F3862" s="38"/>
      <c r="G3862" s="38"/>
      <c r="H3862" s="38"/>
      <c r="I3862" s="37"/>
      <c r="J3862" s="38"/>
      <c r="K3862" s="38"/>
      <c r="L3862" s="42"/>
      <c r="M3862" s="42"/>
      <c r="N3862" s="42"/>
      <c r="O3862" s="42"/>
      <c r="R3862" s="37"/>
      <c r="S3862" s="37"/>
      <c r="T3862" s="91"/>
      <c r="U3862" s="91"/>
      <c r="V3862" s="41"/>
      <c r="W3862" s="37"/>
      <c r="X3862" s="37"/>
      <c r="Y3862" s="43"/>
      <c r="Z3862" s="37"/>
      <c r="AA3862" s="37"/>
      <c r="AD3862" s="37"/>
      <c r="AE3862" s="37"/>
      <c r="AF3862" s="37"/>
    </row>
    <row r="3863" spans="1:32" x14ac:dyDescent="0.25">
      <c r="A3863" s="37"/>
      <c r="B3863" s="37"/>
      <c r="C3863" s="37"/>
      <c r="F3863" s="38"/>
      <c r="G3863" s="38"/>
      <c r="H3863" s="38"/>
      <c r="I3863" s="37"/>
      <c r="J3863" s="38"/>
      <c r="K3863" s="38"/>
      <c r="L3863" s="42"/>
      <c r="M3863" s="42"/>
      <c r="N3863" s="42"/>
      <c r="O3863" s="42"/>
      <c r="R3863" s="37"/>
      <c r="S3863" s="37"/>
      <c r="T3863" s="91"/>
      <c r="U3863" s="91"/>
      <c r="V3863" s="41"/>
      <c r="W3863" s="37"/>
      <c r="X3863" s="37"/>
      <c r="Y3863" s="43"/>
      <c r="Z3863" s="37"/>
      <c r="AA3863" s="37"/>
      <c r="AD3863" s="37"/>
      <c r="AE3863" s="37"/>
      <c r="AF3863" s="37"/>
    </row>
    <row r="3864" spans="1:32" x14ac:dyDescent="0.25">
      <c r="A3864" s="37"/>
      <c r="B3864" s="37"/>
      <c r="C3864" s="37"/>
      <c r="F3864" s="38"/>
      <c r="G3864" s="38"/>
      <c r="H3864" s="38"/>
      <c r="I3864" s="37"/>
      <c r="J3864" s="38"/>
      <c r="K3864" s="38"/>
      <c r="L3864" s="42"/>
      <c r="M3864" s="42"/>
      <c r="N3864" s="42"/>
      <c r="O3864" s="42"/>
      <c r="R3864" s="37"/>
      <c r="S3864" s="37"/>
      <c r="T3864" s="91"/>
      <c r="U3864" s="91"/>
      <c r="V3864" s="41"/>
      <c r="W3864" s="37"/>
      <c r="X3864" s="37"/>
      <c r="Y3864" s="43"/>
      <c r="Z3864" s="37"/>
      <c r="AA3864" s="37"/>
      <c r="AD3864" s="37"/>
      <c r="AE3864" s="37"/>
      <c r="AF3864" s="37"/>
    </row>
    <row r="3865" spans="1:32" x14ac:dyDescent="0.25">
      <c r="A3865" s="37"/>
      <c r="B3865" s="37"/>
      <c r="C3865" s="37"/>
      <c r="F3865" s="38"/>
      <c r="G3865" s="38"/>
      <c r="H3865" s="38"/>
      <c r="I3865" s="37"/>
      <c r="J3865" s="38"/>
      <c r="K3865" s="38"/>
      <c r="L3865" s="42"/>
      <c r="M3865" s="42"/>
      <c r="N3865" s="42"/>
      <c r="O3865" s="42"/>
      <c r="R3865" s="37"/>
      <c r="S3865" s="37"/>
      <c r="T3865" s="91"/>
      <c r="U3865" s="91"/>
      <c r="V3865" s="41"/>
      <c r="W3865" s="37"/>
      <c r="X3865" s="37"/>
      <c r="Y3865" s="43"/>
      <c r="Z3865" s="37"/>
      <c r="AA3865" s="37"/>
      <c r="AD3865" s="37"/>
      <c r="AE3865" s="37"/>
      <c r="AF3865" s="37"/>
    </row>
    <row r="3866" spans="1:32" x14ac:dyDescent="0.25">
      <c r="A3866" s="37"/>
      <c r="B3866" s="37"/>
      <c r="C3866" s="37"/>
      <c r="F3866" s="38"/>
      <c r="G3866" s="38"/>
      <c r="H3866" s="38"/>
      <c r="I3866" s="37"/>
      <c r="J3866" s="38"/>
      <c r="K3866" s="38"/>
      <c r="L3866" s="42"/>
      <c r="M3866" s="42"/>
      <c r="N3866" s="42"/>
      <c r="O3866" s="42"/>
      <c r="R3866" s="37"/>
      <c r="S3866" s="37"/>
      <c r="T3866" s="91"/>
      <c r="U3866" s="91"/>
      <c r="V3866" s="41"/>
      <c r="W3866" s="37"/>
      <c r="X3866" s="37"/>
      <c r="Y3866" s="43"/>
      <c r="Z3866" s="37"/>
      <c r="AA3866" s="37"/>
      <c r="AD3866" s="37"/>
      <c r="AE3866" s="37"/>
      <c r="AF3866" s="37"/>
    </row>
    <row r="3867" spans="1:32" x14ac:dyDescent="0.25">
      <c r="A3867" s="37"/>
      <c r="B3867" s="37"/>
      <c r="C3867" s="37"/>
      <c r="F3867" s="38"/>
      <c r="G3867" s="38"/>
      <c r="H3867" s="38"/>
      <c r="I3867" s="37"/>
      <c r="J3867" s="38"/>
      <c r="K3867" s="38"/>
      <c r="L3867" s="42"/>
      <c r="M3867" s="42"/>
      <c r="N3867" s="42"/>
      <c r="O3867" s="42"/>
      <c r="R3867" s="37"/>
      <c r="S3867" s="37"/>
      <c r="T3867" s="91"/>
      <c r="U3867" s="91"/>
      <c r="V3867" s="41"/>
      <c r="W3867" s="37"/>
      <c r="X3867" s="37"/>
      <c r="Y3867" s="43"/>
      <c r="Z3867" s="37"/>
      <c r="AA3867" s="37"/>
      <c r="AD3867" s="37"/>
      <c r="AE3867" s="37"/>
      <c r="AF3867" s="37"/>
    </row>
    <row r="3868" spans="1:32" x14ac:dyDescent="0.25">
      <c r="A3868" s="37"/>
      <c r="B3868" s="37"/>
      <c r="C3868" s="37"/>
      <c r="F3868" s="38"/>
      <c r="G3868" s="38"/>
      <c r="H3868" s="38"/>
      <c r="I3868" s="37"/>
      <c r="J3868" s="38"/>
      <c r="K3868" s="38"/>
      <c r="L3868" s="42"/>
      <c r="M3868" s="42"/>
      <c r="N3868" s="42"/>
      <c r="O3868" s="42"/>
      <c r="R3868" s="37"/>
      <c r="S3868" s="37"/>
      <c r="T3868" s="91"/>
      <c r="U3868" s="91"/>
      <c r="V3868" s="41"/>
      <c r="W3868" s="37"/>
      <c r="X3868" s="37"/>
      <c r="Y3868" s="43"/>
      <c r="Z3868" s="37"/>
      <c r="AA3868" s="37"/>
      <c r="AD3868" s="37"/>
      <c r="AE3868" s="37"/>
      <c r="AF3868" s="37"/>
    </row>
    <row r="3869" spans="1:32" x14ac:dyDescent="0.25">
      <c r="A3869" s="37"/>
      <c r="B3869" s="37"/>
      <c r="C3869" s="37"/>
      <c r="F3869" s="38"/>
      <c r="G3869" s="38"/>
      <c r="H3869" s="38"/>
      <c r="I3869" s="37"/>
      <c r="J3869" s="38"/>
      <c r="K3869" s="38"/>
      <c r="L3869" s="42"/>
      <c r="M3869" s="42"/>
      <c r="N3869" s="42"/>
      <c r="O3869" s="42"/>
      <c r="R3869" s="37"/>
      <c r="S3869" s="37"/>
      <c r="T3869" s="91"/>
      <c r="U3869" s="91"/>
      <c r="V3869" s="41"/>
      <c r="W3869" s="37"/>
      <c r="X3869" s="37"/>
      <c r="Y3869" s="43"/>
      <c r="Z3869" s="37"/>
      <c r="AA3869" s="37"/>
      <c r="AD3869" s="37"/>
      <c r="AE3869" s="37"/>
      <c r="AF3869" s="37"/>
    </row>
    <row r="3870" spans="1:32" x14ac:dyDescent="0.25">
      <c r="A3870" s="37"/>
      <c r="B3870" s="37"/>
      <c r="C3870" s="37"/>
      <c r="F3870" s="38"/>
      <c r="G3870" s="38"/>
      <c r="H3870" s="38"/>
      <c r="I3870" s="37"/>
      <c r="J3870" s="38"/>
      <c r="K3870" s="38"/>
      <c r="L3870" s="42"/>
      <c r="M3870" s="42"/>
      <c r="N3870" s="42"/>
      <c r="O3870" s="42"/>
      <c r="R3870" s="37"/>
      <c r="S3870" s="37"/>
      <c r="T3870" s="91"/>
      <c r="U3870" s="91"/>
      <c r="V3870" s="41"/>
      <c r="W3870" s="37"/>
      <c r="X3870" s="37"/>
      <c r="Y3870" s="43"/>
      <c r="Z3870" s="37"/>
      <c r="AA3870" s="37"/>
      <c r="AD3870" s="37"/>
      <c r="AE3870" s="37"/>
      <c r="AF3870" s="37"/>
    </row>
    <row r="3871" spans="1:32" x14ac:dyDescent="0.25">
      <c r="A3871" s="37"/>
      <c r="B3871" s="37"/>
      <c r="C3871" s="37"/>
      <c r="F3871" s="38"/>
      <c r="G3871" s="38"/>
      <c r="H3871" s="38"/>
      <c r="I3871" s="37"/>
      <c r="J3871" s="38"/>
      <c r="K3871" s="38"/>
      <c r="L3871" s="42"/>
      <c r="M3871" s="42"/>
      <c r="N3871" s="42"/>
      <c r="O3871" s="42"/>
      <c r="R3871" s="37"/>
      <c r="S3871" s="37"/>
      <c r="T3871" s="91"/>
      <c r="U3871" s="91"/>
      <c r="V3871" s="41"/>
      <c r="W3871" s="37"/>
      <c r="X3871" s="37"/>
      <c r="Y3871" s="43"/>
      <c r="Z3871" s="37"/>
      <c r="AA3871" s="37"/>
      <c r="AD3871" s="37"/>
      <c r="AE3871" s="37"/>
      <c r="AF3871" s="37"/>
    </row>
    <row r="3872" spans="1:32" x14ac:dyDescent="0.25">
      <c r="A3872" s="37"/>
      <c r="B3872" s="37"/>
      <c r="C3872" s="37"/>
      <c r="F3872" s="38"/>
      <c r="G3872" s="38"/>
      <c r="H3872" s="38"/>
      <c r="I3872" s="37"/>
      <c r="J3872" s="38"/>
      <c r="K3872" s="38"/>
      <c r="L3872" s="42"/>
      <c r="M3872" s="42"/>
      <c r="N3872" s="42"/>
      <c r="O3872" s="42"/>
      <c r="R3872" s="37"/>
      <c r="S3872" s="37"/>
      <c r="T3872" s="91"/>
      <c r="U3872" s="91"/>
      <c r="V3872" s="41"/>
      <c r="W3872" s="37"/>
      <c r="X3872" s="37"/>
      <c r="Y3872" s="43"/>
      <c r="Z3872" s="37"/>
      <c r="AA3872" s="37"/>
      <c r="AD3872" s="37"/>
      <c r="AE3872" s="37"/>
      <c r="AF3872" s="37"/>
    </row>
    <row r="3873" spans="1:32" x14ac:dyDescent="0.25">
      <c r="A3873" s="37"/>
      <c r="B3873" s="37"/>
      <c r="C3873" s="37"/>
      <c r="F3873" s="38"/>
      <c r="G3873" s="38"/>
      <c r="H3873" s="38"/>
      <c r="I3873" s="37"/>
      <c r="J3873" s="38"/>
      <c r="K3873" s="38"/>
      <c r="L3873" s="42"/>
      <c r="M3873" s="42"/>
      <c r="N3873" s="42"/>
      <c r="O3873" s="42"/>
      <c r="R3873" s="37"/>
      <c r="S3873" s="37"/>
      <c r="T3873" s="91"/>
      <c r="U3873" s="91"/>
      <c r="V3873" s="41"/>
      <c r="W3873" s="37"/>
      <c r="X3873" s="37"/>
      <c r="Y3873" s="43"/>
      <c r="Z3873" s="37"/>
      <c r="AA3873" s="37"/>
      <c r="AD3873" s="37"/>
      <c r="AE3873" s="37"/>
      <c r="AF3873" s="37"/>
    </row>
    <row r="3874" spans="1:32" x14ac:dyDescent="0.25">
      <c r="A3874" s="37"/>
      <c r="B3874" s="37"/>
      <c r="C3874" s="37"/>
      <c r="F3874" s="38"/>
      <c r="G3874" s="38"/>
      <c r="H3874" s="38"/>
      <c r="I3874" s="37"/>
      <c r="J3874" s="38"/>
      <c r="K3874" s="38"/>
      <c r="L3874" s="42"/>
      <c r="M3874" s="42"/>
      <c r="N3874" s="42"/>
      <c r="O3874" s="42"/>
      <c r="R3874" s="37"/>
      <c r="S3874" s="37"/>
      <c r="T3874" s="91"/>
      <c r="U3874" s="91"/>
      <c r="V3874" s="41"/>
      <c r="W3874" s="37"/>
      <c r="X3874" s="37"/>
      <c r="Y3874" s="43"/>
      <c r="Z3874" s="37"/>
      <c r="AA3874" s="37"/>
      <c r="AD3874" s="37"/>
      <c r="AE3874" s="37"/>
      <c r="AF3874" s="37"/>
    </row>
    <row r="3875" spans="1:32" x14ac:dyDescent="0.25">
      <c r="A3875" s="37"/>
      <c r="B3875" s="37"/>
      <c r="C3875" s="37"/>
      <c r="F3875" s="38"/>
      <c r="G3875" s="38"/>
      <c r="H3875" s="38"/>
      <c r="I3875" s="37"/>
      <c r="J3875" s="38"/>
      <c r="K3875" s="38"/>
      <c r="L3875" s="42"/>
      <c r="M3875" s="42"/>
      <c r="N3875" s="42"/>
      <c r="O3875" s="42"/>
      <c r="R3875" s="37"/>
      <c r="S3875" s="37"/>
      <c r="T3875" s="91"/>
      <c r="U3875" s="91"/>
      <c r="V3875" s="41"/>
      <c r="W3875" s="37"/>
      <c r="X3875" s="37"/>
      <c r="Y3875" s="43"/>
      <c r="Z3875" s="37"/>
      <c r="AA3875" s="37"/>
      <c r="AD3875" s="37"/>
      <c r="AE3875" s="37"/>
      <c r="AF3875" s="37"/>
    </row>
    <row r="3876" spans="1:32" x14ac:dyDescent="0.25">
      <c r="A3876" s="37"/>
      <c r="B3876" s="37"/>
      <c r="C3876" s="37"/>
      <c r="F3876" s="38"/>
      <c r="G3876" s="38"/>
      <c r="H3876" s="38"/>
      <c r="I3876" s="37"/>
      <c r="J3876" s="38"/>
      <c r="K3876" s="38"/>
      <c r="L3876" s="42"/>
      <c r="M3876" s="42"/>
      <c r="N3876" s="42"/>
      <c r="O3876" s="42"/>
      <c r="R3876" s="37"/>
      <c r="S3876" s="37"/>
      <c r="T3876" s="91"/>
      <c r="U3876" s="91"/>
      <c r="V3876" s="41"/>
      <c r="W3876" s="37"/>
      <c r="X3876" s="37"/>
      <c r="Y3876" s="43"/>
      <c r="Z3876" s="37"/>
      <c r="AA3876" s="37"/>
      <c r="AD3876" s="37"/>
      <c r="AE3876" s="37"/>
      <c r="AF3876" s="37"/>
    </row>
    <row r="3877" spans="1:32" x14ac:dyDescent="0.25">
      <c r="A3877" s="37"/>
      <c r="B3877" s="37"/>
      <c r="C3877" s="37"/>
      <c r="F3877" s="38"/>
      <c r="G3877" s="38"/>
      <c r="H3877" s="38"/>
      <c r="I3877" s="37"/>
      <c r="J3877" s="38"/>
      <c r="K3877" s="38"/>
      <c r="L3877" s="42"/>
      <c r="M3877" s="42"/>
      <c r="N3877" s="42"/>
      <c r="O3877" s="42"/>
      <c r="R3877" s="37"/>
      <c r="S3877" s="37"/>
      <c r="T3877" s="91"/>
      <c r="U3877" s="91"/>
      <c r="V3877" s="41"/>
      <c r="W3877" s="37"/>
      <c r="X3877" s="37"/>
      <c r="Y3877" s="43"/>
      <c r="Z3877" s="37"/>
      <c r="AA3877" s="37"/>
      <c r="AD3877" s="37"/>
      <c r="AE3877" s="37"/>
      <c r="AF3877" s="37"/>
    </row>
    <row r="3878" spans="1:32" x14ac:dyDescent="0.25">
      <c r="A3878" s="37"/>
      <c r="B3878" s="37"/>
      <c r="C3878" s="37"/>
      <c r="F3878" s="38"/>
      <c r="G3878" s="38"/>
      <c r="H3878" s="38"/>
      <c r="I3878" s="37"/>
      <c r="J3878" s="38"/>
      <c r="K3878" s="38"/>
      <c r="L3878" s="42"/>
      <c r="M3878" s="42"/>
      <c r="N3878" s="42"/>
      <c r="O3878" s="42"/>
      <c r="R3878" s="37"/>
      <c r="S3878" s="37"/>
      <c r="T3878" s="91"/>
      <c r="U3878" s="91"/>
      <c r="V3878" s="41"/>
      <c r="W3878" s="37"/>
      <c r="X3878" s="37"/>
      <c r="Y3878" s="43"/>
      <c r="Z3878" s="37"/>
      <c r="AA3878" s="37"/>
      <c r="AD3878" s="37"/>
      <c r="AE3878" s="37"/>
      <c r="AF3878" s="37"/>
    </row>
    <row r="3879" spans="1:32" x14ac:dyDescent="0.25">
      <c r="A3879" s="37"/>
      <c r="B3879" s="37"/>
      <c r="C3879" s="37"/>
      <c r="F3879" s="38"/>
      <c r="G3879" s="38"/>
      <c r="H3879" s="38"/>
      <c r="I3879" s="37"/>
      <c r="J3879" s="38"/>
      <c r="K3879" s="38"/>
      <c r="L3879" s="42"/>
      <c r="M3879" s="42"/>
      <c r="N3879" s="42"/>
      <c r="O3879" s="42"/>
      <c r="R3879" s="37"/>
      <c r="S3879" s="37"/>
      <c r="T3879" s="91"/>
      <c r="U3879" s="91"/>
      <c r="V3879" s="41"/>
      <c r="W3879" s="37"/>
      <c r="X3879" s="37"/>
      <c r="Y3879" s="43"/>
      <c r="Z3879" s="37"/>
      <c r="AA3879" s="37"/>
      <c r="AD3879" s="37"/>
      <c r="AE3879" s="37"/>
      <c r="AF3879" s="37"/>
    </row>
    <row r="3880" spans="1:32" x14ac:dyDescent="0.25">
      <c r="A3880" s="37"/>
      <c r="B3880" s="37"/>
      <c r="C3880" s="37"/>
      <c r="F3880" s="38"/>
      <c r="G3880" s="38"/>
      <c r="H3880" s="38"/>
      <c r="I3880" s="37"/>
      <c r="J3880" s="38"/>
      <c r="K3880" s="38"/>
      <c r="L3880" s="42"/>
      <c r="M3880" s="42"/>
      <c r="N3880" s="42"/>
      <c r="O3880" s="42"/>
      <c r="R3880" s="37"/>
      <c r="S3880" s="37"/>
      <c r="T3880" s="91"/>
      <c r="U3880" s="91"/>
      <c r="V3880" s="41"/>
      <c r="W3880" s="37"/>
      <c r="X3880" s="37"/>
      <c r="Y3880" s="43"/>
      <c r="Z3880" s="37"/>
      <c r="AA3880" s="37"/>
      <c r="AD3880" s="37"/>
      <c r="AE3880" s="37"/>
      <c r="AF3880" s="37"/>
    </row>
    <row r="3881" spans="1:32" x14ac:dyDescent="0.25">
      <c r="A3881" s="37"/>
      <c r="B3881" s="37"/>
      <c r="C3881" s="37"/>
      <c r="F3881" s="38"/>
      <c r="G3881" s="38"/>
      <c r="H3881" s="38"/>
      <c r="I3881" s="37"/>
      <c r="J3881" s="38"/>
      <c r="K3881" s="38"/>
      <c r="L3881" s="42"/>
      <c r="M3881" s="42"/>
      <c r="N3881" s="42"/>
      <c r="O3881" s="42"/>
      <c r="R3881" s="37"/>
      <c r="S3881" s="37"/>
      <c r="T3881" s="91"/>
      <c r="U3881" s="91"/>
      <c r="V3881" s="41"/>
      <c r="W3881" s="37"/>
      <c r="X3881" s="37"/>
      <c r="Y3881" s="43"/>
      <c r="Z3881" s="37"/>
      <c r="AA3881" s="37"/>
      <c r="AD3881" s="37"/>
      <c r="AE3881" s="37"/>
      <c r="AF3881" s="37"/>
    </row>
    <row r="3882" spans="1:32" x14ac:dyDescent="0.25">
      <c r="A3882" s="37"/>
      <c r="B3882" s="37"/>
      <c r="C3882" s="37"/>
      <c r="F3882" s="38"/>
      <c r="G3882" s="38"/>
      <c r="H3882" s="38"/>
      <c r="I3882" s="37"/>
      <c r="J3882" s="38"/>
      <c r="K3882" s="38"/>
      <c r="L3882" s="42"/>
      <c r="M3882" s="42"/>
      <c r="N3882" s="42"/>
      <c r="O3882" s="42"/>
      <c r="R3882" s="37"/>
      <c r="S3882" s="37"/>
      <c r="T3882" s="91"/>
      <c r="U3882" s="91"/>
      <c r="V3882" s="41"/>
      <c r="W3882" s="37"/>
      <c r="X3882" s="37"/>
      <c r="Y3882" s="43"/>
      <c r="Z3882" s="37"/>
      <c r="AA3882" s="37"/>
      <c r="AD3882" s="37"/>
      <c r="AE3882" s="37"/>
      <c r="AF3882" s="37"/>
    </row>
    <row r="3883" spans="1:32" x14ac:dyDescent="0.25">
      <c r="A3883" s="37"/>
      <c r="B3883" s="37"/>
      <c r="C3883" s="37"/>
      <c r="F3883" s="38"/>
      <c r="G3883" s="38"/>
      <c r="H3883" s="38"/>
      <c r="I3883" s="37"/>
      <c r="J3883" s="38"/>
      <c r="K3883" s="38"/>
      <c r="L3883" s="42"/>
      <c r="M3883" s="42"/>
      <c r="N3883" s="42"/>
      <c r="O3883" s="42"/>
      <c r="R3883" s="37"/>
      <c r="S3883" s="37"/>
      <c r="T3883" s="91"/>
      <c r="U3883" s="91"/>
      <c r="V3883" s="41"/>
      <c r="W3883" s="37"/>
      <c r="X3883" s="37"/>
      <c r="Y3883" s="43"/>
      <c r="Z3883" s="37"/>
      <c r="AA3883" s="37"/>
      <c r="AD3883" s="37"/>
      <c r="AE3883" s="37"/>
      <c r="AF3883" s="37"/>
    </row>
    <row r="3884" spans="1:32" x14ac:dyDescent="0.25">
      <c r="A3884" s="37"/>
      <c r="B3884" s="37"/>
      <c r="C3884" s="37"/>
      <c r="F3884" s="38"/>
      <c r="G3884" s="38"/>
      <c r="H3884" s="38"/>
      <c r="I3884" s="37"/>
      <c r="J3884" s="38"/>
      <c r="K3884" s="38"/>
      <c r="L3884" s="42"/>
      <c r="M3884" s="42"/>
      <c r="N3884" s="42"/>
      <c r="O3884" s="42"/>
      <c r="R3884" s="37"/>
      <c r="S3884" s="37"/>
      <c r="T3884" s="91"/>
      <c r="U3884" s="91"/>
      <c r="V3884" s="41"/>
      <c r="W3884" s="37"/>
      <c r="X3884" s="37"/>
      <c r="Y3884" s="43"/>
      <c r="Z3884" s="37"/>
      <c r="AA3884" s="37"/>
      <c r="AD3884" s="37"/>
      <c r="AE3884" s="37"/>
      <c r="AF3884" s="37"/>
    </row>
    <row r="3885" spans="1:32" x14ac:dyDescent="0.25">
      <c r="A3885" s="37"/>
      <c r="B3885" s="37"/>
      <c r="C3885" s="37"/>
      <c r="F3885" s="38"/>
      <c r="G3885" s="38"/>
      <c r="H3885" s="38"/>
      <c r="I3885" s="37"/>
      <c r="J3885" s="38"/>
      <c r="K3885" s="38"/>
      <c r="L3885" s="42"/>
      <c r="M3885" s="42"/>
      <c r="N3885" s="42"/>
      <c r="O3885" s="42"/>
      <c r="R3885" s="37"/>
      <c r="S3885" s="37"/>
      <c r="T3885" s="91"/>
      <c r="U3885" s="91"/>
      <c r="V3885" s="41"/>
      <c r="W3885" s="37"/>
      <c r="X3885" s="37"/>
      <c r="Y3885" s="43"/>
      <c r="Z3885" s="37"/>
      <c r="AA3885" s="37"/>
      <c r="AD3885" s="37"/>
      <c r="AE3885" s="37"/>
      <c r="AF3885" s="37"/>
    </row>
    <row r="3886" spans="1:32" x14ac:dyDescent="0.25">
      <c r="A3886" s="37"/>
      <c r="B3886" s="37"/>
      <c r="C3886" s="37"/>
      <c r="F3886" s="38"/>
      <c r="G3886" s="38"/>
      <c r="H3886" s="38"/>
      <c r="I3886" s="37"/>
      <c r="J3886" s="38"/>
      <c r="K3886" s="38"/>
      <c r="L3886" s="42"/>
      <c r="M3886" s="42"/>
      <c r="N3886" s="42"/>
      <c r="O3886" s="42"/>
      <c r="R3886" s="37"/>
      <c r="S3886" s="37"/>
      <c r="T3886" s="91"/>
      <c r="U3886" s="91"/>
      <c r="V3886" s="41"/>
      <c r="W3886" s="37"/>
      <c r="X3886" s="37"/>
      <c r="Y3886" s="43"/>
      <c r="Z3886" s="37"/>
      <c r="AA3886" s="37"/>
      <c r="AD3886" s="37"/>
      <c r="AE3886" s="37"/>
      <c r="AF3886" s="37"/>
    </row>
    <row r="3887" spans="1:32" x14ac:dyDescent="0.25">
      <c r="A3887" s="37"/>
      <c r="B3887" s="37"/>
      <c r="C3887" s="37"/>
      <c r="F3887" s="38"/>
      <c r="G3887" s="38"/>
      <c r="H3887" s="38"/>
      <c r="I3887" s="37"/>
      <c r="J3887" s="38"/>
      <c r="K3887" s="38"/>
      <c r="L3887" s="42"/>
      <c r="M3887" s="42"/>
      <c r="N3887" s="42"/>
      <c r="O3887" s="42"/>
      <c r="R3887" s="37"/>
      <c r="S3887" s="37"/>
      <c r="T3887" s="91"/>
      <c r="U3887" s="91"/>
      <c r="V3887" s="41"/>
      <c r="W3887" s="37"/>
      <c r="X3887" s="37"/>
      <c r="Y3887" s="43"/>
      <c r="Z3887" s="37"/>
      <c r="AA3887" s="37"/>
      <c r="AD3887" s="37"/>
      <c r="AE3887" s="37"/>
      <c r="AF3887" s="37"/>
    </row>
    <row r="3888" spans="1:32" x14ac:dyDescent="0.25">
      <c r="A3888" s="37"/>
      <c r="B3888" s="37"/>
      <c r="C3888" s="37"/>
      <c r="F3888" s="38"/>
      <c r="G3888" s="38"/>
      <c r="H3888" s="38"/>
      <c r="I3888" s="37"/>
      <c r="J3888" s="38"/>
      <c r="K3888" s="38"/>
      <c r="L3888" s="42"/>
      <c r="M3888" s="42"/>
      <c r="N3888" s="42"/>
      <c r="O3888" s="42"/>
      <c r="R3888" s="37"/>
      <c r="S3888" s="37"/>
      <c r="T3888" s="91"/>
      <c r="U3888" s="91"/>
      <c r="V3888" s="41"/>
      <c r="W3888" s="37"/>
      <c r="X3888" s="37"/>
      <c r="Y3888" s="43"/>
      <c r="Z3888" s="37"/>
      <c r="AA3888" s="37"/>
      <c r="AD3888" s="37"/>
      <c r="AE3888" s="37"/>
      <c r="AF3888" s="37"/>
    </row>
    <row r="3889" spans="1:32" x14ac:dyDescent="0.25">
      <c r="A3889" s="37"/>
      <c r="B3889" s="37"/>
      <c r="C3889" s="37"/>
      <c r="F3889" s="38"/>
      <c r="G3889" s="38"/>
      <c r="H3889" s="38"/>
      <c r="I3889" s="37"/>
      <c r="J3889" s="38"/>
      <c r="K3889" s="38"/>
      <c r="L3889" s="42"/>
      <c r="M3889" s="42"/>
      <c r="N3889" s="42"/>
      <c r="O3889" s="42"/>
      <c r="R3889" s="37"/>
      <c r="S3889" s="37"/>
      <c r="T3889" s="91"/>
      <c r="U3889" s="91"/>
      <c r="V3889" s="41"/>
      <c r="W3889" s="37"/>
      <c r="X3889" s="37"/>
      <c r="Y3889" s="43"/>
      <c r="Z3889" s="37"/>
      <c r="AA3889" s="37"/>
      <c r="AD3889" s="37"/>
      <c r="AE3889" s="37"/>
      <c r="AF3889" s="37"/>
    </row>
    <row r="3890" spans="1:32" x14ac:dyDescent="0.25">
      <c r="A3890" s="37"/>
      <c r="B3890" s="37"/>
      <c r="C3890" s="37"/>
      <c r="F3890" s="38"/>
      <c r="G3890" s="38"/>
      <c r="H3890" s="38"/>
      <c r="I3890" s="37"/>
      <c r="J3890" s="38"/>
      <c r="K3890" s="38"/>
      <c r="L3890" s="42"/>
      <c r="M3890" s="42"/>
      <c r="N3890" s="42"/>
      <c r="O3890" s="42"/>
      <c r="R3890" s="37"/>
      <c r="S3890" s="37"/>
      <c r="T3890" s="91"/>
      <c r="U3890" s="91"/>
      <c r="V3890" s="41"/>
      <c r="W3890" s="37"/>
      <c r="X3890" s="37"/>
      <c r="Y3890" s="43"/>
      <c r="Z3890" s="37"/>
      <c r="AA3890" s="37"/>
      <c r="AD3890" s="37"/>
      <c r="AE3890" s="37"/>
      <c r="AF3890" s="37"/>
    </row>
    <row r="3891" spans="1:32" x14ac:dyDescent="0.25">
      <c r="A3891" s="37"/>
      <c r="B3891" s="37"/>
      <c r="C3891" s="37"/>
      <c r="F3891" s="38"/>
      <c r="G3891" s="38"/>
      <c r="H3891" s="38"/>
      <c r="I3891" s="37"/>
      <c r="J3891" s="38"/>
      <c r="K3891" s="38"/>
      <c r="L3891" s="42"/>
      <c r="M3891" s="42"/>
      <c r="N3891" s="42"/>
      <c r="O3891" s="42"/>
      <c r="R3891" s="37"/>
      <c r="S3891" s="37"/>
      <c r="T3891" s="91"/>
      <c r="U3891" s="91"/>
      <c r="V3891" s="41"/>
      <c r="W3891" s="37"/>
      <c r="X3891" s="37"/>
      <c r="Y3891" s="43"/>
      <c r="Z3891" s="37"/>
      <c r="AA3891" s="37"/>
      <c r="AD3891" s="37"/>
      <c r="AE3891" s="37"/>
      <c r="AF3891" s="37"/>
    </row>
    <row r="3892" spans="1:32" x14ac:dyDescent="0.25">
      <c r="A3892" s="37"/>
      <c r="B3892" s="37"/>
      <c r="C3892" s="37"/>
      <c r="F3892" s="38"/>
      <c r="G3892" s="38"/>
      <c r="H3892" s="38"/>
      <c r="I3892" s="37"/>
      <c r="J3892" s="38"/>
      <c r="K3892" s="38"/>
      <c r="L3892" s="42"/>
      <c r="M3892" s="42"/>
      <c r="N3892" s="42"/>
      <c r="O3892" s="42"/>
      <c r="R3892" s="37"/>
      <c r="S3892" s="37"/>
      <c r="T3892" s="91"/>
      <c r="U3892" s="91"/>
      <c r="V3892" s="41"/>
      <c r="W3892" s="37"/>
      <c r="X3892" s="37"/>
      <c r="Y3892" s="43"/>
      <c r="Z3892" s="37"/>
      <c r="AA3892" s="37"/>
      <c r="AD3892" s="37"/>
      <c r="AE3892" s="37"/>
      <c r="AF3892" s="37"/>
    </row>
    <row r="3893" spans="1:32" x14ac:dyDescent="0.25">
      <c r="A3893" s="37"/>
      <c r="B3893" s="37"/>
      <c r="C3893" s="37"/>
      <c r="F3893" s="38"/>
      <c r="G3893" s="38"/>
      <c r="H3893" s="38"/>
      <c r="I3893" s="37"/>
      <c r="J3893" s="38"/>
      <c r="K3893" s="38"/>
      <c r="L3893" s="42"/>
      <c r="M3893" s="42"/>
      <c r="N3893" s="42"/>
      <c r="O3893" s="42"/>
      <c r="R3893" s="37"/>
      <c r="S3893" s="37"/>
      <c r="T3893" s="91"/>
      <c r="U3893" s="91"/>
      <c r="V3893" s="41"/>
      <c r="W3893" s="37"/>
      <c r="X3893" s="37"/>
      <c r="Y3893" s="43"/>
      <c r="Z3893" s="37"/>
      <c r="AA3893" s="37"/>
      <c r="AD3893" s="37"/>
      <c r="AE3893" s="37"/>
      <c r="AF3893" s="37"/>
    </row>
    <row r="3894" spans="1:32" x14ac:dyDescent="0.25">
      <c r="A3894" s="37"/>
      <c r="B3894" s="37"/>
      <c r="C3894" s="37"/>
      <c r="F3894" s="38"/>
      <c r="G3894" s="38"/>
      <c r="H3894" s="38"/>
      <c r="I3894" s="37"/>
      <c r="J3894" s="38"/>
      <c r="K3894" s="38"/>
      <c r="L3894" s="42"/>
      <c r="M3894" s="42"/>
      <c r="N3894" s="42"/>
      <c r="O3894" s="42"/>
      <c r="R3894" s="37"/>
      <c r="S3894" s="37"/>
      <c r="T3894" s="91"/>
      <c r="U3894" s="91"/>
      <c r="V3894" s="41"/>
      <c r="W3894" s="37"/>
      <c r="X3894" s="37"/>
      <c r="Y3894" s="43"/>
      <c r="Z3894" s="37"/>
      <c r="AA3894" s="37"/>
      <c r="AD3894" s="37"/>
      <c r="AE3894" s="37"/>
      <c r="AF3894" s="37"/>
    </row>
    <row r="3895" spans="1:32" x14ac:dyDescent="0.25">
      <c r="A3895" s="37"/>
      <c r="B3895" s="37"/>
      <c r="C3895" s="37"/>
      <c r="F3895" s="38"/>
      <c r="G3895" s="38"/>
      <c r="H3895" s="38"/>
      <c r="I3895" s="37"/>
      <c r="J3895" s="38"/>
      <c r="K3895" s="38"/>
      <c r="L3895" s="42"/>
      <c r="M3895" s="42"/>
      <c r="N3895" s="42"/>
      <c r="O3895" s="42"/>
      <c r="R3895" s="37"/>
      <c r="S3895" s="37"/>
      <c r="T3895" s="91"/>
      <c r="U3895" s="91"/>
      <c r="V3895" s="41"/>
      <c r="W3895" s="37"/>
      <c r="X3895" s="37"/>
      <c r="Y3895" s="43"/>
      <c r="Z3895" s="37"/>
      <c r="AA3895" s="37"/>
      <c r="AD3895" s="37"/>
      <c r="AE3895" s="37"/>
      <c r="AF3895" s="37"/>
    </row>
    <row r="3896" spans="1:32" x14ac:dyDescent="0.25">
      <c r="A3896" s="37"/>
      <c r="B3896" s="37"/>
      <c r="C3896" s="37"/>
      <c r="F3896" s="38"/>
      <c r="G3896" s="38"/>
      <c r="H3896" s="38"/>
      <c r="I3896" s="37"/>
      <c r="J3896" s="38"/>
      <c r="K3896" s="38"/>
      <c r="L3896" s="42"/>
      <c r="M3896" s="42"/>
      <c r="N3896" s="42"/>
      <c r="O3896" s="42"/>
      <c r="R3896" s="37"/>
      <c r="S3896" s="37"/>
      <c r="T3896" s="91"/>
      <c r="U3896" s="91"/>
      <c r="V3896" s="41"/>
      <c r="W3896" s="37"/>
      <c r="X3896" s="37"/>
      <c r="Y3896" s="43"/>
      <c r="Z3896" s="37"/>
      <c r="AA3896" s="37"/>
      <c r="AD3896" s="37"/>
      <c r="AE3896" s="37"/>
      <c r="AF3896" s="37"/>
    </row>
    <row r="3897" spans="1:32" x14ac:dyDescent="0.25">
      <c r="A3897" s="37"/>
      <c r="B3897" s="37"/>
      <c r="C3897" s="37"/>
      <c r="F3897" s="38"/>
      <c r="G3897" s="38"/>
      <c r="H3897" s="38"/>
      <c r="I3897" s="37"/>
      <c r="J3897" s="38"/>
      <c r="K3897" s="38"/>
      <c r="L3897" s="42"/>
      <c r="M3897" s="42"/>
      <c r="N3897" s="42"/>
      <c r="O3897" s="42"/>
      <c r="R3897" s="37"/>
      <c r="S3897" s="37"/>
      <c r="T3897" s="91"/>
      <c r="U3897" s="91"/>
      <c r="V3897" s="41"/>
      <c r="W3897" s="37"/>
      <c r="X3897" s="37"/>
      <c r="Y3897" s="43"/>
      <c r="Z3897" s="37"/>
      <c r="AA3897" s="37"/>
      <c r="AD3897" s="37"/>
      <c r="AE3897" s="37"/>
      <c r="AF3897" s="37"/>
    </row>
    <row r="3898" spans="1:32" x14ac:dyDescent="0.25">
      <c r="A3898" s="37"/>
      <c r="B3898" s="37"/>
      <c r="C3898" s="37"/>
      <c r="F3898" s="38"/>
      <c r="G3898" s="38"/>
      <c r="H3898" s="38"/>
      <c r="I3898" s="37"/>
      <c r="J3898" s="38"/>
      <c r="K3898" s="38"/>
      <c r="L3898" s="42"/>
      <c r="M3898" s="42"/>
      <c r="N3898" s="42"/>
      <c r="O3898" s="42"/>
      <c r="R3898" s="37"/>
      <c r="S3898" s="37"/>
      <c r="T3898" s="91"/>
      <c r="U3898" s="91"/>
      <c r="V3898" s="41"/>
      <c r="W3898" s="37"/>
      <c r="X3898" s="37"/>
      <c r="Y3898" s="43"/>
      <c r="Z3898" s="37"/>
      <c r="AA3898" s="37"/>
      <c r="AD3898" s="37"/>
      <c r="AE3898" s="37"/>
      <c r="AF3898" s="37"/>
    </row>
    <row r="3899" spans="1:32" x14ac:dyDescent="0.25">
      <c r="A3899" s="37"/>
      <c r="B3899" s="37"/>
      <c r="C3899" s="37"/>
      <c r="F3899" s="38"/>
      <c r="G3899" s="38"/>
      <c r="H3899" s="38"/>
      <c r="I3899" s="37"/>
      <c r="J3899" s="38"/>
      <c r="K3899" s="38"/>
      <c r="L3899" s="42"/>
      <c r="M3899" s="42"/>
      <c r="N3899" s="42"/>
      <c r="O3899" s="42"/>
      <c r="R3899" s="37"/>
      <c r="S3899" s="37"/>
      <c r="T3899" s="91"/>
      <c r="U3899" s="91"/>
      <c r="V3899" s="41"/>
      <c r="W3899" s="37"/>
      <c r="X3899" s="37"/>
      <c r="Y3899" s="43"/>
      <c r="Z3899" s="37"/>
      <c r="AA3899" s="37"/>
      <c r="AD3899" s="37"/>
      <c r="AE3899" s="37"/>
      <c r="AF3899" s="37"/>
    </row>
    <row r="3900" spans="1:32" x14ac:dyDescent="0.25">
      <c r="A3900" s="37"/>
      <c r="B3900" s="37"/>
      <c r="C3900" s="37"/>
      <c r="F3900" s="38"/>
      <c r="G3900" s="38"/>
      <c r="H3900" s="38"/>
      <c r="I3900" s="37"/>
      <c r="J3900" s="38"/>
      <c r="K3900" s="38"/>
      <c r="L3900" s="42"/>
      <c r="M3900" s="42"/>
      <c r="N3900" s="42"/>
      <c r="O3900" s="42"/>
      <c r="R3900" s="37"/>
      <c r="S3900" s="37"/>
      <c r="T3900" s="91"/>
      <c r="U3900" s="91"/>
      <c r="V3900" s="41"/>
      <c r="W3900" s="37"/>
      <c r="X3900" s="37"/>
      <c r="Y3900" s="43"/>
      <c r="Z3900" s="37"/>
      <c r="AA3900" s="37"/>
      <c r="AD3900" s="37"/>
      <c r="AE3900" s="37"/>
      <c r="AF3900" s="37"/>
    </row>
    <row r="3901" spans="1:32" x14ac:dyDescent="0.25">
      <c r="A3901" s="37"/>
      <c r="B3901" s="37"/>
      <c r="C3901" s="37"/>
      <c r="F3901" s="38"/>
      <c r="G3901" s="38"/>
      <c r="H3901" s="38"/>
      <c r="I3901" s="37"/>
      <c r="J3901" s="38"/>
      <c r="K3901" s="38"/>
      <c r="L3901" s="42"/>
      <c r="M3901" s="42"/>
      <c r="N3901" s="42"/>
      <c r="O3901" s="42"/>
      <c r="R3901" s="37"/>
      <c r="S3901" s="37"/>
      <c r="T3901" s="91"/>
      <c r="U3901" s="91"/>
      <c r="V3901" s="41"/>
      <c r="W3901" s="37"/>
      <c r="X3901" s="37"/>
      <c r="Y3901" s="43"/>
      <c r="Z3901" s="37"/>
      <c r="AA3901" s="37"/>
      <c r="AD3901" s="37"/>
      <c r="AE3901" s="37"/>
      <c r="AF3901" s="37"/>
    </row>
    <row r="3902" spans="1:32" x14ac:dyDescent="0.25">
      <c r="A3902" s="37"/>
      <c r="B3902" s="37"/>
      <c r="C3902" s="37"/>
      <c r="F3902" s="38"/>
      <c r="G3902" s="38"/>
      <c r="H3902" s="38"/>
      <c r="I3902" s="37"/>
      <c r="J3902" s="38"/>
      <c r="K3902" s="38"/>
      <c r="L3902" s="42"/>
      <c r="M3902" s="42"/>
      <c r="N3902" s="42"/>
      <c r="O3902" s="42"/>
      <c r="R3902" s="37"/>
      <c r="S3902" s="37"/>
      <c r="T3902" s="91"/>
      <c r="U3902" s="91"/>
      <c r="V3902" s="41"/>
      <c r="W3902" s="37"/>
      <c r="X3902" s="37"/>
      <c r="Y3902" s="43"/>
      <c r="Z3902" s="37"/>
      <c r="AA3902" s="37"/>
      <c r="AD3902" s="37"/>
      <c r="AE3902" s="37"/>
      <c r="AF3902" s="37"/>
    </row>
    <row r="3903" spans="1:32" x14ac:dyDescent="0.25">
      <c r="A3903" s="37"/>
      <c r="B3903" s="37"/>
      <c r="C3903" s="37"/>
      <c r="F3903" s="38"/>
      <c r="G3903" s="38"/>
      <c r="H3903" s="38"/>
      <c r="I3903" s="37"/>
      <c r="J3903" s="38"/>
      <c r="K3903" s="38"/>
      <c r="L3903" s="42"/>
      <c r="M3903" s="42"/>
      <c r="N3903" s="42"/>
      <c r="O3903" s="42"/>
      <c r="R3903" s="37"/>
      <c r="S3903" s="37"/>
      <c r="T3903" s="91"/>
      <c r="U3903" s="91"/>
      <c r="V3903" s="41"/>
      <c r="W3903" s="37"/>
      <c r="X3903" s="37"/>
      <c r="Y3903" s="43"/>
      <c r="Z3903" s="37"/>
      <c r="AA3903" s="37"/>
      <c r="AD3903" s="37"/>
      <c r="AE3903" s="37"/>
      <c r="AF3903" s="37"/>
    </row>
    <row r="3904" spans="1:32" x14ac:dyDescent="0.25">
      <c r="A3904" s="37"/>
      <c r="B3904" s="37"/>
      <c r="C3904" s="37"/>
      <c r="F3904" s="38"/>
      <c r="G3904" s="38"/>
      <c r="H3904" s="38"/>
      <c r="I3904" s="37"/>
      <c r="J3904" s="38"/>
      <c r="K3904" s="38"/>
      <c r="L3904" s="42"/>
      <c r="M3904" s="42"/>
      <c r="N3904" s="42"/>
      <c r="O3904" s="42"/>
      <c r="R3904" s="37"/>
      <c r="S3904" s="37"/>
      <c r="T3904" s="91"/>
      <c r="U3904" s="91"/>
      <c r="V3904" s="41"/>
      <c r="W3904" s="37"/>
      <c r="X3904" s="37"/>
      <c r="Y3904" s="43"/>
      <c r="Z3904" s="37"/>
      <c r="AA3904" s="37"/>
      <c r="AD3904" s="37"/>
      <c r="AE3904" s="37"/>
      <c r="AF3904" s="37"/>
    </row>
    <row r="3905" spans="1:32" x14ac:dyDescent="0.25">
      <c r="A3905" s="37"/>
      <c r="B3905" s="37"/>
      <c r="C3905" s="37"/>
      <c r="F3905" s="38"/>
      <c r="G3905" s="38"/>
      <c r="H3905" s="38"/>
      <c r="I3905" s="37"/>
      <c r="J3905" s="38"/>
      <c r="K3905" s="38"/>
      <c r="L3905" s="42"/>
      <c r="M3905" s="42"/>
      <c r="N3905" s="42"/>
      <c r="O3905" s="42"/>
      <c r="R3905" s="37"/>
      <c r="S3905" s="37"/>
      <c r="T3905" s="91"/>
      <c r="U3905" s="91"/>
      <c r="V3905" s="41"/>
      <c r="W3905" s="37"/>
      <c r="X3905" s="37"/>
      <c r="Y3905" s="43"/>
      <c r="Z3905" s="37"/>
      <c r="AA3905" s="37"/>
      <c r="AD3905" s="37"/>
      <c r="AE3905" s="37"/>
      <c r="AF3905" s="37"/>
    </row>
    <row r="3906" spans="1:32" x14ac:dyDescent="0.25">
      <c r="A3906" s="37"/>
      <c r="B3906" s="37"/>
      <c r="C3906" s="37"/>
      <c r="F3906" s="38"/>
      <c r="G3906" s="38"/>
      <c r="H3906" s="38"/>
      <c r="I3906" s="37"/>
      <c r="J3906" s="38"/>
      <c r="K3906" s="38"/>
      <c r="L3906" s="42"/>
      <c r="M3906" s="42"/>
      <c r="N3906" s="42"/>
      <c r="O3906" s="42"/>
      <c r="R3906" s="37"/>
      <c r="S3906" s="37"/>
      <c r="T3906" s="91"/>
      <c r="U3906" s="91"/>
      <c r="V3906" s="41"/>
      <c r="W3906" s="37"/>
      <c r="X3906" s="37"/>
      <c r="Y3906" s="43"/>
      <c r="Z3906" s="37"/>
      <c r="AA3906" s="37"/>
      <c r="AD3906" s="37"/>
      <c r="AE3906" s="37"/>
      <c r="AF3906" s="37"/>
    </row>
    <row r="3907" spans="1:32" x14ac:dyDescent="0.25">
      <c r="A3907" s="37"/>
      <c r="B3907" s="37"/>
      <c r="C3907" s="37"/>
      <c r="F3907" s="38"/>
      <c r="G3907" s="38"/>
      <c r="H3907" s="38"/>
      <c r="I3907" s="37"/>
      <c r="J3907" s="38"/>
      <c r="K3907" s="38"/>
      <c r="L3907" s="42"/>
      <c r="M3907" s="42"/>
      <c r="N3907" s="42"/>
      <c r="O3907" s="42"/>
      <c r="R3907" s="37"/>
      <c r="S3907" s="37"/>
      <c r="T3907" s="91"/>
      <c r="U3907" s="91"/>
      <c r="V3907" s="41"/>
      <c r="W3907" s="37"/>
      <c r="X3907" s="37"/>
      <c r="Y3907" s="43"/>
      <c r="Z3907" s="37"/>
      <c r="AA3907" s="37"/>
      <c r="AD3907" s="37"/>
      <c r="AE3907" s="37"/>
      <c r="AF3907" s="37"/>
    </row>
    <row r="3908" spans="1:32" x14ac:dyDescent="0.25">
      <c r="A3908" s="37"/>
      <c r="B3908" s="37"/>
      <c r="C3908" s="37"/>
      <c r="F3908" s="38"/>
      <c r="G3908" s="38"/>
      <c r="H3908" s="38"/>
      <c r="I3908" s="37"/>
      <c r="J3908" s="38"/>
      <c r="K3908" s="38"/>
      <c r="L3908" s="42"/>
      <c r="M3908" s="42"/>
      <c r="N3908" s="42"/>
      <c r="O3908" s="42"/>
      <c r="R3908" s="37"/>
      <c r="S3908" s="37"/>
      <c r="T3908" s="91"/>
      <c r="U3908" s="91"/>
      <c r="V3908" s="41"/>
      <c r="W3908" s="37"/>
      <c r="X3908" s="37"/>
      <c r="Y3908" s="43"/>
      <c r="Z3908" s="37"/>
      <c r="AA3908" s="37"/>
      <c r="AD3908" s="37"/>
      <c r="AE3908" s="37"/>
      <c r="AF3908" s="37"/>
    </row>
    <row r="3909" spans="1:32" x14ac:dyDescent="0.25">
      <c r="A3909" s="37"/>
      <c r="B3909" s="37"/>
      <c r="C3909" s="37"/>
      <c r="F3909" s="38"/>
      <c r="G3909" s="38"/>
      <c r="H3909" s="38"/>
      <c r="I3909" s="37"/>
      <c r="J3909" s="38"/>
      <c r="K3909" s="38"/>
      <c r="L3909" s="42"/>
      <c r="M3909" s="42"/>
      <c r="N3909" s="42"/>
      <c r="O3909" s="42"/>
      <c r="R3909" s="37"/>
      <c r="S3909" s="37"/>
      <c r="T3909" s="91"/>
      <c r="U3909" s="91"/>
      <c r="V3909" s="41"/>
      <c r="W3909" s="37"/>
      <c r="X3909" s="37"/>
      <c r="Y3909" s="43"/>
      <c r="Z3909" s="37"/>
      <c r="AA3909" s="37"/>
      <c r="AD3909" s="37"/>
      <c r="AE3909" s="37"/>
      <c r="AF3909" s="37"/>
    </row>
    <row r="3910" spans="1:32" x14ac:dyDescent="0.25">
      <c r="A3910" s="37"/>
      <c r="B3910" s="37"/>
      <c r="C3910" s="37"/>
      <c r="F3910" s="38"/>
      <c r="G3910" s="38"/>
      <c r="H3910" s="38"/>
      <c r="I3910" s="37"/>
      <c r="J3910" s="38"/>
      <c r="K3910" s="38"/>
      <c r="L3910" s="42"/>
      <c r="M3910" s="42"/>
      <c r="N3910" s="42"/>
      <c r="O3910" s="42"/>
      <c r="R3910" s="37"/>
      <c r="S3910" s="37"/>
      <c r="T3910" s="91"/>
      <c r="U3910" s="91"/>
      <c r="V3910" s="41"/>
      <c r="W3910" s="37"/>
      <c r="X3910" s="37"/>
      <c r="Y3910" s="43"/>
      <c r="Z3910" s="37"/>
      <c r="AA3910" s="37"/>
      <c r="AD3910" s="37"/>
      <c r="AE3910" s="37"/>
      <c r="AF3910" s="37"/>
    </row>
    <row r="3911" spans="1:32" x14ac:dyDescent="0.25">
      <c r="A3911" s="37"/>
      <c r="B3911" s="37"/>
      <c r="C3911" s="37"/>
      <c r="F3911" s="38"/>
      <c r="G3911" s="38"/>
      <c r="H3911" s="38"/>
      <c r="I3911" s="37"/>
      <c r="J3911" s="38"/>
      <c r="K3911" s="38"/>
      <c r="L3911" s="42"/>
      <c r="M3911" s="42"/>
      <c r="N3911" s="42"/>
      <c r="O3911" s="42"/>
      <c r="R3911" s="37"/>
      <c r="S3911" s="37"/>
      <c r="T3911" s="91"/>
      <c r="U3911" s="91"/>
      <c r="V3911" s="41"/>
      <c r="W3911" s="37"/>
      <c r="X3911" s="37"/>
      <c r="Y3911" s="43"/>
      <c r="Z3911" s="37"/>
      <c r="AA3911" s="37"/>
      <c r="AD3911" s="37"/>
      <c r="AE3911" s="37"/>
      <c r="AF3911" s="37"/>
    </row>
    <row r="3912" spans="1:32" x14ac:dyDescent="0.25">
      <c r="A3912" s="37"/>
      <c r="B3912" s="37"/>
      <c r="C3912" s="37"/>
      <c r="F3912" s="38"/>
      <c r="G3912" s="38"/>
      <c r="H3912" s="38"/>
      <c r="I3912" s="37"/>
      <c r="J3912" s="38"/>
      <c r="K3912" s="38"/>
      <c r="L3912" s="42"/>
      <c r="M3912" s="42"/>
      <c r="N3912" s="42"/>
      <c r="O3912" s="42"/>
      <c r="R3912" s="37"/>
      <c r="S3912" s="37"/>
      <c r="T3912" s="91"/>
      <c r="U3912" s="91"/>
      <c r="V3912" s="41"/>
      <c r="W3912" s="37"/>
      <c r="X3912" s="37"/>
      <c r="Y3912" s="43"/>
      <c r="Z3912" s="37"/>
      <c r="AA3912" s="37"/>
      <c r="AD3912" s="37"/>
      <c r="AE3912" s="37"/>
      <c r="AF3912" s="37"/>
    </row>
    <row r="3913" spans="1:32" x14ac:dyDescent="0.25">
      <c r="A3913" s="37"/>
      <c r="B3913" s="37"/>
      <c r="C3913" s="37"/>
      <c r="F3913" s="38"/>
      <c r="G3913" s="38"/>
      <c r="H3913" s="38"/>
      <c r="I3913" s="37"/>
      <c r="J3913" s="38"/>
      <c r="K3913" s="38"/>
      <c r="L3913" s="42"/>
      <c r="M3913" s="42"/>
      <c r="N3913" s="42"/>
      <c r="O3913" s="42"/>
      <c r="R3913" s="37"/>
      <c r="S3913" s="37"/>
      <c r="T3913" s="91"/>
      <c r="U3913" s="91"/>
      <c r="V3913" s="41"/>
      <c r="W3913" s="37"/>
      <c r="X3913" s="37"/>
      <c r="Y3913" s="43"/>
      <c r="Z3913" s="37"/>
      <c r="AA3913" s="37"/>
      <c r="AD3913" s="37"/>
      <c r="AE3913" s="37"/>
      <c r="AF3913" s="37"/>
    </row>
    <row r="3914" spans="1:32" x14ac:dyDescent="0.25">
      <c r="A3914" s="37"/>
      <c r="B3914" s="37"/>
      <c r="C3914" s="37"/>
      <c r="F3914" s="38"/>
      <c r="G3914" s="38"/>
      <c r="H3914" s="38"/>
      <c r="I3914" s="37"/>
      <c r="J3914" s="38"/>
      <c r="K3914" s="38"/>
      <c r="L3914" s="42"/>
      <c r="M3914" s="42"/>
      <c r="N3914" s="42"/>
      <c r="O3914" s="42"/>
      <c r="R3914" s="37"/>
      <c r="S3914" s="37"/>
      <c r="T3914" s="91"/>
      <c r="U3914" s="91"/>
      <c r="V3914" s="41"/>
      <c r="W3914" s="37"/>
      <c r="X3914" s="37"/>
      <c r="Y3914" s="43"/>
      <c r="Z3914" s="37"/>
      <c r="AA3914" s="37"/>
      <c r="AD3914" s="37"/>
      <c r="AE3914" s="37"/>
      <c r="AF3914" s="37"/>
    </row>
    <row r="3915" spans="1:32" x14ac:dyDescent="0.25">
      <c r="A3915" s="37"/>
      <c r="B3915" s="37"/>
      <c r="C3915" s="37"/>
      <c r="F3915" s="38"/>
      <c r="G3915" s="38"/>
      <c r="H3915" s="38"/>
      <c r="I3915" s="37"/>
      <c r="J3915" s="38"/>
      <c r="K3915" s="38"/>
      <c r="L3915" s="42"/>
      <c r="M3915" s="42"/>
      <c r="N3915" s="42"/>
      <c r="O3915" s="42"/>
      <c r="R3915" s="37"/>
      <c r="S3915" s="37"/>
      <c r="T3915" s="91"/>
      <c r="U3915" s="91"/>
      <c r="V3915" s="41"/>
      <c r="W3915" s="37"/>
      <c r="X3915" s="37"/>
      <c r="Y3915" s="43"/>
      <c r="Z3915" s="37"/>
      <c r="AA3915" s="37"/>
      <c r="AD3915" s="37"/>
      <c r="AE3915" s="37"/>
      <c r="AF3915" s="37"/>
    </row>
    <row r="3916" spans="1:32" x14ac:dyDescent="0.25">
      <c r="A3916" s="37"/>
      <c r="B3916" s="37"/>
      <c r="C3916" s="37"/>
      <c r="F3916" s="38"/>
      <c r="G3916" s="38"/>
      <c r="H3916" s="38"/>
      <c r="I3916" s="37"/>
      <c r="J3916" s="38"/>
      <c r="K3916" s="38"/>
      <c r="L3916" s="42"/>
      <c r="M3916" s="42"/>
      <c r="N3916" s="42"/>
      <c r="O3916" s="42"/>
      <c r="R3916" s="37"/>
      <c r="S3916" s="37"/>
      <c r="T3916" s="91"/>
      <c r="U3916" s="91"/>
      <c r="V3916" s="41"/>
      <c r="W3916" s="37"/>
      <c r="X3916" s="37"/>
      <c r="Y3916" s="43"/>
      <c r="Z3916" s="37"/>
      <c r="AA3916" s="37"/>
      <c r="AD3916" s="37"/>
      <c r="AE3916" s="37"/>
      <c r="AF3916" s="37"/>
    </row>
    <row r="3917" spans="1:32" x14ac:dyDescent="0.25">
      <c r="A3917" s="37"/>
      <c r="B3917" s="37"/>
      <c r="C3917" s="37"/>
      <c r="F3917" s="38"/>
      <c r="G3917" s="38"/>
      <c r="H3917" s="38"/>
      <c r="I3917" s="37"/>
      <c r="J3917" s="38"/>
      <c r="K3917" s="38"/>
      <c r="L3917" s="42"/>
      <c r="M3917" s="42"/>
      <c r="N3917" s="42"/>
      <c r="O3917" s="42"/>
      <c r="R3917" s="37"/>
      <c r="S3917" s="37"/>
      <c r="T3917" s="91"/>
      <c r="U3917" s="91"/>
      <c r="V3917" s="41"/>
      <c r="W3917" s="37"/>
      <c r="X3917" s="37"/>
      <c r="Y3917" s="43"/>
      <c r="Z3917" s="37"/>
      <c r="AA3917" s="37"/>
      <c r="AD3917" s="37"/>
      <c r="AE3917" s="37"/>
      <c r="AF3917" s="37"/>
    </row>
    <row r="3918" spans="1:32" x14ac:dyDescent="0.25">
      <c r="A3918" s="37"/>
      <c r="B3918" s="37"/>
      <c r="C3918" s="37"/>
      <c r="F3918" s="38"/>
      <c r="G3918" s="38"/>
      <c r="H3918" s="38"/>
      <c r="I3918" s="37"/>
      <c r="J3918" s="38"/>
      <c r="K3918" s="38"/>
      <c r="L3918" s="42"/>
      <c r="M3918" s="42"/>
      <c r="N3918" s="42"/>
      <c r="O3918" s="42"/>
      <c r="R3918" s="37"/>
      <c r="S3918" s="37"/>
      <c r="T3918" s="91"/>
      <c r="U3918" s="91"/>
      <c r="V3918" s="41"/>
      <c r="W3918" s="37"/>
      <c r="X3918" s="37"/>
      <c r="Y3918" s="43"/>
      <c r="Z3918" s="37"/>
      <c r="AA3918" s="37"/>
      <c r="AD3918" s="37"/>
      <c r="AE3918" s="37"/>
      <c r="AF3918" s="37"/>
    </row>
    <row r="3919" spans="1:32" x14ac:dyDescent="0.25">
      <c r="A3919" s="37"/>
      <c r="B3919" s="37"/>
      <c r="C3919" s="37"/>
      <c r="F3919" s="38"/>
      <c r="G3919" s="38"/>
      <c r="H3919" s="38"/>
      <c r="I3919" s="37"/>
      <c r="J3919" s="38"/>
      <c r="K3919" s="38"/>
      <c r="L3919" s="42"/>
      <c r="M3919" s="42"/>
      <c r="N3919" s="42"/>
      <c r="O3919" s="42"/>
      <c r="R3919" s="37"/>
      <c r="S3919" s="37"/>
      <c r="T3919" s="91"/>
      <c r="U3919" s="91"/>
      <c r="V3919" s="41"/>
      <c r="W3919" s="37"/>
      <c r="X3919" s="37"/>
      <c r="Y3919" s="43"/>
      <c r="Z3919" s="37"/>
      <c r="AA3919" s="37"/>
      <c r="AD3919" s="37"/>
      <c r="AE3919" s="37"/>
      <c r="AF3919" s="37"/>
    </row>
    <row r="3920" spans="1:32" x14ac:dyDescent="0.25">
      <c r="A3920" s="37"/>
      <c r="B3920" s="37"/>
      <c r="C3920" s="37"/>
      <c r="F3920" s="38"/>
      <c r="G3920" s="38"/>
      <c r="H3920" s="38"/>
      <c r="I3920" s="37"/>
      <c r="J3920" s="38"/>
      <c r="K3920" s="38"/>
      <c r="L3920" s="42"/>
      <c r="M3920" s="42"/>
      <c r="N3920" s="42"/>
      <c r="O3920" s="42"/>
      <c r="R3920" s="37"/>
      <c r="S3920" s="37"/>
      <c r="T3920" s="91"/>
      <c r="U3920" s="91"/>
      <c r="V3920" s="41"/>
      <c r="W3920" s="37"/>
      <c r="X3920" s="37"/>
      <c r="Y3920" s="43"/>
      <c r="Z3920" s="37"/>
      <c r="AA3920" s="37"/>
      <c r="AD3920" s="37"/>
      <c r="AE3920" s="37"/>
      <c r="AF3920" s="37"/>
    </row>
    <row r="3921" spans="1:32" x14ac:dyDescent="0.25">
      <c r="A3921" s="37"/>
      <c r="B3921" s="37"/>
      <c r="C3921" s="37"/>
      <c r="F3921" s="38"/>
      <c r="G3921" s="38"/>
      <c r="H3921" s="38"/>
      <c r="I3921" s="37"/>
      <c r="J3921" s="38"/>
      <c r="K3921" s="38"/>
      <c r="L3921" s="42"/>
      <c r="M3921" s="42"/>
      <c r="N3921" s="42"/>
      <c r="O3921" s="42"/>
      <c r="R3921" s="37"/>
      <c r="S3921" s="37"/>
      <c r="T3921" s="91"/>
      <c r="U3921" s="91"/>
      <c r="V3921" s="41"/>
      <c r="W3921" s="37"/>
      <c r="X3921" s="37"/>
      <c r="Y3921" s="43"/>
      <c r="Z3921" s="37"/>
      <c r="AA3921" s="37"/>
      <c r="AD3921" s="37"/>
      <c r="AE3921" s="37"/>
      <c r="AF3921" s="37"/>
    </row>
    <row r="3922" spans="1:32" x14ac:dyDescent="0.25">
      <c r="A3922" s="37"/>
      <c r="B3922" s="37"/>
      <c r="C3922" s="37"/>
      <c r="F3922" s="38"/>
      <c r="G3922" s="38"/>
      <c r="H3922" s="38"/>
      <c r="I3922" s="37"/>
      <c r="J3922" s="38"/>
      <c r="K3922" s="38"/>
      <c r="L3922" s="42"/>
      <c r="M3922" s="42"/>
      <c r="N3922" s="42"/>
      <c r="O3922" s="42"/>
      <c r="R3922" s="37"/>
      <c r="S3922" s="37"/>
      <c r="T3922" s="91"/>
      <c r="U3922" s="91"/>
      <c r="V3922" s="41"/>
      <c r="W3922" s="37"/>
      <c r="X3922" s="37"/>
      <c r="Y3922" s="43"/>
      <c r="Z3922" s="37"/>
      <c r="AA3922" s="37"/>
      <c r="AD3922" s="37"/>
      <c r="AE3922" s="37"/>
      <c r="AF3922" s="37"/>
    </row>
    <row r="3923" spans="1:32" x14ac:dyDescent="0.25">
      <c r="A3923" s="37"/>
      <c r="B3923" s="37"/>
      <c r="C3923" s="37"/>
      <c r="F3923" s="38"/>
      <c r="G3923" s="38"/>
      <c r="H3923" s="38"/>
      <c r="I3923" s="37"/>
      <c r="J3923" s="38"/>
      <c r="K3923" s="38"/>
      <c r="L3923" s="42"/>
      <c r="M3923" s="42"/>
      <c r="N3923" s="42"/>
      <c r="O3923" s="42"/>
      <c r="R3923" s="37"/>
      <c r="S3923" s="37"/>
      <c r="T3923" s="91"/>
      <c r="U3923" s="91"/>
      <c r="V3923" s="41"/>
      <c r="W3923" s="37"/>
      <c r="X3923" s="37"/>
      <c r="Y3923" s="43"/>
      <c r="Z3923" s="37"/>
      <c r="AA3923" s="37"/>
      <c r="AD3923" s="37"/>
      <c r="AE3923" s="37"/>
      <c r="AF3923" s="37"/>
    </row>
    <row r="3924" spans="1:32" x14ac:dyDescent="0.25">
      <c r="A3924" s="37"/>
      <c r="B3924" s="37"/>
      <c r="C3924" s="37"/>
      <c r="F3924" s="38"/>
      <c r="G3924" s="38"/>
      <c r="H3924" s="38"/>
      <c r="I3924" s="37"/>
      <c r="J3924" s="38"/>
      <c r="K3924" s="38"/>
      <c r="L3924" s="42"/>
      <c r="M3924" s="42"/>
      <c r="N3924" s="42"/>
      <c r="O3924" s="42"/>
      <c r="R3924" s="37"/>
      <c r="S3924" s="37"/>
      <c r="T3924" s="91"/>
      <c r="U3924" s="91"/>
      <c r="V3924" s="41"/>
      <c r="W3924" s="37"/>
      <c r="X3924" s="37"/>
      <c r="Y3924" s="43"/>
      <c r="Z3924" s="37"/>
      <c r="AA3924" s="37"/>
      <c r="AD3924" s="37"/>
      <c r="AE3924" s="37"/>
      <c r="AF3924" s="37"/>
    </row>
    <row r="3925" spans="1:32" x14ac:dyDescent="0.25">
      <c r="A3925" s="37"/>
      <c r="B3925" s="37"/>
      <c r="C3925" s="37"/>
      <c r="F3925" s="38"/>
      <c r="G3925" s="38"/>
      <c r="H3925" s="38"/>
      <c r="I3925" s="37"/>
      <c r="J3925" s="38"/>
      <c r="K3925" s="38"/>
      <c r="L3925" s="42"/>
      <c r="M3925" s="42"/>
      <c r="N3925" s="42"/>
      <c r="O3925" s="42"/>
      <c r="R3925" s="37"/>
      <c r="S3925" s="37"/>
      <c r="T3925" s="91"/>
      <c r="U3925" s="91"/>
      <c r="V3925" s="41"/>
      <c r="W3925" s="37"/>
      <c r="X3925" s="37"/>
      <c r="Y3925" s="43"/>
      <c r="Z3925" s="37"/>
      <c r="AA3925" s="37"/>
      <c r="AD3925" s="37"/>
      <c r="AE3925" s="37"/>
      <c r="AF3925" s="37"/>
    </row>
    <row r="3926" spans="1:32" x14ac:dyDescent="0.25">
      <c r="A3926" s="37"/>
      <c r="B3926" s="37"/>
      <c r="C3926" s="37"/>
      <c r="F3926" s="38"/>
      <c r="G3926" s="38"/>
      <c r="H3926" s="38"/>
      <c r="I3926" s="37"/>
      <c r="J3926" s="38"/>
      <c r="K3926" s="38"/>
      <c r="L3926" s="42"/>
      <c r="M3926" s="42"/>
      <c r="N3926" s="42"/>
      <c r="O3926" s="42"/>
      <c r="R3926" s="37"/>
      <c r="S3926" s="37"/>
      <c r="T3926" s="91"/>
      <c r="U3926" s="91"/>
      <c r="V3926" s="41"/>
      <c r="W3926" s="37"/>
      <c r="X3926" s="37"/>
      <c r="Y3926" s="43"/>
      <c r="Z3926" s="37"/>
      <c r="AA3926" s="37"/>
      <c r="AD3926" s="37"/>
      <c r="AE3926" s="37"/>
      <c r="AF3926" s="37"/>
    </row>
    <row r="3927" spans="1:32" x14ac:dyDescent="0.25">
      <c r="A3927" s="37"/>
      <c r="B3927" s="37"/>
      <c r="C3927" s="37"/>
      <c r="F3927" s="38"/>
      <c r="G3927" s="38"/>
      <c r="H3927" s="38"/>
      <c r="I3927" s="37"/>
      <c r="J3927" s="38"/>
      <c r="K3927" s="38"/>
      <c r="L3927" s="42"/>
      <c r="M3927" s="42"/>
      <c r="N3927" s="42"/>
      <c r="O3927" s="42"/>
      <c r="R3927" s="37"/>
      <c r="S3927" s="37"/>
      <c r="T3927" s="91"/>
      <c r="U3927" s="91"/>
      <c r="V3927" s="41"/>
      <c r="W3927" s="37"/>
      <c r="X3927" s="37"/>
      <c r="Y3927" s="43"/>
      <c r="Z3927" s="37"/>
      <c r="AA3927" s="37"/>
      <c r="AD3927" s="37"/>
      <c r="AE3927" s="37"/>
      <c r="AF3927" s="37"/>
    </row>
    <row r="3928" spans="1:32" x14ac:dyDescent="0.25">
      <c r="A3928" s="37"/>
      <c r="B3928" s="37"/>
      <c r="C3928" s="37"/>
      <c r="F3928" s="38"/>
      <c r="G3928" s="38"/>
      <c r="H3928" s="38"/>
      <c r="I3928" s="37"/>
      <c r="J3928" s="38"/>
      <c r="K3928" s="38"/>
      <c r="L3928" s="42"/>
      <c r="M3928" s="42"/>
      <c r="N3928" s="42"/>
      <c r="O3928" s="42"/>
      <c r="R3928" s="37"/>
      <c r="S3928" s="37"/>
      <c r="T3928" s="91"/>
      <c r="U3928" s="91"/>
      <c r="V3928" s="41"/>
      <c r="W3928" s="37"/>
      <c r="X3928" s="37"/>
      <c r="Y3928" s="43"/>
      <c r="Z3928" s="37"/>
      <c r="AA3928" s="37"/>
      <c r="AD3928" s="37"/>
      <c r="AE3928" s="37"/>
      <c r="AF3928" s="37"/>
    </row>
    <row r="3929" spans="1:32" x14ac:dyDescent="0.25">
      <c r="A3929" s="37"/>
      <c r="B3929" s="37"/>
      <c r="C3929" s="37"/>
      <c r="F3929" s="38"/>
      <c r="G3929" s="38"/>
      <c r="H3929" s="38"/>
      <c r="I3929" s="37"/>
      <c r="J3929" s="38"/>
      <c r="K3929" s="38"/>
      <c r="L3929" s="42"/>
      <c r="M3929" s="42"/>
      <c r="N3929" s="42"/>
      <c r="O3929" s="42"/>
      <c r="R3929" s="37"/>
      <c r="S3929" s="37"/>
      <c r="T3929" s="91"/>
      <c r="U3929" s="91"/>
      <c r="V3929" s="41"/>
      <c r="W3929" s="37"/>
      <c r="X3929" s="37"/>
      <c r="Y3929" s="43"/>
      <c r="Z3929" s="37"/>
      <c r="AA3929" s="37"/>
      <c r="AD3929" s="37"/>
      <c r="AE3929" s="37"/>
      <c r="AF3929" s="37"/>
    </row>
    <row r="3930" spans="1:32" x14ac:dyDescent="0.25">
      <c r="A3930" s="37"/>
      <c r="B3930" s="37"/>
      <c r="C3930" s="37"/>
      <c r="F3930" s="38"/>
      <c r="G3930" s="38"/>
      <c r="H3930" s="38"/>
      <c r="I3930" s="37"/>
      <c r="J3930" s="38"/>
      <c r="K3930" s="38"/>
      <c r="L3930" s="42"/>
      <c r="M3930" s="42"/>
      <c r="N3930" s="42"/>
      <c r="O3930" s="42"/>
      <c r="R3930" s="37"/>
      <c r="S3930" s="37"/>
      <c r="T3930" s="91"/>
      <c r="U3930" s="91"/>
      <c r="V3930" s="41"/>
      <c r="W3930" s="37"/>
      <c r="X3930" s="37"/>
      <c r="Y3930" s="43"/>
      <c r="Z3930" s="37"/>
      <c r="AA3930" s="37"/>
      <c r="AD3930" s="37"/>
      <c r="AE3930" s="37"/>
      <c r="AF3930" s="37"/>
    </row>
    <row r="3931" spans="1:32" x14ac:dyDescent="0.25">
      <c r="A3931" s="37"/>
      <c r="B3931" s="37"/>
      <c r="C3931" s="37"/>
      <c r="F3931" s="38"/>
      <c r="G3931" s="38"/>
      <c r="H3931" s="38"/>
      <c r="I3931" s="37"/>
      <c r="J3931" s="38"/>
      <c r="K3931" s="38"/>
      <c r="L3931" s="42"/>
      <c r="M3931" s="42"/>
      <c r="N3931" s="42"/>
      <c r="O3931" s="42"/>
      <c r="R3931" s="37"/>
      <c r="S3931" s="37"/>
      <c r="T3931" s="91"/>
      <c r="U3931" s="91"/>
      <c r="V3931" s="41"/>
      <c r="W3931" s="37"/>
      <c r="X3931" s="37"/>
      <c r="Y3931" s="43"/>
      <c r="Z3931" s="37"/>
      <c r="AA3931" s="37"/>
      <c r="AD3931" s="37"/>
      <c r="AE3931" s="37"/>
      <c r="AF3931" s="37"/>
    </row>
    <row r="3932" spans="1:32" x14ac:dyDescent="0.25">
      <c r="A3932" s="37"/>
      <c r="B3932" s="37"/>
      <c r="C3932" s="37"/>
      <c r="F3932" s="38"/>
      <c r="G3932" s="38"/>
      <c r="H3932" s="38"/>
      <c r="I3932" s="37"/>
      <c r="J3932" s="38"/>
      <c r="K3932" s="38"/>
      <c r="L3932" s="42"/>
      <c r="M3932" s="42"/>
      <c r="N3932" s="42"/>
      <c r="O3932" s="42"/>
      <c r="R3932" s="37"/>
      <c r="S3932" s="37"/>
      <c r="T3932" s="91"/>
      <c r="U3932" s="91"/>
      <c r="V3932" s="41"/>
      <c r="W3932" s="37"/>
      <c r="X3932" s="37"/>
      <c r="Y3932" s="43"/>
      <c r="Z3932" s="37"/>
      <c r="AA3932" s="37"/>
      <c r="AD3932" s="37"/>
      <c r="AE3932" s="37"/>
      <c r="AF3932" s="37"/>
    </row>
    <row r="3933" spans="1:32" x14ac:dyDescent="0.25">
      <c r="A3933" s="37"/>
      <c r="B3933" s="37"/>
      <c r="C3933" s="37"/>
      <c r="F3933" s="38"/>
      <c r="G3933" s="38"/>
      <c r="H3933" s="38"/>
      <c r="I3933" s="37"/>
      <c r="J3933" s="38"/>
      <c r="K3933" s="38"/>
      <c r="L3933" s="42"/>
      <c r="M3933" s="42"/>
      <c r="N3933" s="42"/>
      <c r="O3933" s="42"/>
      <c r="R3933" s="37"/>
      <c r="S3933" s="37"/>
      <c r="T3933" s="91"/>
      <c r="U3933" s="91"/>
      <c r="V3933" s="41"/>
      <c r="W3933" s="37"/>
      <c r="X3933" s="37"/>
      <c r="Y3933" s="43"/>
      <c r="Z3933" s="37"/>
      <c r="AA3933" s="37"/>
      <c r="AD3933" s="37"/>
      <c r="AE3933" s="37"/>
      <c r="AF3933" s="37"/>
    </row>
    <row r="3934" spans="1:32" x14ac:dyDescent="0.25">
      <c r="A3934" s="37"/>
      <c r="B3934" s="37"/>
      <c r="C3934" s="37"/>
      <c r="F3934" s="38"/>
      <c r="G3934" s="38"/>
      <c r="H3934" s="38"/>
      <c r="I3934" s="37"/>
      <c r="J3934" s="38"/>
      <c r="K3934" s="38"/>
      <c r="L3934" s="42"/>
      <c r="M3934" s="42"/>
      <c r="N3934" s="42"/>
      <c r="O3934" s="42"/>
      <c r="R3934" s="37"/>
      <c r="S3934" s="37"/>
      <c r="T3934" s="91"/>
      <c r="U3934" s="91"/>
      <c r="V3934" s="41"/>
      <c r="W3934" s="37"/>
      <c r="X3934" s="37"/>
      <c r="Y3934" s="43"/>
      <c r="Z3934" s="37"/>
      <c r="AA3934" s="37"/>
      <c r="AD3934" s="37"/>
      <c r="AE3934" s="37"/>
      <c r="AF3934" s="37"/>
    </row>
    <row r="3935" spans="1:32" x14ac:dyDescent="0.25">
      <c r="A3935" s="37"/>
      <c r="B3935" s="37"/>
      <c r="C3935" s="37"/>
      <c r="F3935" s="38"/>
      <c r="G3935" s="38"/>
      <c r="H3935" s="38"/>
      <c r="I3935" s="37"/>
      <c r="J3935" s="38"/>
      <c r="K3935" s="38"/>
      <c r="L3935" s="42"/>
      <c r="M3935" s="42"/>
      <c r="N3935" s="42"/>
      <c r="O3935" s="42"/>
      <c r="R3935" s="37"/>
      <c r="S3935" s="37"/>
      <c r="T3935" s="91"/>
      <c r="U3935" s="91"/>
      <c r="V3935" s="41"/>
      <c r="W3935" s="37"/>
      <c r="X3935" s="37"/>
      <c r="Y3935" s="43"/>
      <c r="Z3935" s="37"/>
      <c r="AA3935" s="37"/>
      <c r="AD3935" s="37"/>
      <c r="AE3935" s="37"/>
      <c r="AF3935" s="37"/>
    </row>
    <row r="3936" spans="1:32" x14ac:dyDescent="0.25">
      <c r="A3936" s="37"/>
      <c r="B3936" s="37"/>
      <c r="C3936" s="37"/>
      <c r="F3936" s="38"/>
      <c r="G3936" s="38"/>
      <c r="H3936" s="38"/>
      <c r="I3936" s="37"/>
      <c r="J3936" s="38"/>
      <c r="K3936" s="38"/>
      <c r="L3936" s="42"/>
      <c r="M3936" s="42"/>
      <c r="N3936" s="42"/>
      <c r="O3936" s="42"/>
      <c r="R3936" s="37"/>
      <c r="S3936" s="37"/>
      <c r="T3936" s="91"/>
      <c r="U3936" s="91"/>
      <c r="V3936" s="41"/>
      <c r="W3936" s="37"/>
      <c r="X3936" s="37"/>
      <c r="Y3936" s="43"/>
      <c r="Z3936" s="37"/>
      <c r="AA3936" s="37"/>
      <c r="AD3936" s="37"/>
      <c r="AE3936" s="37"/>
      <c r="AF3936" s="37"/>
    </row>
    <row r="3937" spans="1:32" x14ac:dyDescent="0.25">
      <c r="A3937" s="37"/>
      <c r="B3937" s="37"/>
      <c r="C3937" s="37"/>
      <c r="F3937" s="38"/>
      <c r="G3937" s="38"/>
      <c r="H3937" s="38"/>
      <c r="I3937" s="37"/>
      <c r="J3937" s="38"/>
      <c r="K3937" s="38"/>
      <c r="L3937" s="42"/>
      <c r="M3937" s="42"/>
      <c r="N3937" s="42"/>
      <c r="O3937" s="42"/>
      <c r="R3937" s="37"/>
      <c r="S3937" s="37"/>
      <c r="T3937" s="91"/>
      <c r="U3937" s="91"/>
      <c r="V3937" s="41"/>
      <c r="W3937" s="37"/>
      <c r="X3937" s="37"/>
      <c r="Y3937" s="43"/>
      <c r="Z3937" s="37"/>
      <c r="AA3937" s="37"/>
      <c r="AD3937" s="37"/>
      <c r="AE3937" s="37"/>
      <c r="AF3937" s="37"/>
    </row>
    <row r="3938" spans="1:32" x14ac:dyDescent="0.25">
      <c r="A3938" s="37"/>
      <c r="B3938" s="37"/>
      <c r="C3938" s="37"/>
      <c r="F3938" s="38"/>
      <c r="G3938" s="38"/>
      <c r="H3938" s="38"/>
      <c r="I3938" s="37"/>
      <c r="J3938" s="38"/>
      <c r="K3938" s="38"/>
      <c r="L3938" s="42"/>
      <c r="M3938" s="42"/>
      <c r="N3938" s="42"/>
      <c r="O3938" s="42"/>
      <c r="R3938" s="37"/>
      <c r="S3938" s="37"/>
      <c r="T3938" s="91"/>
      <c r="U3938" s="91"/>
      <c r="V3938" s="41"/>
      <c r="W3938" s="37"/>
      <c r="X3938" s="37"/>
      <c r="Y3938" s="43"/>
      <c r="Z3938" s="37"/>
      <c r="AA3938" s="37"/>
      <c r="AD3938" s="37"/>
      <c r="AE3938" s="37"/>
      <c r="AF3938" s="37"/>
    </row>
    <row r="3939" spans="1:32" x14ac:dyDescent="0.25">
      <c r="A3939" s="37"/>
      <c r="B3939" s="37"/>
      <c r="C3939" s="37"/>
      <c r="F3939" s="38"/>
      <c r="G3939" s="38"/>
      <c r="H3939" s="38"/>
      <c r="I3939" s="37"/>
      <c r="J3939" s="38"/>
      <c r="K3939" s="38"/>
      <c r="L3939" s="42"/>
      <c r="M3939" s="42"/>
      <c r="N3939" s="42"/>
      <c r="O3939" s="42"/>
      <c r="R3939" s="37"/>
      <c r="S3939" s="37"/>
      <c r="T3939" s="91"/>
      <c r="U3939" s="91"/>
      <c r="V3939" s="41"/>
      <c r="W3939" s="37"/>
      <c r="X3939" s="37"/>
      <c r="Y3939" s="43"/>
      <c r="Z3939" s="37"/>
      <c r="AA3939" s="37"/>
      <c r="AD3939" s="37"/>
      <c r="AE3939" s="37"/>
      <c r="AF3939" s="37"/>
    </row>
    <row r="3940" spans="1:32" x14ac:dyDescent="0.25">
      <c r="A3940" s="37"/>
      <c r="B3940" s="37"/>
      <c r="C3940" s="37"/>
      <c r="F3940" s="38"/>
      <c r="G3940" s="38"/>
      <c r="H3940" s="38"/>
      <c r="I3940" s="37"/>
      <c r="J3940" s="38"/>
      <c r="K3940" s="38"/>
      <c r="L3940" s="42"/>
      <c r="M3940" s="42"/>
      <c r="N3940" s="42"/>
      <c r="O3940" s="42"/>
      <c r="R3940" s="37"/>
      <c r="S3940" s="37"/>
      <c r="T3940" s="91"/>
      <c r="U3940" s="91"/>
      <c r="V3940" s="41"/>
      <c r="W3940" s="37"/>
      <c r="X3940" s="37"/>
      <c r="Y3940" s="43"/>
      <c r="Z3940" s="37"/>
      <c r="AA3940" s="37"/>
      <c r="AD3940" s="37"/>
      <c r="AE3940" s="37"/>
      <c r="AF3940" s="37"/>
    </row>
    <row r="3941" spans="1:32" x14ac:dyDescent="0.25">
      <c r="A3941" s="37"/>
      <c r="B3941" s="37"/>
      <c r="C3941" s="37"/>
      <c r="F3941" s="38"/>
      <c r="G3941" s="38"/>
      <c r="H3941" s="38"/>
      <c r="I3941" s="37"/>
      <c r="J3941" s="38"/>
      <c r="K3941" s="38"/>
      <c r="L3941" s="42"/>
      <c r="M3941" s="42"/>
      <c r="N3941" s="42"/>
      <c r="O3941" s="42"/>
      <c r="R3941" s="37"/>
      <c r="S3941" s="37"/>
      <c r="T3941" s="91"/>
      <c r="U3941" s="91"/>
      <c r="V3941" s="41"/>
      <c r="W3941" s="37"/>
      <c r="X3941" s="37"/>
      <c r="Y3941" s="43"/>
      <c r="Z3941" s="37"/>
      <c r="AA3941" s="37"/>
      <c r="AD3941" s="37"/>
      <c r="AE3941" s="37"/>
      <c r="AF3941" s="37"/>
    </row>
    <row r="3942" spans="1:32" x14ac:dyDescent="0.25">
      <c r="A3942" s="37"/>
      <c r="B3942" s="37"/>
      <c r="C3942" s="37"/>
      <c r="F3942" s="38"/>
      <c r="G3942" s="38"/>
      <c r="H3942" s="38"/>
      <c r="I3942" s="37"/>
      <c r="J3942" s="38"/>
      <c r="K3942" s="38"/>
      <c r="L3942" s="42"/>
      <c r="M3942" s="42"/>
      <c r="N3942" s="42"/>
      <c r="O3942" s="42"/>
      <c r="R3942" s="37"/>
      <c r="S3942" s="37"/>
      <c r="T3942" s="91"/>
      <c r="U3942" s="91"/>
      <c r="V3942" s="41"/>
      <c r="W3942" s="37"/>
      <c r="X3942" s="37"/>
      <c r="Y3942" s="43"/>
      <c r="Z3942" s="37"/>
      <c r="AA3942" s="37"/>
      <c r="AD3942" s="37"/>
      <c r="AE3942" s="37"/>
      <c r="AF3942" s="37"/>
    </row>
    <row r="3943" spans="1:32" x14ac:dyDescent="0.25">
      <c r="A3943" s="37"/>
      <c r="B3943" s="37"/>
      <c r="C3943" s="37"/>
      <c r="F3943" s="38"/>
      <c r="G3943" s="38"/>
      <c r="H3943" s="38"/>
      <c r="I3943" s="37"/>
      <c r="J3943" s="38"/>
      <c r="K3943" s="38"/>
      <c r="L3943" s="42"/>
      <c r="M3943" s="42"/>
      <c r="N3943" s="42"/>
      <c r="O3943" s="42"/>
      <c r="R3943" s="37"/>
      <c r="S3943" s="37"/>
      <c r="T3943" s="91"/>
      <c r="U3943" s="91"/>
      <c r="V3943" s="41"/>
      <c r="W3943" s="37"/>
      <c r="X3943" s="37"/>
      <c r="Y3943" s="43"/>
      <c r="Z3943" s="37"/>
      <c r="AA3943" s="37"/>
      <c r="AD3943" s="37"/>
      <c r="AE3943" s="37"/>
      <c r="AF3943" s="37"/>
    </row>
    <row r="3944" spans="1:32" x14ac:dyDescent="0.25">
      <c r="A3944" s="37"/>
      <c r="B3944" s="37"/>
      <c r="C3944" s="37"/>
      <c r="F3944" s="38"/>
      <c r="G3944" s="38"/>
      <c r="H3944" s="38"/>
      <c r="I3944" s="37"/>
      <c r="J3944" s="38"/>
      <c r="K3944" s="38"/>
      <c r="L3944" s="42"/>
      <c r="M3944" s="42"/>
      <c r="N3944" s="42"/>
      <c r="O3944" s="42"/>
      <c r="R3944" s="37"/>
      <c r="S3944" s="37"/>
      <c r="T3944" s="91"/>
      <c r="U3944" s="91"/>
      <c r="V3944" s="41"/>
      <c r="W3944" s="37"/>
      <c r="X3944" s="37"/>
      <c r="Y3944" s="43"/>
      <c r="Z3944" s="37"/>
      <c r="AA3944" s="37"/>
      <c r="AD3944" s="37"/>
      <c r="AE3944" s="37"/>
      <c r="AF3944" s="37"/>
    </row>
    <row r="3945" spans="1:32" x14ac:dyDescent="0.25">
      <c r="A3945" s="37"/>
      <c r="B3945" s="37"/>
      <c r="C3945" s="37"/>
      <c r="F3945" s="38"/>
      <c r="G3945" s="38"/>
      <c r="H3945" s="38"/>
      <c r="I3945" s="37"/>
      <c r="J3945" s="38"/>
      <c r="K3945" s="38"/>
      <c r="L3945" s="42"/>
      <c r="M3945" s="42"/>
      <c r="N3945" s="42"/>
      <c r="O3945" s="42"/>
      <c r="R3945" s="37"/>
      <c r="S3945" s="37"/>
      <c r="T3945" s="91"/>
      <c r="U3945" s="91"/>
      <c r="V3945" s="41"/>
      <c r="W3945" s="37"/>
      <c r="X3945" s="37"/>
      <c r="Y3945" s="43"/>
      <c r="Z3945" s="37"/>
      <c r="AA3945" s="37"/>
      <c r="AD3945" s="37"/>
      <c r="AE3945" s="37"/>
      <c r="AF3945" s="37"/>
    </row>
    <row r="3946" spans="1:32" x14ac:dyDescent="0.25">
      <c r="A3946" s="37"/>
      <c r="B3946" s="37"/>
      <c r="C3946" s="37"/>
      <c r="F3946" s="38"/>
      <c r="G3946" s="38"/>
      <c r="H3946" s="38"/>
      <c r="I3946" s="37"/>
      <c r="J3946" s="38"/>
      <c r="K3946" s="38"/>
      <c r="L3946" s="42"/>
      <c r="M3946" s="42"/>
      <c r="N3946" s="42"/>
      <c r="O3946" s="42"/>
      <c r="R3946" s="37"/>
      <c r="S3946" s="37"/>
      <c r="T3946" s="91"/>
      <c r="U3946" s="91"/>
      <c r="V3946" s="41"/>
      <c r="W3946" s="37"/>
      <c r="X3946" s="37"/>
      <c r="Y3946" s="43"/>
      <c r="Z3946" s="37"/>
      <c r="AA3946" s="37"/>
      <c r="AD3946" s="37"/>
      <c r="AE3946" s="37"/>
      <c r="AF3946" s="37"/>
    </row>
    <row r="3947" spans="1:32" x14ac:dyDescent="0.25">
      <c r="A3947" s="37"/>
      <c r="B3947" s="37"/>
      <c r="C3947" s="37"/>
      <c r="F3947" s="38"/>
      <c r="G3947" s="38"/>
      <c r="H3947" s="38"/>
      <c r="I3947" s="37"/>
      <c r="J3947" s="38"/>
      <c r="K3947" s="38"/>
      <c r="L3947" s="42"/>
      <c r="M3947" s="42"/>
      <c r="N3947" s="42"/>
      <c r="O3947" s="42"/>
      <c r="R3947" s="37"/>
      <c r="S3947" s="37"/>
      <c r="T3947" s="91"/>
      <c r="U3947" s="91"/>
      <c r="V3947" s="41"/>
      <c r="W3947" s="37"/>
      <c r="X3947" s="37"/>
      <c r="Y3947" s="43"/>
      <c r="Z3947" s="37"/>
      <c r="AA3947" s="37"/>
      <c r="AD3947" s="37"/>
      <c r="AE3947" s="37"/>
      <c r="AF3947" s="37"/>
    </row>
    <row r="3948" spans="1:32" x14ac:dyDescent="0.25">
      <c r="A3948" s="37"/>
      <c r="B3948" s="37"/>
      <c r="C3948" s="37"/>
      <c r="F3948" s="38"/>
      <c r="G3948" s="38"/>
      <c r="H3948" s="38"/>
      <c r="I3948" s="37"/>
      <c r="J3948" s="38"/>
      <c r="K3948" s="38"/>
      <c r="L3948" s="42"/>
      <c r="M3948" s="42"/>
      <c r="N3948" s="42"/>
      <c r="O3948" s="42"/>
      <c r="R3948" s="37"/>
      <c r="S3948" s="37"/>
      <c r="T3948" s="91"/>
      <c r="U3948" s="91"/>
      <c r="V3948" s="41"/>
      <c r="W3948" s="37"/>
      <c r="X3948" s="37"/>
      <c r="Y3948" s="43"/>
      <c r="Z3948" s="37"/>
      <c r="AA3948" s="37"/>
      <c r="AD3948" s="37"/>
      <c r="AE3948" s="37"/>
      <c r="AF3948" s="37"/>
    </row>
    <row r="3949" spans="1:32" x14ac:dyDescent="0.25">
      <c r="A3949" s="37"/>
      <c r="B3949" s="37"/>
      <c r="C3949" s="37"/>
      <c r="F3949" s="38"/>
      <c r="G3949" s="38"/>
      <c r="H3949" s="38"/>
      <c r="I3949" s="37"/>
      <c r="J3949" s="38"/>
      <c r="K3949" s="38"/>
      <c r="L3949" s="42"/>
      <c r="M3949" s="42"/>
      <c r="N3949" s="42"/>
      <c r="O3949" s="42"/>
      <c r="R3949" s="37"/>
      <c r="S3949" s="37"/>
      <c r="T3949" s="91"/>
      <c r="U3949" s="91"/>
      <c r="V3949" s="41"/>
      <c r="W3949" s="37"/>
      <c r="X3949" s="37"/>
      <c r="Y3949" s="43"/>
      <c r="Z3949" s="37"/>
      <c r="AA3949" s="37"/>
      <c r="AD3949" s="37"/>
      <c r="AE3949" s="37"/>
      <c r="AF3949" s="37"/>
    </row>
    <row r="3950" spans="1:32" x14ac:dyDescent="0.25">
      <c r="A3950" s="37"/>
      <c r="B3950" s="37"/>
      <c r="C3950" s="37"/>
      <c r="F3950" s="38"/>
      <c r="G3950" s="38"/>
      <c r="H3950" s="38"/>
      <c r="I3950" s="37"/>
      <c r="J3950" s="38"/>
      <c r="K3950" s="38"/>
      <c r="L3950" s="42"/>
      <c r="M3950" s="42"/>
      <c r="N3950" s="42"/>
      <c r="O3950" s="42"/>
      <c r="R3950" s="37"/>
      <c r="S3950" s="37"/>
      <c r="T3950" s="91"/>
      <c r="U3950" s="91"/>
      <c r="V3950" s="41"/>
      <c r="W3950" s="37"/>
      <c r="X3950" s="37"/>
      <c r="Y3950" s="43"/>
      <c r="Z3950" s="37"/>
      <c r="AA3950" s="37"/>
      <c r="AD3950" s="37"/>
      <c r="AE3950" s="37"/>
      <c r="AF3950" s="37"/>
    </row>
    <row r="3951" spans="1:32" x14ac:dyDescent="0.25">
      <c r="A3951" s="37"/>
      <c r="B3951" s="37"/>
      <c r="C3951" s="37"/>
      <c r="F3951" s="38"/>
      <c r="G3951" s="38"/>
      <c r="H3951" s="38"/>
      <c r="I3951" s="37"/>
      <c r="J3951" s="38"/>
      <c r="K3951" s="38"/>
      <c r="L3951" s="42"/>
      <c r="M3951" s="42"/>
      <c r="N3951" s="42"/>
      <c r="O3951" s="42"/>
      <c r="R3951" s="37"/>
      <c r="S3951" s="37"/>
      <c r="T3951" s="91"/>
      <c r="U3951" s="91"/>
      <c r="V3951" s="41"/>
      <c r="W3951" s="37"/>
      <c r="X3951" s="37"/>
      <c r="Y3951" s="43"/>
      <c r="Z3951" s="37"/>
      <c r="AA3951" s="37"/>
      <c r="AD3951" s="37"/>
      <c r="AE3951" s="37"/>
      <c r="AF3951" s="37"/>
    </row>
    <row r="3952" spans="1:32" x14ac:dyDescent="0.25">
      <c r="A3952" s="37"/>
      <c r="B3952" s="37"/>
      <c r="C3952" s="37"/>
      <c r="F3952" s="38"/>
      <c r="G3952" s="38"/>
      <c r="H3952" s="38"/>
      <c r="I3952" s="37"/>
      <c r="J3952" s="38"/>
      <c r="K3952" s="38"/>
      <c r="L3952" s="42"/>
      <c r="M3952" s="42"/>
      <c r="N3952" s="42"/>
      <c r="O3952" s="42"/>
      <c r="R3952" s="37"/>
      <c r="S3952" s="37"/>
      <c r="T3952" s="91"/>
      <c r="U3952" s="91"/>
      <c r="V3952" s="41"/>
      <c r="W3952" s="37"/>
      <c r="X3952" s="37"/>
      <c r="Y3952" s="43"/>
      <c r="Z3952" s="37"/>
      <c r="AA3952" s="37"/>
      <c r="AD3952" s="37"/>
      <c r="AE3952" s="37"/>
      <c r="AF3952" s="37"/>
    </row>
    <row r="3953" spans="1:32" x14ac:dyDescent="0.25">
      <c r="A3953" s="37"/>
      <c r="B3953" s="37"/>
      <c r="C3953" s="37"/>
      <c r="F3953" s="38"/>
      <c r="G3953" s="38"/>
      <c r="H3953" s="38"/>
      <c r="I3953" s="37"/>
      <c r="J3953" s="38"/>
      <c r="K3953" s="38"/>
      <c r="L3953" s="42"/>
      <c r="M3953" s="42"/>
      <c r="N3953" s="42"/>
      <c r="O3953" s="42"/>
      <c r="R3953" s="37"/>
      <c r="S3953" s="37"/>
      <c r="T3953" s="91"/>
      <c r="U3953" s="91"/>
      <c r="V3953" s="41"/>
      <c r="W3953" s="37"/>
      <c r="X3953" s="37"/>
      <c r="Y3953" s="43"/>
      <c r="Z3953" s="37"/>
      <c r="AA3953" s="37"/>
      <c r="AD3953" s="37"/>
      <c r="AE3953" s="37"/>
      <c r="AF3953" s="37"/>
    </row>
    <row r="3954" spans="1:32" x14ac:dyDescent="0.25">
      <c r="A3954" s="37"/>
      <c r="B3954" s="37"/>
      <c r="C3954" s="37"/>
      <c r="F3954" s="38"/>
      <c r="G3954" s="38"/>
      <c r="H3954" s="38"/>
      <c r="I3954" s="37"/>
      <c r="J3954" s="38"/>
      <c r="K3954" s="38"/>
      <c r="L3954" s="42"/>
      <c r="M3954" s="42"/>
      <c r="N3954" s="42"/>
      <c r="O3954" s="42"/>
      <c r="R3954" s="37"/>
      <c r="S3954" s="37"/>
      <c r="T3954" s="91"/>
      <c r="U3954" s="91"/>
      <c r="V3954" s="41"/>
      <c r="W3954" s="37"/>
      <c r="X3954" s="37"/>
      <c r="Y3954" s="43"/>
      <c r="Z3954" s="37"/>
      <c r="AA3954" s="37"/>
      <c r="AD3954" s="37"/>
      <c r="AE3954" s="37"/>
      <c r="AF3954" s="37"/>
    </row>
    <row r="3955" spans="1:32" x14ac:dyDescent="0.25">
      <c r="A3955" s="37"/>
      <c r="B3955" s="37"/>
      <c r="C3955" s="37"/>
      <c r="F3955" s="38"/>
      <c r="G3955" s="38"/>
      <c r="H3955" s="38"/>
      <c r="I3955" s="37"/>
      <c r="J3955" s="38"/>
      <c r="K3955" s="38"/>
      <c r="L3955" s="42"/>
      <c r="M3955" s="42"/>
      <c r="N3955" s="42"/>
      <c r="O3955" s="42"/>
      <c r="R3955" s="37"/>
      <c r="S3955" s="37"/>
      <c r="T3955" s="91"/>
      <c r="U3955" s="91"/>
      <c r="V3955" s="41"/>
      <c r="W3955" s="37"/>
      <c r="X3955" s="37"/>
      <c r="Y3955" s="43"/>
      <c r="Z3955" s="37"/>
      <c r="AA3955" s="37"/>
      <c r="AD3955" s="37"/>
      <c r="AE3955" s="37"/>
      <c r="AF3955" s="37"/>
    </row>
    <row r="3956" spans="1:32" x14ac:dyDescent="0.25">
      <c r="A3956" s="37"/>
      <c r="B3956" s="37"/>
      <c r="C3956" s="37"/>
      <c r="F3956" s="38"/>
      <c r="G3956" s="38"/>
      <c r="H3956" s="38"/>
      <c r="I3956" s="37"/>
      <c r="J3956" s="38"/>
      <c r="K3956" s="38"/>
      <c r="L3956" s="42"/>
      <c r="M3956" s="42"/>
      <c r="N3956" s="42"/>
      <c r="O3956" s="42"/>
      <c r="R3956" s="37"/>
      <c r="S3956" s="37"/>
      <c r="T3956" s="91"/>
      <c r="U3956" s="91"/>
      <c r="V3956" s="41"/>
      <c r="W3956" s="37"/>
      <c r="X3956" s="37"/>
      <c r="Y3956" s="43"/>
      <c r="Z3956" s="37"/>
      <c r="AA3956" s="37"/>
      <c r="AD3956" s="37"/>
      <c r="AE3956" s="37"/>
      <c r="AF3956" s="37"/>
    </row>
    <row r="3957" spans="1:32" x14ac:dyDescent="0.25">
      <c r="A3957" s="37"/>
      <c r="B3957" s="37"/>
      <c r="C3957" s="37"/>
      <c r="F3957" s="38"/>
      <c r="G3957" s="38"/>
      <c r="H3957" s="38"/>
      <c r="I3957" s="37"/>
      <c r="J3957" s="38"/>
      <c r="K3957" s="38"/>
      <c r="L3957" s="42"/>
      <c r="M3957" s="42"/>
      <c r="N3957" s="42"/>
      <c r="O3957" s="42"/>
      <c r="R3957" s="37"/>
      <c r="S3957" s="37"/>
      <c r="T3957" s="91"/>
      <c r="U3957" s="91"/>
      <c r="V3957" s="41"/>
      <c r="W3957" s="37"/>
      <c r="X3957" s="37"/>
      <c r="Y3957" s="43"/>
      <c r="Z3957" s="37"/>
      <c r="AA3957" s="37"/>
      <c r="AD3957" s="37"/>
      <c r="AE3957" s="37"/>
      <c r="AF3957" s="37"/>
    </row>
    <row r="3958" spans="1:32" x14ac:dyDescent="0.25">
      <c r="A3958" s="37"/>
      <c r="B3958" s="37"/>
      <c r="C3958" s="37"/>
      <c r="F3958" s="38"/>
      <c r="G3958" s="38"/>
      <c r="H3958" s="38"/>
      <c r="I3958" s="37"/>
      <c r="J3958" s="38"/>
      <c r="K3958" s="38"/>
      <c r="L3958" s="42"/>
      <c r="M3958" s="42"/>
      <c r="N3958" s="42"/>
      <c r="O3958" s="42"/>
      <c r="R3958" s="37"/>
      <c r="S3958" s="37"/>
      <c r="T3958" s="91"/>
      <c r="U3958" s="91"/>
      <c r="V3958" s="41"/>
      <c r="W3958" s="37"/>
      <c r="X3958" s="37"/>
      <c r="Y3958" s="43"/>
      <c r="Z3958" s="37"/>
      <c r="AA3958" s="37"/>
      <c r="AD3958" s="37"/>
      <c r="AE3958" s="37"/>
      <c r="AF3958" s="37"/>
    </row>
    <row r="3959" spans="1:32" x14ac:dyDescent="0.25">
      <c r="A3959" s="37"/>
      <c r="B3959" s="37"/>
      <c r="C3959" s="37"/>
      <c r="F3959" s="38"/>
      <c r="G3959" s="38"/>
      <c r="H3959" s="38"/>
      <c r="I3959" s="37"/>
      <c r="J3959" s="38"/>
      <c r="K3959" s="38"/>
      <c r="L3959" s="42"/>
      <c r="M3959" s="42"/>
      <c r="N3959" s="42"/>
      <c r="O3959" s="42"/>
      <c r="R3959" s="37"/>
      <c r="S3959" s="37"/>
      <c r="T3959" s="91"/>
      <c r="U3959" s="91"/>
      <c r="V3959" s="41"/>
      <c r="W3959" s="37"/>
      <c r="X3959" s="37"/>
      <c r="Y3959" s="43"/>
      <c r="Z3959" s="37"/>
      <c r="AA3959" s="37"/>
      <c r="AD3959" s="37"/>
      <c r="AE3959" s="37"/>
      <c r="AF3959" s="37"/>
    </row>
    <row r="3960" spans="1:32" x14ac:dyDescent="0.25">
      <c r="A3960" s="37"/>
      <c r="B3960" s="37"/>
      <c r="C3960" s="37"/>
      <c r="F3960" s="38"/>
      <c r="G3960" s="38"/>
      <c r="H3960" s="38"/>
      <c r="I3960" s="37"/>
      <c r="J3960" s="38"/>
      <c r="K3960" s="38"/>
      <c r="L3960" s="42"/>
      <c r="M3960" s="42"/>
      <c r="N3960" s="42"/>
      <c r="O3960" s="42"/>
      <c r="R3960" s="37"/>
      <c r="S3960" s="37"/>
      <c r="T3960" s="91"/>
      <c r="U3960" s="91"/>
      <c r="V3960" s="41"/>
      <c r="W3960" s="37"/>
      <c r="X3960" s="37"/>
      <c r="Y3960" s="43"/>
      <c r="Z3960" s="37"/>
      <c r="AA3960" s="37"/>
      <c r="AD3960" s="37"/>
      <c r="AE3960" s="37"/>
      <c r="AF3960" s="37"/>
    </row>
    <row r="3961" spans="1:32" x14ac:dyDescent="0.25">
      <c r="A3961" s="37"/>
      <c r="B3961" s="37"/>
      <c r="C3961" s="37"/>
      <c r="F3961" s="38"/>
      <c r="G3961" s="38"/>
      <c r="H3961" s="38"/>
      <c r="I3961" s="37"/>
      <c r="J3961" s="38"/>
      <c r="K3961" s="38"/>
      <c r="L3961" s="42"/>
      <c r="M3961" s="42"/>
      <c r="N3961" s="42"/>
      <c r="O3961" s="42"/>
      <c r="R3961" s="37"/>
      <c r="S3961" s="37"/>
      <c r="T3961" s="91"/>
      <c r="U3961" s="91"/>
      <c r="V3961" s="41"/>
      <c r="W3961" s="37"/>
      <c r="X3961" s="37"/>
      <c r="Y3961" s="43"/>
      <c r="Z3961" s="37"/>
      <c r="AA3961" s="37"/>
      <c r="AD3961" s="37"/>
      <c r="AE3961" s="37"/>
      <c r="AF3961" s="37"/>
    </row>
    <row r="3962" spans="1:32" x14ac:dyDescent="0.25">
      <c r="A3962" s="37"/>
      <c r="B3962" s="37"/>
      <c r="C3962" s="37"/>
      <c r="F3962" s="38"/>
      <c r="G3962" s="38"/>
      <c r="H3962" s="38"/>
      <c r="I3962" s="37"/>
      <c r="J3962" s="38"/>
      <c r="K3962" s="38"/>
      <c r="L3962" s="42"/>
      <c r="M3962" s="42"/>
      <c r="N3962" s="42"/>
      <c r="O3962" s="42"/>
      <c r="R3962" s="37"/>
      <c r="S3962" s="37"/>
      <c r="T3962" s="91"/>
      <c r="U3962" s="91"/>
      <c r="V3962" s="41"/>
      <c r="W3962" s="37"/>
      <c r="X3962" s="37"/>
      <c r="Y3962" s="43"/>
      <c r="Z3962" s="37"/>
      <c r="AA3962" s="37"/>
      <c r="AD3962" s="37"/>
      <c r="AE3962" s="37"/>
      <c r="AF3962" s="37"/>
    </row>
    <row r="3963" spans="1:32" x14ac:dyDescent="0.25">
      <c r="A3963" s="37"/>
      <c r="B3963" s="37"/>
      <c r="C3963" s="37"/>
      <c r="F3963" s="38"/>
      <c r="G3963" s="38"/>
      <c r="H3963" s="38"/>
      <c r="I3963" s="37"/>
      <c r="J3963" s="38"/>
      <c r="K3963" s="38"/>
      <c r="L3963" s="42"/>
      <c r="M3963" s="42"/>
      <c r="N3963" s="42"/>
      <c r="O3963" s="42"/>
      <c r="R3963" s="37"/>
      <c r="S3963" s="37"/>
      <c r="T3963" s="91"/>
      <c r="U3963" s="91"/>
      <c r="V3963" s="41"/>
      <c r="W3963" s="37"/>
      <c r="X3963" s="37"/>
      <c r="Y3963" s="43"/>
      <c r="Z3963" s="37"/>
      <c r="AA3963" s="37"/>
      <c r="AD3963" s="37"/>
      <c r="AE3963" s="37"/>
      <c r="AF3963" s="37"/>
    </row>
    <row r="3964" spans="1:32" x14ac:dyDescent="0.25">
      <c r="A3964" s="37"/>
      <c r="B3964" s="37"/>
      <c r="C3964" s="37"/>
      <c r="F3964" s="38"/>
      <c r="G3964" s="38"/>
      <c r="H3964" s="38"/>
      <c r="I3964" s="37"/>
      <c r="J3964" s="38"/>
      <c r="K3964" s="38"/>
      <c r="L3964" s="42"/>
      <c r="M3964" s="42"/>
      <c r="N3964" s="42"/>
      <c r="O3964" s="42"/>
      <c r="R3964" s="37"/>
      <c r="S3964" s="37"/>
      <c r="T3964" s="91"/>
      <c r="U3964" s="91"/>
      <c r="V3964" s="41"/>
      <c r="W3964" s="37"/>
      <c r="X3964" s="37"/>
      <c r="Y3964" s="43"/>
      <c r="Z3964" s="37"/>
      <c r="AA3964" s="37"/>
      <c r="AD3964" s="37"/>
      <c r="AE3964" s="37"/>
      <c r="AF3964" s="37"/>
    </row>
    <row r="3965" spans="1:32" x14ac:dyDescent="0.25">
      <c r="A3965" s="37"/>
      <c r="B3965" s="37"/>
      <c r="C3965" s="37"/>
      <c r="F3965" s="38"/>
      <c r="G3965" s="38"/>
      <c r="H3965" s="38"/>
      <c r="I3965" s="37"/>
      <c r="J3965" s="38"/>
      <c r="K3965" s="38"/>
      <c r="L3965" s="42"/>
      <c r="M3965" s="42"/>
      <c r="N3965" s="42"/>
      <c r="O3965" s="42"/>
      <c r="R3965" s="37"/>
      <c r="S3965" s="37"/>
      <c r="T3965" s="91"/>
      <c r="U3965" s="91"/>
      <c r="V3965" s="41"/>
      <c r="W3965" s="37"/>
      <c r="X3965" s="37"/>
      <c r="Y3965" s="43"/>
      <c r="Z3965" s="37"/>
      <c r="AA3965" s="37"/>
      <c r="AD3965" s="37"/>
      <c r="AE3965" s="37"/>
      <c r="AF3965" s="37"/>
    </row>
    <row r="3966" spans="1:32" x14ac:dyDescent="0.25">
      <c r="A3966" s="37"/>
      <c r="B3966" s="37"/>
      <c r="C3966" s="37"/>
      <c r="F3966" s="38"/>
      <c r="G3966" s="38"/>
      <c r="H3966" s="38"/>
      <c r="I3966" s="37"/>
      <c r="J3966" s="38"/>
      <c r="K3966" s="38"/>
      <c r="L3966" s="42"/>
      <c r="M3966" s="42"/>
      <c r="N3966" s="42"/>
      <c r="O3966" s="42"/>
      <c r="R3966" s="37"/>
      <c r="S3966" s="37"/>
      <c r="T3966" s="91"/>
      <c r="U3966" s="91"/>
      <c r="V3966" s="41"/>
      <c r="W3966" s="37"/>
      <c r="X3966" s="37"/>
      <c r="Y3966" s="43"/>
      <c r="Z3966" s="37"/>
      <c r="AA3966" s="37"/>
      <c r="AD3966" s="37"/>
      <c r="AE3966" s="37"/>
      <c r="AF3966" s="37"/>
    </row>
    <row r="3967" spans="1:32" x14ac:dyDescent="0.25">
      <c r="A3967" s="37"/>
      <c r="B3967" s="37"/>
      <c r="C3967" s="37"/>
      <c r="F3967" s="38"/>
      <c r="G3967" s="38"/>
      <c r="H3967" s="38"/>
      <c r="I3967" s="37"/>
      <c r="J3967" s="38"/>
      <c r="K3967" s="38"/>
      <c r="L3967" s="42"/>
      <c r="M3967" s="42"/>
      <c r="N3967" s="42"/>
      <c r="O3967" s="42"/>
      <c r="R3967" s="37"/>
      <c r="S3967" s="37"/>
      <c r="T3967" s="91"/>
      <c r="U3967" s="91"/>
      <c r="V3967" s="41"/>
      <c r="W3967" s="37"/>
      <c r="X3967" s="37"/>
      <c r="Y3967" s="43"/>
      <c r="Z3967" s="37"/>
      <c r="AA3967" s="37"/>
      <c r="AD3967" s="37"/>
      <c r="AE3967" s="37"/>
      <c r="AF3967" s="37"/>
    </row>
    <row r="3968" spans="1:32" x14ac:dyDescent="0.25">
      <c r="A3968" s="37"/>
      <c r="B3968" s="37"/>
      <c r="C3968" s="37"/>
      <c r="F3968" s="38"/>
      <c r="G3968" s="38"/>
      <c r="H3968" s="38"/>
      <c r="I3968" s="37"/>
      <c r="J3968" s="38"/>
      <c r="K3968" s="38"/>
      <c r="L3968" s="42"/>
      <c r="M3968" s="42"/>
      <c r="N3968" s="42"/>
      <c r="O3968" s="42"/>
      <c r="R3968" s="37"/>
      <c r="S3968" s="37"/>
      <c r="T3968" s="91"/>
      <c r="U3968" s="91"/>
      <c r="V3968" s="41"/>
      <c r="W3968" s="37"/>
      <c r="X3968" s="37"/>
      <c r="Y3968" s="43"/>
      <c r="Z3968" s="37"/>
      <c r="AA3968" s="37"/>
      <c r="AD3968" s="37"/>
      <c r="AE3968" s="37"/>
      <c r="AF3968" s="37"/>
    </row>
    <row r="3969" spans="1:32" x14ac:dyDescent="0.25">
      <c r="A3969" s="37"/>
      <c r="B3969" s="37"/>
      <c r="C3969" s="37"/>
      <c r="F3969" s="38"/>
      <c r="G3969" s="38"/>
      <c r="H3969" s="38"/>
      <c r="I3969" s="37"/>
      <c r="J3969" s="38"/>
      <c r="K3969" s="38"/>
      <c r="L3969" s="42"/>
      <c r="M3969" s="42"/>
      <c r="N3969" s="42"/>
      <c r="O3969" s="42"/>
      <c r="R3969" s="37"/>
      <c r="S3969" s="37"/>
      <c r="T3969" s="91"/>
      <c r="U3969" s="91"/>
      <c r="V3969" s="41"/>
      <c r="W3969" s="37"/>
      <c r="X3969" s="37"/>
      <c r="Y3969" s="43"/>
      <c r="Z3969" s="37"/>
      <c r="AA3969" s="37"/>
      <c r="AD3969" s="37"/>
      <c r="AE3969" s="37"/>
      <c r="AF3969" s="37"/>
    </row>
    <row r="3970" spans="1:32" x14ac:dyDescent="0.25">
      <c r="A3970" s="37"/>
      <c r="B3970" s="37"/>
      <c r="C3970" s="37"/>
      <c r="F3970" s="38"/>
      <c r="G3970" s="38"/>
      <c r="H3970" s="38"/>
      <c r="I3970" s="37"/>
      <c r="J3970" s="38"/>
      <c r="K3970" s="38"/>
      <c r="L3970" s="42"/>
      <c r="M3970" s="42"/>
      <c r="N3970" s="42"/>
      <c r="O3970" s="42"/>
      <c r="R3970" s="37"/>
      <c r="S3970" s="37"/>
      <c r="T3970" s="91"/>
      <c r="U3970" s="91"/>
      <c r="V3970" s="41"/>
      <c r="W3970" s="37"/>
      <c r="X3970" s="37"/>
      <c r="Y3970" s="43"/>
      <c r="Z3970" s="37"/>
      <c r="AA3970" s="37"/>
      <c r="AD3970" s="37"/>
      <c r="AE3970" s="37"/>
      <c r="AF3970" s="37"/>
    </row>
    <row r="3971" spans="1:32" x14ac:dyDescent="0.25">
      <c r="A3971" s="37"/>
      <c r="B3971" s="37"/>
      <c r="C3971" s="37"/>
      <c r="F3971" s="38"/>
      <c r="G3971" s="38"/>
      <c r="H3971" s="38"/>
      <c r="I3971" s="37"/>
      <c r="J3971" s="38"/>
      <c r="K3971" s="38"/>
      <c r="L3971" s="42"/>
      <c r="M3971" s="42"/>
      <c r="N3971" s="42"/>
      <c r="O3971" s="42"/>
      <c r="R3971" s="37"/>
      <c r="S3971" s="37"/>
      <c r="T3971" s="91"/>
      <c r="U3971" s="91"/>
      <c r="V3971" s="41"/>
      <c r="W3971" s="37"/>
      <c r="X3971" s="37"/>
      <c r="Y3971" s="43"/>
      <c r="Z3971" s="37"/>
      <c r="AA3971" s="37"/>
      <c r="AD3971" s="37"/>
      <c r="AE3971" s="37"/>
      <c r="AF3971" s="37"/>
    </row>
    <row r="3972" spans="1:32" x14ac:dyDescent="0.25">
      <c r="A3972" s="37"/>
      <c r="B3972" s="37"/>
      <c r="C3972" s="37"/>
      <c r="F3972" s="38"/>
      <c r="G3972" s="38"/>
      <c r="H3972" s="38"/>
      <c r="I3972" s="37"/>
      <c r="J3972" s="38"/>
      <c r="K3972" s="38"/>
      <c r="L3972" s="42"/>
      <c r="M3972" s="42"/>
      <c r="N3972" s="42"/>
      <c r="O3972" s="42"/>
      <c r="R3972" s="37"/>
      <c r="S3972" s="37"/>
      <c r="T3972" s="91"/>
      <c r="U3972" s="91"/>
      <c r="V3972" s="41"/>
      <c r="W3972" s="37"/>
      <c r="X3972" s="37"/>
      <c r="Y3972" s="43"/>
      <c r="Z3972" s="37"/>
      <c r="AA3972" s="37"/>
      <c r="AD3972" s="37"/>
      <c r="AE3972" s="37"/>
      <c r="AF3972" s="37"/>
    </row>
    <row r="3973" spans="1:32" x14ac:dyDescent="0.25">
      <c r="A3973" s="37"/>
      <c r="B3973" s="37"/>
      <c r="C3973" s="37"/>
      <c r="F3973" s="38"/>
      <c r="G3973" s="38"/>
      <c r="H3973" s="38"/>
      <c r="I3973" s="37"/>
      <c r="J3973" s="38"/>
      <c r="K3973" s="38"/>
      <c r="L3973" s="42"/>
      <c r="M3973" s="42"/>
      <c r="N3973" s="42"/>
      <c r="O3973" s="42"/>
      <c r="R3973" s="37"/>
      <c r="S3973" s="37"/>
      <c r="T3973" s="91"/>
      <c r="U3973" s="91"/>
      <c r="V3973" s="41"/>
      <c r="W3973" s="37"/>
      <c r="X3973" s="37"/>
      <c r="Y3973" s="43"/>
      <c r="Z3973" s="37"/>
      <c r="AA3973" s="37"/>
      <c r="AD3973" s="37"/>
      <c r="AE3973" s="37"/>
      <c r="AF3973" s="37"/>
    </row>
    <row r="3974" spans="1:32" x14ac:dyDescent="0.25">
      <c r="A3974" s="37"/>
      <c r="B3974" s="37"/>
      <c r="C3974" s="37"/>
      <c r="F3974" s="38"/>
      <c r="G3974" s="38"/>
      <c r="H3974" s="38"/>
      <c r="I3974" s="37"/>
      <c r="J3974" s="38"/>
      <c r="K3974" s="38"/>
      <c r="L3974" s="42"/>
      <c r="M3974" s="42"/>
      <c r="N3974" s="42"/>
      <c r="O3974" s="42"/>
      <c r="R3974" s="37"/>
      <c r="S3974" s="37"/>
      <c r="T3974" s="91"/>
      <c r="U3974" s="91"/>
      <c r="V3974" s="41"/>
      <c r="W3974" s="37"/>
      <c r="X3974" s="37"/>
      <c r="Y3974" s="43"/>
      <c r="Z3974" s="37"/>
      <c r="AA3974" s="37"/>
      <c r="AD3974" s="37"/>
      <c r="AE3974" s="37"/>
      <c r="AF3974" s="37"/>
    </row>
    <row r="3975" spans="1:32" x14ac:dyDescent="0.25">
      <c r="A3975" s="37"/>
      <c r="B3975" s="37"/>
      <c r="C3975" s="37"/>
      <c r="F3975" s="38"/>
      <c r="G3975" s="38"/>
      <c r="H3975" s="38"/>
      <c r="I3975" s="37"/>
      <c r="J3975" s="38"/>
      <c r="K3975" s="38"/>
      <c r="L3975" s="42"/>
      <c r="M3975" s="42"/>
      <c r="N3975" s="42"/>
      <c r="O3975" s="42"/>
      <c r="R3975" s="37"/>
      <c r="S3975" s="37"/>
      <c r="T3975" s="91"/>
      <c r="U3975" s="91"/>
      <c r="V3975" s="41"/>
      <c r="W3975" s="37"/>
      <c r="X3975" s="37"/>
      <c r="Y3975" s="43"/>
      <c r="Z3975" s="37"/>
      <c r="AA3975" s="37"/>
      <c r="AD3975" s="37"/>
      <c r="AE3975" s="37"/>
      <c r="AF3975" s="37"/>
    </row>
    <row r="3976" spans="1:32" x14ac:dyDescent="0.25">
      <c r="A3976" s="37"/>
      <c r="B3976" s="37"/>
      <c r="C3976" s="37"/>
      <c r="F3976" s="38"/>
      <c r="G3976" s="38"/>
      <c r="H3976" s="38"/>
      <c r="I3976" s="37"/>
      <c r="J3976" s="38"/>
      <c r="K3976" s="38"/>
      <c r="L3976" s="42"/>
      <c r="M3976" s="42"/>
      <c r="N3976" s="42"/>
      <c r="O3976" s="42"/>
      <c r="R3976" s="37"/>
      <c r="S3976" s="37"/>
      <c r="T3976" s="91"/>
      <c r="U3976" s="91"/>
      <c r="V3976" s="41"/>
      <c r="W3976" s="37"/>
      <c r="X3976" s="37"/>
      <c r="Y3976" s="43"/>
      <c r="Z3976" s="37"/>
      <c r="AA3976" s="37"/>
      <c r="AD3976" s="37"/>
      <c r="AE3976" s="37"/>
      <c r="AF3976" s="37"/>
    </row>
    <row r="3977" spans="1:32" x14ac:dyDescent="0.25">
      <c r="A3977" s="37"/>
      <c r="B3977" s="37"/>
      <c r="C3977" s="37"/>
      <c r="F3977" s="38"/>
      <c r="G3977" s="38"/>
      <c r="H3977" s="38"/>
      <c r="I3977" s="37"/>
      <c r="J3977" s="38"/>
      <c r="K3977" s="38"/>
      <c r="L3977" s="42"/>
      <c r="M3977" s="42"/>
      <c r="N3977" s="42"/>
      <c r="O3977" s="42"/>
      <c r="R3977" s="37"/>
      <c r="S3977" s="37"/>
      <c r="T3977" s="91"/>
      <c r="U3977" s="91"/>
      <c r="V3977" s="41"/>
      <c r="W3977" s="37"/>
      <c r="X3977" s="37"/>
      <c r="Y3977" s="43"/>
      <c r="Z3977" s="37"/>
      <c r="AA3977" s="37"/>
      <c r="AD3977" s="37"/>
      <c r="AE3977" s="37"/>
      <c r="AF3977" s="37"/>
    </row>
    <row r="3978" spans="1:32" x14ac:dyDescent="0.25">
      <c r="A3978" s="37"/>
      <c r="B3978" s="37"/>
      <c r="C3978" s="37"/>
      <c r="F3978" s="38"/>
      <c r="G3978" s="38"/>
      <c r="H3978" s="38"/>
      <c r="I3978" s="37"/>
      <c r="J3978" s="38"/>
      <c r="K3978" s="38"/>
      <c r="L3978" s="42"/>
      <c r="M3978" s="42"/>
      <c r="N3978" s="42"/>
      <c r="O3978" s="42"/>
      <c r="R3978" s="37"/>
      <c r="S3978" s="37"/>
      <c r="T3978" s="91"/>
      <c r="U3978" s="91"/>
      <c r="V3978" s="41"/>
      <c r="W3978" s="37"/>
      <c r="X3978" s="37"/>
      <c r="Y3978" s="43"/>
      <c r="Z3978" s="37"/>
      <c r="AA3978" s="37"/>
      <c r="AD3978" s="37"/>
      <c r="AE3978" s="37"/>
      <c r="AF3978" s="37"/>
    </row>
    <row r="3979" spans="1:32" x14ac:dyDescent="0.25">
      <c r="A3979" s="37"/>
      <c r="B3979" s="37"/>
      <c r="C3979" s="37"/>
      <c r="F3979" s="38"/>
      <c r="G3979" s="38"/>
      <c r="H3979" s="38"/>
      <c r="I3979" s="37"/>
      <c r="J3979" s="38"/>
      <c r="K3979" s="38"/>
      <c r="L3979" s="42"/>
      <c r="M3979" s="42"/>
      <c r="N3979" s="42"/>
      <c r="O3979" s="42"/>
      <c r="R3979" s="37"/>
      <c r="S3979" s="37"/>
      <c r="T3979" s="91"/>
      <c r="U3979" s="91"/>
      <c r="V3979" s="41"/>
      <c r="W3979" s="37"/>
      <c r="X3979" s="37"/>
      <c r="Y3979" s="43"/>
      <c r="Z3979" s="37"/>
      <c r="AA3979" s="37"/>
      <c r="AD3979" s="37"/>
      <c r="AE3979" s="37"/>
      <c r="AF3979" s="37"/>
    </row>
    <row r="3980" spans="1:32" x14ac:dyDescent="0.25">
      <c r="A3980" s="37"/>
      <c r="B3980" s="37"/>
      <c r="C3980" s="37"/>
      <c r="F3980" s="38"/>
      <c r="G3980" s="38"/>
      <c r="H3980" s="38"/>
      <c r="I3980" s="37"/>
      <c r="J3980" s="38"/>
      <c r="K3980" s="38"/>
      <c r="L3980" s="42"/>
      <c r="M3980" s="42"/>
      <c r="N3980" s="42"/>
      <c r="O3980" s="42"/>
      <c r="R3980" s="37"/>
      <c r="S3980" s="37"/>
      <c r="T3980" s="91"/>
      <c r="U3980" s="91"/>
      <c r="V3980" s="41"/>
      <c r="W3980" s="37"/>
      <c r="X3980" s="37"/>
      <c r="Y3980" s="43"/>
      <c r="Z3980" s="37"/>
      <c r="AA3980" s="37"/>
      <c r="AD3980" s="37"/>
      <c r="AE3980" s="37"/>
      <c r="AF3980" s="37"/>
    </row>
    <row r="3981" spans="1:32" x14ac:dyDescent="0.25">
      <c r="A3981" s="37"/>
      <c r="B3981" s="37"/>
      <c r="C3981" s="37"/>
      <c r="F3981" s="38"/>
      <c r="G3981" s="38"/>
      <c r="H3981" s="38"/>
      <c r="I3981" s="37"/>
      <c r="J3981" s="38"/>
      <c r="K3981" s="38"/>
      <c r="L3981" s="42"/>
      <c r="M3981" s="42"/>
      <c r="N3981" s="42"/>
      <c r="O3981" s="42"/>
      <c r="R3981" s="37"/>
      <c r="S3981" s="37"/>
      <c r="T3981" s="91"/>
      <c r="U3981" s="91"/>
      <c r="V3981" s="41"/>
      <c r="W3981" s="37"/>
      <c r="X3981" s="37"/>
      <c r="Y3981" s="43"/>
      <c r="Z3981" s="37"/>
      <c r="AA3981" s="37"/>
      <c r="AD3981" s="37"/>
      <c r="AE3981" s="37"/>
      <c r="AF3981" s="37"/>
    </row>
    <row r="3982" spans="1:32" x14ac:dyDescent="0.25">
      <c r="A3982" s="37"/>
      <c r="B3982" s="37"/>
      <c r="C3982" s="37"/>
      <c r="F3982" s="38"/>
      <c r="G3982" s="38"/>
      <c r="H3982" s="38"/>
      <c r="I3982" s="37"/>
      <c r="J3982" s="38"/>
      <c r="K3982" s="38"/>
      <c r="L3982" s="42"/>
      <c r="M3982" s="42"/>
      <c r="N3982" s="42"/>
      <c r="O3982" s="42"/>
      <c r="R3982" s="37"/>
      <c r="S3982" s="37"/>
      <c r="T3982" s="91"/>
      <c r="U3982" s="91"/>
      <c r="V3982" s="41"/>
      <c r="W3982" s="37"/>
      <c r="X3982" s="37"/>
      <c r="Y3982" s="43"/>
      <c r="Z3982" s="37"/>
      <c r="AA3982" s="37"/>
      <c r="AD3982" s="37"/>
      <c r="AE3982" s="37"/>
      <c r="AF3982" s="37"/>
    </row>
    <row r="3983" spans="1:32" x14ac:dyDescent="0.25">
      <c r="A3983" s="37"/>
      <c r="B3983" s="37"/>
      <c r="C3983" s="37"/>
      <c r="F3983" s="38"/>
      <c r="G3983" s="38"/>
      <c r="H3983" s="38"/>
      <c r="I3983" s="37"/>
      <c r="J3983" s="38"/>
      <c r="K3983" s="38"/>
      <c r="L3983" s="42"/>
      <c r="M3983" s="42"/>
      <c r="N3983" s="42"/>
      <c r="O3983" s="42"/>
      <c r="R3983" s="37"/>
      <c r="S3983" s="37"/>
      <c r="T3983" s="91"/>
      <c r="U3983" s="91"/>
      <c r="V3983" s="41"/>
      <c r="W3983" s="37"/>
      <c r="X3983" s="37"/>
      <c r="Y3983" s="43"/>
      <c r="Z3983" s="37"/>
      <c r="AA3983" s="37"/>
      <c r="AD3983" s="37"/>
      <c r="AE3983" s="37"/>
      <c r="AF3983" s="37"/>
    </row>
    <row r="3984" spans="1:32" x14ac:dyDescent="0.25">
      <c r="A3984" s="37"/>
      <c r="B3984" s="37"/>
      <c r="C3984" s="37"/>
      <c r="F3984" s="38"/>
      <c r="G3984" s="38"/>
      <c r="H3984" s="38"/>
      <c r="I3984" s="37"/>
      <c r="J3984" s="38"/>
      <c r="K3984" s="38"/>
      <c r="L3984" s="42"/>
      <c r="M3984" s="42"/>
      <c r="N3984" s="42"/>
      <c r="O3984" s="42"/>
      <c r="R3984" s="37"/>
      <c r="S3984" s="37"/>
      <c r="T3984" s="91"/>
      <c r="U3984" s="91"/>
      <c r="V3984" s="41"/>
      <c r="W3984" s="37"/>
      <c r="X3984" s="37"/>
      <c r="Y3984" s="43"/>
      <c r="Z3984" s="37"/>
      <c r="AA3984" s="37"/>
      <c r="AD3984" s="37"/>
      <c r="AE3984" s="37"/>
      <c r="AF3984" s="37"/>
    </row>
    <row r="3985" spans="1:32" x14ac:dyDescent="0.25">
      <c r="A3985" s="37"/>
      <c r="B3985" s="37"/>
      <c r="C3985" s="37"/>
      <c r="F3985" s="38"/>
      <c r="G3985" s="38"/>
      <c r="H3985" s="38"/>
      <c r="I3985" s="37"/>
      <c r="J3985" s="38"/>
      <c r="K3985" s="38"/>
      <c r="L3985" s="42"/>
      <c r="M3985" s="42"/>
      <c r="N3985" s="42"/>
      <c r="O3985" s="42"/>
      <c r="R3985" s="37"/>
      <c r="S3985" s="37"/>
      <c r="T3985" s="91"/>
      <c r="U3985" s="91"/>
      <c r="V3985" s="41"/>
      <c r="W3985" s="37"/>
      <c r="X3985" s="37"/>
      <c r="Y3985" s="43"/>
      <c r="Z3985" s="37"/>
      <c r="AA3985" s="37"/>
      <c r="AD3985" s="37"/>
      <c r="AE3985" s="37"/>
      <c r="AF3985" s="37"/>
    </row>
    <row r="3986" spans="1:32" x14ac:dyDescent="0.25">
      <c r="A3986" s="37"/>
      <c r="B3986" s="37"/>
      <c r="C3986" s="37"/>
      <c r="F3986" s="38"/>
      <c r="G3986" s="38"/>
      <c r="H3986" s="38"/>
      <c r="I3986" s="37"/>
      <c r="J3986" s="38"/>
      <c r="K3986" s="38"/>
      <c r="L3986" s="42"/>
      <c r="M3986" s="42"/>
      <c r="N3986" s="42"/>
      <c r="O3986" s="42"/>
      <c r="R3986" s="37"/>
      <c r="S3986" s="37"/>
      <c r="T3986" s="91"/>
      <c r="U3986" s="91"/>
      <c r="V3986" s="41"/>
      <c r="W3986" s="37"/>
      <c r="X3986" s="37"/>
      <c r="Y3986" s="43"/>
      <c r="Z3986" s="37"/>
      <c r="AA3986" s="37"/>
      <c r="AD3986" s="37"/>
      <c r="AE3986" s="37"/>
      <c r="AF3986" s="37"/>
    </row>
    <row r="3987" spans="1:32" x14ac:dyDescent="0.25">
      <c r="A3987" s="37"/>
      <c r="B3987" s="37"/>
      <c r="C3987" s="37"/>
      <c r="F3987" s="38"/>
      <c r="G3987" s="38"/>
      <c r="H3987" s="38"/>
      <c r="I3987" s="37"/>
      <c r="J3987" s="38"/>
      <c r="K3987" s="38"/>
      <c r="L3987" s="42"/>
      <c r="M3987" s="42"/>
      <c r="N3987" s="42"/>
      <c r="O3987" s="42"/>
      <c r="R3987" s="37"/>
      <c r="S3987" s="37"/>
      <c r="T3987" s="91"/>
      <c r="U3987" s="91"/>
      <c r="V3987" s="41"/>
      <c r="W3987" s="37"/>
      <c r="X3987" s="37"/>
      <c r="Y3987" s="43"/>
      <c r="Z3987" s="37"/>
      <c r="AA3987" s="37"/>
      <c r="AD3987" s="37"/>
      <c r="AE3987" s="37"/>
      <c r="AF3987" s="37"/>
    </row>
    <row r="3988" spans="1:32" x14ac:dyDescent="0.25">
      <c r="A3988" s="37"/>
      <c r="B3988" s="37"/>
      <c r="C3988" s="37"/>
      <c r="F3988" s="38"/>
      <c r="G3988" s="38"/>
      <c r="H3988" s="38"/>
      <c r="I3988" s="37"/>
      <c r="J3988" s="38"/>
      <c r="K3988" s="38"/>
      <c r="L3988" s="42"/>
      <c r="M3988" s="42"/>
      <c r="N3988" s="42"/>
      <c r="O3988" s="42"/>
      <c r="R3988" s="37"/>
      <c r="S3988" s="37"/>
      <c r="T3988" s="91"/>
      <c r="U3988" s="91"/>
      <c r="V3988" s="41"/>
      <c r="W3988" s="37"/>
      <c r="X3988" s="37"/>
      <c r="Y3988" s="43"/>
      <c r="Z3988" s="37"/>
      <c r="AA3988" s="37"/>
      <c r="AD3988" s="37"/>
      <c r="AE3988" s="37"/>
      <c r="AF3988" s="37"/>
    </row>
    <row r="3989" spans="1:32" x14ac:dyDescent="0.25">
      <c r="A3989" s="37"/>
      <c r="B3989" s="37"/>
      <c r="C3989" s="37"/>
      <c r="F3989" s="38"/>
      <c r="G3989" s="38"/>
      <c r="H3989" s="38"/>
      <c r="I3989" s="37"/>
      <c r="J3989" s="38"/>
      <c r="K3989" s="38"/>
      <c r="L3989" s="42"/>
      <c r="M3989" s="42"/>
      <c r="N3989" s="42"/>
      <c r="O3989" s="42"/>
      <c r="R3989" s="37"/>
      <c r="S3989" s="37"/>
      <c r="T3989" s="91"/>
      <c r="U3989" s="91"/>
      <c r="V3989" s="41"/>
      <c r="W3989" s="37"/>
      <c r="X3989" s="37"/>
      <c r="Y3989" s="43"/>
      <c r="Z3989" s="37"/>
      <c r="AA3989" s="37"/>
      <c r="AD3989" s="37"/>
      <c r="AE3989" s="37"/>
      <c r="AF3989" s="37"/>
    </row>
    <row r="3990" spans="1:32" x14ac:dyDescent="0.25">
      <c r="A3990" s="37"/>
      <c r="B3990" s="37"/>
      <c r="C3990" s="37"/>
      <c r="F3990" s="38"/>
      <c r="G3990" s="38"/>
      <c r="H3990" s="38"/>
      <c r="I3990" s="37"/>
      <c r="J3990" s="38"/>
      <c r="K3990" s="38"/>
      <c r="L3990" s="42"/>
      <c r="M3990" s="42"/>
      <c r="N3990" s="42"/>
      <c r="O3990" s="42"/>
      <c r="R3990" s="37"/>
      <c r="S3990" s="37"/>
      <c r="T3990" s="91"/>
      <c r="U3990" s="91"/>
      <c r="V3990" s="41"/>
      <c r="W3990" s="37"/>
      <c r="X3990" s="37"/>
      <c r="Y3990" s="43"/>
      <c r="Z3990" s="37"/>
      <c r="AA3990" s="37"/>
      <c r="AD3990" s="37"/>
      <c r="AE3990" s="37"/>
      <c r="AF3990" s="37"/>
    </row>
    <row r="3991" spans="1:32" x14ac:dyDescent="0.25">
      <c r="A3991" s="37"/>
      <c r="B3991" s="37"/>
      <c r="C3991" s="37"/>
      <c r="F3991" s="38"/>
      <c r="G3991" s="38"/>
      <c r="H3991" s="38"/>
      <c r="I3991" s="37"/>
      <c r="J3991" s="38"/>
      <c r="K3991" s="38"/>
      <c r="L3991" s="42"/>
      <c r="M3991" s="42"/>
      <c r="N3991" s="42"/>
      <c r="O3991" s="42"/>
      <c r="R3991" s="37"/>
      <c r="S3991" s="37"/>
      <c r="T3991" s="91"/>
      <c r="U3991" s="91"/>
      <c r="V3991" s="41"/>
      <c r="W3991" s="37"/>
      <c r="X3991" s="37"/>
      <c r="Y3991" s="43"/>
      <c r="Z3991" s="37"/>
      <c r="AA3991" s="37"/>
      <c r="AD3991" s="37"/>
      <c r="AE3991" s="37"/>
      <c r="AF3991" s="37"/>
    </row>
    <row r="3992" spans="1:32" x14ac:dyDescent="0.25">
      <c r="A3992" s="37"/>
      <c r="B3992" s="37"/>
      <c r="C3992" s="37"/>
      <c r="F3992" s="38"/>
      <c r="G3992" s="38"/>
      <c r="H3992" s="38"/>
      <c r="I3992" s="37"/>
      <c r="J3992" s="38"/>
      <c r="K3992" s="38"/>
      <c r="L3992" s="42"/>
      <c r="M3992" s="42"/>
      <c r="N3992" s="42"/>
      <c r="O3992" s="42"/>
      <c r="R3992" s="37"/>
      <c r="S3992" s="37"/>
      <c r="T3992" s="91"/>
      <c r="U3992" s="91"/>
      <c r="V3992" s="41"/>
      <c r="W3992" s="37"/>
      <c r="X3992" s="37"/>
      <c r="Y3992" s="43"/>
      <c r="Z3992" s="37"/>
      <c r="AA3992" s="37"/>
      <c r="AD3992" s="37"/>
      <c r="AE3992" s="37"/>
      <c r="AF3992" s="37"/>
    </row>
    <row r="3993" spans="1:32" x14ac:dyDescent="0.25">
      <c r="A3993" s="37"/>
      <c r="B3993" s="37"/>
      <c r="C3993" s="37"/>
      <c r="F3993" s="38"/>
      <c r="G3993" s="38"/>
      <c r="H3993" s="38"/>
      <c r="I3993" s="37"/>
      <c r="J3993" s="38"/>
      <c r="K3993" s="38"/>
      <c r="L3993" s="42"/>
      <c r="M3993" s="42"/>
      <c r="N3993" s="42"/>
      <c r="O3993" s="42"/>
      <c r="R3993" s="37"/>
      <c r="S3993" s="37"/>
      <c r="T3993" s="91"/>
      <c r="U3993" s="91"/>
      <c r="V3993" s="41"/>
      <c r="W3993" s="37"/>
      <c r="X3993" s="37"/>
      <c r="Y3993" s="43"/>
      <c r="Z3993" s="37"/>
      <c r="AA3993" s="37"/>
      <c r="AD3993" s="37"/>
      <c r="AE3993" s="37"/>
      <c r="AF3993" s="37"/>
    </row>
    <row r="3994" spans="1:32" x14ac:dyDescent="0.25">
      <c r="A3994" s="37"/>
      <c r="B3994" s="37"/>
      <c r="C3994" s="37"/>
      <c r="F3994" s="38"/>
      <c r="G3994" s="38"/>
      <c r="H3994" s="38"/>
      <c r="I3994" s="37"/>
      <c r="J3994" s="38"/>
      <c r="K3994" s="38"/>
      <c r="L3994" s="42"/>
      <c r="M3994" s="42"/>
      <c r="N3994" s="42"/>
      <c r="O3994" s="42"/>
      <c r="R3994" s="37"/>
      <c r="S3994" s="37"/>
      <c r="T3994" s="91"/>
      <c r="U3994" s="91"/>
      <c r="V3994" s="41"/>
      <c r="W3994" s="37"/>
      <c r="X3994" s="37"/>
      <c r="Y3994" s="43"/>
      <c r="Z3994" s="37"/>
      <c r="AA3994" s="37"/>
      <c r="AD3994" s="37"/>
      <c r="AE3994" s="37"/>
      <c r="AF3994" s="37"/>
    </row>
    <row r="3995" spans="1:32" x14ac:dyDescent="0.25">
      <c r="A3995" s="37"/>
      <c r="B3995" s="37"/>
      <c r="C3995" s="37"/>
      <c r="F3995" s="38"/>
      <c r="G3995" s="38"/>
      <c r="H3995" s="38"/>
      <c r="I3995" s="37"/>
      <c r="J3995" s="38"/>
      <c r="K3995" s="38"/>
      <c r="L3995" s="42"/>
      <c r="M3995" s="42"/>
      <c r="N3995" s="42"/>
      <c r="O3995" s="42"/>
      <c r="R3995" s="37"/>
      <c r="S3995" s="37"/>
      <c r="T3995" s="91"/>
      <c r="U3995" s="91"/>
      <c r="V3995" s="41"/>
      <c r="W3995" s="37"/>
      <c r="X3995" s="37"/>
      <c r="Y3995" s="43"/>
      <c r="Z3995" s="37"/>
      <c r="AA3995" s="37"/>
      <c r="AD3995" s="37"/>
      <c r="AE3995" s="37"/>
      <c r="AF3995" s="37"/>
    </row>
    <row r="3996" spans="1:32" x14ac:dyDescent="0.25">
      <c r="A3996" s="37"/>
      <c r="B3996" s="37"/>
      <c r="C3996" s="37"/>
      <c r="F3996" s="38"/>
      <c r="G3996" s="38"/>
      <c r="H3996" s="38"/>
      <c r="I3996" s="37"/>
      <c r="J3996" s="38"/>
      <c r="K3996" s="38"/>
      <c r="L3996" s="42"/>
      <c r="M3996" s="42"/>
      <c r="N3996" s="42"/>
      <c r="O3996" s="42"/>
      <c r="R3996" s="37"/>
      <c r="S3996" s="37"/>
      <c r="T3996" s="91"/>
      <c r="U3996" s="91"/>
      <c r="V3996" s="41"/>
      <c r="W3996" s="37"/>
      <c r="X3996" s="37"/>
      <c r="Y3996" s="43"/>
      <c r="Z3996" s="37"/>
      <c r="AA3996" s="37"/>
      <c r="AD3996" s="37"/>
      <c r="AE3996" s="37"/>
      <c r="AF3996" s="37"/>
    </row>
    <row r="3997" spans="1:32" x14ac:dyDescent="0.25">
      <c r="A3997" s="37"/>
      <c r="B3997" s="37"/>
      <c r="C3997" s="37"/>
      <c r="F3997" s="38"/>
      <c r="G3997" s="38"/>
      <c r="H3997" s="38"/>
      <c r="I3997" s="37"/>
      <c r="J3997" s="38"/>
      <c r="K3997" s="38"/>
      <c r="L3997" s="42"/>
      <c r="M3997" s="42"/>
      <c r="N3997" s="42"/>
      <c r="O3997" s="42"/>
      <c r="R3997" s="37"/>
      <c r="S3997" s="37"/>
      <c r="T3997" s="91"/>
      <c r="U3997" s="91"/>
      <c r="V3997" s="41"/>
      <c r="W3997" s="37"/>
      <c r="X3997" s="37"/>
      <c r="Y3997" s="43"/>
      <c r="Z3997" s="37"/>
      <c r="AA3997" s="37"/>
      <c r="AD3997" s="37"/>
      <c r="AE3997" s="37"/>
      <c r="AF3997" s="37"/>
    </row>
    <row r="3998" spans="1:32" x14ac:dyDescent="0.25">
      <c r="A3998" s="37"/>
      <c r="B3998" s="37"/>
      <c r="C3998" s="37"/>
      <c r="F3998" s="38"/>
      <c r="G3998" s="38"/>
      <c r="H3998" s="38"/>
      <c r="I3998" s="37"/>
      <c r="J3998" s="38"/>
      <c r="K3998" s="38"/>
      <c r="L3998" s="42"/>
      <c r="M3998" s="42"/>
      <c r="N3998" s="42"/>
      <c r="O3998" s="42"/>
      <c r="R3998" s="37"/>
      <c r="S3998" s="37"/>
      <c r="T3998" s="91"/>
      <c r="U3998" s="91"/>
      <c r="V3998" s="41"/>
      <c r="W3998" s="37"/>
      <c r="X3998" s="37"/>
      <c r="Y3998" s="43"/>
      <c r="Z3998" s="37"/>
      <c r="AA3998" s="37"/>
      <c r="AD3998" s="37"/>
      <c r="AE3998" s="37"/>
      <c r="AF3998" s="37"/>
    </row>
    <row r="3999" spans="1:32" x14ac:dyDescent="0.25">
      <c r="A3999" s="37"/>
      <c r="B3999" s="37"/>
      <c r="C3999" s="37"/>
      <c r="F3999" s="38"/>
      <c r="G3999" s="38"/>
      <c r="H3999" s="38"/>
      <c r="I3999" s="37"/>
      <c r="J3999" s="38"/>
      <c r="K3999" s="38"/>
      <c r="L3999" s="42"/>
      <c r="M3999" s="42"/>
      <c r="N3999" s="42"/>
      <c r="O3999" s="42"/>
      <c r="R3999" s="37"/>
      <c r="S3999" s="37"/>
      <c r="T3999" s="91"/>
      <c r="U3999" s="91"/>
      <c r="V3999" s="41"/>
      <c r="W3999" s="37"/>
      <c r="X3999" s="37"/>
      <c r="Y3999" s="43"/>
      <c r="Z3999" s="37"/>
      <c r="AA3999" s="37"/>
      <c r="AD3999" s="37"/>
      <c r="AE3999" s="37"/>
      <c r="AF3999" s="37"/>
    </row>
    <row r="4000" spans="1:32" x14ac:dyDescent="0.25">
      <c r="A4000" s="37"/>
      <c r="B4000" s="37"/>
      <c r="C4000" s="37"/>
      <c r="F4000" s="38"/>
      <c r="G4000" s="38"/>
      <c r="H4000" s="38"/>
      <c r="I4000" s="37"/>
      <c r="J4000" s="38"/>
      <c r="K4000" s="38"/>
      <c r="L4000" s="42"/>
      <c r="M4000" s="42"/>
      <c r="N4000" s="42"/>
      <c r="O4000" s="42"/>
      <c r="R4000" s="37"/>
      <c r="S4000" s="37"/>
      <c r="T4000" s="91"/>
      <c r="U4000" s="91"/>
      <c r="V4000" s="41"/>
      <c r="W4000" s="37"/>
      <c r="X4000" s="37"/>
      <c r="Y4000" s="43"/>
      <c r="Z4000" s="37"/>
      <c r="AA4000" s="37"/>
      <c r="AD4000" s="37"/>
      <c r="AE4000" s="37"/>
      <c r="AF4000" s="37"/>
    </row>
    <row r="4001" spans="1:32" x14ac:dyDescent="0.25">
      <c r="A4001" s="37"/>
      <c r="B4001" s="37"/>
      <c r="C4001" s="37"/>
      <c r="F4001" s="38"/>
      <c r="G4001" s="38"/>
      <c r="H4001" s="38"/>
      <c r="I4001" s="37"/>
      <c r="J4001" s="38"/>
      <c r="K4001" s="38"/>
      <c r="L4001" s="42"/>
      <c r="M4001" s="42"/>
      <c r="N4001" s="42"/>
      <c r="O4001" s="42"/>
      <c r="R4001" s="37"/>
      <c r="S4001" s="37"/>
      <c r="T4001" s="91"/>
      <c r="U4001" s="91"/>
      <c r="V4001" s="41"/>
      <c r="W4001" s="37"/>
      <c r="X4001" s="37"/>
      <c r="Y4001" s="43"/>
      <c r="Z4001" s="37"/>
      <c r="AA4001" s="37"/>
      <c r="AD4001" s="37"/>
      <c r="AE4001" s="37"/>
      <c r="AF4001" s="37"/>
    </row>
    <row r="4002" spans="1:32" x14ac:dyDescent="0.25">
      <c r="A4002" s="37"/>
      <c r="B4002" s="37"/>
      <c r="C4002" s="37"/>
      <c r="F4002" s="38"/>
      <c r="G4002" s="38"/>
      <c r="H4002" s="38"/>
      <c r="I4002" s="37"/>
      <c r="J4002" s="38"/>
      <c r="K4002" s="38"/>
      <c r="L4002" s="42"/>
      <c r="M4002" s="42"/>
      <c r="N4002" s="42"/>
      <c r="O4002" s="42"/>
      <c r="R4002" s="37"/>
      <c r="S4002" s="37"/>
      <c r="T4002" s="91"/>
      <c r="U4002" s="91"/>
      <c r="V4002" s="41"/>
      <c r="W4002" s="37"/>
      <c r="X4002" s="37"/>
      <c r="Y4002" s="43"/>
      <c r="Z4002" s="37"/>
      <c r="AA4002" s="37"/>
      <c r="AD4002" s="37"/>
      <c r="AE4002" s="37"/>
      <c r="AF4002" s="37"/>
    </row>
    <row r="4003" spans="1:32" x14ac:dyDescent="0.25">
      <c r="A4003" s="37"/>
      <c r="B4003" s="37"/>
      <c r="C4003" s="37"/>
      <c r="F4003" s="38"/>
      <c r="G4003" s="38"/>
      <c r="H4003" s="38"/>
      <c r="I4003" s="37"/>
      <c r="J4003" s="38"/>
      <c r="K4003" s="38"/>
      <c r="L4003" s="42"/>
      <c r="M4003" s="42"/>
      <c r="N4003" s="42"/>
      <c r="O4003" s="42"/>
      <c r="R4003" s="37"/>
      <c r="S4003" s="37"/>
      <c r="T4003" s="91"/>
      <c r="U4003" s="91"/>
      <c r="V4003" s="41"/>
      <c r="W4003" s="37"/>
      <c r="X4003" s="37"/>
      <c r="Y4003" s="43"/>
      <c r="Z4003" s="37"/>
      <c r="AA4003" s="37"/>
      <c r="AD4003" s="37"/>
      <c r="AE4003" s="37"/>
      <c r="AF4003" s="37"/>
    </row>
    <row r="4004" spans="1:32" x14ac:dyDescent="0.25">
      <c r="A4004" s="37"/>
      <c r="B4004" s="37"/>
      <c r="C4004" s="37"/>
      <c r="F4004" s="38"/>
      <c r="G4004" s="38"/>
      <c r="H4004" s="38"/>
      <c r="I4004" s="37"/>
      <c r="J4004" s="38"/>
      <c r="K4004" s="38"/>
      <c r="L4004" s="42"/>
      <c r="M4004" s="42"/>
      <c r="N4004" s="42"/>
      <c r="O4004" s="42"/>
      <c r="R4004" s="37"/>
      <c r="S4004" s="37"/>
      <c r="T4004" s="91"/>
      <c r="U4004" s="91"/>
      <c r="V4004" s="41"/>
      <c r="W4004" s="37"/>
      <c r="X4004" s="37"/>
      <c r="Y4004" s="43"/>
      <c r="Z4004" s="37"/>
      <c r="AA4004" s="37"/>
      <c r="AD4004" s="37"/>
      <c r="AE4004" s="37"/>
      <c r="AF4004" s="37"/>
    </row>
    <row r="4005" spans="1:32" x14ac:dyDescent="0.25">
      <c r="A4005" s="37"/>
      <c r="B4005" s="37"/>
      <c r="C4005" s="37"/>
      <c r="F4005" s="38"/>
      <c r="G4005" s="38"/>
      <c r="H4005" s="38"/>
      <c r="I4005" s="37"/>
      <c r="J4005" s="38"/>
      <c r="K4005" s="38"/>
      <c r="L4005" s="42"/>
      <c r="M4005" s="42"/>
      <c r="N4005" s="42"/>
      <c r="O4005" s="42"/>
      <c r="R4005" s="37"/>
      <c r="S4005" s="37"/>
      <c r="T4005" s="91"/>
      <c r="U4005" s="91"/>
      <c r="V4005" s="41"/>
      <c r="W4005" s="37"/>
      <c r="X4005" s="37"/>
      <c r="Y4005" s="43"/>
      <c r="Z4005" s="37"/>
      <c r="AA4005" s="37"/>
      <c r="AD4005" s="37"/>
      <c r="AE4005" s="37"/>
      <c r="AF4005" s="37"/>
    </row>
    <row r="4006" spans="1:32" x14ac:dyDescent="0.25">
      <c r="A4006" s="37"/>
      <c r="B4006" s="37"/>
      <c r="C4006" s="37"/>
      <c r="F4006" s="38"/>
      <c r="G4006" s="38"/>
      <c r="H4006" s="38"/>
      <c r="I4006" s="37"/>
      <c r="J4006" s="38"/>
      <c r="K4006" s="38"/>
      <c r="L4006" s="42"/>
      <c r="M4006" s="42"/>
      <c r="N4006" s="42"/>
      <c r="O4006" s="42"/>
      <c r="R4006" s="37"/>
      <c r="S4006" s="37"/>
      <c r="T4006" s="91"/>
      <c r="U4006" s="91"/>
      <c r="V4006" s="41"/>
      <c r="W4006" s="37"/>
      <c r="X4006" s="37"/>
      <c r="Y4006" s="43"/>
      <c r="Z4006" s="37"/>
      <c r="AA4006" s="37"/>
      <c r="AD4006" s="37"/>
      <c r="AE4006" s="37"/>
      <c r="AF4006" s="37"/>
    </row>
    <row r="4007" spans="1:32" x14ac:dyDescent="0.25">
      <c r="A4007" s="37"/>
      <c r="B4007" s="37"/>
      <c r="C4007" s="37"/>
      <c r="F4007" s="38"/>
      <c r="G4007" s="38"/>
      <c r="H4007" s="38"/>
      <c r="I4007" s="37"/>
      <c r="J4007" s="38"/>
      <c r="K4007" s="38"/>
      <c r="L4007" s="42"/>
      <c r="M4007" s="42"/>
      <c r="N4007" s="42"/>
      <c r="O4007" s="42"/>
      <c r="R4007" s="37"/>
      <c r="S4007" s="37"/>
      <c r="T4007" s="91"/>
      <c r="U4007" s="91"/>
      <c r="V4007" s="41"/>
      <c r="W4007" s="37"/>
      <c r="X4007" s="37"/>
      <c r="Y4007" s="43"/>
      <c r="Z4007" s="37"/>
      <c r="AA4007" s="37"/>
      <c r="AD4007" s="37"/>
      <c r="AE4007" s="37"/>
      <c r="AF4007" s="37"/>
    </row>
    <row r="4008" spans="1:32" x14ac:dyDescent="0.25">
      <c r="A4008" s="37"/>
      <c r="B4008" s="37"/>
      <c r="C4008" s="37"/>
      <c r="F4008" s="38"/>
      <c r="G4008" s="38"/>
      <c r="H4008" s="38"/>
      <c r="I4008" s="37"/>
      <c r="J4008" s="38"/>
      <c r="K4008" s="38"/>
      <c r="L4008" s="42"/>
      <c r="M4008" s="42"/>
      <c r="N4008" s="42"/>
      <c r="O4008" s="42"/>
      <c r="R4008" s="37"/>
      <c r="S4008" s="37"/>
      <c r="T4008" s="91"/>
      <c r="U4008" s="91"/>
      <c r="V4008" s="41"/>
      <c r="W4008" s="37"/>
      <c r="X4008" s="37"/>
      <c r="Y4008" s="43"/>
      <c r="Z4008" s="37"/>
      <c r="AA4008" s="37"/>
      <c r="AD4008" s="37"/>
      <c r="AE4008" s="37"/>
      <c r="AF4008" s="37"/>
    </row>
    <row r="4009" spans="1:32" x14ac:dyDescent="0.25">
      <c r="A4009" s="37"/>
      <c r="B4009" s="37"/>
      <c r="C4009" s="37"/>
      <c r="F4009" s="38"/>
      <c r="G4009" s="38"/>
      <c r="H4009" s="38"/>
      <c r="I4009" s="37"/>
      <c r="J4009" s="38"/>
      <c r="K4009" s="38"/>
      <c r="L4009" s="42"/>
      <c r="M4009" s="42"/>
      <c r="N4009" s="42"/>
      <c r="O4009" s="42"/>
      <c r="R4009" s="37"/>
      <c r="S4009" s="37"/>
      <c r="T4009" s="91"/>
      <c r="U4009" s="91"/>
      <c r="V4009" s="41"/>
      <c r="W4009" s="37"/>
      <c r="X4009" s="37"/>
      <c r="Y4009" s="43"/>
      <c r="Z4009" s="37"/>
      <c r="AA4009" s="37"/>
      <c r="AD4009" s="37"/>
      <c r="AE4009" s="37"/>
      <c r="AF4009" s="37"/>
    </row>
    <row r="4010" spans="1:32" x14ac:dyDescent="0.25">
      <c r="A4010" s="37"/>
      <c r="B4010" s="37"/>
      <c r="C4010" s="37"/>
      <c r="F4010" s="38"/>
      <c r="G4010" s="38"/>
      <c r="H4010" s="38"/>
      <c r="I4010" s="37"/>
      <c r="J4010" s="38"/>
      <c r="K4010" s="38"/>
      <c r="L4010" s="42"/>
      <c r="M4010" s="42"/>
      <c r="N4010" s="42"/>
      <c r="O4010" s="42"/>
      <c r="R4010" s="37"/>
      <c r="S4010" s="37"/>
      <c r="T4010" s="91"/>
      <c r="U4010" s="91"/>
      <c r="V4010" s="41"/>
      <c r="W4010" s="37"/>
      <c r="X4010" s="37"/>
      <c r="Y4010" s="43"/>
      <c r="Z4010" s="37"/>
      <c r="AA4010" s="37"/>
      <c r="AD4010" s="37"/>
      <c r="AE4010" s="37"/>
      <c r="AF4010" s="37"/>
    </row>
    <row r="4011" spans="1:32" x14ac:dyDescent="0.25">
      <c r="A4011" s="37"/>
      <c r="B4011" s="37"/>
      <c r="C4011" s="37"/>
      <c r="F4011" s="38"/>
      <c r="G4011" s="38"/>
      <c r="H4011" s="38"/>
      <c r="I4011" s="37"/>
      <c r="J4011" s="38"/>
      <c r="K4011" s="38"/>
      <c r="L4011" s="42"/>
      <c r="M4011" s="42"/>
      <c r="N4011" s="42"/>
      <c r="O4011" s="42"/>
      <c r="R4011" s="37"/>
      <c r="S4011" s="37"/>
      <c r="T4011" s="91"/>
      <c r="U4011" s="91"/>
      <c r="V4011" s="41"/>
      <c r="W4011" s="37"/>
      <c r="X4011" s="37"/>
      <c r="Y4011" s="43"/>
      <c r="Z4011" s="37"/>
      <c r="AA4011" s="37"/>
      <c r="AD4011" s="37"/>
      <c r="AE4011" s="37"/>
      <c r="AF4011" s="37"/>
    </row>
    <row r="4012" spans="1:32" x14ac:dyDescent="0.25">
      <c r="A4012" s="37"/>
      <c r="B4012" s="37"/>
      <c r="C4012" s="37"/>
      <c r="F4012" s="38"/>
      <c r="G4012" s="38"/>
      <c r="H4012" s="38"/>
      <c r="I4012" s="37"/>
      <c r="J4012" s="38"/>
      <c r="K4012" s="38"/>
      <c r="L4012" s="42"/>
      <c r="M4012" s="42"/>
      <c r="N4012" s="42"/>
      <c r="O4012" s="42"/>
      <c r="R4012" s="37"/>
      <c r="S4012" s="37"/>
      <c r="T4012" s="91"/>
      <c r="U4012" s="91"/>
      <c r="V4012" s="41"/>
      <c r="W4012" s="37"/>
      <c r="X4012" s="37"/>
      <c r="Y4012" s="43"/>
      <c r="Z4012" s="37"/>
      <c r="AA4012" s="37"/>
      <c r="AD4012" s="37"/>
      <c r="AE4012" s="37"/>
      <c r="AF4012" s="37"/>
    </row>
    <row r="4013" spans="1:32" x14ac:dyDescent="0.25">
      <c r="A4013" s="37"/>
      <c r="B4013" s="37"/>
      <c r="C4013" s="37"/>
      <c r="F4013" s="38"/>
      <c r="G4013" s="38"/>
      <c r="H4013" s="38"/>
      <c r="I4013" s="37"/>
      <c r="J4013" s="38"/>
      <c r="K4013" s="38"/>
      <c r="L4013" s="42"/>
      <c r="M4013" s="42"/>
      <c r="N4013" s="42"/>
      <c r="O4013" s="42"/>
      <c r="R4013" s="37"/>
      <c r="S4013" s="37"/>
      <c r="T4013" s="91"/>
      <c r="U4013" s="91"/>
      <c r="V4013" s="41"/>
      <c r="W4013" s="37"/>
      <c r="X4013" s="37"/>
      <c r="Y4013" s="43"/>
      <c r="Z4013" s="37"/>
      <c r="AA4013" s="37"/>
      <c r="AD4013" s="37"/>
      <c r="AE4013" s="37"/>
      <c r="AF4013" s="37"/>
    </row>
    <row r="4014" spans="1:32" x14ac:dyDescent="0.25">
      <c r="A4014" s="37"/>
      <c r="B4014" s="37"/>
      <c r="C4014" s="37"/>
      <c r="F4014" s="38"/>
      <c r="G4014" s="38"/>
      <c r="H4014" s="38"/>
      <c r="I4014" s="37"/>
      <c r="J4014" s="38"/>
      <c r="K4014" s="38"/>
      <c r="L4014" s="42"/>
      <c r="M4014" s="42"/>
      <c r="N4014" s="42"/>
      <c r="O4014" s="42"/>
      <c r="R4014" s="37"/>
      <c r="S4014" s="37"/>
      <c r="T4014" s="91"/>
      <c r="U4014" s="91"/>
      <c r="V4014" s="41"/>
      <c r="W4014" s="37"/>
      <c r="X4014" s="37"/>
      <c r="Y4014" s="43"/>
      <c r="Z4014" s="37"/>
      <c r="AA4014" s="37"/>
      <c r="AD4014" s="37"/>
      <c r="AE4014" s="37"/>
      <c r="AF4014" s="37"/>
    </row>
    <row r="4015" spans="1:32" x14ac:dyDescent="0.25">
      <c r="A4015" s="37"/>
      <c r="B4015" s="37"/>
      <c r="C4015" s="37"/>
      <c r="F4015" s="38"/>
      <c r="G4015" s="38"/>
      <c r="H4015" s="38"/>
      <c r="I4015" s="37"/>
      <c r="J4015" s="38"/>
      <c r="K4015" s="38"/>
      <c r="L4015" s="42"/>
      <c r="M4015" s="42"/>
      <c r="N4015" s="42"/>
      <c r="O4015" s="42"/>
      <c r="R4015" s="37"/>
      <c r="S4015" s="37"/>
      <c r="T4015" s="91"/>
      <c r="U4015" s="91"/>
      <c r="V4015" s="41"/>
      <c r="W4015" s="37"/>
      <c r="X4015" s="37"/>
      <c r="Y4015" s="43"/>
      <c r="Z4015" s="37"/>
      <c r="AA4015" s="37"/>
      <c r="AD4015" s="37"/>
      <c r="AE4015" s="37"/>
      <c r="AF4015" s="37"/>
    </row>
    <row r="4016" spans="1:32" x14ac:dyDescent="0.25">
      <c r="A4016" s="37"/>
      <c r="B4016" s="37"/>
      <c r="C4016" s="37"/>
      <c r="F4016" s="38"/>
      <c r="G4016" s="38"/>
      <c r="H4016" s="38"/>
      <c r="I4016" s="37"/>
      <c r="J4016" s="38"/>
      <c r="K4016" s="38"/>
      <c r="L4016" s="42"/>
      <c r="M4016" s="42"/>
      <c r="N4016" s="42"/>
      <c r="O4016" s="42"/>
      <c r="R4016" s="37"/>
      <c r="S4016" s="37"/>
      <c r="T4016" s="91"/>
      <c r="U4016" s="91"/>
      <c r="V4016" s="41"/>
      <c r="W4016" s="37"/>
      <c r="X4016" s="37"/>
      <c r="Y4016" s="43"/>
      <c r="Z4016" s="37"/>
      <c r="AA4016" s="37"/>
      <c r="AD4016" s="37"/>
      <c r="AE4016" s="37"/>
      <c r="AF4016" s="37"/>
    </row>
    <row r="4017" spans="1:32" x14ac:dyDescent="0.25">
      <c r="A4017" s="37"/>
      <c r="B4017" s="37"/>
      <c r="C4017" s="37"/>
      <c r="F4017" s="38"/>
      <c r="G4017" s="38"/>
      <c r="H4017" s="38"/>
      <c r="I4017" s="37"/>
      <c r="J4017" s="38"/>
      <c r="K4017" s="38"/>
      <c r="L4017" s="42"/>
      <c r="M4017" s="42"/>
      <c r="N4017" s="42"/>
      <c r="O4017" s="42"/>
      <c r="R4017" s="37"/>
      <c r="S4017" s="37"/>
      <c r="T4017" s="91"/>
      <c r="U4017" s="91"/>
      <c r="V4017" s="41"/>
      <c r="W4017" s="37"/>
      <c r="X4017" s="37"/>
      <c r="Y4017" s="43"/>
      <c r="Z4017" s="37"/>
      <c r="AA4017" s="37"/>
      <c r="AD4017" s="37"/>
      <c r="AE4017" s="37"/>
      <c r="AF4017" s="37"/>
    </row>
    <row r="4018" spans="1:32" x14ac:dyDescent="0.25">
      <c r="A4018" s="37"/>
      <c r="B4018" s="37"/>
      <c r="C4018" s="37"/>
      <c r="F4018" s="38"/>
      <c r="G4018" s="38"/>
      <c r="H4018" s="38"/>
      <c r="I4018" s="37"/>
      <c r="J4018" s="38"/>
      <c r="K4018" s="38"/>
      <c r="L4018" s="42"/>
      <c r="M4018" s="42"/>
      <c r="N4018" s="42"/>
      <c r="O4018" s="42"/>
      <c r="R4018" s="37"/>
      <c r="S4018" s="37"/>
      <c r="T4018" s="91"/>
      <c r="U4018" s="91"/>
      <c r="V4018" s="41"/>
      <c r="W4018" s="37"/>
      <c r="X4018" s="37"/>
      <c r="Y4018" s="43"/>
      <c r="Z4018" s="37"/>
      <c r="AA4018" s="37"/>
      <c r="AD4018" s="37"/>
      <c r="AE4018" s="37"/>
      <c r="AF4018" s="37"/>
    </row>
    <row r="4019" spans="1:32" x14ac:dyDescent="0.25">
      <c r="A4019" s="37"/>
      <c r="B4019" s="37"/>
      <c r="C4019" s="37"/>
      <c r="F4019" s="38"/>
      <c r="G4019" s="38"/>
      <c r="H4019" s="38"/>
      <c r="I4019" s="37"/>
      <c r="J4019" s="38"/>
      <c r="K4019" s="38"/>
      <c r="L4019" s="42"/>
      <c r="M4019" s="42"/>
      <c r="N4019" s="42"/>
      <c r="O4019" s="42"/>
      <c r="R4019" s="37"/>
      <c r="S4019" s="37"/>
      <c r="T4019" s="91"/>
      <c r="U4019" s="91"/>
      <c r="V4019" s="41"/>
      <c r="W4019" s="37"/>
      <c r="X4019" s="37"/>
      <c r="Y4019" s="43"/>
      <c r="Z4019" s="37"/>
      <c r="AA4019" s="37"/>
      <c r="AD4019" s="37"/>
      <c r="AE4019" s="37"/>
      <c r="AF4019" s="37"/>
    </row>
    <row r="4020" spans="1:32" x14ac:dyDescent="0.25">
      <c r="A4020" s="37"/>
      <c r="B4020" s="37"/>
      <c r="C4020" s="37"/>
      <c r="F4020" s="38"/>
      <c r="G4020" s="38"/>
      <c r="H4020" s="38"/>
      <c r="I4020" s="37"/>
      <c r="J4020" s="38"/>
      <c r="K4020" s="38"/>
      <c r="L4020" s="42"/>
      <c r="M4020" s="42"/>
      <c r="N4020" s="42"/>
      <c r="O4020" s="42"/>
      <c r="R4020" s="37"/>
      <c r="S4020" s="37"/>
      <c r="T4020" s="91"/>
      <c r="U4020" s="91"/>
      <c r="V4020" s="41"/>
      <c r="W4020" s="37"/>
      <c r="X4020" s="37"/>
      <c r="Y4020" s="43"/>
      <c r="Z4020" s="37"/>
      <c r="AA4020" s="37"/>
      <c r="AD4020" s="37"/>
      <c r="AE4020" s="37"/>
      <c r="AF4020" s="37"/>
    </row>
    <row r="4021" spans="1:32" x14ac:dyDescent="0.25">
      <c r="A4021" s="37"/>
      <c r="B4021" s="37"/>
      <c r="C4021" s="37"/>
      <c r="F4021" s="38"/>
      <c r="G4021" s="38"/>
      <c r="H4021" s="38"/>
      <c r="I4021" s="37"/>
      <c r="J4021" s="38"/>
      <c r="K4021" s="38"/>
      <c r="L4021" s="42"/>
      <c r="M4021" s="42"/>
      <c r="N4021" s="42"/>
      <c r="O4021" s="42"/>
      <c r="R4021" s="37"/>
      <c r="S4021" s="37"/>
      <c r="T4021" s="91"/>
      <c r="U4021" s="91"/>
      <c r="V4021" s="41"/>
      <c r="W4021" s="37"/>
      <c r="X4021" s="37"/>
      <c r="Y4021" s="43"/>
      <c r="Z4021" s="37"/>
      <c r="AA4021" s="37"/>
      <c r="AD4021" s="37"/>
      <c r="AE4021" s="37"/>
      <c r="AF4021" s="37"/>
    </row>
    <row r="4022" spans="1:32" x14ac:dyDescent="0.25">
      <c r="A4022" s="37"/>
      <c r="B4022" s="37"/>
      <c r="C4022" s="37"/>
      <c r="F4022" s="38"/>
      <c r="G4022" s="38"/>
      <c r="H4022" s="38"/>
      <c r="I4022" s="37"/>
      <c r="J4022" s="38"/>
      <c r="K4022" s="38"/>
      <c r="L4022" s="42"/>
      <c r="M4022" s="42"/>
      <c r="N4022" s="42"/>
      <c r="O4022" s="42"/>
      <c r="R4022" s="37"/>
      <c r="S4022" s="37"/>
      <c r="T4022" s="91"/>
      <c r="U4022" s="91"/>
      <c r="V4022" s="41"/>
      <c r="W4022" s="37"/>
      <c r="X4022" s="37"/>
      <c r="Y4022" s="43"/>
      <c r="Z4022" s="37"/>
      <c r="AA4022" s="37"/>
      <c r="AD4022" s="37"/>
      <c r="AE4022" s="37"/>
      <c r="AF4022" s="37"/>
    </row>
    <row r="4023" spans="1:32" x14ac:dyDescent="0.25">
      <c r="A4023" s="37"/>
      <c r="B4023" s="37"/>
      <c r="C4023" s="37"/>
      <c r="F4023" s="38"/>
      <c r="G4023" s="38"/>
      <c r="H4023" s="38"/>
      <c r="I4023" s="37"/>
      <c r="J4023" s="38"/>
      <c r="K4023" s="38"/>
      <c r="L4023" s="42"/>
      <c r="M4023" s="42"/>
      <c r="N4023" s="42"/>
      <c r="O4023" s="42"/>
      <c r="R4023" s="37"/>
      <c r="S4023" s="37"/>
      <c r="T4023" s="91"/>
      <c r="U4023" s="91"/>
      <c r="V4023" s="41"/>
      <c r="W4023" s="37"/>
      <c r="X4023" s="37"/>
      <c r="Y4023" s="43"/>
      <c r="Z4023" s="37"/>
      <c r="AA4023" s="37"/>
      <c r="AD4023" s="37"/>
      <c r="AE4023" s="37"/>
      <c r="AF4023" s="37"/>
    </row>
    <row r="4024" spans="1:32" x14ac:dyDescent="0.25">
      <c r="A4024" s="37"/>
      <c r="B4024" s="37"/>
      <c r="C4024" s="37"/>
      <c r="F4024" s="38"/>
      <c r="G4024" s="38"/>
      <c r="H4024" s="38"/>
      <c r="I4024" s="37"/>
      <c r="J4024" s="38"/>
      <c r="K4024" s="38"/>
      <c r="L4024" s="42"/>
      <c r="M4024" s="42"/>
      <c r="N4024" s="42"/>
      <c r="O4024" s="42"/>
      <c r="R4024" s="37"/>
      <c r="S4024" s="37"/>
      <c r="T4024" s="91"/>
      <c r="U4024" s="91"/>
      <c r="V4024" s="41"/>
      <c r="W4024" s="37"/>
      <c r="X4024" s="37"/>
      <c r="Y4024" s="43"/>
      <c r="Z4024" s="37"/>
      <c r="AA4024" s="37"/>
      <c r="AD4024" s="37"/>
      <c r="AE4024" s="37"/>
      <c r="AF4024" s="37"/>
    </row>
    <row r="4025" spans="1:32" x14ac:dyDescent="0.25">
      <c r="A4025" s="37"/>
      <c r="B4025" s="37"/>
      <c r="C4025" s="37"/>
      <c r="F4025" s="38"/>
      <c r="G4025" s="38"/>
      <c r="H4025" s="38"/>
      <c r="I4025" s="37"/>
      <c r="J4025" s="38"/>
      <c r="K4025" s="38"/>
      <c r="L4025" s="42"/>
      <c r="M4025" s="42"/>
      <c r="N4025" s="42"/>
      <c r="O4025" s="42"/>
      <c r="R4025" s="37"/>
      <c r="S4025" s="37"/>
      <c r="T4025" s="91"/>
      <c r="U4025" s="91"/>
      <c r="V4025" s="41"/>
      <c r="W4025" s="37"/>
      <c r="X4025" s="37"/>
      <c r="Y4025" s="43"/>
      <c r="Z4025" s="37"/>
      <c r="AA4025" s="37"/>
      <c r="AD4025" s="37"/>
      <c r="AE4025" s="37"/>
      <c r="AF4025" s="37"/>
    </row>
    <row r="4026" spans="1:32" x14ac:dyDescent="0.25">
      <c r="A4026" s="37"/>
      <c r="B4026" s="37"/>
      <c r="C4026" s="37"/>
      <c r="F4026" s="38"/>
      <c r="G4026" s="38"/>
      <c r="H4026" s="38"/>
      <c r="I4026" s="37"/>
      <c r="J4026" s="38"/>
      <c r="K4026" s="38"/>
      <c r="L4026" s="42"/>
      <c r="M4026" s="42"/>
      <c r="N4026" s="42"/>
      <c r="O4026" s="42"/>
      <c r="R4026" s="37"/>
      <c r="S4026" s="37"/>
      <c r="T4026" s="91"/>
      <c r="U4026" s="91"/>
      <c r="V4026" s="41"/>
      <c r="W4026" s="37"/>
      <c r="X4026" s="37"/>
      <c r="Y4026" s="43"/>
      <c r="Z4026" s="37"/>
      <c r="AA4026" s="37"/>
      <c r="AD4026" s="37"/>
      <c r="AE4026" s="37"/>
      <c r="AF4026" s="37"/>
    </row>
    <row r="4027" spans="1:32" x14ac:dyDescent="0.25">
      <c r="A4027" s="37"/>
      <c r="B4027" s="37"/>
      <c r="C4027" s="37"/>
      <c r="F4027" s="38"/>
      <c r="G4027" s="38"/>
      <c r="H4027" s="38"/>
      <c r="I4027" s="37"/>
      <c r="J4027" s="38"/>
      <c r="K4027" s="38"/>
      <c r="L4027" s="42"/>
      <c r="M4027" s="42"/>
      <c r="N4027" s="42"/>
      <c r="O4027" s="42"/>
      <c r="R4027" s="37"/>
      <c r="S4027" s="37"/>
      <c r="T4027" s="91"/>
      <c r="U4027" s="91"/>
      <c r="V4027" s="41"/>
      <c r="W4027" s="37"/>
      <c r="X4027" s="37"/>
      <c r="Y4027" s="43"/>
      <c r="Z4027" s="37"/>
      <c r="AA4027" s="37"/>
      <c r="AD4027" s="37"/>
      <c r="AE4027" s="37"/>
      <c r="AF4027" s="37"/>
    </row>
    <row r="4028" spans="1:32" x14ac:dyDescent="0.25">
      <c r="A4028" s="37"/>
      <c r="B4028" s="37"/>
      <c r="C4028" s="37"/>
      <c r="F4028" s="38"/>
      <c r="G4028" s="38"/>
      <c r="H4028" s="38"/>
      <c r="I4028" s="37"/>
      <c r="J4028" s="38"/>
      <c r="K4028" s="38"/>
      <c r="L4028" s="42"/>
      <c r="M4028" s="42"/>
      <c r="N4028" s="42"/>
      <c r="O4028" s="42"/>
      <c r="R4028" s="37"/>
      <c r="S4028" s="37"/>
      <c r="T4028" s="91"/>
      <c r="U4028" s="91"/>
      <c r="V4028" s="41"/>
      <c r="W4028" s="37"/>
      <c r="X4028" s="37"/>
      <c r="Y4028" s="43"/>
      <c r="Z4028" s="37"/>
      <c r="AA4028" s="37"/>
      <c r="AD4028" s="37"/>
      <c r="AE4028" s="37"/>
      <c r="AF4028" s="37"/>
    </row>
    <row r="4029" spans="1:32" x14ac:dyDescent="0.25">
      <c r="A4029" s="37"/>
      <c r="B4029" s="37"/>
      <c r="C4029" s="37"/>
      <c r="F4029" s="38"/>
      <c r="G4029" s="38"/>
      <c r="H4029" s="38"/>
      <c r="I4029" s="37"/>
      <c r="J4029" s="38"/>
      <c r="K4029" s="38"/>
      <c r="L4029" s="42"/>
      <c r="M4029" s="42"/>
      <c r="N4029" s="42"/>
      <c r="O4029" s="42"/>
      <c r="R4029" s="37"/>
      <c r="S4029" s="37"/>
      <c r="T4029" s="91"/>
      <c r="U4029" s="91"/>
      <c r="V4029" s="41"/>
      <c r="W4029" s="37"/>
      <c r="X4029" s="37"/>
      <c r="Y4029" s="43"/>
      <c r="Z4029" s="37"/>
      <c r="AA4029" s="37"/>
      <c r="AD4029" s="37"/>
      <c r="AE4029" s="37"/>
      <c r="AF4029" s="37"/>
    </row>
    <row r="4030" spans="1:32" x14ac:dyDescent="0.25">
      <c r="A4030" s="37"/>
      <c r="B4030" s="37"/>
      <c r="C4030" s="37"/>
      <c r="F4030" s="38"/>
      <c r="G4030" s="38"/>
      <c r="H4030" s="38"/>
      <c r="I4030" s="37"/>
      <c r="J4030" s="38"/>
      <c r="K4030" s="38"/>
      <c r="L4030" s="42"/>
      <c r="M4030" s="42"/>
      <c r="N4030" s="42"/>
      <c r="O4030" s="42"/>
      <c r="R4030" s="37"/>
      <c r="S4030" s="37"/>
      <c r="T4030" s="91"/>
      <c r="U4030" s="91"/>
      <c r="V4030" s="41"/>
      <c r="W4030" s="37"/>
      <c r="X4030" s="37"/>
      <c r="Y4030" s="43"/>
      <c r="Z4030" s="37"/>
      <c r="AA4030" s="37"/>
      <c r="AD4030" s="37"/>
      <c r="AE4030" s="37"/>
      <c r="AF4030" s="37"/>
    </row>
    <row r="4031" spans="1:32" x14ac:dyDescent="0.25">
      <c r="A4031" s="37"/>
      <c r="B4031" s="37"/>
      <c r="C4031" s="37"/>
      <c r="F4031" s="38"/>
      <c r="G4031" s="38"/>
      <c r="H4031" s="38"/>
      <c r="I4031" s="37"/>
      <c r="J4031" s="38"/>
      <c r="K4031" s="38"/>
      <c r="L4031" s="42"/>
      <c r="M4031" s="42"/>
      <c r="N4031" s="42"/>
      <c r="O4031" s="42"/>
      <c r="R4031" s="37"/>
      <c r="S4031" s="37"/>
      <c r="T4031" s="91"/>
      <c r="U4031" s="91"/>
      <c r="V4031" s="41"/>
      <c r="W4031" s="37"/>
      <c r="X4031" s="37"/>
      <c r="Y4031" s="43"/>
      <c r="Z4031" s="37"/>
      <c r="AA4031" s="37"/>
      <c r="AD4031" s="37"/>
      <c r="AE4031" s="37"/>
      <c r="AF4031" s="37"/>
    </row>
    <row r="4032" spans="1:32" x14ac:dyDescent="0.25">
      <c r="A4032" s="37"/>
      <c r="B4032" s="37"/>
      <c r="C4032" s="37"/>
      <c r="F4032" s="38"/>
      <c r="G4032" s="38"/>
      <c r="H4032" s="38"/>
      <c r="I4032" s="37"/>
      <c r="J4032" s="38"/>
      <c r="K4032" s="38"/>
      <c r="L4032" s="42"/>
      <c r="M4032" s="42"/>
      <c r="N4032" s="42"/>
      <c r="O4032" s="42"/>
      <c r="R4032" s="37"/>
      <c r="S4032" s="37"/>
      <c r="T4032" s="91"/>
      <c r="U4032" s="91"/>
      <c r="V4032" s="41"/>
      <c r="W4032" s="37"/>
      <c r="X4032" s="37"/>
      <c r="Y4032" s="43"/>
      <c r="Z4032" s="37"/>
      <c r="AA4032" s="37"/>
      <c r="AD4032" s="37"/>
      <c r="AE4032" s="37"/>
      <c r="AF4032" s="37"/>
    </row>
    <row r="4033" spans="1:32" x14ac:dyDescent="0.25">
      <c r="A4033" s="37"/>
      <c r="B4033" s="37"/>
      <c r="C4033" s="37"/>
      <c r="F4033" s="38"/>
      <c r="G4033" s="38"/>
      <c r="H4033" s="38"/>
      <c r="I4033" s="37"/>
      <c r="J4033" s="38"/>
      <c r="K4033" s="38"/>
      <c r="L4033" s="42"/>
      <c r="M4033" s="42"/>
      <c r="N4033" s="42"/>
      <c r="O4033" s="42"/>
      <c r="R4033" s="37"/>
      <c r="S4033" s="37"/>
      <c r="T4033" s="91"/>
      <c r="U4033" s="91"/>
      <c r="V4033" s="41"/>
      <c r="W4033" s="37"/>
      <c r="X4033" s="37"/>
      <c r="Y4033" s="43"/>
      <c r="Z4033" s="37"/>
      <c r="AA4033" s="37"/>
      <c r="AD4033" s="37"/>
      <c r="AE4033" s="37"/>
      <c r="AF4033" s="37"/>
    </row>
    <row r="4034" spans="1:32" x14ac:dyDescent="0.25">
      <c r="A4034" s="37"/>
      <c r="B4034" s="37"/>
      <c r="C4034" s="37"/>
      <c r="F4034" s="38"/>
      <c r="G4034" s="38"/>
      <c r="H4034" s="38"/>
      <c r="I4034" s="37"/>
      <c r="J4034" s="38"/>
      <c r="K4034" s="38"/>
      <c r="L4034" s="42"/>
      <c r="M4034" s="42"/>
      <c r="N4034" s="42"/>
      <c r="O4034" s="42"/>
      <c r="R4034" s="37"/>
      <c r="S4034" s="37"/>
      <c r="T4034" s="91"/>
      <c r="U4034" s="91"/>
      <c r="V4034" s="41"/>
      <c r="W4034" s="37"/>
      <c r="X4034" s="37"/>
      <c r="Y4034" s="43"/>
      <c r="Z4034" s="37"/>
      <c r="AA4034" s="37"/>
      <c r="AD4034" s="37"/>
      <c r="AE4034" s="37"/>
      <c r="AF4034" s="37"/>
    </row>
    <row r="4035" spans="1:32" x14ac:dyDescent="0.25">
      <c r="A4035" s="37"/>
      <c r="B4035" s="37"/>
      <c r="C4035" s="37"/>
      <c r="F4035" s="38"/>
      <c r="G4035" s="38"/>
      <c r="H4035" s="38"/>
      <c r="I4035" s="37"/>
      <c r="J4035" s="38"/>
      <c r="K4035" s="38"/>
      <c r="L4035" s="42"/>
      <c r="M4035" s="42"/>
      <c r="N4035" s="42"/>
      <c r="O4035" s="42"/>
      <c r="R4035" s="37"/>
      <c r="S4035" s="37"/>
      <c r="T4035" s="91"/>
      <c r="U4035" s="91"/>
      <c r="V4035" s="41"/>
      <c r="W4035" s="37"/>
      <c r="X4035" s="37"/>
      <c r="Y4035" s="43"/>
      <c r="Z4035" s="37"/>
      <c r="AA4035" s="37"/>
      <c r="AD4035" s="37"/>
      <c r="AE4035" s="37"/>
      <c r="AF4035" s="37"/>
    </row>
    <row r="4036" spans="1:32" x14ac:dyDescent="0.25">
      <c r="A4036" s="37"/>
      <c r="B4036" s="37"/>
      <c r="C4036" s="37"/>
      <c r="F4036" s="38"/>
      <c r="G4036" s="38"/>
      <c r="H4036" s="38"/>
      <c r="I4036" s="37"/>
      <c r="J4036" s="38"/>
      <c r="K4036" s="38"/>
      <c r="L4036" s="42"/>
      <c r="M4036" s="42"/>
      <c r="N4036" s="42"/>
      <c r="O4036" s="42"/>
      <c r="R4036" s="37"/>
      <c r="S4036" s="37"/>
      <c r="T4036" s="91"/>
      <c r="U4036" s="91"/>
      <c r="V4036" s="41"/>
      <c r="W4036" s="37"/>
      <c r="X4036" s="37"/>
      <c r="Y4036" s="43"/>
      <c r="Z4036" s="37"/>
      <c r="AA4036" s="37"/>
      <c r="AD4036" s="37"/>
      <c r="AE4036" s="37"/>
      <c r="AF4036" s="37"/>
    </row>
    <row r="4037" spans="1:32" x14ac:dyDescent="0.25">
      <c r="A4037" s="37"/>
      <c r="B4037" s="37"/>
      <c r="C4037" s="37"/>
      <c r="F4037" s="38"/>
      <c r="G4037" s="38"/>
      <c r="H4037" s="38"/>
      <c r="I4037" s="37"/>
      <c r="J4037" s="38"/>
      <c r="K4037" s="38"/>
      <c r="L4037" s="42"/>
      <c r="M4037" s="42"/>
      <c r="N4037" s="42"/>
      <c r="O4037" s="42"/>
      <c r="R4037" s="37"/>
      <c r="S4037" s="37"/>
      <c r="T4037" s="91"/>
      <c r="U4037" s="91"/>
      <c r="V4037" s="41"/>
      <c r="W4037" s="37"/>
      <c r="X4037" s="37"/>
      <c r="Y4037" s="43"/>
      <c r="Z4037" s="37"/>
      <c r="AA4037" s="37"/>
      <c r="AD4037" s="37"/>
      <c r="AE4037" s="37"/>
      <c r="AF4037" s="37"/>
    </row>
    <row r="4038" spans="1:32" x14ac:dyDescent="0.25">
      <c r="A4038" s="37"/>
      <c r="B4038" s="37"/>
      <c r="C4038" s="37"/>
      <c r="F4038" s="38"/>
      <c r="G4038" s="38"/>
      <c r="H4038" s="38"/>
      <c r="I4038" s="37"/>
      <c r="J4038" s="38"/>
      <c r="K4038" s="38"/>
      <c r="L4038" s="42"/>
      <c r="M4038" s="42"/>
      <c r="N4038" s="42"/>
      <c r="O4038" s="42"/>
      <c r="R4038" s="37"/>
      <c r="S4038" s="37"/>
      <c r="T4038" s="91"/>
      <c r="U4038" s="91"/>
      <c r="V4038" s="41"/>
      <c r="W4038" s="37"/>
      <c r="X4038" s="37"/>
      <c r="Y4038" s="43"/>
      <c r="Z4038" s="37"/>
      <c r="AA4038" s="37"/>
      <c r="AD4038" s="37"/>
      <c r="AE4038" s="37"/>
      <c r="AF4038" s="37"/>
    </row>
    <row r="4039" spans="1:32" x14ac:dyDescent="0.25">
      <c r="A4039" s="37"/>
      <c r="B4039" s="37"/>
      <c r="C4039" s="37"/>
      <c r="F4039" s="38"/>
      <c r="G4039" s="38"/>
      <c r="H4039" s="38"/>
      <c r="I4039" s="37"/>
      <c r="J4039" s="38"/>
      <c r="K4039" s="38"/>
      <c r="L4039" s="42"/>
      <c r="M4039" s="42"/>
      <c r="N4039" s="42"/>
      <c r="O4039" s="42"/>
      <c r="R4039" s="37"/>
      <c r="S4039" s="37"/>
      <c r="T4039" s="91"/>
      <c r="U4039" s="91"/>
      <c r="V4039" s="41"/>
      <c r="W4039" s="37"/>
      <c r="X4039" s="37"/>
      <c r="Y4039" s="43"/>
      <c r="Z4039" s="37"/>
      <c r="AA4039" s="37"/>
      <c r="AD4039" s="37"/>
      <c r="AE4039" s="37"/>
      <c r="AF4039" s="37"/>
    </row>
    <row r="4040" spans="1:32" x14ac:dyDescent="0.25">
      <c r="A4040" s="37"/>
      <c r="B4040" s="37"/>
      <c r="C4040" s="37"/>
      <c r="F4040" s="38"/>
      <c r="G4040" s="38"/>
      <c r="H4040" s="38"/>
      <c r="I4040" s="37"/>
      <c r="J4040" s="38"/>
      <c r="K4040" s="38"/>
      <c r="L4040" s="42"/>
      <c r="M4040" s="42"/>
      <c r="N4040" s="42"/>
      <c r="O4040" s="42"/>
      <c r="R4040" s="37"/>
      <c r="S4040" s="37"/>
      <c r="T4040" s="91"/>
      <c r="U4040" s="91"/>
      <c r="V4040" s="41"/>
      <c r="W4040" s="37"/>
      <c r="X4040" s="37"/>
      <c r="Y4040" s="43"/>
      <c r="Z4040" s="37"/>
      <c r="AA4040" s="37"/>
      <c r="AD4040" s="37"/>
      <c r="AE4040" s="37"/>
      <c r="AF4040" s="37"/>
    </row>
    <row r="4041" spans="1:32" x14ac:dyDescent="0.25">
      <c r="A4041" s="37"/>
      <c r="B4041" s="37"/>
      <c r="C4041" s="37"/>
      <c r="F4041" s="38"/>
      <c r="G4041" s="38"/>
      <c r="H4041" s="38"/>
      <c r="I4041" s="37"/>
      <c r="J4041" s="38"/>
      <c r="K4041" s="38"/>
      <c r="L4041" s="42"/>
      <c r="M4041" s="42"/>
      <c r="N4041" s="42"/>
      <c r="O4041" s="42"/>
      <c r="R4041" s="37"/>
      <c r="S4041" s="37"/>
      <c r="T4041" s="91"/>
      <c r="U4041" s="91"/>
      <c r="V4041" s="41"/>
      <c r="W4041" s="37"/>
      <c r="X4041" s="37"/>
      <c r="Y4041" s="43"/>
      <c r="Z4041" s="37"/>
      <c r="AA4041" s="37"/>
      <c r="AD4041" s="37"/>
      <c r="AE4041" s="37"/>
      <c r="AF4041" s="37"/>
    </row>
    <row r="4042" spans="1:32" x14ac:dyDescent="0.25">
      <c r="A4042" s="37"/>
      <c r="B4042" s="37"/>
      <c r="C4042" s="37"/>
      <c r="F4042" s="38"/>
      <c r="G4042" s="38"/>
      <c r="H4042" s="38"/>
      <c r="I4042" s="37"/>
      <c r="J4042" s="38"/>
      <c r="K4042" s="38"/>
      <c r="L4042" s="42"/>
      <c r="M4042" s="42"/>
      <c r="N4042" s="42"/>
      <c r="O4042" s="42"/>
      <c r="R4042" s="37"/>
      <c r="S4042" s="37"/>
      <c r="T4042" s="91"/>
      <c r="U4042" s="91"/>
      <c r="V4042" s="41"/>
      <c r="W4042" s="37"/>
      <c r="X4042" s="37"/>
      <c r="Y4042" s="43"/>
      <c r="Z4042" s="37"/>
      <c r="AA4042" s="37"/>
      <c r="AD4042" s="37"/>
      <c r="AE4042" s="37"/>
      <c r="AF4042" s="37"/>
    </row>
    <row r="4043" spans="1:32" x14ac:dyDescent="0.25">
      <c r="A4043" s="37"/>
      <c r="B4043" s="37"/>
      <c r="C4043" s="37"/>
      <c r="F4043" s="38"/>
      <c r="G4043" s="38"/>
      <c r="H4043" s="38"/>
      <c r="I4043" s="37"/>
      <c r="J4043" s="38"/>
      <c r="K4043" s="38"/>
      <c r="L4043" s="42"/>
      <c r="M4043" s="42"/>
      <c r="N4043" s="42"/>
      <c r="O4043" s="42"/>
      <c r="R4043" s="37"/>
      <c r="S4043" s="37"/>
      <c r="T4043" s="91"/>
      <c r="U4043" s="91"/>
      <c r="V4043" s="41"/>
      <c r="W4043" s="37"/>
      <c r="X4043" s="37"/>
      <c r="Y4043" s="43"/>
      <c r="Z4043" s="37"/>
      <c r="AA4043" s="37"/>
      <c r="AD4043" s="37"/>
      <c r="AE4043" s="37"/>
      <c r="AF4043" s="37"/>
    </row>
    <row r="4044" spans="1:32" x14ac:dyDescent="0.25">
      <c r="A4044" s="37"/>
      <c r="B4044" s="37"/>
      <c r="C4044" s="37"/>
      <c r="F4044" s="38"/>
      <c r="G4044" s="38"/>
      <c r="H4044" s="38"/>
      <c r="I4044" s="37"/>
      <c r="J4044" s="38"/>
      <c r="K4044" s="38"/>
      <c r="L4044" s="42"/>
      <c r="M4044" s="42"/>
      <c r="N4044" s="42"/>
      <c r="O4044" s="42"/>
      <c r="R4044" s="37"/>
      <c r="S4044" s="37"/>
      <c r="T4044" s="91"/>
      <c r="U4044" s="91"/>
      <c r="V4044" s="41"/>
      <c r="W4044" s="37"/>
      <c r="X4044" s="37"/>
      <c r="Y4044" s="43"/>
      <c r="Z4044" s="37"/>
      <c r="AA4044" s="37"/>
      <c r="AD4044" s="37"/>
      <c r="AE4044" s="37"/>
      <c r="AF4044" s="37"/>
    </row>
    <row r="4045" spans="1:32" x14ac:dyDescent="0.25">
      <c r="A4045" s="37"/>
      <c r="B4045" s="37"/>
      <c r="C4045" s="37"/>
      <c r="F4045" s="38"/>
      <c r="G4045" s="38"/>
      <c r="H4045" s="38"/>
      <c r="I4045" s="37"/>
      <c r="J4045" s="38"/>
      <c r="K4045" s="38"/>
      <c r="L4045" s="42"/>
      <c r="M4045" s="42"/>
      <c r="N4045" s="42"/>
      <c r="O4045" s="42"/>
      <c r="R4045" s="37"/>
      <c r="S4045" s="37"/>
      <c r="T4045" s="91"/>
      <c r="U4045" s="91"/>
      <c r="V4045" s="41"/>
      <c r="W4045" s="37"/>
      <c r="X4045" s="37"/>
      <c r="Y4045" s="43"/>
      <c r="Z4045" s="37"/>
      <c r="AA4045" s="37"/>
      <c r="AD4045" s="37"/>
      <c r="AE4045" s="37"/>
      <c r="AF4045" s="37"/>
    </row>
    <row r="4046" spans="1:32" x14ac:dyDescent="0.25">
      <c r="A4046" s="37"/>
      <c r="B4046" s="37"/>
      <c r="C4046" s="37"/>
      <c r="F4046" s="38"/>
      <c r="G4046" s="38"/>
      <c r="H4046" s="38"/>
      <c r="I4046" s="37"/>
      <c r="J4046" s="38"/>
      <c r="K4046" s="38"/>
      <c r="L4046" s="42"/>
      <c r="M4046" s="42"/>
      <c r="N4046" s="42"/>
      <c r="O4046" s="42"/>
      <c r="R4046" s="37"/>
      <c r="S4046" s="37"/>
      <c r="T4046" s="91"/>
      <c r="U4046" s="91"/>
      <c r="V4046" s="41"/>
      <c r="W4046" s="37"/>
      <c r="X4046" s="37"/>
      <c r="Y4046" s="43"/>
      <c r="Z4046" s="37"/>
      <c r="AA4046" s="37"/>
      <c r="AD4046" s="37"/>
      <c r="AE4046" s="37"/>
      <c r="AF4046" s="37"/>
    </row>
    <row r="4047" spans="1:32" x14ac:dyDescent="0.25">
      <c r="A4047" s="37"/>
      <c r="B4047" s="37"/>
      <c r="C4047" s="37"/>
      <c r="F4047" s="38"/>
      <c r="G4047" s="38"/>
      <c r="H4047" s="38"/>
      <c r="I4047" s="37"/>
      <c r="J4047" s="38"/>
      <c r="K4047" s="38"/>
      <c r="L4047" s="42"/>
      <c r="M4047" s="42"/>
      <c r="N4047" s="42"/>
      <c r="O4047" s="42"/>
      <c r="R4047" s="37"/>
      <c r="S4047" s="37"/>
      <c r="T4047" s="91"/>
      <c r="U4047" s="91"/>
      <c r="V4047" s="41"/>
      <c r="W4047" s="37"/>
      <c r="X4047" s="37"/>
      <c r="Y4047" s="43"/>
      <c r="Z4047" s="37"/>
      <c r="AA4047" s="37"/>
      <c r="AD4047" s="37"/>
      <c r="AE4047" s="37"/>
      <c r="AF4047" s="37"/>
    </row>
    <row r="4048" spans="1:32" x14ac:dyDescent="0.25">
      <c r="A4048" s="37"/>
      <c r="B4048" s="37"/>
      <c r="C4048" s="37"/>
      <c r="F4048" s="38"/>
      <c r="G4048" s="38"/>
      <c r="H4048" s="38"/>
      <c r="I4048" s="37"/>
      <c r="J4048" s="38"/>
      <c r="K4048" s="38"/>
      <c r="L4048" s="42"/>
      <c r="M4048" s="42"/>
      <c r="N4048" s="42"/>
      <c r="O4048" s="42"/>
      <c r="R4048" s="37"/>
      <c r="S4048" s="37"/>
      <c r="T4048" s="91"/>
      <c r="U4048" s="91"/>
      <c r="V4048" s="41"/>
      <c r="W4048" s="37"/>
      <c r="X4048" s="37"/>
      <c r="Y4048" s="43"/>
      <c r="Z4048" s="37"/>
      <c r="AA4048" s="37"/>
      <c r="AD4048" s="37"/>
      <c r="AE4048" s="37"/>
      <c r="AF4048" s="37"/>
    </row>
    <row r="4049" spans="1:32" x14ac:dyDescent="0.25">
      <c r="A4049" s="37"/>
      <c r="B4049" s="37"/>
      <c r="C4049" s="37"/>
      <c r="F4049" s="38"/>
      <c r="G4049" s="38"/>
      <c r="H4049" s="38"/>
      <c r="I4049" s="37"/>
      <c r="J4049" s="38"/>
      <c r="K4049" s="38"/>
      <c r="L4049" s="42"/>
      <c r="M4049" s="42"/>
      <c r="N4049" s="42"/>
      <c r="O4049" s="42"/>
      <c r="R4049" s="37"/>
      <c r="S4049" s="37"/>
      <c r="T4049" s="91"/>
      <c r="U4049" s="91"/>
      <c r="V4049" s="41"/>
      <c r="W4049" s="37"/>
      <c r="X4049" s="37"/>
      <c r="Y4049" s="43"/>
      <c r="Z4049" s="37"/>
      <c r="AA4049" s="37"/>
      <c r="AD4049" s="37"/>
      <c r="AE4049" s="37"/>
      <c r="AF4049" s="37"/>
    </row>
    <row r="4050" spans="1:32" x14ac:dyDescent="0.25">
      <c r="A4050" s="37"/>
      <c r="B4050" s="37"/>
      <c r="C4050" s="37"/>
      <c r="F4050" s="38"/>
      <c r="G4050" s="38"/>
      <c r="H4050" s="38"/>
      <c r="I4050" s="37"/>
      <c r="J4050" s="38"/>
      <c r="K4050" s="38"/>
      <c r="L4050" s="42"/>
      <c r="M4050" s="42"/>
      <c r="N4050" s="42"/>
      <c r="O4050" s="42"/>
      <c r="R4050" s="37"/>
      <c r="S4050" s="37"/>
      <c r="T4050" s="91"/>
      <c r="U4050" s="91"/>
      <c r="V4050" s="41"/>
      <c r="W4050" s="37"/>
      <c r="X4050" s="37"/>
      <c r="Y4050" s="43"/>
      <c r="Z4050" s="37"/>
      <c r="AA4050" s="37"/>
      <c r="AD4050" s="37"/>
      <c r="AE4050" s="37"/>
      <c r="AF4050" s="37"/>
    </row>
    <row r="4051" spans="1:32" x14ac:dyDescent="0.25">
      <c r="A4051" s="37"/>
      <c r="B4051" s="37"/>
      <c r="C4051" s="37"/>
      <c r="F4051" s="38"/>
      <c r="G4051" s="38"/>
      <c r="H4051" s="38"/>
      <c r="I4051" s="37"/>
      <c r="J4051" s="38"/>
      <c r="K4051" s="38"/>
      <c r="L4051" s="42"/>
      <c r="M4051" s="42"/>
      <c r="N4051" s="42"/>
      <c r="O4051" s="42"/>
      <c r="R4051" s="37"/>
      <c r="S4051" s="37"/>
      <c r="T4051" s="91"/>
      <c r="U4051" s="91"/>
      <c r="V4051" s="41"/>
      <c r="W4051" s="37"/>
      <c r="X4051" s="37"/>
      <c r="Y4051" s="43"/>
      <c r="Z4051" s="37"/>
      <c r="AA4051" s="37"/>
      <c r="AD4051" s="37"/>
      <c r="AE4051" s="37"/>
      <c r="AF4051" s="37"/>
    </row>
    <row r="4052" spans="1:32" x14ac:dyDescent="0.25">
      <c r="A4052" s="37"/>
      <c r="B4052" s="37"/>
      <c r="C4052" s="37"/>
      <c r="F4052" s="38"/>
      <c r="G4052" s="38"/>
      <c r="H4052" s="38"/>
      <c r="I4052" s="37"/>
      <c r="J4052" s="38"/>
      <c r="K4052" s="38"/>
      <c r="L4052" s="42"/>
      <c r="M4052" s="42"/>
      <c r="N4052" s="42"/>
      <c r="O4052" s="42"/>
      <c r="R4052" s="37"/>
      <c r="S4052" s="37"/>
      <c r="T4052" s="91"/>
      <c r="U4052" s="91"/>
      <c r="V4052" s="41"/>
      <c r="W4052" s="37"/>
      <c r="X4052" s="37"/>
      <c r="Y4052" s="43"/>
      <c r="Z4052" s="37"/>
      <c r="AA4052" s="37"/>
      <c r="AD4052" s="37"/>
      <c r="AE4052" s="37"/>
      <c r="AF4052" s="37"/>
    </row>
    <row r="4053" spans="1:32" x14ac:dyDescent="0.25">
      <c r="A4053" s="37"/>
      <c r="B4053" s="37"/>
      <c r="C4053" s="37"/>
      <c r="F4053" s="38"/>
      <c r="G4053" s="38"/>
      <c r="H4053" s="38"/>
      <c r="I4053" s="37"/>
      <c r="J4053" s="38"/>
      <c r="K4053" s="38"/>
      <c r="L4053" s="42"/>
      <c r="M4053" s="42"/>
      <c r="N4053" s="42"/>
      <c r="O4053" s="42"/>
      <c r="R4053" s="37"/>
      <c r="S4053" s="37"/>
      <c r="T4053" s="91"/>
      <c r="U4053" s="91"/>
      <c r="V4053" s="41"/>
      <c r="W4053" s="37"/>
      <c r="X4053" s="37"/>
      <c r="Y4053" s="43"/>
      <c r="Z4053" s="37"/>
      <c r="AA4053" s="37"/>
      <c r="AD4053" s="37"/>
      <c r="AE4053" s="37"/>
      <c r="AF4053" s="37"/>
    </row>
    <row r="4054" spans="1:32" x14ac:dyDescent="0.25">
      <c r="A4054" s="37"/>
      <c r="B4054" s="37"/>
      <c r="C4054" s="37"/>
      <c r="F4054" s="38"/>
      <c r="G4054" s="38"/>
      <c r="H4054" s="38"/>
      <c r="I4054" s="37"/>
      <c r="J4054" s="38"/>
      <c r="K4054" s="38"/>
      <c r="L4054" s="42"/>
      <c r="M4054" s="42"/>
      <c r="N4054" s="42"/>
      <c r="O4054" s="42"/>
      <c r="R4054" s="37"/>
      <c r="S4054" s="37"/>
      <c r="T4054" s="91"/>
      <c r="U4054" s="91"/>
      <c r="V4054" s="41"/>
      <c r="W4054" s="37"/>
      <c r="X4054" s="37"/>
      <c r="Y4054" s="43"/>
      <c r="Z4054" s="37"/>
      <c r="AA4054" s="37"/>
      <c r="AD4054" s="37"/>
      <c r="AE4054" s="37"/>
      <c r="AF4054" s="37"/>
    </row>
    <row r="4055" spans="1:32" x14ac:dyDescent="0.25">
      <c r="A4055" s="37"/>
      <c r="B4055" s="37"/>
      <c r="C4055" s="37"/>
      <c r="F4055" s="38"/>
      <c r="G4055" s="38"/>
      <c r="H4055" s="38"/>
      <c r="I4055" s="37"/>
      <c r="J4055" s="38"/>
      <c r="K4055" s="38"/>
      <c r="L4055" s="42"/>
      <c r="M4055" s="42"/>
      <c r="N4055" s="42"/>
      <c r="O4055" s="42"/>
      <c r="R4055" s="37"/>
      <c r="S4055" s="37"/>
      <c r="T4055" s="91"/>
      <c r="U4055" s="91"/>
      <c r="V4055" s="41"/>
      <c r="W4055" s="37"/>
      <c r="X4055" s="37"/>
      <c r="Y4055" s="43"/>
      <c r="Z4055" s="37"/>
      <c r="AA4055" s="37"/>
      <c r="AD4055" s="37"/>
      <c r="AE4055" s="37"/>
      <c r="AF4055" s="37"/>
    </row>
    <row r="4056" spans="1:32" x14ac:dyDescent="0.25">
      <c r="A4056" s="37"/>
      <c r="B4056" s="37"/>
      <c r="C4056" s="37"/>
      <c r="F4056" s="38"/>
      <c r="G4056" s="38"/>
      <c r="H4056" s="38"/>
      <c r="I4056" s="37"/>
      <c r="J4056" s="38"/>
      <c r="K4056" s="38"/>
      <c r="L4056" s="42"/>
      <c r="M4056" s="42"/>
      <c r="N4056" s="42"/>
      <c r="O4056" s="42"/>
      <c r="R4056" s="37"/>
      <c r="S4056" s="37"/>
      <c r="T4056" s="91"/>
      <c r="U4056" s="91"/>
      <c r="V4056" s="41"/>
      <c r="W4056" s="37"/>
      <c r="X4056" s="37"/>
      <c r="Y4056" s="43"/>
      <c r="Z4056" s="37"/>
      <c r="AA4056" s="37"/>
      <c r="AD4056" s="37"/>
      <c r="AE4056" s="37"/>
      <c r="AF4056" s="37"/>
    </row>
    <row r="4057" spans="1:32" x14ac:dyDescent="0.25">
      <c r="A4057" s="37"/>
      <c r="B4057" s="37"/>
      <c r="C4057" s="37"/>
      <c r="F4057" s="38"/>
      <c r="G4057" s="38"/>
      <c r="H4057" s="38"/>
      <c r="I4057" s="37"/>
      <c r="J4057" s="38"/>
      <c r="K4057" s="38"/>
      <c r="L4057" s="42"/>
      <c r="M4057" s="42"/>
      <c r="N4057" s="42"/>
      <c r="O4057" s="42"/>
      <c r="R4057" s="37"/>
      <c r="S4057" s="37"/>
      <c r="T4057" s="91"/>
      <c r="U4057" s="91"/>
      <c r="V4057" s="41"/>
      <c r="W4057" s="37"/>
      <c r="X4057" s="37"/>
      <c r="Y4057" s="43"/>
      <c r="Z4057" s="37"/>
      <c r="AA4057" s="37"/>
      <c r="AD4057" s="37"/>
      <c r="AE4057" s="37"/>
      <c r="AF4057" s="37"/>
    </row>
    <row r="4058" spans="1:32" x14ac:dyDescent="0.25">
      <c r="A4058" s="37"/>
      <c r="B4058" s="37"/>
      <c r="C4058" s="37"/>
      <c r="F4058" s="38"/>
      <c r="G4058" s="38"/>
      <c r="H4058" s="38"/>
      <c r="I4058" s="37"/>
      <c r="J4058" s="38"/>
      <c r="K4058" s="38"/>
      <c r="L4058" s="42"/>
      <c r="M4058" s="42"/>
      <c r="N4058" s="42"/>
      <c r="O4058" s="42"/>
      <c r="R4058" s="37"/>
      <c r="S4058" s="37"/>
      <c r="T4058" s="91"/>
      <c r="U4058" s="91"/>
      <c r="V4058" s="41"/>
      <c r="W4058" s="37"/>
      <c r="X4058" s="37"/>
      <c r="Y4058" s="43"/>
      <c r="Z4058" s="37"/>
      <c r="AA4058" s="37"/>
      <c r="AD4058" s="37"/>
      <c r="AE4058" s="37"/>
      <c r="AF4058" s="37"/>
    </row>
    <row r="4059" spans="1:32" x14ac:dyDescent="0.25">
      <c r="A4059" s="37"/>
      <c r="B4059" s="37"/>
      <c r="C4059" s="37"/>
      <c r="F4059" s="38"/>
      <c r="G4059" s="38"/>
      <c r="H4059" s="38"/>
      <c r="I4059" s="37"/>
      <c r="J4059" s="38"/>
      <c r="K4059" s="38"/>
      <c r="L4059" s="42"/>
      <c r="M4059" s="42"/>
      <c r="N4059" s="42"/>
      <c r="O4059" s="42"/>
      <c r="R4059" s="37"/>
      <c r="S4059" s="37"/>
      <c r="T4059" s="91"/>
      <c r="U4059" s="91"/>
      <c r="V4059" s="41"/>
      <c r="W4059" s="37"/>
      <c r="X4059" s="37"/>
      <c r="Y4059" s="43"/>
      <c r="Z4059" s="37"/>
      <c r="AA4059" s="37"/>
      <c r="AD4059" s="37"/>
      <c r="AE4059" s="37"/>
      <c r="AF4059" s="37"/>
    </row>
    <row r="4060" spans="1:32" x14ac:dyDescent="0.25">
      <c r="A4060" s="37"/>
      <c r="B4060" s="37"/>
      <c r="C4060" s="37"/>
      <c r="F4060" s="38"/>
      <c r="G4060" s="38"/>
      <c r="H4060" s="38"/>
      <c r="I4060" s="37"/>
      <c r="J4060" s="38"/>
      <c r="K4060" s="38"/>
      <c r="L4060" s="42"/>
      <c r="M4060" s="42"/>
      <c r="N4060" s="42"/>
      <c r="O4060" s="42"/>
      <c r="R4060" s="37"/>
      <c r="S4060" s="37"/>
      <c r="T4060" s="91"/>
      <c r="U4060" s="91"/>
      <c r="V4060" s="41"/>
      <c r="W4060" s="37"/>
      <c r="X4060" s="37"/>
      <c r="Y4060" s="43"/>
      <c r="Z4060" s="37"/>
      <c r="AA4060" s="37"/>
      <c r="AD4060" s="37"/>
      <c r="AE4060" s="37"/>
      <c r="AF4060" s="37"/>
    </row>
    <row r="4061" spans="1:32" x14ac:dyDescent="0.25">
      <c r="A4061" s="37"/>
      <c r="B4061" s="37"/>
      <c r="C4061" s="37"/>
      <c r="F4061" s="38"/>
      <c r="G4061" s="38"/>
      <c r="H4061" s="38"/>
      <c r="I4061" s="37"/>
      <c r="J4061" s="38"/>
      <c r="K4061" s="38"/>
      <c r="L4061" s="42"/>
      <c r="M4061" s="42"/>
      <c r="N4061" s="42"/>
      <c r="O4061" s="42"/>
      <c r="R4061" s="37"/>
      <c r="S4061" s="37"/>
      <c r="T4061" s="91"/>
      <c r="U4061" s="91"/>
      <c r="V4061" s="41"/>
      <c r="W4061" s="37"/>
      <c r="X4061" s="37"/>
      <c r="Y4061" s="43"/>
      <c r="Z4061" s="37"/>
      <c r="AA4061" s="37"/>
      <c r="AD4061" s="37"/>
      <c r="AE4061" s="37"/>
      <c r="AF4061" s="37"/>
    </row>
    <row r="4062" spans="1:32" x14ac:dyDescent="0.25">
      <c r="A4062" s="37"/>
      <c r="B4062" s="37"/>
      <c r="C4062" s="37"/>
      <c r="F4062" s="38"/>
      <c r="G4062" s="38"/>
      <c r="H4062" s="38"/>
      <c r="I4062" s="37"/>
      <c r="J4062" s="38"/>
      <c r="K4062" s="38"/>
      <c r="L4062" s="42"/>
      <c r="M4062" s="42"/>
      <c r="N4062" s="42"/>
      <c r="O4062" s="42"/>
      <c r="R4062" s="37"/>
      <c r="S4062" s="37"/>
      <c r="T4062" s="91"/>
      <c r="U4062" s="91"/>
      <c r="V4062" s="41"/>
      <c r="W4062" s="37"/>
      <c r="X4062" s="37"/>
      <c r="Y4062" s="43"/>
      <c r="Z4062" s="37"/>
      <c r="AA4062" s="37"/>
      <c r="AD4062" s="37"/>
      <c r="AE4062" s="37"/>
      <c r="AF4062" s="37"/>
    </row>
    <row r="4063" spans="1:32" x14ac:dyDescent="0.25">
      <c r="A4063" s="37"/>
      <c r="B4063" s="37"/>
      <c r="C4063" s="37"/>
      <c r="F4063" s="38"/>
      <c r="G4063" s="38"/>
      <c r="H4063" s="38"/>
      <c r="I4063" s="37"/>
      <c r="J4063" s="38"/>
      <c r="K4063" s="38"/>
      <c r="L4063" s="42"/>
      <c r="M4063" s="42"/>
      <c r="N4063" s="42"/>
      <c r="O4063" s="42"/>
      <c r="R4063" s="37"/>
      <c r="S4063" s="37"/>
      <c r="T4063" s="91"/>
      <c r="U4063" s="91"/>
      <c r="V4063" s="41"/>
      <c r="W4063" s="37"/>
      <c r="X4063" s="37"/>
      <c r="Y4063" s="43"/>
      <c r="Z4063" s="37"/>
      <c r="AA4063" s="37"/>
      <c r="AD4063" s="37"/>
      <c r="AE4063" s="37"/>
      <c r="AF4063" s="37"/>
    </row>
    <row r="4064" spans="1:32" x14ac:dyDescent="0.25">
      <c r="A4064" s="37"/>
      <c r="B4064" s="37"/>
      <c r="C4064" s="37"/>
      <c r="F4064" s="38"/>
      <c r="G4064" s="38"/>
      <c r="H4064" s="38"/>
      <c r="I4064" s="37"/>
      <c r="J4064" s="38"/>
      <c r="K4064" s="38"/>
      <c r="L4064" s="42"/>
      <c r="M4064" s="42"/>
      <c r="N4064" s="42"/>
      <c r="O4064" s="42"/>
      <c r="R4064" s="37"/>
      <c r="S4064" s="37"/>
      <c r="T4064" s="91"/>
      <c r="U4064" s="91"/>
      <c r="V4064" s="41"/>
      <c r="W4064" s="37"/>
      <c r="X4064" s="37"/>
      <c r="Y4064" s="43"/>
      <c r="Z4064" s="37"/>
      <c r="AA4064" s="37"/>
      <c r="AD4064" s="37"/>
      <c r="AE4064" s="37"/>
      <c r="AF4064" s="37"/>
    </row>
    <row r="4065" spans="1:32" x14ac:dyDescent="0.25">
      <c r="A4065" s="37"/>
      <c r="B4065" s="37"/>
      <c r="C4065" s="37"/>
      <c r="F4065" s="38"/>
      <c r="G4065" s="38"/>
      <c r="H4065" s="38"/>
      <c r="I4065" s="37"/>
      <c r="J4065" s="38"/>
      <c r="K4065" s="38"/>
      <c r="L4065" s="42"/>
      <c r="M4065" s="42"/>
      <c r="N4065" s="42"/>
      <c r="O4065" s="42"/>
      <c r="R4065" s="37"/>
      <c r="S4065" s="37"/>
      <c r="T4065" s="91"/>
      <c r="U4065" s="91"/>
      <c r="V4065" s="41"/>
      <c r="W4065" s="37"/>
      <c r="X4065" s="37"/>
      <c r="Y4065" s="43"/>
      <c r="Z4065" s="37"/>
      <c r="AA4065" s="37"/>
      <c r="AD4065" s="37"/>
      <c r="AE4065" s="37"/>
      <c r="AF4065" s="37"/>
    </row>
    <row r="4066" spans="1:32" x14ac:dyDescent="0.25">
      <c r="A4066" s="37"/>
      <c r="B4066" s="37"/>
      <c r="C4066" s="37"/>
      <c r="F4066" s="38"/>
      <c r="G4066" s="38"/>
      <c r="H4066" s="38"/>
      <c r="I4066" s="37"/>
      <c r="J4066" s="38"/>
      <c r="K4066" s="38"/>
      <c r="L4066" s="42"/>
      <c r="M4066" s="42"/>
      <c r="N4066" s="42"/>
      <c r="O4066" s="42"/>
      <c r="R4066" s="37"/>
      <c r="S4066" s="37"/>
      <c r="T4066" s="91"/>
      <c r="U4066" s="91"/>
      <c r="V4066" s="41"/>
      <c r="W4066" s="37"/>
      <c r="X4066" s="37"/>
      <c r="Y4066" s="43"/>
      <c r="Z4066" s="37"/>
      <c r="AA4066" s="37"/>
      <c r="AD4066" s="37"/>
      <c r="AE4066" s="37"/>
      <c r="AF4066" s="37"/>
    </row>
    <row r="4067" spans="1:32" x14ac:dyDescent="0.25">
      <c r="A4067" s="37"/>
      <c r="B4067" s="37"/>
      <c r="C4067" s="37"/>
      <c r="F4067" s="38"/>
      <c r="G4067" s="38"/>
      <c r="H4067" s="38"/>
      <c r="I4067" s="37"/>
      <c r="J4067" s="38"/>
      <c r="K4067" s="38"/>
      <c r="L4067" s="42"/>
      <c r="M4067" s="42"/>
      <c r="N4067" s="42"/>
      <c r="O4067" s="42"/>
      <c r="R4067" s="37"/>
      <c r="S4067" s="37"/>
      <c r="T4067" s="91"/>
      <c r="U4067" s="91"/>
      <c r="V4067" s="41"/>
      <c r="W4067" s="37"/>
      <c r="X4067" s="37"/>
      <c r="Y4067" s="43"/>
      <c r="Z4067" s="37"/>
      <c r="AA4067" s="37"/>
      <c r="AD4067" s="37"/>
      <c r="AE4067" s="37"/>
      <c r="AF4067" s="37"/>
    </row>
    <row r="4068" spans="1:32" x14ac:dyDescent="0.25">
      <c r="A4068" s="37"/>
      <c r="B4068" s="37"/>
      <c r="C4068" s="37"/>
      <c r="F4068" s="38"/>
      <c r="G4068" s="38"/>
      <c r="H4068" s="38"/>
      <c r="I4068" s="37"/>
      <c r="J4068" s="38"/>
      <c r="K4068" s="38"/>
      <c r="L4068" s="42"/>
      <c r="M4068" s="42"/>
      <c r="N4068" s="42"/>
      <c r="O4068" s="42"/>
      <c r="R4068" s="37"/>
      <c r="S4068" s="37"/>
      <c r="T4068" s="91"/>
      <c r="U4068" s="91"/>
      <c r="V4068" s="41"/>
      <c r="W4068" s="37"/>
      <c r="X4068" s="37"/>
      <c r="Y4068" s="43"/>
      <c r="Z4068" s="37"/>
      <c r="AA4068" s="37"/>
      <c r="AD4068" s="37"/>
      <c r="AE4068" s="37"/>
      <c r="AF4068" s="37"/>
    </row>
    <row r="4069" spans="1:32" x14ac:dyDescent="0.25">
      <c r="A4069" s="37"/>
      <c r="B4069" s="37"/>
      <c r="C4069" s="37"/>
      <c r="F4069" s="38"/>
      <c r="G4069" s="38"/>
      <c r="H4069" s="38"/>
      <c r="I4069" s="37"/>
      <c r="J4069" s="38"/>
      <c r="K4069" s="38"/>
      <c r="L4069" s="42"/>
      <c r="M4069" s="42"/>
      <c r="N4069" s="42"/>
      <c r="O4069" s="42"/>
      <c r="R4069" s="37"/>
      <c r="S4069" s="37"/>
      <c r="T4069" s="91"/>
      <c r="U4069" s="91"/>
      <c r="V4069" s="41"/>
      <c r="W4069" s="37"/>
      <c r="X4069" s="37"/>
      <c r="Y4069" s="43"/>
      <c r="Z4069" s="37"/>
      <c r="AA4069" s="37"/>
      <c r="AD4069" s="37"/>
      <c r="AE4069" s="37"/>
      <c r="AF4069" s="37"/>
    </row>
    <row r="4070" spans="1:32" x14ac:dyDescent="0.25">
      <c r="A4070" s="37"/>
      <c r="B4070" s="37"/>
      <c r="C4070" s="37"/>
      <c r="F4070" s="38"/>
      <c r="G4070" s="38"/>
      <c r="H4070" s="38"/>
      <c r="I4070" s="37"/>
      <c r="J4070" s="38"/>
      <c r="K4070" s="38"/>
      <c r="L4070" s="42"/>
      <c r="M4070" s="42"/>
      <c r="N4070" s="42"/>
      <c r="O4070" s="42"/>
      <c r="R4070" s="37"/>
      <c r="S4070" s="37"/>
      <c r="T4070" s="91"/>
      <c r="U4070" s="91"/>
      <c r="V4070" s="41"/>
      <c r="W4070" s="37"/>
      <c r="X4070" s="37"/>
      <c r="Y4070" s="43"/>
      <c r="Z4070" s="37"/>
      <c r="AA4070" s="37"/>
      <c r="AD4070" s="37"/>
      <c r="AE4070" s="37"/>
      <c r="AF4070" s="37"/>
    </row>
    <row r="4071" spans="1:32" x14ac:dyDescent="0.25">
      <c r="A4071" s="37"/>
      <c r="B4071" s="37"/>
      <c r="C4071" s="37"/>
      <c r="F4071" s="38"/>
      <c r="G4071" s="38"/>
      <c r="H4071" s="38"/>
      <c r="I4071" s="37"/>
      <c r="J4071" s="38"/>
      <c r="K4071" s="38"/>
      <c r="L4071" s="42"/>
      <c r="M4071" s="42"/>
      <c r="N4071" s="42"/>
      <c r="O4071" s="42"/>
      <c r="R4071" s="37"/>
      <c r="S4071" s="37"/>
      <c r="T4071" s="91"/>
      <c r="U4071" s="91"/>
      <c r="V4071" s="41"/>
      <c r="W4071" s="37"/>
      <c r="X4071" s="37"/>
      <c r="Y4071" s="43"/>
      <c r="Z4071" s="37"/>
      <c r="AA4071" s="37"/>
      <c r="AD4071" s="37"/>
      <c r="AE4071" s="37"/>
      <c r="AF4071" s="37"/>
    </row>
    <row r="4072" spans="1:32" x14ac:dyDescent="0.25">
      <c r="A4072" s="37"/>
      <c r="B4072" s="37"/>
      <c r="C4072" s="37"/>
      <c r="F4072" s="38"/>
      <c r="G4072" s="38"/>
      <c r="H4072" s="38"/>
      <c r="I4072" s="37"/>
      <c r="J4072" s="38"/>
      <c r="K4072" s="38"/>
      <c r="L4072" s="42"/>
      <c r="M4072" s="42"/>
      <c r="N4072" s="42"/>
      <c r="O4072" s="42"/>
      <c r="R4072" s="37"/>
      <c r="S4072" s="37"/>
      <c r="T4072" s="91"/>
      <c r="U4072" s="91"/>
      <c r="V4072" s="41"/>
      <c r="W4072" s="37"/>
      <c r="X4072" s="37"/>
      <c r="Y4072" s="43"/>
      <c r="Z4072" s="37"/>
      <c r="AA4072" s="37"/>
      <c r="AD4072" s="37"/>
      <c r="AE4072" s="37"/>
      <c r="AF4072" s="37"/>
    </row>
    <row r="4073" spans="1:32" x14ac:dyDescent="0.25">
      <c r="A4073" s="37"/>
      <c r="B4073" s="37"/>
      <c r="C4073" s="37"/>
      <c r="F4073" s="38"/>
      <c r="G4073" s="38"/>
      <c r="H4073" s="38"/>
      <c r="I4073" s="37"/>
      <c r="J4073" s="38"/>
      <c r="K4073" s="38"/>
      <c r="L4073" s="42"/>
      <c r="M4073" s="42"/>
      <c r="N4073" s="42"/>
      <c r="O4073" s="42"/>
      <c r="R4073" s="37"/>
      <c r="S4073" s="37"/>
      <c r="T4073" s="91"/>
      <c r="U4073" s="91"/>
      <c r="V4073" s="41"/>
      <c r="W4073" s="37"/>
      <c r="X4073" s="37"/>
      <c r="Y4073" s="43"/>
      <c r="Z4073" s="37"/>
      <c r="AA4073" s="37"/>
      <c r="AD4073" s="37"/>
      <c r="AE4073" s="37"/>
      <c r="AF4073" s="37"/>
    </row>
    <row r="4074" spans="1:32" x14ac:dyDescent="0.25">
      <c r="A4074" s="37"/>
      <c r="B4074" s="37"/>
      <c r="C4074" s="37"/>
      <c r="F4074" s="38"/>
      <c r="G4074" s="38"/>
      <c r="H4074" s="38"/>
      <c r="I4074" s="37"/>
      <c r="J4074" s="38"/>
      <c r="K4074" s="38"/>
      <c r="L4074" s="42"/>
      <c r="M4074" s="42"/>
      <c r="N4074" s="42"/>
      <c r="O4074" s="42"/>
      <c r="R4074" s="37"/>
      <c r="S4074" s="37"/>
      <c r="T4074" s="91"/>
      <c r="U4074" s="91"/>
      <c r="V4074" s="41"/>
      <c r="W4074" s="37"/>
      <c r="X4074" s="37"/>
      <c r="Y4074" s="43"/>
      <c r="Z4074" s="37"/>
      <c r="AA4074" s="37"/>
      <c r="AD4074" s="37"/>
      <c r="AE4074" s="37"/>
      <c r="AF4074" s="37"/>
    </row>
    <row r="4075" spans="1:32" x14ac:dyDescent="0.25">
      <c r="A4075" s="37"/>
      <c r="B4075" s="37"/>
      <c r="C4075" s="37"/>
      <c r="F4075" s="38"/>
      <c r="G4075" s="38"/>
      <c r="H4075" s="38"/>
      <c r="I4075" s="37"/>
      <c r="J4075" s="38"/>
      <c r="K4075" s="38"/>
      <c r="L4075" s="42"/>
      <c r="M4075" s="42"/>
      <c r="N4075" s="42"/>
      <c r="O4075" s="42"/>
      <c r="R4075" s="37"/>
      <c r="S4075" s="37"/>
      <c r="T4075" s="91"/>
      <c r="U4075" s="91"/>
      <c r="V4075" s="41"/>
      <c r="W4075" s="37"/>
      <c r="X4075" s="37"/>
      <c r="Y4075" s="43"/>
      <c r="Z4075" s="37"/>
      <c r="AA4075" s="37"/>
      <c r="AD4075" s="37"/>
      <c r="AE4075" s="37"/>
      <c r="AF4075" s="37"/>
    </row>
    <row r="4076" spans="1:32" x14ac:dyDescent="0.25">
      <c r="A4076" s="37"/>
      <c r="B4076" s="37"/>
      <c r="C4076" s="37"/>
      <c r="F4076" s="38"/>
      <c r="G4076" s="38"/>
      <c r="H4076" s="38"/>
      <c r="I4076" s="37"/>
      <c r="J4076" s="38"/>
      <c r="K4076" s="38"/>
      <c r="L4076" s="42"/>
      <c r="M4076" s="42"/>
      <c r="N4076" s="42"/>
      <c r="O4076" s="42"/>
      <c r="R4076" s="37"/>
      <c r="S4076" s="37"/>
      <c r="T4076" s="91"/>
      <c r="U4076" s="91"/>
      <c r="V4076" s="41"/>
      <c r="W4076" s="37"/>
      <c r="X4076" s="37"/>
      <c r="Y4076" s="43"/>
      <c r="Z4076" s="37"/>
      <c r="AA4076" s="37"/>
      <c r="AD4076" s="37"/>
      <c r="AE4076" s="37"/>
      <c r="AF4076" s="37"/>
    </row>
    <row r="4077" spans="1:32" x14ac:dyDescent="0.25">
      <c r="A4077" s="37"/>
      <c r="B4077" s="37"/>
      <c r="C4077" s="37"/>
      <c r="F4077" s="38"/>
      <c r="G4077" s="38"/>
      <c r="H4077" s="38"/>
      <c r="I4077" s="37"/>
      <c r="J4077" s="38"/>
      <c r="K4077" s="38"/>
      <c r="L4077" s="42"/>
      <c r="M4077" s="42"/>
      <c r="N4077" s="42"/>
      <c r="O4077" s="42"/>
      <c r="R4077" s="37"/>
      <c r="S4077" s="37"/>
      <c r="T4077" s="91"/>
      <c r="U4077" s="91"/>
      <c r="V4077" s="41"/>
      <c r="W4077" s="37"/>
      <c r="X4077" s="37"/>
      <c r="Y4077" s="43"/>
      <c r="Z4077" s="37"/>
      <c r="AA4077" s="37"/>
      <c r="AD4077" s="37"/>
      <c r="AE4077" s="37"/>
      <c r="AF4077" s="37"/>
    </row>
    <row r="4078" spans="1:32" x14ac:dyDescent="0.25">
      <c r="A4078" s="37"/>
      <c r="B4078" s="37"/>
      <c r="C4078" s="37"/>
      <c r="F4078" s="38"/>
      <c r="G4078" s="38"/>
      <c r="H4078" s="38"/>
      <c r="I4078" s="37"/>
      <c r="J4078" s="38"/>
      <c r="K4078" s="38"/>
      <c r="L4078" s="42"/>
      <c r="M4078" s="42"/>
      <c r="N4078" s="42"/>
      <c r="O4078" s="42"/>
      <c r="R4078" s="37"/>
      <c r="S4078" s="37"/>
      <c r="T4078" s="91"/>
      <c r="U4078" s="91"/>
      <c r="V4078" s="41"/>
      <c r="W4078" s="37"/>
      <c r="X4078" s="37"/>
      <c r="Y4078" s="43"/>
      <c r="Z4078" s="37"/>
      <c r="AA4078" s="37"/>
      <c r="AD4078" s="37"/>
      <c r="AE4078" s="37"/>
      <c r="AF4078" s="37"/>
    </row>
    <row r="4079" spans="1:32" x14ac:dyDescent="0.25">
      <c r="A4079" s="37"/>
      <c r="B4079" s="37"/>
      <c r="C4079" s="37"/>
      <c r="F4079" s="38"/>
      <c r="G4079" s="38"/>
      <c r="H4079" s="38"/>
      <c r="I4079" s="37"/>
      <c r="J4079" s="38"/>
      <c r="K4079" s="38"/>
      <c r="L4079" s="42"/>
      <c r="M4079" s="42"/>
      <c r="N4079" s="42"/>
      <c r="O4079" s="42"/>
      <c r="R4079" s="37"/>
      <c r="S4079" s="37"/>
      <c r="T4079" s="91"/>
      <c r="U4079" s="91"/>
      <c r="V4079" s="41"/>
      <c r="W4079" s="37"/>
      <c r="X4079" s="37"/>
      <c r="Y4079" s="43"/>
      <c r="Z4079" s="37"/>
      <c r="AA4079" s="37"/>
      <c r="AD4079" s="37"/>
      <c r="AE4079" s="37"/>
      <c r="AF4079" s="37"/>
    </row>
    <row r="4080" spans="1:32" x14ac:dyDescent="0.25">
      <c r="A4080" s="37"/>
      <c r="B4080" s="37"/>
      <c r="C4080" s="37"/>
      <c r="F4080" s="38"/>
      <c r="G4080" s="38"/>
      <c r="H4080" s="38"/>
      <c r="I4080" s="37"/>
      <c r="J4080" s="38"/>
      <c r="K4080" s="38"/>
      <c r="L4080" s="42"/>
      <c r="M4080" s="42"/>
      <c r="N4080" s="42"/>
      <c r="O4080" s="42"/>
      <c r="R4080" s="37"/>
      <c r="S4080" s="37"/>
      <c r="T4080" s="91"/>
      <c r="U4080" s="91"/>
      <c r="V4080" s="41"/>
      <c r="W4080" s="37"/>
      <c r="X4080" s="37"/>
      <c r="Y4080" s="43"/>
      <c r="Z4080" s="37"/>
      <c r="AA4080" s="37"/>
      <c r="AD4080" s="37"/>
      <c r="AE4080" s="37"/>
      <c r="AF4080" s="37"/>
    </row>
    <row r="4081" spans="1:32" x14ac:dyDescent="0.25">
      <c r="A4081" s="37"/>
      <c r="B4081" s="37"/>
      <c r="C4081" s="37"/>
      <c r="F4081" s="38"/>
      <c r="G4081" s="38"/>
      <c r="H4081" s="38"/>
      <c r="I4081" s="37"/>
      <c r="J4081" s="38"/>
      <c r="K4081" s="38"/>
      <c r="L4081" s="42"/>
      <c r="M4081" s="42"/>
      <c r="N4081" s="42"/>
      <c r="O4081" s="42"/>
      <c r="R4081" s="37"/>
      <c r="S4081" s="37"/>
      <c r="T4081" s="91"/>
      <c r="U4081" s="91"/>
      <c r="V4081" s="41"/>
      <c r="W4081" s="37"/>
      <c r="X4081" s="37"/>
      <c r="Y4081" s="43"/>
      <c r="Z4081" s="37"/>
      <c r="AA4081" s="37"/>
      <c r="AD4081" s="37"/>
      <c r="AE4081" s="37"/>
      <c r="AF4081" s="37"/>
    </row>
    <row r="4082" spans="1:32" x14ac:dyDescent="0.25">
      <c r="A4082" s="37"/>
      <c r="B4082" s="37"/>
      <c r="C4082" s="37"/>
      <c r="F4082" s="38"/>
      <c r="G4082" s="38"/>
      <c r="H4082" s="38"/>
      <c r="I4082" s="37"/>
      <c r="J4082" s="38"/>
      <c r="K4082" s="38"/>
      <c r="L4082" s="42"/>
      <c r="M4082" s="42"/>
      <c r="N4082" s="42"/>
      <c r="O4082" s="42"/>
      <c r="R4082" s="37"/>
      <c r="S4082" s="37"/>
      <c r="T4082" s="91"/>
      <c r="U4082" s="91"/>
      <c r="V4082" s="41"/>
      <c r="W4082" s="37"/>
      <c r="X4082" s="37"/>
      <c r="Y4082" s="43"/>
      <c r="Z4082" s="37"/>
      <c r="AA4082" s="37"/>
      <c r="AD4082" s="37"/>
      <c r="AE4082" s="37"/>
      <c r="AF4082" s="37"/>
    </row>
    <row r="4083" spans="1:32" x14ac:dyDescent="0.25">
      <c r="A4083" s="37"/>
      <c r="B4083" s="37"/>
      <c r="C4083" s="37"/>
      <c r="F4083" s="38"/>
      <c r="G4083" s="38"/>
      <c r="H4083" s="38"/>
      <c r="I4083" s="37"/>
      <c r="J4083" s="38"/>
      <c r="K4083" s="38"/>
      <c r="L4083" s="42"/>
      <c r="M4083" s="42"/>
      <c r="N4083" s="42"/>
      <c r="O4083" s="42"/>
      <c r="R4083" s="37"/>
      <c r="S4083" s="37"/>
      <c r="T4083" s="91"/>
      <c r="U4083" s="91"/>
      <c r="V4083" s="41"/>
      <c r="W4083" s="37"/>
      <c r="X4083" s="37"/>
      <c r="Y4083" s="43"/>
      <c r="Z4083" s="37"/>
      <c r="AA4083" s="37"/>
      <c r="AD4083" s="37"/>
      <c r="AE4083" s="37"/>
      <c r="AF4083" s="37"/>
    </row>
    <row r="4084" spans="1:32" x14ac:dyDescent="0.25">
      <c r="A4084" s="37"/>
      <c r="B4084" s="37"/>
      <c r="C4084" s="37"/>
      <c r="F4084" s="38"/>
      <c r="G4084" s="38"/>
      <c r="H4084" s="38"/>
      <c r="I4084" s="37"/>
      <c r="J4084" s="38"/>
      <c r="K4084" s="38"/>
      <c r="L4084" s="42"/>
      <c r="M4084" s="42"/>
      <c r="N4084" s="42"/>
      <c r="O4084" s="42"/>
      <c r="R4084" s="37"/>
      <c r="S4084" s="37"/>
      <c r="T4084" s="91"/>
      <c r="U4084" s="91"/>
      <c r="V4084" s="41"/>
      <c r="W4084" s="37"/>
      <c r="X4084" s="37"/>
      <c r="Y4084" s="43"/>
      <c r="Z4084" s="37"/>
      <c r="AA4084" s="37"/>
      <c r="AD4084" s="37"/>
      <c r="AE4084" s="37"/>
      <c r="AF4084" s="37"/>
    </row>
    <row r="4085" spans="1:32" x14ac:dyDescent="0.25">
      <c r="A4085" s="37"/>
      <c r="B4085" s="37"/>
      <c r="C4085" s="37"/>
      <c r="F4085" s="38"/>
      <c r="G4085" s="38"/>
      <c r="H4085" s="38"/>
      <c r="I4085" s="37"/>
      <c r="J4085" s="38"/>
      <c r="K4085" s="38"/>
      <c r="L4085" s="42"/>
      <c r="M4085" s="42"/>
      <c r="N4085" s="42"/>
      <c r="O4085" s="42"/>
      <c r="R4085" s="37"/>
      <c r="S4085" s="37"/>
      <c r="T4085" s="91"/>
      <c r="U4085" s="91"/>
      <c r="V4085" s="41"/>
      <c r="W4085" s="37"/>
      <c r="X4085" s="37"/>
      <c r="Y4085" s="43"/>
      <c r="Z4085" s="37"/>
      <c r="AA4085" s="37"/>
      <c r="AD4085" s="37"/>
      <c r="AE4085" s="37"/>
      <c r="AF4085" s="37"/>
    </row>
    <row r="4086" spans="1:32" x14ac:dyDescent="0.25">
      <c r="A4086" s="37"/>
      <c r="B4086" s="37"/>
      <c r="C4086" s="37"/>
      <c r="F4086" s="38"/>
      <c r="G4086" s="38"/>
      <c r="H4086" s="38"/>
      <c r="I4086" s="37"/>
      <c r="J4086" s="38"/>
      <c r="K4086" s="38"/>
      <c r="L4086" s="42"/>
      <c r="M4086" s="42"/>
      <c r="N4086" s="42"/>
      <c r="O4086" s="42"/>
      <c r="R4086" s="37"/>
      <c r="S4086" s="37"/>
      <c r="T4086" s="91"/>
      <c r="U4086" s="91"/>
      <c r="V4086" s="41"/>
      <c r="W4086" s="37"/>
      <c r="X4086" s="37"/>
      <c r="Y4086" s="43"/>
      <c r="Z4086" s="37"/>
      <c r="AA4086" s="37"/>
      <c r="AD4086" s="37"/>
      <c r="AE4086" s="37"/>
      <c r="AF4086" s="37"/>
    </row>
    <row r="4087" spans="1:32" x14ac:dyDescent="0.25">
      <c r="A4087" s="37"/>
      <c r="B4087" s="37"/>
      <c r="C4087" s="37"/>
      <c r="F4087" s="38"/>
      <c r="G4087" s="38"/>
      <c r="H4087" s="38"/>
      <c r="I4087" s="37"/>
      <c r="J4087" s="38"/>
      <c r="K4087" s="38"/>
      <c r="L4087" s="42"/>
      <c r="M4087" s="42"/>
      <c r="N4087" s="42"/>
      <c r="O4087" s="42"/>
      <c r="R4087" s="37"/>
      <c r="S4087" s="37"/>
      <c r="T4087" s="91"/>
      <c r="U4087" s="91"/>
      <c r="V4087" s="41"/>
      <c r="W4087" s="37"/>
      <c r="X4087" s="37"/>
      <c r="Y4087" s="43"/>
      <c r="Z4087" s="37"/>
      <c r="AA4087" s="37"/>
      <c r="AD4087" s="37"/>
      <c r="AE4087" s="37"/>
      <c r="AF4087" s="37"/>
    </row>
    <row r="4088" spans="1:32" x14ac:dyDescent="0.25">
      <c r="A4088" s="37"/>
      <c r="B4088" s="37"/>
      <c r="C4088" s="37"/>
      <c r="F4088" s="38"/>
      <c r="G4088" s="38"/>
      <c r="H4088" s="38"/>
      <c r="I4088" s="37"/>
      <c r="J4088" s="38"/>
      <c r="K4088" s="38"/>
      <c r="L4088" s="42"/>
      <c r="M4088" s="42"/>
      <c r="N4088" s="42"/>
      <c r="O4088" s="42"/>
      <c r="R4088" s="37"/>
      <c r="S4088" s="37"/>
      <c r="T4088" s="91"/>
      <c r="U4088" s="91"/>
      <c r="V4088" s="41"/>
      <c r="W4088" s="37"/>
      <c r="X4088" s="37"/>
      <c r="Y4088" s="43"/>
      <c r="Z4088" s="37"/>
      <c r="AA4088" s="37"/>
      <c r="AD4088" s="37"/>
      <c r="AE4088" s="37"/>
      <c r="AF4088" s="37"/>
    </row>
    <row r="4089" spans="1:32" x14ac:dyDescent="0.25">
      <c r="A4089" s="37"/>
      <c r="B4089" s="37"/>
      <c r="C4089" s="37"/>
      <c r="F4089" s="38"/>
      <c r="G4089" s="38"/>
      <c r="H4089" s="38"/>
      <c r="I4089" s="37"/>
      <c r="J4089" s="38"/>
      <c r="K4089" s="38"/>
      <c r="L4089" s="42"/>
      <c r="M4089" s="42"/>
      <c r="N4089" s="42"/>
      <c r="O4089" s="42"/>
      <c r="R4089" s="37"/>
      <c r="S4089" s="37"/>
      <c r="T4089" s="91"/>
      <c r="U4089" s="91"/>
      <c r="V4089" s="41"/>
      <c r="W4089" s="37"/>
      <c r="X4089" s="37"/>
      <c r="Y4089" s="43"/>
      <c r="Z4089" s="37"/>
      <c r="AA4089" s="37"/>
      <c r="AD4089" s="37"/>
      <c r="AE4089" s="37"/>
      <c r="AF4089" s="37"/>
    </row>
    <row r="4090" spans="1:32" x14ac:dyDescent="0.25">
      <c r="A4090" s="37"/>
      <c r="B4090" s="37"/>
      <c r="C4090" s="37"/>
      <c r="F4090" s="38"/>
      <c r="G4090" s="38"/>
      <c r="H4090" s="38"/>
      <c r="I4090" s="37"/>
      <c r="J4090" s="38"/>
      <c r="K4090" s="38"/>
      <c r="L4090" s="42"/>
      <c r="M4090" s="42"/>
      <c r="N4090" s="42"/>
      <c r="O4090" s="42"/>
      <c r="R4090" s="37"/>
      <c r="S4090" s="37"/>
      <c r="T4090" s="91"/>
      <c r="U4090" s="91"/>
      <c r="V4090" s="41"/>
      <c r="W4090" s="37"/>
      <c r="X4090" s="37"/>
      <c r="Y4090" s="43"/>
      <c r="Z4090" s="37"/>
      <c r="AA4090" s="37"/>
      <c r="AD4090" s="37"/>
      <c r="AE4090" s="37"/>
      <c r="AF4090" s="37"/>
    </row>
    <row r="4091" spans="1:32" x14ac:dyDescent="0.25">
      <c r="A4091" s="37"/>
      <c r="B4091" s="37"/>
      <c r="C4091" s="37"/>
      <c r="F4091" s="38"/>
      <c r="G4091" s="38"/>
      <c r="H4091" s="38"/>
      <c r="I4091" s="37"/>
      <c r="J4091" s="38"/>
      <c r="K4091" s="38"/>
      <c r="L4091" s="42"/>
      <c r="M4091" s="42"/>
      <c r="N4091" s="42"/>
      <c r="O4091" s="42"/>
      <c r="R4091" s="37"/>
      <c r="S4091" s="37"/>
      <c r="T4091" s="91"/>
      <c r="U4091" s="91"/>
      <c r="V4091" s="41"/>
      <c r="W4091" s="37"/>
      <c r="X4091" s="37"/>
      <c r="Y4091" s="43"/>
      <c r="Z4091" s="37"/>
      <c r="AA4091" s="37"/>
      <c r="AD4091" s="37"/>
      <c r="AE4091" s="37"/>
      <c r="AF4091" s="37"/>
    </row>
    <row r="4092" spans="1:32" x14ac:dyDescent="0.25">
      <c r="A4092" s="37"/>
      <c r="B4092" s="37"/>
      <c r="C4092" s="37"/>
      <c r="F4092" s="38"/>
      <c r="G4092" s="38"/>
      <c r="H4092" s="38"/>
      <c r="I4092" s="37"/>
      <c r="J4092" s="38"/>
      <c r="K4092" s="38"/>
      <c r="L4092" s="42"/>
      <c r="M4092" s="42"/>
      <c r="N4092" s="42"/>
      <c r="O4092" s="42"/>
      <c r="R4092" s="37"/>
      <c r="S4092" s="37"/>
      <c r="T4092" s="91"/>
      <c r="U4092" s="91"/>
      <c r="V4092" s="41"/>
      <c r="W4092" s="37"/>
      <c r="X4092" s="37"/>
      <c r="Y4092" s="43"/>
      <c r="Z4092" s="37"/>
      <c r="AA4092" s="37"/>
      <c r="AD4092" s="37"/>
      <c r="AE4092" s="37"/>
      <c r="AF4092" s="37"/>
    </row>
    <row r="4093" spans="1:32" x14ac:dyDescent="0.25">
      <c r="A4093" s="37"/>
      <c r="B4093" s="37"/>
      <c r="C4093" s="37"/>
      <c r="F4093" s="38"/>
      <c r="G4093" s="38"/>
      <c r="H4093" s="38"/>
      <c r="I4093" s="37"/>
      <c r="J4093" s="38"/>
      <c r="K4093" s="38"/>
      <c r="L4093" s="42"/>
      <c r="M4093" s="42"/>
      <c r="N4093" s="42"/>
      <c r="O4093" s="42"/>
      <c r="R4093" s="37"/>
      <c r="S4093" s="37"/>
      <c r="T4093" s="91"/>
      <c r="U4093" s="91"/>
      <c r="V4093" s="41"/>
      <c r="W4093" s="37"/>
      <c r="X4093" s="37"/>
      <c r="Y4093" s="43"/>
      <c r="Z4093" s="37"/>
      <c r="AA4093" s="37"/>
      <c r="AD4093" s="37"/>
      <c r="AE4093" s="37"/>
      <c r="AF4093" s="37"/>
    </row>
    <row r="4094" spans="1:32" x14ac:dyDescent="0.25">
      <c r="A4094" s="37"/>
      <c r="B4094" s="37"/>
      <c r="C4094" s="37"/>
      <c r="F4094" s="38"/>
      <c r="G4094" s="38"/>
      <c r="H4094" s="38"/>
      <c r="I4094" s="37"/>
      <c r="J4094" s="38"/>
      <c r="K4094" s="38"/>
      <c r="L4094" s="42"/>
      <c r="M4094" s="42"/>
      <c r="N4094" s="42"/>
      <c r="O4094" s="42"/>
      <c r="R4094" s="37"/>
      <c r="S4094" s="37"/>
      <c r="T4094" s="91"/>
      <c r="U4094" s="91"/>
      <c r="V4094" s="41"/>
      <c r="W4094" s="37"/>
      <c r="X4094" s="37"/>
      <c r="Y4094" s="43"/>
      <c r="Z4094" s="37"/>
      <c r="AA4094" s="37"/>
      <c r="AD4094" s="37"/>
      <c r="AE4094" s="37"/>
      <c r="AF4094" s="37"/>
    </row>
    <row r="4095" spans="1:32" x14ac:dyDescent="0.25">
      <c r="A4095" s="37"/>
      <c r="B4095" s="37"/>
      <c r="C4095" s="37"/>
      <c r="F4095" s="38"/>
      <c r="G4095" s="38"/>
      <c r="H4095" s="38"/>
      <c r="I4095" s="37"/>
      <c r="J4095" s="38"/>
      <c r="K4095" s="38"/>
      <c r="L4095" s="42"/>
      <c r="M4095" s="42"/>
      <c r="N4095" s="42"/>
      <c r="O4095" s="42"/>
      <c r="R4095" s="37"/>
      <c r="S4095" s="37"/>
      <c r="T4095" s="91"/>
      <c r="U4095" s="91"/>
      <c r="V4095" s="41"/>
      <c r="W4095" s="37"/>
      <c r="X4095" s="37"/>
      <c r="Y4095" s="43"/>
      <c r="Z4095" s="37"/>
      <c r="AA4095" s="37"/>
      <c r="AD4095" s="37"/>
      <c r="AE4095" s="37"/>
      <c r="AF4095" s="37"/>
    </row>
    <row r="4096" spans="1:32" x14ac:dyDescent="0.25">
      <c r="A4096" s="37"/>
      <c r="B4096" s="37"/>
      <c r="C4096" s="37"/>
      <c r="F4096" s="38"/>
      <c r="G4096" s="38"/>
      <c r="H4096" s="38"/>
      <c r="I4096" s="37"/>
      <c r="J4096" s="38"/>
      <c r="K4096" s="38"/>
      <c r="L4096" s="42"/>
      <c r="M4096" s="42"/>
      <c r="N4096" s="42"/>
      <c r="O4096" s="42"/>
      <c r="R4096" s="37"/>
      <c r="S4096" s="37"/>
      <c r="T4096" s="91"/>
      <c r="U4096" s="91"/>
      <c r="V4096" s="41"/>
      <c r="W4096" s="37"/>
      <c r="X4096" s="37"/>
      <c r="Y4096" s="43"/>
      <c r="Z4096" s="37"/>
      <c r="AA4096" s="37"/>
      <c r="AD4096" s="37"/>
      <c r="AE4096" s="37"/>
      <c r="AF4096" s="37"/>
    </row>
    <row r="4097" spans="1:32" x14ac:dyDescent="0.25">
      <c r="A4097" s="37"/>
      <c r="B4097" s="37"/>
      <c r="C4097" s="37"/>
      <c r="F4097" s="38"/>
      <c r="G4097" s="38"/>
      <c r="H4097" s="38"/>
      <c r="I4097" s="37"/>
      <c r="J4097" s="38"/>
      <c r="K4097" s="38"/>
      <c r="L4097" s="42"/>
      <c r="M4097" s="42"/>
      <c r="N4097" s="42"/>
      <c r="O4097" s="42"/>
      <c r="R4097" s="37"/>
      <c r="S4097" s="37"/>
      <c r="T4097" s="91"/>
      <c r="U4097" s="91"/>
      <c r="V4097" s="41"/>
      <c r="W4097" s="37"/>
      <c r="X4097" s="37"/>
      <c r="Y4097" s="43"/>
      <c r="Z4097" s="37"/>
      <c r="AA4097" s="37"/>
      <c r="AD4097" s="37"/>
      <c r="AE4097" s="37"/>
      <c r="AF4097" s="37"/>
    </row>
    <row r="4098" spans="1:32" x14ac:dyDescent="0.25">
      <c r="A4098" s="37"/>
      <c r="B4098" s="37"/>
      <c r="C4098" s="37"/>
      <c r="F4098" s="38"/>
      <c r="G4098" s="38"/>
      <c r="H4098" s="38"/>
      <c r="I4098" s="37"/>
      <c r="J4098" s="38"/>
      <c r="K4098" s="38"/>
      <c r="L4098" s="42"/>
      <c r="M4098" s="42"/>
      <c r="N4098" s="42"/>
      <c r="O4098" s="42"/>
      <c r="R4098" s="37"/>
      <c r="S4098" s="37"/>
      <c r="T4098" s="91"/>
      <c r="U4098" s="91"/>
      <c r="V4098" s="41"/>
      <c r="W4098" s="37"/>
      <c r="X4098" s="37"/>
      <c r="Y4098" s="43"/>
      <c r="Z4098" s="37"/>
      <c r="AA4098" s="37"/>
      <c r="AD4098" s="37"/>
      <c r="AE4098" s="37"/>
      <c r="AF4098" s="37"/>
    </row>
    <row r="4099" spans="1:32" x14ac:dyDescent="0.25">
      <c r="A4099" s="37"/>
      <c r="B4099" s="37"/>
      <c r="C4099" s="37"/>
      <c r="F4099" s="38"/>
      <c r="G4099" s="38"/>
      <c r="H4099" s="38"/>
      <c r="I4099" s="37"/>
      <c r="J4099" s="38"/>
      <c r="K4099" s="38"/>
      <c r="L4099" s="42"/>
      <c r="M4099" s="42"/>
      <c r="N4099" s="42"/>
      <c r="O4099" s="42"/>
      <c r="R4099" s="37"/>
      <c r="S4099" s="37"/>
      <c r="T4099" s="91"/>
      <c r="U4099" s="91"/>
      <c r="V4099" s="41"/>
      <c r="W4099" s="37"/>
      <c r="X4099" s="37"/>
      <c r="Y4099" s="43"/>
      <c r="Z4099" s="37"/>
      <c r="AA4099" s="37"/>
      <c r="AD4099" s="37"/>
      <c r="AE4099" s="37"/>
      <c r="AF4099" s="37"/>
    </row>
    <row r="4100" spans="1:32" x14ac:dyDescent="0.25">
      <c r="A4100" s="37"/>
      <c r="B4100" s="37"/>
      <c r="C4100" s="37"/>
      <c r="F4100" s="38"/>
      <c r="G4100" s="38"/>
      <c r="H4100" s="38"/>
      <c r="I4100" s="37"/>
      <c r="J4100" s="38"/>
      <c r="K4100" s="38"/>
      <c r="L4100" s="42"/>
      <c r="M4100" s="42"/>
      <c r="N4100" s="42"/>
      <c r="O4100" s="42"/>
      <c r="R4100" s="37"/>
      <c r="S4100" s="37"/>
      <c r="T4100" s="91"/>
      <c r="U4100" s="91"/>
      <c r="V4100" s="41"/>
      <c r="W4100" s="37"/>
      <c r="X4100" s="37"/>
      <c r="Y4100" s="43"/>
      <c r="Z4100" s="37"/>
      <c r="AA4100" s="37"/>
      <c r="AD4100" s="37"/>
      <c r="AE4100" s="37"/>
      <c r="AF4100" s="37"/>
    </row>
    <row r="4101" spans="1:32" x14ac:dyDescent="0.25">
      <c r="A4101" s="37"/>
      <c r="B4101" s="37"/>
      <c r="C4101" s="37"/>
      <c r="F4101" s="38"/>
      <c r="G4101" s="38"/>
      <c r="H4101" s="38"/>
      <c r="I4101" s="37"/>
      <c r="J4101" s="38"/>
      <c r="K4101" s="38"/>
      <c r="L4101" s="42"/>
      <c r="M4101" s="42"/>
      <c r="N4101" s="42"/>
      <c r="O4101" s="42"/>
      <c r="R4101" s="37"/>
      <c r="S4101" s="37"/>
      <c r="T4101" s="91"/>
      <c r="U4101" s="91"/>
      <c r="V4101" s="41"/>
      <c r="W4101" s="37"/>
      <c r="X4101" s="37"/>
      <c r="Y4101" s="43"/>
      <c r="Z4101" s="37"/>
      <c r="AA4101" s="37"/>
      <c r="AD4101" s="37"/>
      <c r="AE4101" s="37"/>
      <c r="AF4101" s="37"/>
    </row>
    <row r="4102" spans="1:32" x14ac:dyDescent="0.25">
      <c r="A4102" s="37"/>
      <c r="B4102" s="37"/>
      <c r="C4102" s="37"/>
      <c r="F4102" s="38"/>
      <c r="G4102" s="38"/>
      <c r="H4102" s="38"/>
      <c r="I4102" s="37"/>
      <c r="J4102" s="38"/>
      <c r="K4102" s="38"/>
      <c r="L4102" s="42"/>
      <c r="M4102" s="42"/>
      <c r="N4102" s="42"/>
      <c r="O4102" s="42"/>
      <c r="R4102" s="37"/>
      <c r="S4102" s="37"/>
      <c r="T4102" s="91"/>
      <c r="U4102" s="91"/>
      <c r="V4102" s="41"/>
      <c r="W4102" s="37"/>
      <c r="X4102" s="37"/>
      <c r="Y4102" s="43"/>
      <c r="Z4102" s="37"/>
      <c r="AA4102" s="37"/>
      <c r="AD4102" s="37"/>
      <c r="AE4102" s="37"/>
      <c r="AF4102" s="37"/>
    </row>
    <row r="4103" spans="1:32" x14ac:dyDescent="0.25">
      <c r="A4103" s="37"/>
      <c r="B4103" s="37"/>
      <c r="C4103" s="37"/>
      <c r="F4103" s="38"/>
      <c r="G4103" s="38"/>
      <c r="H4103" s="38"/>
      <c r="I4103" s="37"/>
      <c r="J4103" s="38"/>
      <c r="K4103" s="38"/>
      <c r="L4103" s="42"/>
      <c r="M4103" s="42"/>
      <c r="N4103" s="42"/>
      <c r="O4103" s="42"/>
      <c r="R4103" s="37"/>
      <c r="S4103" s="37"/>
      <c r="T4103" s="91"/>
      <c r="U4103" s="91"/>
      <c r="V4103" s="41"/>
      <c r="W4103" s="37"/>
      <c r="X4103" s="37"/>
      <c r="Y4103" s="43"/>
      <c r="Z4103" s="37"/>
      <c r="AA4103" s="37"/>
      <c r="AD4103" s="37"/>
      <c r="AE4103" s="37"/>
      <c r="AF4103" s="37"/>
    </row>
    <row r="4104" spans="1:32" x14ac:dyDescent="0.25">
      <c r="A4104" s="37"/>
      <c r="B4104" s="37"/>
      <c r="C4104" s="37"/>
      <c r="F4104" s="38"/>
      <c r="G4104" s="38"/>
      <c r="H4104" s="38"/>
      <c r="I4104" s="37"/>
      <c r="J4104" s="38"/>
      <c r="K4104" s="38"/>
      <c r="L4104" s="42"/>
      <c r="M4104" s="42"/>
      <c r="N4104" s="42"/>
      <c r="O4104" s="42"/>
      <c r="R4104" s="37"/>
      <c r="S4104" s="37"/>
      <c r="T4104" s="91"/>
      <c r="U4104" s="91"/>
      <c r="V4104" s="41"/>
      <c r="W4104" s="37"/>
      <c r="X4104" s="37"/>
      <c r="Y4104" s="43"/>
      <c r="Z4104" s="37"/>
      <c r="AA4104" s="37"/>
      <c r="AD4104" s="37"/>
      <c r="AE4104" s="37"/>
      <c r="AF4104" s="37"/>
    </row>
    <row r="4105" spans="1:32" x14ac:dyDescent="0.25">
      <c r="A4105" s="37"/>
      <c r="B4105" s="37"/>
      <c r="C4105" s="37"/>
      <c r="F4105" s="38"/>
      <c r="G4105" s="38"/>
      <c r="H4105" s="38"/>
      <c r="I4105" s="37"/>
      <c r="J4105" s="38"/>
      <c r="K4105" s="38"/>
      <c r="L4105" s="42"/>
      <c r="M4105" s="42"/>
      <c r="N4105" s="42"/>
      <c r="O4105" s="42"/>
      <c r="R4105" s="37"/>
      <c r="S4105" s="37"/>
      <c r="T4105" s="91"/>
      <c r="U4105" s="91"/>
      <c r="V4105" s="41"/>
      <c r="W4105" s="37"/>
      <c r="X4105" s="37"/>
      <c r="Y4105" s="43"/>
      <c r="Z4105" s="37"/>
      <c r="AA4105" s="37"/>
      <c r="AD4105" s="37"/>
      <c r="AE4105" s="37"/>
      <c r="AF4105" s="37"/>
    </row>
    <row r="4106" spans="1:32" x14ac:dyDescent="0.25">
      <c r="A4106" s="37"/>
      <c r="B4106" s="37"/>
      <c r="C4106" s="37"/>
      <c r="F4106" s="38"/>
      <c r="G4106" s="38"/>
      <c r="H4106" s="38"/>
      <c r="I4106" s="37"/>
      <c r="J4106" s="38"/>
      <c r="K4106" s="38"/>
      <c r="L4106" s="42"/>
      <c r="M4106" s="42"/>
      <c r="N4106" s="42"/>
      <c r="O4106" s="42"/>
      <c r="R4106" s="37"/>
      <c r="S4106" s="37"/>
      <c r="T4106" s="91"/>
      <c r="U4106" s="91"/>
      <c r="V4106" s="41"/>
      <c r="W4106" s="37"/>
      <c r="X4106" s="37"/>
      <c r="Y4106" s="43"/>
      <c r="Z4106" s="37"/>
      <c r="AA4106" s="37"/>
      <c r="AD4106" s="37"/>
      <c r="AE4106" s="37"/>
      <c r="AF4106" s="37"/>
    </row>
    <row r="4107" spans="1:32" x14ac:dyDescent="0.25">
      <c r="A4107" s="37"/>
      <c r="B4107" s="37"/>
      <c r="C4107" s="37"/>
      <c r="F4107" s="38"/>
      <c r="G4107" s="38"/>
      <c r="H4107" s="38"/>
      <c r="I4107" s="37"/>
      <c r="J4107" s="38"/>
      <c r="K4107" s="38"/>
      <c r="L4107" s="42"/>
      <c r="M4107" s="42"/>
      <c r="N4107" s="42"/>
      <c r="O4107" s="42"/>
      <c r="R4107" s="37"/>
      <c r="S4107" s="37"/>
      <c r="T4107" s="91"/>
      <c r="U4107" s="91"/>
      <c r="V4107" s="41"/>
      <c r="W4107" s="37"/>
      <c r="X4107" s="37"/>
      <c r="Y4107" s="43"/>
      <c r="Z4107" s="37"/>
      <c r="AA4107" s="37"/>
      <c r="AD4107" s="37"/>
      <c r="AE4107" s="37"/>
      <c r="AF4107" s="37"/>
    </row>
    <row r="4108" spans="1:32" x14ac:dyDescent="0.25">
      <c r="A4108" s="37"/>
      <c r="B4108" s="37"/>
      <c r="C4108" s="37"/>
      <c r="F4108" s="38"/>
      <c r="G4108" s="38"/>
      <c r="H4108" s="38"/>
      <c r="I4108" s="37"/>
      <c r="J4108" s="38"/>
      <c r="K4108" s="38"/>
      <c r="L4108" s="42"/>
      <c r="M4108" s="42"/>
      <c r="N4108" s="42"/>
      <c r="O4108" s="42"/>
      <c r="R4108" s="37"/>
      <c r="S4108" s="37"/>
      <c r="T4108" s="91"/>
      <c r="U4108" s="91"/>
      <c r="V4108" s="41"/>
      <c r="W4108" s="37"/>
      <c r="X4108" s="37"/>
      <c r="Y4108" s="43"/>
      <c r="Z4108" s="37"/>
      <c r="AA4108" s="37"/>
      <c r="AD4108" s="37"/>
      <c r="AE4108" s="37"/>
      <c r="AF4108" s="37"/>
    </row>
    <row r="4109" spans="1:32" x14ac:dyDescent="0.25">
      <c r="A4109" s="37"/>
      <c r="B4109" s="37"/>
      <c r="C4109" s="37"/>
      <c r="F4109" s="38"/>
      <c r="G4109" s="38"/>
      <c r="H4109" s="38"/>
      <c r="I4109" s="37"/>
      <c r="J4109" s="38"/>
      <c r="K4109" s="38"/>
      <c r="L4109" s="42"/>
      <c r="M4109" s="42"/>
      <c r="N4109" s="42"/>
      <c r="O4109" s="42"/>
      <c r="R4109" s="37"/>
      <c r="S4109" s="37"/>
      <c r="T4109" s="91"/>
      <c r="U4109" s="91"/>
      <c r="V4109" s="41"/>
      <c r="W4109" s="37"/>
      <c r="X4109" s="37"/>
      <c r="Y4109" s="43"/>
      <c r="Z4109" s="37"/>
      <c r="AA4109" s="37"/>
      <c r="AD4109" s="37"/>
      <c r="AE4109" s="37"/>
      <c r="AF4109" s="37"/>
    </row>
    <row r="4110" spans="1:32" x14ac:dyDescent="0.25">
      <c r="A4110" s="37"/>
      <c r="B4110" s="37"/>
      <c r="C4110" s="37"/>
      <c r="F4110" s="38"/>
      <c r="G4110" s="38"/>
      <c r="H4110" s="38"/>
      <c r="I4110" s="37"/>
      <c r="J4110" s="38"/>
      <c r="K4110" s="38"/>
      <c r="L4110" s="42"/>
      <c r="M4110" s="42"/>
      <c r="N4110" s="42"/>
      <c r="O4110" s="42"/>
      <c r="R4110" s="37"/>
      <c r="S4110" s="37"/>
      <c r="T4110" s="91"/>
      <c r="U4110" s="91"/>
      <c r="V4110" s="41"/>
      <c r="W4110" s="37"/>
      <c r="X4110" s="37"/>
      <c r="Y4110" s="43"/>
      <c r="Z4110" s="37"/>
      <c r="AA4110" s="37"/>
      <c r="AD4110" s="37"/>
      <c r="AE4110" s="37"/>
      <c r="AF4110" s="37"/>
    </row>
    <row r="4111" spans="1:32" x14ac:dyDescent="0.25">
      <c r="A4111" s="37"/>
      <c r="B4111" s="37"/>
      <c r="C4111" s="37"/>
      <c r="F4111" s="38"/>
      <c r="G4111" s="38"/>
      <c r="H4111" s="38"/>
      <c r="I4111" s="37"/>
      <c r="J4111" s="38"/>
      <c r="K4111" s="38"/>
      <c r="L4111" s="42"/>
      <c r="M4111" s="42"/>
      <c r="N4111" s="42"/>
      <c r="O4111" s="42"/>
      <c r="R4111" s="37"/>
      <c r="S4111" s="37"/>
      <c r="T4111" s="91"/>
      <c r="U4111" s="91"/>
      <c r="V4111" s="41"/>
      <c r="W4111" s="37"/>
      <c r="X4111" s="37"/>
      <c r="Y4111" s="43"/>
      <c r="Z4111" s="37"/>
      <c r="AA4111" s="37"/>
      <c r="AD4111" s="37"/>
      <c r="AE4111" s="37"/>
      <c r="AF4111" s="37"/>
    </row>
    <row r="4112" spans="1:32" x14ac:dyDescent="0.25">
      <c r="A4112" s="37"/>
      <c r="B4112" s="37"/>
      <c r="C4112" s="37"/>
      <c r="F4112" s="38"/>
      <c r="G4112" s="38"/>
      <c r="H4112" s="38"/>
      <c r="I4112" s="37"/>
      <c r="J4112" s="38"/>
      <c r="K4112" s="38"/>
      <c r="L4112" s="42"/>
      <c r="M4112" s="42"/>
      <c r="N4112" s="42"/>
      <c r="O4112" s="42"/>
      <c r="R4112" s="37"/>
      <c r="S4112" s="37"/>
      <c r="T4112" s="91"/>
      <c r="U4112" s="91"/>
      <c r="V4112" s="41"/>
      <c r="W4112" s="37"/>
      <c r="X4112" s="37"/>
      <c r="Y4112" s="43"/>
      <c r="Z4112" s="37"/>
      <c r="AA4112" s="37"/>
      <c r="AD4112" s="37"/>
      <c r="AE4112" s="37"/>
      <c r="AF4112" s="37"/>
    </row>
    <row r="4113" spans="1:32" x14ac:dyDescent="0.25">
      <c r="A4113" s="37"/>
      <c r="B4113" s="37"/>
      <c r="C4113" s="37"/>
      <c r="F4113" s="38"/>
      <c r="G4113" s="38"/>
      <c r="H4113" s="38"/>
      <c r="I4113" s="37"/>
      <c r="J4113" s="38"/>
      <c r="K4113" s="38"/>
      <c r="L4113" s="42"/>
      <c r="M4113" s="42"/>
      <c r="N4113" s="42"/>
      <c r="O4113" s="42"/>
      <c r="R4113" s="37"/>
      <c r="S4113" s="37"/>
      <c r="T4113" s="91"/>
      <c r="U4113" s="91"/>
      <c r="V4113" s="41"/>
      <c r="W4113" s="37"/>
      <c r="X4113" s="37"/>
      <c r="Y4113" s="43"/>
      <c r="Z4113" s="37"/>
      <c r="AA4113" s="37"/>
      <c r="AD4113" s="37"/>
      <c r="AE4113" s="37"/>
      <c r="AF4113" s="37"/>
    </row>
    <row r="4114" spans="1:32" x14ac:dyDescent="0.25">
      <c r="A4114" s="37"/>
      <c r="B4114" s="37"/>
      <c r="C4114" s="37"/>
      <c r="F4114" s="38"/>
      <c r="G4114" s="38"/>
      <c r="H4114" s="38"/>
      <c r="I4114" s="37"/>
      <c r="J4114" s="38"/>
      <c r="K4114" s="38"/>
      <c r="L4114" s="42"/>
      <c r="M4114" s="42"/>
      <c r="N4114" s="42"/>
      <c r="O4114" s="42"/>
      <c r="R4114" s="37"/>
      <c r="S4114" s="37"/>
      <c r="T4114" s="91"/>
      <c r="U4114" s="91"/>
      <c r="V4114" s="41"/>
      <c r="W4114" s="37"/>
      <c r="X4114" s="37"/>
      <c r="Y4114" s="43"/>
      <c r="Z4114" s="37"/>
      <c r="AA4114" s="37"/>
      <c r="AD4114" s="37"/>
      <c r="AE4114" s="37"/>
      <c r="AF4114" s="37"/>
    </row>
    <row r="4115" spans="1:32" x14ac:dyDescent="0.25">
      <c r="A4115" s="37"/>
      <c r="B4115" s="37"/>
      <c r="C4115" s="37"/>
      <c r="F4115" s="38"/>
      <c r="G4115" s="38"/>
      <c r="H4115" s="38"/>
      <c r="I4115" s="37"/>
      <c r="J4115" s="38"/>
      <c r="K4115" s="38"/>
      <c r="L4115" s="42"/>
      <c r="M4115" s="42"/>
      <c r="N4115" s="42"/>
      <c r="O4115" s="42"/>
      <c r="R4115" s="37"/>
      <c r="S4115" s="37"/>
      <c r="T4115" s="91"/>
      <c r="U4115" s="91"/>
      <c r="V4115" s="41"/>
      <c r="W4115" s="37"/>
      <c r="X4115" s="37"/>
      <c r="Y4115" s="43"/>
      <c r="Z4115" s="37"/>
      <c r="AA4115" s="37"/>
      <c r="AD4115" s="37"/>
      <c r="AE4115" s="37"/>
      <c r="AF4115" s="37"/>
    </row>
    <row r="4116" spans="1:32" x14ac:dyDescent="0.25">
      <c r="A4116" s="37"/>
      <c r="B4116" s="37"/>
      <c r="C4116" s="37"/>
      <c r="F4116" s="38"/>
      <c r="G4116" s="38"/>
      <c r="H4116" s="38"/>
      <c r="I4116" s="37"/>
      <c r="J4116" s="38"/>
      <c r="K4116" s="38"/>
      <c r="L4116" s="42"/>
      <c r="M4116" s="42"/>
      <c r="N4116" s="42"/>
      <c r="O4116" s="42"/>
      <c r="R4116" s="37"/>
      <c r="S4116" s="37"/>
      <c r="T4116" s="91"/>
      <c r="U4116" s="91"/>
      <c r="V4116" s="41"/>
      <c r="W4116" s="37"/>
      <c r="X4116" s="37"/>
      <c r="Y4116" s="43"/>
      <c r="Z4116" s="37"/>
      <c r="AA4116" s="37"/>
      <c r="AD4116" s="37"/>
      <c r="AE4116" s="37"/>
      <c r="AF4116" s="37"/>
    </row>
    <row r="4117" spans="1:32" x14ac:dyDescent="0.25">
      <c r="A4117" s="37"/>
      <c r="B4117" s="37"/>
      <c r="C4117" s="37"/>
      <c r="F4117" s="38"/>
      <c r="G4117" s="38"/>
      <c r="H4117" s="38"/>
      <c r="I4117" s="37"/>
      <c r="J4117" s="38"/>
      <c r="K4117" s="38"/>
      <c r="L4117" s="42"/>
      <c r="M4117" s="42"/>
      <c r="N4117" s="42"/>
      <c r="O4117" s="42"/>
      <c r="R4117" s="37"/>
      <c r="S4117" s="37"/>
      <c r="T4117" s="91"/>
      <c r="U4117" s="91"/>
      <c r="V4117" s="41"/>
      <c r="W4117" s="37"/>
      <c r="X4117" s="37"/>
      <c r="Y4117" s="43"/>
      <c r="Z4117" s="37"/>
      <c r="AA4117" s="37"/>
      <c r="AD4117" s="37"/>
      <c r="AE4117" s="37"/>
      <c r="AF4117" s="37"/>
    </row>
    <row r="4118" spans="1:32" x14ac:dyDescent="0.25">
      <c r="A4118" s="37"/>
      <c r="B4118" s="37"/>
      <c r="C4118" s="37"/>
      <c r="F4118" s="38"/>
      <c r="G4118" s="38"/>
      <c r="H4118" s="38"/>
      <c r="I4118" s="37"/>
      <c r="J4118" s="38"/>
      <c r="K4118" s="38"/>
      <c r="L4118" s="42"/>
      <c r="M4118" s="42"/>
      <c r="N4118" s="42"/>
      <c r="O4118" s="42"/>
      <c r="R4118" s="37"/>
      <c r="S4118" s="37"/>
      <c r="T4118" s="91"/>
      <c r="U4118" s="91"/>
      <c r="V4118" s="41"/>
      <c r="W4118" s="37"/>
      <c r="X4118" s="37"/>
      <c r="Y4118" s="43"/>
      <c r="Z4118" s="37"/>
      <c r="AA4118" s="37"/>
      <c r="AD4118" s="37"/>
      <c r="AE4118" s="37"/>
      <c r="AF4118" s="37"/>
    </row>
    <row r="4119" spans="1:32" x14ac:dyDescent="0.25">
      <c r="A4119" s="37"/>
      <c r="B4119" s="37"/>
      <c r="C4119" s="37"/>
      <c r="F4119" s="38"/>
      <c r="G4119" s="38"/>
      <c r="H4119" s="38"/>
      <c r="I4119" s="37"/>
      <c r="J4119" s="38"/>
      <c r="K4119" s="38"/>
      <c r="L4119" s="42"/>
      <c r="M4119" s="42"/>
      <c r="N4119" s="42"/>
      <c r="O4119" s="42"/>
      <c r="R4119" s="37"/>
      <c r="S4119" s="37"/>
      <c r="T4119" s="91"/>
      <c r="U4119" s="91"/>
      <c r="V4119" s="41"/>
      <c r="W4119" s="37"/>
      <c r="X4119" s="37"/>
      <c r="Y4119" s="43"/>
      <c r="Z4119" s="37"/>
      <c r="AA4119" s="37"/>
      <c r="AD4119" s="37"/>
      <c r="AE4119" s="37"/>
      <c r="AF4119" s="37"/>
    </row>
    <row r="4120" spans="1:32" x14ac:dyDescent="0.25">
      <c r="A4120" s="37"/>
      <c r="B4120" s="37"/>
      <c r="C4120" s="37"/>
      <c r="F4120" s="38"/>
      <c r="G4120" s="38"/>
      <c r="H4120" s="38"/>
      <c r="I4120" s="37"/>
      <c r="J4120" s="38"/>
      <c r="K4120" s="38"/>
      <c r="L4120" s="42"/>
      <c r="M4120" s="42"/>
      <c r="N4120" s="42"/>
      <c r="O4120" s="42"/>
      <c r="R4120" s="37"/>
      <c r="S4120" s="37"/>
      <c r="T4120" s="91"/>
      <c r="U4120" s="91"/>
      <c r="V4120" s="41"/>
      <c r="W4120" s="37"/>
      <c r="X4120" s="37"/>
      <c r="Y4120" s="43"/>
      <c r="Z4120" s="37"/>
      <c r="AA4120" s="37"/>
      <c r="AD4120" s="37"/>
      <c r="AE4120" s="37"/>
      <c r="AF4120" s="37"/>
    </row>
    <row r="4121" spans="1:32" x14ac:dyDescent="0.25">
      <c r="A4121" s="37"/>
      <c r="B4121" s="37"/>
      <c r="C4121" s="37"/>
      <c r="F4121" s="38"/>
      <c r="G4121" s="38"/>
      <c r="H4121" s="38"/>
      <c r="I4121" s="37"/>
      <c r="J4121" s="38"/>
      <c r="K4121" s="38"/>
      <c r="L4121" s="42"/>
      <c r="M4121" s="42"/>
      <c r="N4121" s="42"/>
      <c r="O4121" s="42"/>
      <c r="R4121" s="37"/>
      <c r="S4121" s="37"/>
      <c r="T4121" s="91"/>
      <c r="U4121" s="91"/>
      <c r="V4121" s="41"/>
      <c r="W4121" s="37"/>
      <c r="X4121" s="37"/>
      <c r="Y4121" s="43"/>
      <c r="Z4121" s="37"/>
      <c r="AA4121" s="37"/>
      <c r="AD4121" s="37"/>
      <c r="AE4121" s="37"/>
      <c r="AF4121" s="37"/>
    </row>
    <row r="4122" spans="1:32" x14ac:dyDescent="0.25">
      <c r="A4122" s="37"/>
      <c r="B4122" s="37"/>
      <c r="C4122" s="37"/>
      <c r="F4122" s="38"/>
      <c r="G4122" s="38"/>
      <c r="H4122" s="38"/>
      <c r="I4122" s="37"/>
      <c r="J4122" s="38"/>
      <c r="K4122" s="38"/>
      <c r="L4122" s="42"/>
      <c r="M4122" s="42"/>
      <c r="N4122" s="42"/>
      <c r="O4122" s="42"/>
      <c r="R4122" s="37"/>
      <c r="S4122" s="37"/>
      <c r="T4122" s="91"/>
      <c r="U4122" s="91"/>
      <c r="V4122" s="41"/>
      <c r="W4122" s="37"/>
      <c r="X4122" s="37"/>
      <c r="Y4122" s="43"/>
      <c r="Z4122" s="37"/>
      <c r="AA4122" s="37"/>
      <c r="AD4122" s="37"/>
      <c r="AE4122" s="37"/>
      <c r="AF4122" s="37"/>
    </row>
    <row r="4123" spans="1:32" x14ac:dyDescent="0.25">
      <c r="A4123" s="37"/>
      <c r="B4123" s="37"/>
      <c r="C4123" s="37"/>
      <c r="F4123" s="38"/>
      <c r="G4123" s="38"/>
      <c r="H4123" s="38"/>
      <c r="I4123" s="37"/>
      <c r="J4123" s="38"/>
      <c r="K4123" s="38"/>
      <c r="L4123" s="42"/>
      <c r="M4123" s="42"/>
      <c r="N4123" s="42"/>
      <c r="O4123" s="42"/>
      <c r="R4123" s="37"/>
      <c r="S4123" s="37"/>
      <c r="T4123" s="91"/>
      <c r="U4123" s="91"/>
      <c r="V4123" s="41"/>
      <c r="W4123" s="37"/>
      <c r="X4123" s="37"/>
      <c r="Y4123" s="43"/>
      <c r="Z4123" s="37"/>
      <c r="AA4123" s="37"/>
      <c r="AD4123" s="37"/>
      <c r="AE4123" s="37"/>
      <c r="AF4123" s="37"/>
    </row>
    <row r="4124" spans="1:32" x14ac:dyDescent="0.25">
      <c r="A4124" s="37"/>
      <c r="B4124" s="37"/>
      <c r="C4124" s="37"/>
      <c r="F4124" s="38"/>
      <c r="G4124" s="38"/>
      <c r="H4124" s="38"/>
      <c r="I4124" s="37"/>
      <c r="J4124" s="38"/>
      <c r="K4124" s="38"/>
      <c r="L4124" s="42"/>
      <c r="M4124" s="42"/>
      <c r="N4124" s="42"/>
      <c r="O4124" s="42"/>
      <c r="R4124" s="37"/>
      <c r="S4124" s="37"/>
      <c r="T4124" s="91"/>
      <c r="U4124" s="91"/>
      <c r="V4124" s="41"/>
      <c r="W4124" s="37"/>
      <c r="X4124" s="37"/>
      <c r="Y4124" s="43"/>
      <c r="Z4124" s="37"/>
      <c r="AA4124" s="37"/>
      <c r="AD4124" s="37"/>
      <c r="AE4124" s="37"/>
      <c r="AF4124" s="37"/>
    </row>
    <row r="4125" spans="1:32" x14ac:dyDescent="0.25">
      <c r="A4125" s="37"/>
      <c r="B4125" s="37"/>
      <c r="C4125" s="37"/>
      <c r="F4125" s="38"/>
      <c r="G4125" s="38"/>
      <c r="H4125" s="38"/>
      <c r="I4125" s="37"/>
      <c r="J4125" s="38"/>
      <c r="K4125" s="38"/>
      <c r="L4125" s="42"/>
      <c r="M4125" s="42"/>
      <c r="N4125" s="42"/>
      <c r="O4125" s="42"/>
      <c r="R4125" s="37"/>
      <c r="S4125" s="37"/>
      <c r="T4125" s="91"/>
      <c r="U4125" s="91"/>
      <c r="V4125" s="41"/>
      <c r="W4125" s="37"/>
      <c r="X4125" s="37"/>
      <c r="Y4125" s="43"/>
      <c r="Z4125" s="37"/>
      <c r="AA4125" s="37"/>
      <c r="AD4125" s="37"/>
      <c r="AE4125" s="37"/>
      <c r="AF4125" s="37"/>
    </row>
    <row r="4126" spans="1:32" x14ac:dyDescent="0.25">
      <c r="A4126" s="37"/>
      <c r="B4126" s="37"/>
      <c r="C4126" s="37"/>
      <c r="F4126" s="38"/>
      <c r="G4126" s="38"/>
      <c r="H4126" s="38"/>
      <c r="I4126" s="37"/>
      <c r="J4126" s="38"/>
      <c r="K4126" s="38"/>
      <c r="L4126" s="42"/>
      <c r="M4126" s="42"/>
      <c r="N4126" s="42"/>
      <c r="O4126" s="42"/>
      <c r="R4126" s="37"/>
      <c r="S4126" s="37"/>
      <c r="T4126" s="91"/>
      <c r="U4126" s="91"/>
      <c r="V4126" s="41"/>
      <c r="W4126" s="37"/>
      <c r="X4126" s="37"/>
      <c r="Y4126" s="43"/>
      <c r="Z4126" s="37"/>
      <c r="AA4126" s="37"/>
      <c r="AD4126" s="37"/>
      <c r="AE4126" s="37"/>
      <c r="AF4126" s="37"/>
    </row>
    <row r="4127" spans="1:32" x14ac:dyDescent="0.25">
      <c r="A4127" s="37"/>
      <c r="B4127" s="37"/>
      <c r="C4127" s="37"/>
      <c r="F4127" s="38"/>
      <c r="G4127" s="38"/>
      <c r="H4127" s="38"/>
      <c r="I4127" s="37"/>
      <c r="J4127" s="38"/>
      <c r="K4127" s="38"/>
      <c r="L4127" s="42"/>
      <c r="M4127" s="42"/>
      <c r="N4127" s="42"/>
      <c r="O4127" s="42"/>
      <c r="R4127" s="37"/>
      <c r="S4127" s="37"/>
      <c r="T4127" s="91"/>
      <c r="U4127" s="91"/>
      <c r="V4127" s="41"/>
      <c r="W4127" s="37"/>
      <c r="X4127" s="37"/>
      <c r="Y4127" s="43"/>
      <c r="Z4127" s="37"/>
      <c r="AA4127" s="37"/>
      <c r="AD4127" s="37"/>
      <c r="AE4127" s="37"/>
      <c r="AF4127" s="37"/>
    </row>
    <row r="4128" spans="1:32" x14ac:dyDescent="0.25">
      <c r="A4128" s="37"/>
      <c r="B4128" s="37"/>
      <c r="C4128" s="37"/>
      <c r="F4128" s="38"/>
      <c r="G4128" s="38"/>
      <c r="H4128" s="38"/>
      <c r="I4128" s="37"/>
      <c r="J4128" s="38"/>
      <c r="K4128" s="38"/>
      <c r="L4128" s="42"/>
      <c r="M4128" s="42"/>
      <c r="N4128" s="42"/>
      <c r="O4128" s="42"/>
      <c r="R4128" s="37"/>
      <c r="S4128" s="37"/>
      <c r="T4128" s="91"/>
      <c r="U4128" s="91"/>
      <c r="V4128" s="41"/>
      <c r="W4128" s="37"/>
      <c r="X4128" s="37"/>
      <c r="Y4128" s="43"/>
      <c r="Z4128" s="37"/>
      <c r="AA4128" s="37"/>
      <c r="AD4128" s="37"/>
      <c r="AE4128" s="37"/>
      <c r="AF4128" s="37"/>
    </row>
    <row r="4129" spans="1:32" x14ac:dyDescent="0.25">
      <c r="A4129" s="37"/>
      <c r="B4129" s="37"/>
      <c r="C4129" s="37"/>
      <c r="F4129" s="38"/>
      <c r="G4129" s="38"/>
      <c r="H4129" s="38"/>
      <c r="I4129" s="37"/>
      <c r="J4129" s="38"/>
      <c r="K4129" s="38"/>
      <c r="L4129" s="42"/>
      <c r="M4129" s="42"/>
      <c r="N4129" s="42"/>
      <c r="O4129" s="42"/>
      <c r="R4129" s="37"/>
      <c r="S4129" s="37"/>
      <c r="T4129" s="91"/>
      <c r="U4129" s="91"/>
      <c r="V4129" s="41"/>
      <c r="W4129" s="37"/>
      <c r="X4129" s="37"/>
      <c r="Y4129" s="43"/>
      <c r="Z4129" s="37"/>
      <c r="AA4129" s="37"/>
      <c r="AD4129" s="37"/>
      <c r="AE4129" s="37"/>
      <c r="AF4129" s="37"/>
    </row>
    <row r="4130" spans="1:32" x14ac:dyDescent="0.25">
      <c r="A4130" s="37"/>
      <c r="B4130" s="37"/>
      <c r="C4130" s="37"/>
      <c r="F4130" s="38"/>
      <c r="G4130" s="38"/>
      <c r="H4130" s="38"/>
      <c r="I4130" s="37"/>
      <c r="J4130" s="38"/>
      <c r="K4130" s="38"/>
      <c r="L4130" s="42"/>
      <c r="M4130" s="42"/>
      <c r="N4130" s="42"/>
      <c r="O4130" s="42"/>
      <c r="R4130" s="37"/>
      <c r="S4130" s="37"/>
      <c r="T4130" s="91"/>
      <c r="U4130" s="91"/>
      <c r="V4130" s="41"/>
      <c r="W4130" s="37"/>
      <c r="X4130" s="37"/>
      <c r="Y4130" s="43"/>
      <c r="Z4130" s="37"/>
      <c r="AA4130" s="37"/>
      <c r="AD4130" s="37"/>
      <c r="AE4130" s="37"/>
      <c r="AF4130" s="37"/>
    </row>
    <row r="4131" spans="1:32" x14ac:dyDescent="0.25">
      <c r="A4131" s="37"/>
      <c r="B4131" s="37"/>
      <c r="C4131" s="37"/>
      <c r="F4131" s="38"/>
      <c r="G4131" s="38"/>
      <c r="H4131" s="38"/>
      <c r="I4131" s="37"/>
      <c r="J4131" s="38"/>
      <c r="K4131" s="38"/>
      <c r="L4131" s="42"/>
      <c r="M4131" s="42"/>
      <c r="N4131" s="42"/>
      <c r="O4131" s="42"/>
      <c r="R4131" s="37"/>
      <c r="S4131" s="37"/>
      <c r="T4131" s="91"/>
      <c r="U4131" s="91"/>
      <c r="V4131" s="41"/>
      <c r="W4131" s="37"/>
      <c r="X4131" s="37"/>
      <c r="Y4131" s="43"/>
      <c r="Z4131" s="37"/>
      <c r="AA4131" s="37"/>
      <c r="AD4131" s="37"/>
      <c r="AE4131" s="37"/>
      <c r="AF4131" s="37"/>
    </row>
    <row r="4132" spans="1:32" x14ac:dyDescent="0.25">
      <c r="A4132" s="37"/>
      <c r="B4132" s="37"/>
      <c r="C4132" s="37"/>
      <c r="F4132" s="38"/>
      <c r="G4132" s="38"/>
      <c r="H4132" s="38"/>
      <c r="I4132" s="37"/>
      <c r="J4132" s="38"/>
      <c r="K4132" s="38"/>
      <c r="L4132" s="42"/>
      <c r="M4132" s="42"/>
      <c r="N4132" s="42"/>
      <c r="O4132" s="42"/>
      <c r="R4132" s="37"/>
      <c r="S4132" s="37"/>
      <c r="T4132" s="91"/>
      <c r="U4132" s="91"/>
      <c r="V4132" s="41"/>
      <c r="W4132" s="37"/>
      <c r="X4132" s="37"/>
      <c r="Y4132" s="43"/>
      <c r="Z4132" s="37"/>
      <c r="AA4132" s="37"/>
      <c r="AD4132" s="37"/>
      <c r="AE4132" s="37"/>
      <c r="AF4132" s="37"/>
    </row>
    <row r="4133" spans="1:32" x14ac:dyDescent="0.25">
      <c r="A4133" s="37"/>
      <c r="B4133" s="37"/>
      <c r="C4133" s="37"/>
      <c r="F4133" s="38"/>
      <c r="G4133" s="38"/>
      <c r="H4133" s="38"/>
      <c r="I4133" s="37"/>
      <c r="J4133" s="38"/>
      <c r="K4133" s="38"/>
      <c r="L4133" s="42"/>
      <c r="M4133" s="42"/>
      <c r="N4133" s="42"/>
      <c r="O4133" s="42"/>
      <c r="R4133" s="37"/>
      <c r="S4133" s="37"/>
      <c r="T4133" s="91"/>
      <c r="U4133" s="91"/>
      <c r="V4133" s="41"/>
      <c r="W4133" s="37"/>
      <c r="X4133" s="37"/>
      <c r="Y4133" s="43"/>
      <c r="Z4133" s="37"/>
      <c r="AA4133" s="37"/>
      <c r="AD4133" s="37"/>
      <c r="AE4133" s="37"/>
      <c r="AF4133" s="37"/>
    </row>
    <row r="4134" spans="1:32" x14ac:dyDescent="0.25">
      <c r="A4134" s="37"/>
      <c r="B4134" s="37"/>
      <c r="C4134" s="37"/>
      <c r="F4134" s="38"/>
      <c r="G4134" s="38"/>
      <c r="H4134" s="38"/>
      <c r="I4134" s="37"/>
      <c r="J4134" s="38"/>
      <c r="K4134" s="38"/>
      <c r="L4134" s="42"/>
      <c r="M4134" s="42"/>
      <c r="N4134" s="42"/>
      <c r="O4134" s="42"/>
      <c r="R4134" s="37"/>
      <c r="S4134" s="37"/>
      <c r="T4134" s="91"/>
      <c r="U4134" s="91"/>
      <c r="V4134" s="41"/>
      <c r="W4134" s="37"/>
      <c r="X4134" s="37"/>
      <c r="Y4134" s="43"/>
      <c r="Z4134" s="37"/>
      <c r="AA4134" s="37"/>
      <c r="AD4134" s="37"/>
      <c r="AE4134" s="37"/>
      <c r="AF4134" s="37"/>
    </row>
    <row r="4135" spans="1:32" x14ac:dyDescent="0.25">
      <c r="A4135" s="37"/>
      <c r="B4135" s="37"/>
      <c r="C4135" s="37"/>
      <c r="F4135" s="38"/>
      <c r="G4135" s="38"/>
      <c r="H4135" s="38"/>
      <c r="I4135" s="37"/>
      <c r="J4135" s="38"/>
      <c r="K4135" s="38"/>
      <c r="L4135" s="42"/>
      <c r="M4135" s="42"/>
      <c r="N4135" s="42"/>
      <c r="O4135" s="42"/>
      <c r="R4135" s="37"/>
      <c r="S4135" s="37"/>
      <c r="T4135" s="91"/>
      <c r="U4135" s="91"/>
      <c r="V4135" s="41"/>
      <c r="W4135" s="37"/>
      <c r="X4135" s="37"/>
      <c r="Y4135" s="43"/>
      <c r="Z4135" s="37"/>
      <c r="AA4135" s="37"/>
      <c r="AD4135" s="37"/>
      <c r="AE4135" s="37"/>
      <c r="AF4135" s="37"/>
    </row>
    <row r="4136" spans="1:32" x14ac:dyDescent="0.25">
      <c r="A4136" s="37"/>
      <c r="B4136" s="37"/>
      <c r="C4136" s="37"/>
      <c r="F4136" s="38"/>
      <c r="G4136" s="38"/>
      <c r="H4136" s="38"/>
      <c r="I4136" s="37"/>
      <c r="J4136" s="38"/>
      <c r="K4136" s="38"/>
      <c r="L4136" s="42"/>
      <c r="M4136" s="42"/>
      <c r="N4136" s="42"/>
      <c r="O4136" s="42"/>
      <c r="R4136" s="37"/>
      <c r="S4136" s="37"/>
      <c r="T4136" s="91"/>
      <c r="U4136" s="91"/>
      <c r="V4136" s="41"/>
      <c r="W4136" s="37"/>
      <c r="X4136" s="37"/>
      <c r="Y4136" s="43"/>
      <c r="Z4136" s="37"/>
      <c r="AA4136" s="37"/>
      <c r="AD4136" s="37"/>
      <c r="AE4136" s="37"/>
      <c r="AF4136" s="37"/>
    </row>
    <row r="4137" spans="1:32" x14ac:dyDescent="0.25">
      <c r="A4137" s="37"/>
      <c r="B4137" s="37"/>
      <c r="C4137" s="37"/>
      <c r="F4137" s="38"/>
      <c r="G4137" s="38"/>
      <c r="H4137" s="38"/>
      <c r="I4137" s="37"/>
      <c r="J4137" s="38"/>
      <c r="K4137" s="38"/>
      <c r="L4137" s="42"/>
      <c r="M4137" s="42"/>
      <c r="N4137" s="42"/>
      <c r="O4137" s="42"/>
      <c r="R4137" s="37"/>
      <c r="S4137" s="37"/>
      <c r="T4137" s="91"/>
      <c r="U4137" s="91"/>
      <c r="V4137" s="41"/>
      <c r="W4137" s="37"/>
      <c r="X4137" s="37"/>
      <c r="Y4137" s="43"/>
      <c r="Z4137" s="37"/>
      <c r="AA4137" s="37"/>
      <c r="AD4137" s="37"/>
      <c r="AE4137" s="37"/>
      <c r="AF4137" s="37"/>
    </row>
    <row r="4138" spans="1:32" x14ac:dyDescent="0.25">
      <c r="A4138" s="37"/>
      <c r="B4138" s="37"/>
      <c r="C4138" s="37"/>
      <c r="F4138" s="38"/>
      <c r="G4138" s="38"/>
      <c r="H4138" s="38"/>
      <c r="I4138" s="37"/>
      <c r="J4138" s="38"/>
      <c r="K4138" s="38"/>
      <c r="L4138" s="42"/>
      <c r="M4138" s="42"/>
      <c r="N4138" s="42"/>
      <c r="O4138" s="42"/>
      <c r="R4138" s="37"/>
      <c r="S4138" s="37"/>
      <c r="T4138" s="91"/>
      <c r="U4138" s="91"/>
      <c r="V4138" s="41"/>
      <c r="W4138" s="37"/>
      <c r="X4138" s="37"/>
      <c r="Y4138" s="43"/>
      <c r="Z4138" s="37"/>
      <c r="AA4138" s="37"/>
      <c r="AD4138" s="37"/>
      <c r="AE4138" s="37"/>
      <c r="AF4138" s="37"/>
    </row>
    <row r="4139" spans="1:32" x14ac:dyDescent="0.25">
      <c r="A4139" s="37"/>
      <c r="B4139" s="37"/>
      <c r="C4139" s="37"/>
      <c r="F4139" s="38"/>
      <c r="G4139" s="38"/>
      <c r="H4139" s="38"/>
      <c r="I4139" s="37"/>
      <c r="J4139" s="38"/>
      <c r="K4139" s="38"/>
      <c r="L4139" s="42"/>
      <c r="M4139" s="42"/>
      <c r="N4139" s="42"/>
      <c r="O4139" s="42"/>
      <c r="R4139" s="37"/>
      <c r="S4139" s="37"/>
      <c r="T4139" s="91"/>
      <c r="U4139" s="91"/>
      <c r="V4139" s="41"/>
      <c r="W4139" s="37"/>
      <c r="X4139" s="37"/>
      <c r="Y4139" s="43"/>
      <c r="Z4139" s="37"/>
      <c r="AA4139" s="37"/>
      <c r="AD4139" s="37"/>
      <c r="AE4139" s="37"/>
      <c r="AF4139" s="37"/>
    </row>
    <row r="4140" spans="1:32" x14ac:dyDescent="0.25">
      <c r="A4140" s="37"/>
      <c r="B4140" s="37"/>
      <c r="C4140" s="37"/>
      <c r="F4140" s="38"/>
      <c r="G4140" s="38"/>
      <c r="H4140" s="38"/>
      <c r="I4140" s="37"/>
      <c r="J4140" s="38"/>
      <c r="K4140" s="38"/>
      <c r="L4140" s="42"/>
      <c r="M4140" s="42"/>
      <c r="N4140" s="42"/>
      <c r="O4140" s="42"/>
      <c r="R4140" s="37"/>
      <c r="S4140" s="37"/>
      <c r="T4140" s="91"/>
      <c r="U4140" s="91"/>
      <c r="V4140" s="41"/>
      <c r="W4140" s="37"/>
      <c r="X4140" s="37"/>
      <c r="Y4140" s="43"/>
      <c r="Z4140" s="37"/>
      <c r="AA4140" s="37"/>
      <c r="AD4140" s="37"/>
      <c r="AE4140" s="37"/>
      <c r="AF4140" s="37"/>
    </row>
    <row r="4141" spans="1:32" x14ac:dyDescent="0.25">
      <c r="A4141" s="37"/>
      <c r="B4141" s="37"/>
      <c r="C4141" s="37"/>
      <c r="F4141" s="38"/>
      <c r="G4141" s="38"/>
      <c r="H4141" s="38"/>
      <c r="I4141" s="37"/>
      <c r="J4141" s="38"/>
      <c r="K4141" s="38"/>
      <c r="L4141" s="42"/>
      <c r="M4141" s="42"/>
      <c r="N4141" s="42"/>
      <c r="O4141" s="42"/>
      <c r="R4141" s="37"/>
      <c r="S4141" s="37"/>
      <c r="T4141" s="91"/>
      <c r="U4141" s="91"/>
      <c r="V4141" s="41"/>
      <c r="W4141" s="37"/>
      <c r="X4141" s="37"/>
      <c r="Y4141" s="43"/>
      <c r="Z4141" s="37"/>
      <c r="AA4141" s="37"/>
      <c r="AD4141" s="37"/>
      <c r="AE4141" s="37"/>
      <c r="AF4141" s="37"/>
    </row>
    <row r="4142" spans="1:32" x14ac:dyDescent="0.25">
      <c r="A4142" s="37"/>
      <c r="B4142" s="37"/>
      <c r="C4142" s="37"/>
      <c r="F4142" s="38"/>
      <c r="G4142" s="38"/>
      <c r="H4142" s="38"/>
      <c r="I4142" s="37"/>
      <c r="J4142" s="38"/>
      <c r="K4142" s="38"/>
      <c r="L4142" s="42"/>
      <c r="M4142" s="42"/>
      <c r="N4142" s="42"/>
      <c r="O4142" s="42"/>
      <c r="R4142" s="37"/>
      <c r="S4142" s="37"/>
      <c r="T4142" s="91"/>
      <c r="U4142" s="91"/>
      <c r="V4142" s="41"/>
      <c r="W4142" s="37"/>
      <c r="X4142" s="37"/>
      <c r="Y4142" s="43"/>
      <c r="Z4142" s="37"/>
      <c r="AA4142" s="37"/>
      <c r="AD4142" s="37"/>
      <c r="AE4142" s="37"/>
      <c r="AF4142" s="37"/>
    </row>
    <row r="4143" spans="1:32" x14ac:dyDescent="0.25">
      <c r="A4143" s="37"/>
      <c r="B4143" s="37"/>
      <c r="C4143" s="37"/>
      <c r="F4143" s="38"/>
      <c r="G4143" s="38"/>
      <c r="H4143" s="38"/>
      <c r="I4143" s="37"/>
      <c r="J4143" s="38"/>
      <c r="K4143" s="38"/>
      <c r="L4143" s="42"/>
      <c r="M4143" s="42"/>
      <c r="N4143" s="42"/>
      <c r="O4143" s="42"/>
      <c r="R4143" s="37"/>
      <c r="S4143" s="37"/>
      <c r="T4143" s="91"/>
      <c r="U4143" s="91"/>
      <c r="V4143" s="41"/>
      <c r="W4143" s="37"/>
      <c r="X4143" s="37"/>
      <c r="Y4143" s="43"/>
      <c r="Z4143" s="37"/>
      <c r="AA4143" s="37"/>
      <c r="AD4143" s="37"/>
      <c r="AE4143" s="37"/>
      <c r="AF4143" s="37"/>
    </row>
    <row r="4144" spans="1:32" x14ac:dyDescent="0.25">
      <c r="A4144" s="37"/>
      <c r="B4144" s="37"/>
      <c r="C4144" s="37"/>
      <c r="F4144" s="38"/>
      <c r="G4144" s="38"/>
      <c r="H4144" s="38"/>
      <c r="I4144" s="37"/>
      <c r="J4144" s="38"/>
      <c r="K4144" s="38"/>
      <c r="L4144" s="42"/>
      <c r="M4144" s="42"/>
      <c r="N4144" s="42"/>
      <c r="O4144" s="42"/>
      <c r="R4144" s="37"/>
      <c r="S4144" s="37"/>
      <c r="T4144" s="91"/>
      <c r="U4144" s="91"/>
      <c r="V4144" s="41"/>
      <c r="W4144" s="37"/>
      <c r="X4144" s="37"/>
      <c r="Y4144" s="43"/>
      <c r="Z4144" s="37"/>
      <c r="AA4144" s="37"/>
      <c r="AD4144" s="37"/>
      <c r="AE4144" s="37"/>
      <c r="AF4144" s="37"/>
    </row>
    <row r="4145" spans="1:32" x14ac:dyDescent="0.25">
      <c r="A4145" s="37"/>
      <c r="B4145" s="37"/>
      <c r="C4145" s="37"/>
      <c r="F4145" s="38"/>
      <c r="G4145" s="38"/>
      <c r="H4145" s="38"/>
      <c r="I4145" s="37"/>
      <c r="J4145" s="38"/>
      <c r="K4145" s="38"/>
      <c r="L4145" s="42"/>
      <c r="M4145" s="42"/>
      <c r="N4145" s="42"/>
      <c r="O4145" s="42"/>
      <c r="R4145" s="37"/>
      <c r="S4145" s="37"/>
      <c r="T4145" s="91"/>
      <c r="U4145" s="91"/>
      <c r="V4145" s="41"/>
      <c r="W4145" s="37"/>
      <c r="X4145" s="37"/>
      <c r="Y4145" s="43"/>
      <c r="Z4145" s="37"/>
      <c r="AA4145" s="37"/>
      <c r="AD4145" s="37"/>
      <c r="AE4145" s="37"/>
      <c r="AF4145" s="37"/>
    </row>
    <row r="4146" spans="1:32" x14ac:dyDescent="0.25">
      <c r="A4146" s="37"/>
      <c r="B4146" s="37"/>
      <c r="C4146" s="37"/>
      <c r="F4146" s="38"/>
      <c r="G4146" s="38"/>
      <c r="H4146" s="38"/>
      <c r="I4146" s="37"/>
      <c r="J4146" s="38"/>
      <c r="K4146" s="38"/>
      <c r="L4146" s="42"/>
      <c r="M4146" s="42"/>
      <c r="N4146" s="42"/>
      <c r="O4146" s="42"/>
      <c r="R4146" s="37"/>
      <c r="S4146" s="37"/>
      <c r="T4146" s="91"/>
      <c r="U4146" s="91"/>
      <c r="V4146" s="41"/>
      <c r="W4146" s="37"/>
      <c r="X4146" s="37"/>
      <c r="Y4146" s="43"/>
      <c r="Z4146" s="37"/>
      <c r="AA4146" s="37"/>
      <c r="AD4146" s="37"/>
      <c r="AE4146" s="37"/>
      <c r="AF4146" s="37"/>
    </row>
    <row r="4147" spans="1:32" x14ac:dyDescent="0.25">
      <c r="A4147" s="37"/>
      <c r="B4147" s="37"/>
      <c r="C4147" s="37"/>
      <c r="F4147" s="38"/>
      <c r="G4147" s="38"/>
      <c r="H4147" s="38"/>
      <c r="I4147" s="37"/>
      <c r="J4147" s="38"/>
      <c r="K4147" s="38"/>
      <c r="L4147" s="42"/>
      <c r="M4147" s="42"/>
      <c r="N4147" s="42"/>
      <c r="O4147" s="42"/>
      <c r="R4147" s="37"/>
      <c r="S4147" s="37"/>
      <c r="T4147" s="91"/>
      <c r="U4147" s="91"/>
      <c r="V4147" s="41"/>
      <c r="W4147" s="37"/>
      <c r="X4147" s="37"/>
      <c r="Y4147" s="43"/>
      <c r="Z4147" s="37"/>
      <c r="AA4147" s="37"/>
      <c r="AD4147" s="37"/>
      <c r="AE4147" s="37"/>
      <c r="AF4147" s="37"/>
    </row>
    <row r="4148" spans="1:32" x14ac:dyDescent="0.25">
      <c r="A4148" s="37"/>
      <c r="B4148" s="37"/>
      <c r="C4148" s="37"/>
      <c r="F4148" s="38"/>
      <c r="G4148" s="38"/>
      <c r="H4148" s="38"/>
      <c r="I4148" s="37"/>
      <c r="J4148" s="38"/>
      <c r="K4148" s="38"/>
      <c r="L4148" s="42"/>
      <c r="M4148" s="42"/>
      <c r="N4148" s="42"/>
      <c r="O4148" s="42"/>
      <c r="R4148" s="37"/>
      <c r="S4148" s="37"/>
      <c r="T4148" s="91"/>
      <c r="U4148" s="91"/>
      <c r="V4148" s="41"/>
      <c r="W4148" s="37"/>
      <c r="X4148" s="37"/>
      <c r="Y4148" s="43"/>
      <c r="Z4148" s="37"/>
      <c r="AA4148" s="37"/>
      <c r="AD4148" s="37"/>
      <c r="AE4148" s="37"/>
      <c r="AF4148" s="37"/>
    </row>
    <row r="4149" spans="1:32" x14ac:dyDescent="0.25">
      <c r="A4149" s="37"/>
      <c r="B4149" s="37"/>
      <c r="C4149" s="37"/>
      <c r="F4149" s="38"/>
      <c r="G4149" s="38"/>
      <c r="H4149" s="38"/>
      <c r="I4149" s="37"/>
      <c r="J4149" s="38"/>
      <c r="K4149" s="38"/>
      <c r="L4149" s="42"/>
      <c r="M4149" s="42"/>
      <c r="N4149" s="42"/>
      <c r="O4149" s="42"/>
      <c r="R4149" s="37"/>
      <c r="S4149" s="37"/>
      <c r="T4149" s="91"/>
      <c r="U4149" s="91"/>
      <c r="V4149" s="41"/>
      <c r="W4149" s="37"/>
      <c r="X4149" s="37"/>
      <c r="Y4149" s="43"/>
      <c r="Z4149" s="37"/>
      <c r="AA4149" s="37"/>
      <c r="AD4149" s="37"/>
      <c r="AE4149" s="37"/>
      <c r="AF4149" s="37"/>
    </row>
    <row r="4150" spans="1:32" x14ac:dyDescent="0.25">
      <c r="A4150" s="37"/>
      <c r="B4150" s="37"/>
      <c r="C4150" s="37"/>
      <c r="F4150" s="38"/>
      <c r="G4150" s="38"/>
      <c r="H4150" s="38"/>
      <c r="I4150" s="37"/>
      <c r="J4150" s="38"/>
      <c r="K4150" s="38"/>
      <c r="L4150" s="42"/>
      <c r="M4150" s="42"/>
      <c r="N4150" s="42"/>
      <c r="O4150" s="42"/>
      <c r="R4150" s="37"/>
      <c r="S4150" s="37"/>
      <c r="T4150" s="91"/>
      <c r="U4150" s="91"/>
      <c r="V4150" s="41"/>
      <c r="W4150" s="37"/>
      <c r="X4150" s="37"/>
      <c r="Y4150" s="43"/>
      <c r="Z4150" s="37"/>
      <c r="AA4150" s="37"/>
      <c r="AD4150" s="37"/>
      <c r="AE4150" s="37"/>
      <c r="AF4150" s="37"/>
    </row>
    <row r="4151" spans="1:32" x14ac:dyDescent="0.25">
      <c r="A4151" s="37"/>
      <c r="B4151" s="37"/>
      <c r="C4151" s="37"/>
      <c r="F4151" s="38"/>
      <c r="G4151" s="38"/>
      <c r="H4151" s="38"/>
      <c r="I4151" s="37"/>
      <c r="J4151" s="38"/>
      <c r="K4151" s="38"/>
      <c r="L4151" s="42"/>
      <c r="M4151" s="42"/>
      <c r="N4151" s="42"/>
      <c r="O4151" s="42"/>
      <c r="R4151" s="37"/>
      <c r="S4151" s="37"/>
      <c r="T4151" s="91"/>
      <c r="U4151" s="91"/>
      <c r="V4151" s="41"/>
      <c r="W4151" s="37"/>
      <c r="X4151" s="37"/>
      <c r="Y4151" s="43"/>
      <c r="Z4151" s="37"/>
      <c r="AA4151" s="37"/>
      <c r="AD4151" s="37"/>
      <c r="AE4151" s="37"/>
      <c r="AF4151" s="37"/>
    </row>
    <row r="4152" spans="1:32" x14ac:dyDescent="0.25">
      <c r="A4152" s="37"/>
      <c r="B4152" s="37"/>
      <c r="C4152" s="37"/>
      <c r="F4152" s="38"/>
      <c r="G4152" s="38"/>
      <c r="H4152" s="38"/>
      <c r="I4152" s="37"/>
      <c r="J4152" s="38"/>
      <c r="K4152" s="38"/>
      <c r="L4152" s="42"/>
      <c r="M4152" s="42"/>
      <c r="N4152" s="42"/>
      <c r="O4152" s="42"/>
      <c r="R4152" s="37"/>
      <c r="S4152" s="37"/>
      <c r="T4152" s="91"/>
      <c r="U4152" s="91"/>
      <c r="V4152" s="41"/>
      <c r="W4152" s="37"/>
      <c r="X4152" s="37"/>
      <c r="Y4152" s="43"/>
      <c r="Z4152" s="37"/>
      <c r="AA4152" s="37"/>
      <c r="AD4152" s="37"/>
      <c r="AE4152" s="37"/>
      <c r="AF4152" s="37"/>
    </row>
    <row r="4153" spans="1:32" x14ac:dyDescent="0.25">
      <c r="A4153" s="37"/>
      <c r="B4153" s="37"/>
      <c r="C4153" s="37"/>
      <c r="F4153" s="38"/>
      <c r="G4153" s="38"/>
      <c r="H4153" s="38"/>
      <c r="I4153" s="37"/>
      <c r="J4153" s="38"/>
      <c r="K4153" s="38"/>
      <c r="L4153" s="42"/>
      <c r="M4153" s="42"/>
      <c r="N4153" s="42"/>
      <c r="O4153" s="42"/>
      <c r="R4153" s="37"/>
      <c r="S4153" s="37"/>
      <c r="T4153" s="91"/>
      <c r="U4153" s="91"/>
      <c r="V4153" s="41"/>
      <c r="W4153" s="37"/>
      <c r="X4153" s="37"/>
      <c r="Y4153" s="43"/>
      <c r="Z4153" s="37"/>
      <c r="AA4153" s="37"/>
      <c r="AD4153" s="37"/>
      <c r="AE4153" s="37"/>
      <c r="AF4153" s="37"/>
    </row>
    <row r="4154" spans="1:32" x14ac:dyDescent="0.25">
      <c r="A4154" s="37"/>
      <c r="B4154" s="37"/>
      <c r="C4154" s="37"/>
      <c r="F4154" s="38"/>
      <c r="G4154" s="38"/>
      <c r="H4154" s="38"/>
      <c r="I4154" s="37"/>
      <c r="J4154" s="38"/>
      <c r="K4154" s="38"/>
      <c r="L4154" s="42"/>
      <c r="M4154" s="42"/>
      <c r="N4154" s="42"/>
      <c r="O4154" s="42"/>
      <c r="R4154" s="37"/>
      <c r="S4154" s="37"/>
      <c r="T4154" s="91"/>
      <c r="U4154" s="91"/>
      <c r="V4154" s="41"/>
      <c r="W4154" s="37"/>
      <c r="X4154" s="37"/>
      <c r="Y4154" s="43"/>
      <c r="Z4154" s="37"/>
      <c r="AA4154" s="37"/>
      <c r="AD4154" s="37"/>
      <c r="AE4154" s="37"/>
      <c r="AF4154" s="37"/>
    </row>
    <row r="4155" spans="1:32" x14ac:dyDescent="0.25">
      <c r="A4155" s="37"/>
      <c r="B4155" s="37"/>
      <c r="C4155" s="37"/>
      <c r="F4155" s="38"/>
      <c r="G4155" s="38"/>
      <c r="H4155" s="38"/>
      <c r="I4155" s="37"/>
      <c r="J4155" s="38"/>
      <c r="K4155" s="38"/>
      <c r="L4155" s="42"/>
      <c r="M4155" s="42"/>
      <c r="N4155" s="42"/>
      <c r="O4155" s="42"/>
      <c r="R4155" s="37"/>
      <c r="S4155" s="37"/>
      <c r="T4155" s="91"/>
      <c r="U4155" s="91"/>
      <c r="V4155" s="41"/>
      <c r="W4155" s="37"/>
      <c r="X4155" s="37"/>
      <c r="Y4155" s="43"/>
      <c r="Z4155" s="37"/>
      <c r="AA4155" s="37"/>
      <c r="AD4155" s="37"/>
      <c r="AE4155" s="37"/>
      <c r="AF4155" s="37"/>
    </row>
    <row r="4156" spans="1:32" x14ac:dyDescent="0.25">
      <c r="A4156" s="37"/>
      <c r="B4156" s="37"/>
      <c r="C4156" s="37"/>
      <c r="F4156" s="38"/>
      <c r="G4156" s="38"/>
      <c r="H4156" s="38"/>
      <c r="I4156" s="37"/>
      <c r="J4156" s="38"/>
      <c r="K4156" s="38"/>
      <c r="L4156" s="42"/>
      <c r="M4156" s="42"/>
      <c r="N4156" s="42"/>
      <c r="O4156" s="42"/>
      <c r="R4156" s="37"/>
      <c r="S4156" s="37"/>
      <c r="T4156" s="91"/>
      <c r="U4156" s="91"/>
      <c r="V4156" s="41"/>
      <c r="W4156" s="37"/>
      <c r="X4156" s="37"/>
      <c r="Y4156" s="43"/>
      <c r="Z4156" s="37"/>
      <c r="AA4156" s="37"/>
      <c r="AD4156" s="37"/>
      <c r="AE4156" s="37"/>
      <c r="AF4156" s="37"/>
    </row>
    <row r="4157" spans="1:32" x14ac:dyDescent="0.25">
      <c r="A4157" s="37"/>
      <c r="B4157" s="37"/>
      <c r="C4157" s="37"/>
      <c r="F4157" s="38"/>
      <c r="G4157" s="38"/>
      <c r="H4157" s="38"/>
      <c r="I4157" s="37"/>
      <c r="J4157" s="38"/>
      <c r="K4157" s="38"/>
      <c r="L4157" s="42"/>
      <c r="M4157" s="42"/>
      <c r="N4157" s="42"/>
      <c r="O4157" s="42"/>
      <c r="R4157" s="37"/>
      <c r="S4157" s="37"/>
      <c r="T4157" s="91"/>
      <c r="U4157" s="91"/>
      <c r="V4157" s="41"/>
      <c r="W4157" s="37"/>
      <c r="X4157" s="37"/>
      <c r="Y4157" s="43"/>
      <c r="Z4157" s="37"/>
      <c r="AA4157" s="37"/>
      <c r="AD4157" s="37"/>
      <c r="AE4157" s="37"/>
      <c r="AF4157" s="37"/>
    </row>
    <row r="4158" spans="1:32" x14ac:dyDescent="0.25">
      <c r="A4158" s="37"/>
      <c r="B4158" s="37"/>
      <c r="C4158" s="37"/>
      <c r="F4158" s="38"/>
      <c r="G4158" s="38"/>
      <c r="H4158" s="38"/>
      <c r="I4158" s="37"/>
      <c r="J4158" s="38"/>
      <c r="K4158" s="38"/>
      <c r="L4158" s="42"/>
      <c r="M4158" s="42"/>
      <c r="N4158" s="42"/>
      <c r="O4158" s="42"/>
      <c r="R4158" s="37"/>
      <c r="S4158" s="37"/>
      <c r="T4158" s="91"/>
      <c r="U4158" s="91"/>
      <c r="V4158" s="41"/>
      <c r="W4158" s="37"/>
      <c r="X4158" s="37"/>
      <c r="Y4158" s="43"/>
      <c r="Z4158" s="37"/>
      <c r="AA4158" s="37"/>
      <c r="AD4158" s="37"/>
      <c r="AE4158" s="37"/>
      <c r="AF4158" s="37"/>
    </row>
    <row r="4159" spans="1:32" x14ac:dyDescent="0.25">
      <c r="A4159" s="37"/>
      <c r="B4159" s="37"/>
      <c r="C4159" s="37"/>
      <c r="F4159" s="38"/>
      <c r="G4159" s="38"/>
      <c r="H4159" s="38"/>
      <c r="I4159" s="37"/>
      <c r="J4159" s="38"/>
      <c r="K4159" s="38"/>
      <c r="L4159" s="42"/>
      <c r="M4159" s="42"/>
      <c r="N4159" s="42"/>
      <c r="O4159" s="42"/>
      <c r="R4159" s="37"/>
      <c r="S4159" s="37"/>
      <c r="T4159" s="91"/>
      <c r="U4159" s="91"/>
      <c r="V4159" s="41"/>
      <c r="W4159" s="37"/>
      <c r="X4159" s="37"/>
      <c r="Y4159" s="43"/>
      <c r="Z4159" s="37"/>
      <c r="AA4159" s="37"/>
      <c r="AD4159" s="37"/>
      <c r="AE4159" s="37"/>
      <c r="AF4159" s="37"/>
    </row>
    <row r="4160" spans="1:32" x14ac:dyDescent="0.25">
      <c r="A4160" s="37"/>
      <c r="B4160" s="37"/>
      <c r="C4160" s="37"/>
      <c r="F4160" s="38"/>
      <c r="G4160" s="38"/>
      <c r="H4160" s="38"/>
      <c r="I4160" s="37"/>
      <c r="J4160" s="38"/>
      <c r="K4160" s="38"/>
      <c r="L4160" s="42"/>
      <c r="M4160" s="42"/>
      <c r="N4160" s="42"/>
      <c r="O4160" s="42"/>
      <c r="R4160" s="37"/>
      <c r="S4160" s="37"/>
      <c r="T4160" s="91"/>
      <c r="U4160" s="91"/>
      <c r="V4160" s="41"/>
      <c r="W4160" s="37"/>
      <c r="X4160" s="37"/>
      <c r="Y4160" s="43"/>
      <c r="Z4160" s="37"/>
      <c r="AA4160" s="37"/>
      <c r="AD4160" s="37"/>
      <c r="AE4160" s="37"/>
      <c r="AF4160" s="37"/>
    </row>
    <row r="4161" spans="1:32" x14ac:dyDescent="0.25">
      <c r="A4161" s="37"/>
      <c r="B4161" s="37"/>
      <c r="C4161" s="37"/>
      <c r="F4161" s="38"/>
      <c r="G4161" s="38"/>
      <c r="H4161" s="38"/>
      <c r="I4161" s="37"/>
      <c r="J4161" s="38"/>
      <c r="K4161" s="38"/>
      <c r="L4161" s="42"/>
      <c r="M4161" s="42"/>
      <c r="N4161" s="42"/>
      <c r="O4161" s="42"/>
      <c r="R4161" s="37"/>
      <c r="S4161" s="37"/>
      <c r="T4161" s="91"/>
      <c r="U4161" s="91"/>
      <c r="V4161" s="41"/>
      <c r="W4161" s="37"/>
      <c r="X4161" s="37"/>
      <c r="Y4161" s="43"/>
      <c r="Z4161" s="37"/>
      <c r="AA4161" s="37"/>
      <c r="AD4161" s="37"/>
      <c r="AE4161" s="37"/>
      <c r="AF4161" s="37"/>
    </row>
    <row r="4162" spans="1:32" x14ac:dyDescent="0.25">
      <c r="A4162" s="37"/>
      <c r="B4162" s="37"/>
      <c r="C4162" s="37"/>
      <c r="F4162" s="38"/>
      <c r="G4162" s="38"/>
      <c r="H4162" s="38"/>
      <c r="I4162" s="37"/>
      <c r="J4162" s="38"/>
      <c r="K4162" s="38"/>
      <c r="L4162" s="42"/>
      <c r="M4162" s="42"/>
      <c r="N4162" s="42"/>
      <c r="O4162" s="42"/>
      <c r="R4162" s="37"/>
      <c r="S4162" s="37"/>
      <c r="T4162" s="91"/>
      <c r="U4162" s="91"/>
      <c r="V4162" s="41"/>
      <c r="W4162" s="37"/>
      <c r="X4162" s="37"/>
      <c r="Y4162" s="43"/>
      <c r="Z4162" s="37"/>
      <c r="AA4162" s="37"/>
      <c r="AD4162" s="37"/>
      <c r="AE4162" s="37"/>
      <c r="AF4162" s="37"/>
    </row>
    <row r="4163" spans="1:32" x14ac:dyDescent="0.25">
      <c r="A4163" s="37"/>
      <c r="B4163" s="37"/>
      <c r="C4163" s="37"/>
      <c r="F4163" s="38"/>
      <c r="G4163" s="38"/>
      <c r="H4163" s="38"/>
      <c r="I4163" s="37"/>
      <c r="J4163" s="38"/>
      <c r="K4163" s="38"/>
      <c r="L4163" s="42"/>
      <c r="M4163" s="42"/>
      <c r="N4163" s="42"/>
      <c r="O4163" s="42"/>
      <c r="R4163" s="37"/>
      <c r="S4163" s="37"/>
      <c r="T4163" s="91"/>
      <c r="U4163" s="91"/>
      <c r="V4163" s="41"/>
      <c r="W4163" s="37"/>
      <c r="X4163" s="37"/>
      <c r="Y4163" s="43"/>
      <c r="Z4163" s="37"/>
      <c r="AA4163" s="37"/>
      <c r="AD4163" s="37"/>
      <c r="AE4163" s="37"/>
      <c r="AF4163" s="37"/>
    </row>
    <row r="4164" spans="1:32" x14ac:dyDescent="0.25">
      <c r="A4164" s="37"/>
      <c r="B4164" s="37"/>
      <c r="C4164" s="37"/>
      <c r="F4164" s="38"/>
      <c r="G4164" s="38"/>
      <c r="H4164" s="38"/>
      <c r="I4164" s="37"/>
      <c r="J4164" s="38"/>
      <c r="K4164" s="38"/>
      <c r="L4164" s="42"/>
      <c r="M4164" s="42"/>
      <c r="N4164" s="42"/>
      <c r="O4164" s="42"/>
      <c r="R4164" s="37"/>
      <c r="S4164" s="37"/>
      <c r="T4164" s="91"/>
      <c r="U4164" s="91"/>
      <c r="V4164" s="41"/>
      <c r="W4164" s="37"/>
      <c r="X4164" s="37"/>
      <c r="Y4164" s="43"/>
      <c r="Z4164" s="37"/>
      <c r="AA4164" s="37"/>
      <c r="AD4164" s="37"/>
      <c r="AE4164" s="37"/>
      <c r="AF4164" s="37"/>
    </row>
    <row r="4165" spans="1:32" x14ac:dyDescent="0.25">
      <c r="A4165" s="37"/>
      <c r="B4165" s="37"/>
      <c r="C4165" s="37"/>
      <c r="F4165" s="38"/>
      <c r="G4165" s="38"/>
      <c r="H4165" s="38"/>
      <c r="I4165" s="37"/>
      <c r="J4165" s="38"/>
      <c r="K4165" s="38"/>
      <c r="L4165" s="42"/>
      <c r="M4165" s="42"/>
      <c r="N4165" s="42"/>
      <c r="O4165" s="42"/>
      <c r="R4165" s="37"/>
      <c r="S4165" s="37"/>
      <c r="T4165" s="91"/>
      <c r="U4165" s="91"/>
      <c r="V4165" s="41"/>
      <c r="W4165" s="37"/>
      <c r="X4165" s="37"/>
      <c r="Y4165" s="43"/>
      <c r="Z4165" s="37"/>
      <c r="AA4165" s="37"/>
      <c r="AD4165" s="37"/>
      <c r="AE4165" s="37"/>
      <c r="AF4165" s="37"/>
    </row>
    <row r="4166" spans="1:32" x14ac:dyDescent="0.25">
      <c r="A4166" s="37"/>
      <c r="B4166" s="37"/>
      <c r="C4166" s="37"/>
      <c r="F4166" s="38"/>
      <c r="G4166" s="38"/>
      <c r="H4166" s="38"/>
      <c r="I4166" s="37"/>
      <c r="J4166" s="38"/>
      <c r="K4166" s="38"/>
      <c r="L4166" s="42"/>
      <c r="M4166" s="42"/>
      <c r="N4166" s="42"/>
      <c r="O4166" s="42"/>
      <c r="R4166" s="37"/>
      <c r="S4166" s="37"/>
      <c r="T4166" s="91"/>
      <c r="U4166" s="91"/>
      <c r="V4166" s="41"/>
      <c r="W4166" s="37"/>
      <c r="X4166" s="37"/>
      <c r="Y4166" s="43"/>
      <c r="Z4166" s="37"/>
      <c r="AA4166" s="37"/>
      <c r="AD4166" s="37"/>
      <c r="AE4166" s="37"/>
      <c r="AF4166" s="37"/>
    </row>
    <row r="4167" spans="1:32" x14ac:dyDescent="0.25">
      <c r="A4167" s="37"/>
      <c r="B4167" s="37"/>
      <c r="C4167" s="37"/>
      <c r="F4167" s="38"/>
      <c r="G4167" s="38"/>
      <c r="H4167" s="38"/>
      <c r="I4167" s="37"/>
      <c r="J4167" s="38"/>
      <c r="K4167" s="38"/>
      <c r="L4167" s="42"/>
      <c r="M4167" s="42"/>
      <c r="N4167" s="42"/>
      <c r="O4167" s="42"/>
      <c r="R4167" s="37"/>
      <c r="S4167" s="37"/>
      <c r="T4167" s="91"/>
      <c r="U4167" s="91"/>
      <c r="V4167" s="41"/>
      <c r="W4167" s="37"/>
      <c r="X4167" s="37"/>
      <c r="Y4167" s="43"/>
      <c r="Z4167" s="37"/>
      <c r="AA4167" s="37"/>
      <c r="AD4167" s="37"/>
      <c r="AE4167" s="37"/>
      <c r="AF4167" s="37"/>
    </row>
    <row r="4168" spans="1:32" x14ac:dyDescent="0.25">
      <c r="A4168" s="37"/>
      <c r="B4168" s="37"/>
      <c r="C4168" s="37"/>
      <c r="F4168" s="38"/>
      <c r="G4168" s="38"/>
      <c r="H4168" s="38"/>
      <c r="I4168" s="37"/>
      <c r="J4168" s="38"/>
      <c r="K4168" s="38"/>
      <c r="L4168" s="42"/>
      <c r="M4168" s="42"/>
      <c r="N4168" s="42"/>
      <c r="O4168" s="42"/>
      <c r="R4168" s="37"/>
      <c r="S4168" s="37"/>
      <c r="T4168" s="91"/>
      <c r="U4168" s="91"/>
      <c r="V4168" s="41"/>
      <c r="W4168" s="37"/>
      <c r="X4168" s="37"/>
      <c r="Y4168" s="43"/>
      <c r="Z4168" s="37"/>
      <c r="AA4168" s="37"/>
      <c r="AD4168" s="37"/>
      <c r="AE4168" s="37"/>
      <c r="AF4168" s="37"/>
    </row>
    <row r="4169" spans="1:32" x14ac:dyDescent="0.25">
      <c r="A4169" s="37"/>
      <c r="B4169" s="37"/>
      <c r="C4169" s="37"/>
      <c r="F4169" s="38"/>
      <c r="G4169" s="38"/>
      <c r="H4169" s="38"/>
      <c r="I4169" s="37"/>
      <c r="J4169" s="38"/>
      <c r="K4169" s="38"/>
      <c r="L4169" s="42"/>
      <c r="M4169" s="42"/>
      <c r="N4169" s="42"/>
      <c r="O4169" s="42"/>
      <c r="R4169" s="37"/>
      <c r="S4169" s="37"/>
      <c r="T4169" s="91"/>
      <c r="U4169" s="91"/>
      <c r="V4169" s="41"/>
      <c r="W4169" s="37"/>
      <c r="X4169" s="37"/>
      <c r="Y4169" s="43"/>
      <c r="Z4169" s="37"/>
      <c r="AA4169" s="37"/>
      <c r="AD4169" s="37"/>
      <c r="AE4169" s="37"/>
      <c r="AF4169" s="37"/>
    </row>
    <row r="4170" spans="1:32" x14ac:dyDescent="0.25">
      <c r="A4170" s="37"/>
      <c r="B4170" s="37"/>
      <c r="C4170" s="37"/>
      <c r="F4170" s="38"/>
      <c r="G4170" s="38"/>
      <c r="H4170" s="38"/>
      <c r="I4170" s="37"/>
      <c r="J4170" s="38"/>
      <c r="K4170" s="38"/>
      <c r="L4170" s="42"/>
      <c r="M4170" s="42"/>
      <c r="N4170" s="42"/>
      <c r="O4170" s="42"/>
      <c r="R4170" s="37"/>
      <c r="S4170" s="37"/>
      <c r="T4170" s="91"/>
      <c r="U4170" s="91"/>
      <c r="V4170" s="41"/>
      <c r="W4170" s="37"/>
      <c r="X4170" s="37"/>
      <c r="Y4170" s="43"/>
      <c r="Z4170" s="37"/>
      <c r="AA4170" s="37"/>
      <c r="AD4170" s="37"/>
      <c r="AE4170" s="37"/>
      <c r="AF4170" s="37"/>
    </row>
    <row r="4171" spans="1:32" x14ac:dyDescent="0.25">
      <c r="A4171" s="37"/>
      <c r="B4171" s="37"/>
      <c r="C4171" s="37"/>
      <c r="F4171" s="38"/>
      <c r="G4171" s="38"/>
      <c r="H4171" s="38"/>
      <c r="I4171" s="37"/>
      <c r="J4171" s="38"/>
      <c r="K4171" s="38"/>
      <c r="L4171" s="42"/>
      <c r="M4171" s="42"/>
      <c r="N4171" s="42"/>
      <c r="O4171" s="42"/>
      <c r="R4171" s="37"/>
      <c r="S4171" s="37"/>
      <c r="T4171" s="91"/>
      <c r="U4171" s="91"/>
      <c r="V4171" s="41"/>
      <c r="W4171" s="37"/>
      <c r="X4171" s="37"/>
      <c r="Y4171" s="43"/>
      <c r="Z4171" s="37"/>
      <c r="AA4171" s="37"/>
      <c r="AD4171" s="37"/>
      <c r="AE4171" s="37"/>
      <c r="AF4171" s="37"/>
    </row>
    <row r="4172" spans="1:32" x14ac:dyDescent="0.25">
      <c r="A4172" s="37"/>
      <c r="B4172" s="37"/>
      <c r="C4172" s="37"/>
      <c r="F4172" s="38"/>
      <c r="G4172" s="38"/>
      <c r="H4172" s="38"/>
      <c r="I4172" s="37"/>
      <c r="J4172" s="38"/>
      <c r="K4172" s="38"/>
      <c r="L4172" s="42"/>
      <c r="M4172" s="42"/>
      <c r="N4172" s="42"/>
      <c r="O4172" s="42"/>
      <c r="R4172" s="37"/>
      <c r="S4172" s="37"/>
      <c r="T4172" s="91"/>
      <c r="U4172" s="91"/>
      <c r="V4172" s="41"/>
      <c r="W4172" s="37"/>
      <c r="X4172" s="37"/>
      <c r="Y4172" s="43"/>
      <c r="Z4172" s="37"/>
      <c r="AA4172" s="37"/>
      <c r="AD4172" s="37"/>
      <c r="AE4172" s="37"/>
      <c r="AF4172" s="37"/>
    </row>
    <row r="4173" spans="1:32" x14ac:dyDescent="0.25">
      <c r="A4173" s="37"/>
      <c r="B4173" s="37"/>
      <c r="C4173" s="37"/>
      <c r="F4173" s="38"/>
      <c r="G4173" s="38"/>
      <c r="H4173" s="38"/>
      <c r="I4173" s="37"/>
      <c r="J4173" s="38"/>
      <c r="K4173" s="38"/>
      <c r="L4173" s="42"/>
      <c r="M4173" s="42"/>
      <c r="N4173" s="42"/>
      <c r="O4173" s="42"/>
      <c r="R4173" s="37"/>
      <c r="S4173" s="37"/>
      <c r="T4173" s="91"/>
      <c r="U4173" s="91"/>
      <c r="V4173" s="41"/>
      <c r="W4173" s="37"/>
      <c r="X4173" s="37"/>
      <c r="Y4173" s="43"/>
      <c r="Z4173" s="37"/>
      <c r="AA4173" s="37"/>
      <c r="AD4173" s="37"/>
      <c r="AE4173" s="37"/>
      <c r="AF4173" s="37"/>
    </row>
    <row r="4174" spans="1:32" x14ac:dyDescent="0.25">
      <c r="A4174" s="37"/>
      <c r="B4174" s="37"/>
      <c r="C4174" s="37"/>
      <c r="F4174" s="38"/>
      <c r="G4174" s="38"/>
      <c r="H4174" s="38"/>
      <c r="I4174" s="37"/>
      <c r="J4174" s="38"/>
      <c r="K4174" s="38"/>
      <c r="L4174" s="42"/>
      <c r="M4174" s="42"/>
      <c r="N4174" s="42"/>
      <c r="O4174" s="42"/>
      <c r="R4174" s="37"/>
      <c r="S4174" s="37"/>
      <c r="T4174" s="91"/>
      <c r="U4174" s="91"/>
      <c r="V4174" s="41"/>
      <c r="W4174" s="37"/>
      <c r="X4174" s="37"/>
      <c r="Y4174" s="43"/>
      <c r="Z4174" s="37"/>
      <c r="AA4174" s="37"/>
      <c r="AD4174" s="37"/>
      <c r="AE4174" s="37"/>
      <c r="AF4174" s="37"/>
    </row>
    <row r="4175" spans="1:32" x14ac:dyDescent="0.25">
      <c r="A4175" s="37"/>
      <c r="B4175" s="37"/>
      <c r="C4175" s="37"/>
      <c r="F4175" s="38"/>
      <c r="G4175" s="38"/>
      <c r="H4175" s="38"/>
      <c r="I4175" s="37"/>
      <c r="J4175" s="38"/>
      <c r="K4175" s="38"/>
      <c r="L4175" s="42"/>
      <c r="M4175" s="42"/>
      <c r="N4175" s="42"/>
      <c r="O4175" s="42"/>
      <c r="R4175" s="37"/>
      <c r="S4175" s="37"/>
      <c r="T4175" s="91"/>
      <c r="U4175" s="91"/>
      <c r="V4175" s="41"/>
      <c r="W4175" s="37"/>
      <c r="X4175" s="37"/>
      <c r="Y4175" s="43"/>
      <c r="Z4175" s="37"/>
      <c r="AA4175" s="37"/>
      <c r="AD4175" s="37"/>
      <c r="AE4175" s="37"/>
      <c r="AF4175" s="37"/>
    </row>
    <row r="4176" spans="1:32" x14ac:dyDescent="0.25">
      <c r="A4176" s="37"/>
      <c r="B4176" s="37"/>
      <c r="C4176" s="37"/>
      <c r="F4176" s="38"/>
      <c r="G4176" s="38"/>
      <c r="H4176" s="38"/>
      <c r="I4176" s="37"/>
      <c r="J4176" s="38"/>
      <c r="K4176" s="38"/>
      <c r="L4176" s="42"/>
      <c r="M4176" s="42"/>
      <c r="N4176" s="42"/>
      <c r="O4176" s="42"/>
      <c r="R4176" s="37"/>
      <c r="S4176" s="37"/>
      <c r="T4176" s="91"/>
      <c r="U4176" s="91"/>
      <c r="V4176" s="41"/>
      <c r="W4176" s="37"/>
      <c r="X4176" s="37"/>
      <c r="Y4176" s="43"/>
      <c r="Z4176" s="37"/>
      <c r="AA4176" s="37"/>
      <c r="AD4176" s="37"/>
      <c r="AE4176" s="37"/>
      <c r="AF4176" s="37"/>
    </row>
    <row r="4177" spans="1:32" x14ac:dyDescent="0.25">
      <c r="A4177" s="37"/>
      <c r="B4177" s="37"/>
      <c r="C4177" s="37"/>
      <c r="F4177" s="38"/>
      <c r="G4177" s="38"/>
      <c r="H4177" s="38"/>
      <c r="I4177" s="37"/>
      <c r="J4177" s="38"/>
      <c r="K4177" s="38"/>
      <c r="L4177" s="42"/>
      <c r="M4177" s="42"/>
      <c r="N4177" s="42"/>
      <c r="O4177" s="42"/>
      <c r="R4177" s="37"/>
      <c r="S4177" s="37"/>
      <c r="T4177" s="91"/>
      <c r="U4177" s="91"/>
      <c r="V4177" s="41"/>
      <c r="W4177" s="37"/>
      <c r="X4177" s="37"/>
      <c r="Y4177" s="43"/>
      <c r="Z4177" s="37"/>
      <c r="AA4177" s="37"/>
      <c r="AD4177" s="37"/>
      <c r="AE4177" s="37"/>
      <c r="AF4177" s="37"/>
    </row>
    <row r="4178" spans="1:32" x14ac:dyDescent="0.25">
      <c r="A4178" s="37"/>
      <c r="B4178" s="37"/>
      <c r="C4178" s="37"/>
      <c r="F4178" s="38"/>
      <c r="G4178" s="38"/>
      <c r="H4178" s="38"/>
      <c r="I4178" s="37"/>
      <c r="J4178" s="38"/>
      <c r="K4178" s="38"/>
      <c r="L4178" s="42"/>
      <c r="M4178" s="42"/>
      <c r="N4178" s="42"/>
      <c r="O4178" s="42"/>
      <c r="R4178" s="37"/>
      <c r="S4178" s="37"/>
      <c r="T4178" s="91"/>
      <c r="U4178" s="91"/>
      <c r="V4178" s="41"/>
      <c r="W4178" s="37"/>
      <c r="X4178" s="37"/>
      <c r="Y4178" s="43"/>
      <c r="Z4178" s="37"/>
      <c r="AA4178" s="37"/>
      <c r="AD4178" s="37"/>
      <c r="AE4178" s="37"/>
      <c r="AF4178" s="37"/>
    </row>
    <row r="4179" spans="1:32" x14ac:dyDescent="0.25">
      <c r="A4179" s="37"/>
      <c r="B4179" s="37"/>
      <c r="C4179" s="37"/>
      <c r="F4179" s="38"/>
      <c r="G4179" s="38"/>
      <c r="H4179" s="38"/>
      <c r="I4179" s="37"/>
      <c r="J4179" s="38"/>
      <c r="K4179" s="38"/>
      <c r="L4179" s="42"/>
      <c r="M4179" s="42"/>
      <c r="N4179" s="42"/>
      <c r="O4179" s="42"/>
      <c r="R4179" s="37"/>
      <c r="S4179" s="37"/>
      <c r="T4179" s="91"/>
      <c r="U4179" s="91"/>
      <c r="V4179" s="41"/>
      <c r="W4179" s="37"/>
      <c r="X4179" s="37"/>
      <c r="Y4179" s="43"/>
      <c r="Z4179" s="37"/>
      <c r="AA4179" s="37"/>
      <c r="AD4179" s="37"/>
      <c r="AE4179" s="37"/>
      <c r="AF4179" s="37"/>
    </row>
    <row r="4180" spans="1:32" x14ac:dyDescent="0.25">
      <c r="A4180" s="37"/>
      <c r="B4180" s="37"/>
      <c r="C4180" s="37"/>
      <c r="F4180" s="38"/>
      <c r="G4180" s="38"/>
      <c r="H4180" s="38"/>
      <c r="I4180" s="37"/>
      <c r="J4180" s="38"/>
      <c r="K4180" s="38"/>
      <c r="L4180" s="42"/>
      <c r="M4180" s="42"/>
      <c r="N4180" s="42"/>
      <c r="O4180" s="42"/>
      <c r="R4180" s="37"/>
      <c r="S4180" s="37"/>
      <c r="T4180" s="91"/>
      <c r="U4180" s="91"/>
      <c r="V4180" s="41"/>
      <c r="W4180" s="37"/>
      <c r="X4180" s="37"/>
      <c r="Y4180" s="43"/>
      <c r="Z4180" s="37"/>
      <c r="AA4180" s="37"/>
      <c r="AD4180" s="37"/>
      <c r="AE4180" s="37"/>
      <c r="AF4180" s="37"/>
    </row>
    <row r="4181" spans="1:32" x14ac:dyDescent="0.25">
      <c r="A4181" s="37"/>
      <c r="B4181" s="37"/>
      <c r="C4181" s="37"/>
      <c r="F4181" s="38"/>
      <c r="G4181" s="38"/>
      <c r="H4181" s="38"/>
      <c r="I4181" s="37"/>
      <c r="J4181" s="38"/>
      <c r="K4181" s="38"/>
      <c r="L4181" s="42"/>
      <c r="M4181" s="42"/>
      <c r="N4181" s="42"/>
      <c r="O4181" s="42"/>
      <c r="R4181" s="37"/>
      <c r="S4181" s="37"/>
      <c r="T4181" s="91"/>
      <c r="U4181" s="91"/>
      <c r="V4181" s="41"/>
      <c r="W4181" s="37"/>
      <c r="X4181" s="37"/>
      <c r="Y4181" s="43"/>
      <c r="Z4181" s="37"/>
      <c r="AA4181" s="37"/>
      <c r="AD4181" s="37"/>
      <c r="AE4181" s="37"/>
      <c r="AF4181" s="37"/>
    </row>
    <row r="4182" spans="1:32" x14ac:dyDescent="0.25">
      <c r="A4182" s="37"/>
      <c r="B4182" s="37"/>
      <c r="C4182" s="37"/>
      <c r="F4182" s="38"/>
      <c r="G4182" s="38"/>
      <c r="H4182" s="38"/>
      <c r="I4182" s="37"/>
      <c r="J4182" s="38"/>
      <c r="K4182" s="38"/>
      <c r="L4182" s="42"/>
      <c r="M4182" s="42"/>
      <c r="N4182" s="42"/>
      <c r="O4182" s="42"/>
      <c r="R4182" s="37"/>
      <c r="S4182" s="37"/>
      <c r="T4182" s="91"/>
      <c r="U4182" s="91"/>
      <c r="V4182" s="41"/>
      <c r="W4182" s="37"/>
      <c r="X4182" s="37"/>
      <c r="Y4182" s="43"/>
      <c r="Z4182" s="37"/>
      <c r="AA4182" s="37"/>
      <c r="AD4182" s="37"/>
      <c r="AE4182" s="37"/>
      <c r="AF4182" s="37"/>
    </row>
    <row r="4183" spans="1:32" x14ac:dyDescent="0.25">
      <c r="A4183" s="37"/>
      <c r="B4183" s="37"/>
      <c r="C4183" s="37"/>
      <c r="F4183" s="38"/>
      <c r="G4183" s="38"/>
      <c r="H4183" s="38"/>
      <c r="I4183" s="37"/>
      <c r="J4183" s="38"/>
      <c r="K4183" s="38"/>
      <c r="L4183" s="42"/>
      <c r="M4183" s="42"/>
      <c r="N4183" s="42"/>
      <c r="O4183" s="42"/>
      <c r="R4183" s="37"/>
      <c r="S4183" s="37"/>
      <c r="T4183" s="91"/>
      <c r="U4183" s="91"/>
      <c r="V4183" s="41"/>
      <c r="W4183" s="37"/>
      <c r="X4183" s="37"/>
      <c r="Y4183" s="43"/>
      <c r="Z4183" s="37"/>
      <c r="AA4183" s="37"/>
      <c r="AD4183" s="37"/>
      <c r="AE4183" s="37"/>
      <c r="AF4183" s="37"/>
    </row>
    <row r="4184" spans="1:32" x14ac:dyDescent="0.25">
      <c r="A4184" s="37"/>
      <c r="B4184" s="37"/>
      <c r="C4184" s="37"/>
      <c r="F4184" s="38"/>
      <c r="G4184" s="38"/>
      <c r="H4184" s="38"/>
      <c r="I4184" s="37"/>
      <c r="J4184" s="38"/>
      <c r="K4184" s="38"/>
      <c r="L4184" s="42"/>
      <c r="M4184" s="42"/>
      <c r="N4184" s="42"/>
      <c r="O4184" s="42"/>
      <c r="R4184" s="37"/>
      <c r="S4184" s="37"/>
      <c r="T4184" s="91"/>
      <c r="U4184" s="91"/>
      <c r="V4184" s="41"/>
      <c r="W4184" s="37"/>
      <c r="X4184" s="37"/>
      <c r="Y4184" s="43"/>
      <c r="Z4184" s="37"/>
      <c r="AA4184" s="37"/>
      <c r="AD4184" s="37"/>
      <c r="AE4184" s="37"/>
      <c r="AF4184" s="37"/>
    </row>
    <row r="4185" spans="1:32" x14ac:dyDescent="0.25">
      <c r="A4185" s="37"/>
      <c r="B4185" s="37"/>
      <c r="C4185" s="37"/>
      <c r="F4185" s="38"/>
      <c r="G4185" s="38"/>
      <c r="H4185" s="38"/>
      <c r="I4185" s="37"/>
      <c r="J4185" s="38"/>
      <c r="K4185" s="38"/>
      <c r="L4185" s="42"/>
      <c r="M4185" s="42"/>
      <c r="N4185" s="42"/>
      <c r="O4185" s="42"/>
      <c r="R4185" s="37"/>
      <c r="S4185" s="37"/>
      <c r="T4185" s="91"/>
      <c r="U4185" s="91"/>
      <c r="V4185" s="41"/>
      <c r="W4185" s="37"/>
      <c r="X4185" s="37"/>
      <c r="Y4185" s="43"/>
      <c r="Z4185" s="37"/>
      <c r="AA4185" s="37"/>
      <c r="AD4185" s="37"/>
      <c r="AE4185" s="37"/>
      <c r="AF4185" s="37"/>
    </row>
    <row r="4186" spans="1:32" x14ac:dyDescent="0.25">
      <c r="A4186" s="37"/>
      <c r="B4186" s="37"/>
      <c r="C4186" s="37"/>
      <c r="F4186" s="38"/>
      <c r="G4186" s="38"/>
      <c r="H4186" s="38"/>
      <c r="I4186" s="37"/>
      <c r="J4186" s="38"/>
      <c r="K4186" s="38"/>
      <c r="L4186" s="42"/>
      <c r="M4186" s="42"/>
      <c r="N4186" s="42"/>
      <c r="O4186" s="42"/>
      <c r="R4186" s="37"/>
      <c r="S4186" s="37"/>
      <c r="T4186" s="91"/>
      <c r="U4186" s="91"/>
      <c r="V4186" s="41"/>
      <c r="W4186" s="37"/>
      <c r="X4186" s="37"/>
      <c r="Y4186" s="43"/>
      <c r="Z4186" s="37"/>
      <c r="AA4186" s="37"/>
      <c r="AD4186" s="37"/>
      <c r="AE4186" s="37"/>
      <c r="AF4186" s="37"/>
    </row>
    <row r="4187" spans="1:32" x14ac:dyDescent="0.25">
      <c r="A4187" s="37"/>
      <c r="B4187" s="37"/>
      <c r="C4187" s="37"/>
      <c r="F4187" s="38"/>
      <c r="G4187" s="38"/>
      <c r="H4187" s="38"/>
      <c r="I4187" s="37"/>
      <c r="J4187" s="38"/>
      <c r="K4187" s="38"/>
      <c r="L4187" s="42"/>
      <c r="M4187" s="42"/>
      <c r="N4187" s="42"/>
      <c r="O4187" s="42"/>
      <c r="R4187" s="37"/>
      <c r="S4187" s="37"/>
      <c r="T4187" s="91"/>
      <c r="U4187" s="91"/>
      <c r="V4187" s="41"/>
      <c r="W4187" s="37"/>
      <c r="X4187" s="37"/>
      <c r="Y4187" s="43"/>
      <c r="Z4187" s="37"/>
      <c r="AA4187" s="37"/>
      <c r="AD4187" s="37"/>
      <c r="AE4187" s="37"/>
      <c r="AF4187" s="37"/>
    </row>
    <row r="4188" spans="1:32" x14ac:dyDescent="0.25">
      <c r="A4188" s="37"/>
      <c r="B4188" s="37"/>
      <c r="C4188" s="37"/>
      <c r="F4188" s="38"/>
      <c r="G4188" s="38"/>
      <c r="H4188" s="38"/>
      <c r="I4188" s="37"/>
      <c r="J4188" s="38"/>
      <c r="K4188" s="38"/>
      <c r="L4188" s="42"/>
      <c r="M4188" s="42"/>
      <c r="N4188" s="42"/>
      <c r="O4188" s="42"/>
      <c r="R4188" s="37"/>
      <c r="S4188" s="37"/>
      <c r="T4188" s="91"/>
      <c r="U4188" s="91"/>
      <c r="V4188" s="41"/>
      <c r="W4188" s="37"/>
      <c r="X4188" s="37"/>
      <c r="Y4188" s="43"/>
      <c r="Z4188" s="37"/>
      <c r="AA4188" s="37"/>
      <c r="AD4188" s="37"/>
      <c r="AE4188" s="37"/>
      <c r="AF4188" s="37"/>
    </row>
    <row r="4189" spans="1:32" x14ac:dyDescent="0.25">
      <c r="A4189" s="37"/>
      <c r="B4189" s="37"/>
      <c r="C4189" s="37"/>
      <c r="F4189" s="38"/>
      <c r="G4189" s="38"/>
      <c r="H4189" s="38"/>
      <c r="I4189" s="37"/>
      <c r="J4189" s="38"/>
      <c r="K4189" s="38"/>
      <c r="L4189" s="42"/>
      <c r="M4189" s="42"/>
      <c r="N4189" s="42"/>
      <c r="O4189" s="42"/>
      <c r="R4189" s="37"/>
      <c r="S4189" s="37"/>
      <c r="T4189" s="91"/>
      <c r="U4189" s="91"/>
      <c r="V4189" s="41"/>
      <c r="W4189" s="37"/>
      <c r="X4189" s="37"/>
      <c r="Y4189" s="43"/>
      <c r="Z4189" s="37"/>
      <c r="AA4189" s="37"/>
      <c r="AD4189" s="37"/>
      <c r="AE4189" s="37"/>
      <c r="AF4189" s="37"/>
    </row>
    <row r="4190" spans="1:32" x14ac:dyDescent="0.25">
      <c r="A4190" s="37"/>
      <c r="B4190" s="37"/>
      <c r="C4190" s="37"/>
      <c r="F4190" s="38"/>
      <c r="G4190" s="38"/>
      <c r="H4190" s="38"/>
      <c r="I4190" s="37"/>
      <c r="J4190" s="38"/>
      <c r="K4190" s="38"/>
      <c r="L4190" s="42"/>
      <c r="M4190" s="42"/>
      <c r="N4190" s="42"/>
      <c r="O4190" s="42"/>
      <c r="R4190" s="37"/>
      <c r="S4190" s="37"/>
      <c r="T4190" s="91"/>
      <c r="U4190" s="91"/>
      <c r="V4190" s="41"/>
      <c r="W4190" s="37"/>
      <c r="X4190" s="37"/>
      <c r="Y4190" s="43"/>
      <c r="Z4190" s="37"/>
      <c r="AA4190" s="37"/>
      <c r="AD4190" s="37"/>
      <c r="AE4190" s="37"/>
      <c r="AF4190" s="37"/>
    </row>
    <row r="4191" spans="1:32" x14ac:dyDescent="0.25">
      <c r="A4191" s="37"/>
      <c r="B4191" s="37"/>
      <c r="C4191" s="37"/>
      <c r="F4191" s="38"/>
      <c r="G4191" s="38"/>
      <c r="H4191" s="38"/>
      <c r="I4191" s="37"/>
      <c r="J4191" s="38"/>
      <c r="K4191" s="38"/>
      <c r="L4191" s="42"/>
      <c r="M4191" s="42"/>
      <c r="N4191" s="42"/>
      <c r="O4191" s="42"/>
      <c r="R4191" s="37"/>
      <c r="S4191" s="37"/>
      <c r="T4191" s="91"/>
      <c r="U4191" s="91"/>
      <c r="V4191" s="41"/>
      <c r="W4191" s="37"/>
      <c r="X4191" s="37"/>
      <c r="Y4191" s="43"/>
      <c r="Z4191" s="37"/>
      <c r="AA4191" s="37"/>
      <c r="AD4191" s="37"/>
      <c r="AE4191" s="37"/>
      <c r="AF4191" s="37"/>
    </row>
    <row r="4192" spans="1:32" x14ac:dyDescent="0.25">
      <c r="A4192" s="37"/>
      <c r="B4192" s="37"/>
      <c r="C4192" s="37"/>
      <c r="F4192" s="38"/>
      <c r="G4192" s="38"/>
      <c r="H4192" s="38"/>
      <c r="I4192" s="37"/>
      <c r="J4192" s="38"/>
      <c r="K4192" s="38"/>
      <c r="L4192" s="42"/>
      <c r="M4192" s="42"/>
      <c r="N4192" s="42"/>
      <c r="O4192" s="42"/>
      <c r="R4192" s="37"/>
      <c r="S4192" s="37"/>
      <c r="T4192" s="91"/>
      <c r="U4192" s="91"/>
      <c r="V4192" s="41"/>
      <c r="W4192" s="37"/>
      <c r="X4192" s="37"/>
      <c r="Y4192" s="43"/>
      <c r="Z4192" s="37"/>
      <c r="AA4192" s="37"/>
      <c r="AD4192" s="37"/>
      <c r="AE4192" s="37"/>
      <c r="AF4192" s="37"/>
    </row>
    <row r="4193" spans="1:32" x14ac:dyDescent="0.25">
      <c r="A4193" s="37"/>
      <c r="B4193" s="37"/>
      <c r="C4193" s="37"/>
      <c r="F4193" s="38"/>
      <c r="G4193" s="38"/>
      <c r="H4193" s="38"/>
      <c r="I4193" s="37"/>
      <c r="J4193" s="38"/>
      <c r="K4193" s="38"/>
      <c r="L4193" s="42"/>
      <c r="M4193" s="42"/>
      <c r="N4193" s="42"/>
      <c r="O4193" s="42"/>
      <c r="R4193" s="37"/>
      <c r="S4193" s="37"/>
      <c r="T4193" s="91"/>
      <c r="U4193" s="91"/>
      <c r="V4193" s="41"/>
      <c r="W4193" s="37"/>
      <c r="X4193" s="37"/>
      <c r="Y4193" s="43"/>
      <c r="Z4193" s="37"/>
      <c r="AA4193" s="37"/>
      <c r="AD4193" s="37"/>
      <c r="AE4193" s="37"/>
      <c r="AF4193" s="37"/>
    </row>
    <row r="4194" spans="1:32" x14ac:dyDescent="0.25">
      <c r="A4194" s="37"/>
      <c r="B4194" s="37"/>
      <c r="C4194" s="37"/>
      <c r="F4194" s="38"/>
      <c r="G4194" s="38"/>
      <c r="H4194" s="38"/>
      <c r="I4194" s="37"/>
      <c r="J4194" s="38"/>
      <c r="K4194" s="38"/>
      <c r="L4194" s="42"/>
      <c r="M4194" s="42"/>
      <c r="N4194" s="42"/>
      <c r="O4194" s="42"/>
      <c r="R4194" s="37"/>
      <c r="S4194" s="37"/>
      <c r="T4194" s="91"/>
      <c r="U4194" s="91"/>
      <c r="V4194" s="41"/>
      <c r="W4194" s="37"/>
      <c r="X4194" s="37"/>
      <c r="Y4194" s="43"/>
      <c r="Z4194" s="37"/>
      <c r="AA4194" s="37"/>
      <c r="AD4194" s="37"/>
      <c r="AE4194" s="37"/>
      <c r="AF4194" s="37"/>
    </row>
    <row r="4195" spans="1:32" x14ac:dyDescent="0.25">
      <c r="A4195" s="37"/>
      <c r="B4195" s="37"/>
      <c r="C4195" s="37"/>
      <c r="F4195" s="38"/>
      <c r="G4195" s="38"/>
      <c r="H4195" s="38"/>
      <c r="I4195" s="37"/>
      <c r="J4195" s="38"/>
      <c r="K4195" s="38"/>
      <c r="L4195" s="42"/>
      <c r="M4195" s="42"/>
      <c r="N4195" s="42"/>
      <c r="O4195" s="42"/>
      <c r="R4195" s="37"/>
      <c r="S4195" s="37"/>
      <c r="T4195" s="91"/>
      <c r="U4195" s="91"/>
      <c r="V4195" s="41"/>
      <c r="W4195" s="37"/>
      <c r="X4195" s="37"/>
      <c r="Y4195" s="43"/>
      <c r="Z4195" s="37"/>
      <c r="AA4195" s="37"/>
      <c r="AD4195" s="37"/>
      <c r="AE4195" s="37"/>
      <c r="AF4195" s="37"/>
    </row>
    <row r="4196" spans="1:32" x14ac:dyDescent="0.25">
      <c r="A4196" s="37"/>
      <c r="B4196" s="37"/>
      <c r="C4196" s="37"/>
      <c r="F4196" s="38"/>
      <c r="G4196" s="38"/>
      <c r="H4196" s="38"/>
      <c r="I4196" s="37"/>
      <c r="J4196" s="38"/>
      <c r="K4196" s="38"/>
      <c r="L4196" s="42"/>
      <c r="M4196" s="42"/>
      <c r="N4196" s="42"/>
      <c r="O4196" s="42"/>
      <c r="R4196" s="37"/>
      <c r="S4196" s="37"/>
      <c r="T4196" s="91"/>
      <c r="U4196" s="91"/>
      <c r="V4196" s="41"/>
      <c r="W4196" s="37"/>
      <c r="X4196" s="37"/>
      <c r="Y4196" s="43"/>
      <c r="Z4196" s="37"/>
      <c r="AA4196" s="37"/>
      <c r="AD4196" s="37"/>
      <c r="AE4196" s="37"/>
      <c r="AF4196" s="37"/>
    </row>
    <row r="4197" spans="1:32" x14ac:dyDescent="0.25">
      <c r="A4197" s="37"/>
      <c r="B4197" s="37"/>
      <c r="C4197" s="37"/>
      <c r="F4197" s="38"/>
      <c r="G4197" s="38"/>
      <c r="H4197" s="38"/>
      <c r="I4197" s="37"/>
      <c r="J4197" s="38"/>
      <c r="K4197" s="38"/>
      <c r="L4197" s="42"/>
      <c r="M4197" s="42"/>
      <c r="N4197" s="42"/>
      <c r="O4197" s="42"/>
      <c r="R4197" s="37"/>
      <c r="S4197" s="37"/>
      <c r="T4197" s="91"/>
      <c r="U4197" s="91"/>
      <c r="V4197" s="41"/>
      <c r="W4197" s="37"/>
      <c r="X4197" s="37"/>
      <c r="Y4197" s="43"/>
      <c r="Z4197" s="37"/>
      <c r="AA4197" s="37"/>
      <c r="AD4197" s="37"/>
      <c r="AE4197" s="37"/>
      <c r="AF4197" s="37"/>
    </row>
    <row r="4198" spans="1:32" x14ac:dyDescent="0.25">
      <c r="A4198" s="37"/>
      <c r="B4198" s="37"/>
      <c r="C4198" s="37"/>
      <c r="F4198" s="38"/>
      <c r="G4198" s="38"/>
      <c r="H4198" s="38"/>
      <c r="I4198" s="37"/>
      <c r="J4198" s="38"/>
      <c r="K4198" s="38"/>
      <c r="L4198" s="42"/>
      <c r="M4198" s="42"/>
      <c r="N4198" s="42"/>
      <c r="O4198" s="42"/>
      <c r="R4198" s="37"/>
      <c r="S4198" s="37"/>
      <c r="T4198" s="91"/>
      <c r="U4198" s="91"/>
      <c r="V4198" s="41"/>
      <c r="W4198" s="37"/>
      <c r="X4198" s="37"/>
      <c r="Y4198" s="43"/>
      <c r="Z4198" s="37"/>
      <c r="AA4198" s="37"/>
      <c r="AD4198" s="37"/>
      <c r="AE4198" s="37"/>
      <c r="AF4198" s="37"/>
    </row>
    <row r="4199" spans="1:32" x14ac:dyDescent="0.25">
      <c r="A4199" s="37"/>
      <c r="B4199" s="37"/>
      <c r="C4199" s="37"/>
      <c r="F4199" s="38"/>
      <c r="G4199" s="38"/>
      <c r="H4199" s="38"/>
      <c r="I4199" s="37"/>
      <c r="J4199" s="38"/>
      <c r="K4199" s="38"/>
      <c r="L4199" s="42"/>
      <c r="M4199" s="42"/>
      <c r="N4199" s="42"/>
      <c r="O4199" s="42"/>
      <c r="R4199" s="37"/>
      <c r="S4199" s="37"/>
      <c r="T4199" s="91"/>
      <c r="U4199" s="91"/>
      <c r="V4199" s="41"/>
      <c r="W4199" s="37"/>
      <c r="X4199" s="37"/>
      <c r="Y4199" s="43"/>
      <c r="Z4199" s="37"/>
      <c r="AA4199" s="37"/>
      <c r="AD4199" s="37"/>
      <c r="AE4199" s="37"/>
      <c r="AF4199" s="37"/>
    </row>
    <row r="4200" spans="1:32" x14ac:dyDescent="0.25">
      <c r="A4200" s="37"/>
      <c r="B4200" s="37"/>
      <c r="C4200" s="37"/>
      <c r="F4200" s="38"/>
      <c r="G4200" s="38"/>
      <c r="H4200" s="38"/>
      <c r="I4200" s="37"/>
      <c r="J4200" s="38"/>
      <c r="K4200" s="38"/>
      <c r="L4200" s="42"/>
      <c r="M4200" s="42"/>
      <c r="N4200" s="42"/>
      <c r="O4200" s="42"/>
      <c r="R4200" s="37"/>
      <c r="S4200" s="37"/>
      <c r="T4200" s="91"/>
      <c r="U4200" s="91"/>
      <c r="V4200" s="41"/>
      <c r="W4200" s="37"/>
      <c r="X4200" s="37"/>
      <c r="Y4200" s="43"/>
      <c r="Z4200" s="37"/>
      <c r="AA4200" s="37"/>
      <c r="AD4200" s="37"/>
      <c r="AE4200" s="37"/>
      <c r="AF4200" s="37"/>
    </row>
    <row r="4201" spans="1:32" x14ac:dyDescent="0.25">
      <c r="A4201" s="37"/>
      <c r="B4201" s="37"/>
      <c r="C4201" s="37"/>
      <c r="F4201" s="38"/>
      <c r="G4201" s="38"/>
      <c r="H4201" s="38"/>
      <c r="I4201" s="37"/>
      <c r="J4201" s="38"/>
      <c r="K4201" s="38"/>
      <c r="L4201" s="42"/>
      <c r="M4201" s="42"/>
      <c r="N4201" s="42"/>
      <c r="O4201" s="42"/>
      <c r="R4201" s="37"/>
      <c r="S4201" s="37"/>
      <c r="T4201" s="91"/>
      <c r="U4201" s="91"/>
      <c r="V4201" s="41"/>
      <c r="W4201" s="37"/>
      <c r="X4201" s="37"/>
      <c r="Y4201" s="43"/>
      <c r="Z4201" s="37"/>
      <c r="AA4201" s="37"/>
      <c r="AD4201" s="37"/>
      <c r="AE4201" s="37"/>
      <c r="AF4201" s="37"/>
    </row>
    <row r="4202" spans="1:32" x14ac:dyDescent="0.25">
      <c r="A4202" s="37"/>
      <c r="B4202" s="37"/>
      <c r="C4202" s="37"/>
      <c r="F4202" s="38"/>
      <c r="G4202" s="38"/>
      <c r="H4202" s="38"/>
      <c r="I4202" s="37"/>
      <c r="J4202" s="38"/>
      <c r="K4202" s="38"/>
      <c r="L4202" s="42"/>
      <c r="M4202" s="42"/>
      <c r="N4202" s="42"/>
      <c r="O4202" s="42"/>
      <c r="R4202" s="37"/>
      <c r="S4202" s="37"/>
      <c r="T4202" s="91"/>
      <c r="U4202" s="91"/>
      <c r="V4202" s="41"/>
      <c r="W4202" s="37"/>
      <c r="X4202" s="37"/>
      <c r="Y4202" s="43"/>
      <c r="Z4202" s="37"/>
      <c r="AA4202" s="37"/>
      <c r="AD4202" s="37"/>
      <c r="AE4202" s="37"/>
      <c r="AF4202" s="37"/>
    </row>
    <row r="4203" spans="1:32" x14ac:dyDescent="0.25">
      <c r="A4203" s="37"/>
      <c r="B4203" s="37"/>
      <c r="C4203" s="37"/>
      <c r="F4203" s="38"/>
      <c r="G4203" s="38"/>
      <c r="H4203" s="38"/>
      <c r="I4203" s="37"/>
      <c r="J4203" s="38"/>
      <c r="K4203" s="38"/>
      <c r="L4203" s="42"/>
      <c r="M4203" s="42"/>
      <c r="N4203" s="42"/>
      <c r="O4203" s="42"/>
      <c r="R4203" s="37"/>
      <c r="S4203" s="37"/>
      <c r="T4203" s="91"/>
      <c r="U4203" s="91"/>
      <c r="V4203" s="41"/>
      <c r="W4203" s="37"/>
      <c r="X4203" s="37"/>
      <c r="Y4203" s="43"/>
      <c r="Z4203" s="37"/>
      <c r="AA4203" s="37"/>
      <c r="AD4203" s="37"/>
      <c r="AE4203" s="37"/>
      <c r="AF4203" s="37"/>
    </row>
    <row r="4204" spans="1:32" x14ac:dyDescent="0.25">
      <c r="A4204" s="37"/>
      <c r="B4204" s="37"/>
      <c r="C4204" s="37"/>
      <c r="F4204" s="38"/>
      <c r="G4204" s="38"/>
      <c r="H4204" s="38"/>
      <c r="I4204" s="37"/>
      <c r="J4204" s="38"/>
      <c r="K4204" s="38"/>
      <c r="L4204" s="42"/>
      <c r="M4204" s="42"/>
      <c r="N4204" s="42"/>
      <c r="O4204" s="42"/>
      <c r="R4204" s="37"/>
      <c r="S4204" s="37"/>
      <c r="T4204" s="91"/>
      <c r="U4204" s="91"/>
      <c r="V4204" s="41"/>
      <c r="W4204" s="37"/>
      <c r="X4204" s="37"/>
      <c r="Y4204" s="43"/>
      <c r="Z4204" s="37"/>
      <c r="AA4204" s="37"/>
      <c r="AD4204" s="37"/>
      <c r="AE4204" s="37"/>
      <c r="AF4204" s="37"/>
    </row>
    <row r="4205" spans="1:32" x14ac:dyDescent="0.25">
      <c r="A4205" s="37"/>
      <c r="B4205" s="37"/>
      <c r="C4205" s="37"/>
      <c r="F4205" s="38"/>
      <c r="G4205" s="38"/>
      <c r="H4205" s="38"/>
      <c r="I4205" s="37"/>
      <c r="J4205" s="38"/>
      <c r="K4205" s="38"/>
      <c r="L4205" s="42"/>
      <c r="M4205" s="42"/>
      <c r="N4205" s="42"/>
      <c r="O4205" s="42"/>
      <c r="R4205" s="37"/>
      <c r="S4205" s="37"/>
      <c r="T4205" s="91"/>
      <c r="U4205" s="91"/>
      <c r="V4205" s="41"/>
      <c r="W4205" s="37"/>
      <c r="X4205" s="37"/>
      <c r="Y4205" s="43"/>
      <c r="Z4205" s="37"/>
      <c r="AA4205" s="37"/>
      <c r="AD4205" s="37"/>
      <c r="AE4205" s="37"/>
      <c r="AF4205" s="37"/>
    </row>
    <row r="4206" spans="1:32" x14ac:dyDescent="0.25">
      <c r="A4206" s="37"/>
      <c r="B4206" s="37"/>
      <c r="C4206" s="37"/>
      <c r="F4206" s="38"/>
      <c r="G4206" s="38"/>
      <c r="H4206" s="38"/>
      <c r="I4206" s="37"/>
      <c r="J4206" s="38"/>
      <c r="K4206" s="38"/>
      <c r="L4206" s="42"/>
      <c r="M4206" s="42"/>
      <c r="N4206" s="42"/>
      <c r="O4206" s="42"/>
      <c r="R4206" s="37"/>
      <c r="S4206" s="37"/>
      <c r="T4206" s="91"/>
      <c r="U4206" s="91"/>
      <c r="V4206" s="41"/>
      <c r="W4206" s="37"/>
      <c r="X4206" s="37"/>
      <c r="Y4206" s="43"/>
      <c r="Z4206" s="37"/>
      <c r="AA4206" s="37"/>
      <c r="AD4206" s="37"/>
      <c r="AE4206" s="37"/>
      <c r="AF4206" s="37"/>
    </row>
    <row r="4207" spans="1:32" x14ac:dyDescent="0.25">
      <c r="A4207" s="37"/>
      <c r="B4207" s="37"/>
      <c r="C4207" s="37"/>
      <c r="F4207" s="38"/>
      <c r="G4207" s="38"/>
      <c r="H4207" s="38"/>
      <c r="I4207" s="37"/>
      <c r="J4207" s="38"/>
      <c r="K4207" s="38"/>
      <c r="L4207" s="42"/>
      <c r="M4207" s="42"/>
      <c r="N4207" s="42"/>
      <c r="O4207" s="42"/>
      <c r="R4207" s="37"/>
      <c r="S4207" s="37"/>
      <c r="T4207" s="91"/>
      <c r="U4207" s="91"/>
      <c r="V4207" s="41"/>
      <c r="W4207" s="37"/>
      <c r="X4207" s="37"/>
      <c r="Y4207" s="43"/>
      <c r="Z4207" s="37"/>
      <c r="AA4207" s="37"/>
      <c r="AD4207" s="37"/>
      <c r="AE4207" s="37"/>
      <c r="AF4207" s="37"/>
    </row>
    <row r="4208" spans="1:32" x14ac:dyDescent="0.25">
      <c r="A4208" s="37"/>
      <c r="B4208" s="37"/>
      <c r="C4208" s="37"/>
      <c r="F4208" s="38"/>
      <c r="G4208" s="38"/>
      <c r="H4208" s="38"/>
      <c r="I4208" s="37"/>
      <c r="J4208" s="38"/>
      <c r="K4208" s="38"/>
      <c r="L4208" s="42"/>
      <c r="M4208" s="42"/>
      <c r="N4208" s="42"/>
      <c r="O4208" s="42"/>
      <c r="R4208" s="37"/>
      <c r="S4208" s="37"/>
      <c r="T4208" s="91"/>
      <c r="U4208" s="91"/>
      <c r="V4208" s="41"/>
      <c r="W4208" s="37"/>
      <c r="X4208" s="37"/>
      <c r="Y4208" s="43"/>
      <c r="Z4208" s="37"/>
      <c r="AA4208" s="37"/>
      <c r="AD4208" s="37"/>
      <c r="AE4208" s="37"/>
      <c r="AF4208" s="37"/>
    </row>
    <row r="4209" spans="1:32" x14ac:dyDescent="0.25">
      <c r="A4209" s="37"/>
      <c r="B4209" s="37"/>
      <c r="C4209" s="37"/>
      <c r="F4209" s="38"/>
      <c r="G4209" s="38"/>
      <c r="H4209" s="38"/>
      <c r="I4209" s="37"/>
      <c r="J4209" s="38"/>
      <c r="K4209" s="38"/>
      <c r="L4209" s="42"/>
      <c r="M4209" s="42"/>
      <c r="N4209" s="42"/>
      <c r="O4209" s="42"/>
      <c r="R4209" s="37"/>
      <c r="S4209" s="37"/>
      <c r="T4209" s="91"/>
      <c r="U4209" s="91"/>
      <c r="V4209" s="41"/>
      <c r="W4209" s="37"/>
      <c r="X4209" s="37"/>
      <c r="Y4209" s="43"/>
      <c r="Z4209" s="37"/>
      <c r="AA4209" s="37"/>
      <c r="AD4209" s="37"/>
      <c r="AE4209" s="37"/>
      <c r="AF4209" s="37"/>
    </row>
    <row r="4210" spans="1:32" x14ac:dyDescent="0.25">
      <c r="A4210" s="37"/>
      <c r="B4210" s="37"/>
      <c r="C4210" s="37"/>
      <c r="F4210" s="38"/>
      <c r="G4210" s="38"/>
      <c r="H4210" s="38"/>
      <c r="I4210" s="37"/>
      <c r="J4210" s="38"/>
      <c r="K4210" s="38"/>
      <c r="L4210" s="42"/>
      <c r="M4210" s="42"/>
      <c r="N4210" s="42"/>
      <c r="O4210" s="42"/>
      <c r="R4210" s="37"/>
      <c r="S4210" s="37"/>
      <c r="T4210" s="91"/>
      <c r="U4210" s="91"/>
      <c r="V4210" s="41"/>
      <c r="W4210" s="37"/>
      <c r="X4210" s="37"/>
      <c r="Y4210" s="43"/>
      <c r="Z4210" s="37"/>
      <c r="AA4210" s="37"/>
      <c r="AD4210" s="37"/>
      <c r="AE4210" s="37"/>
      <c r="AF4210" s="37"/>
    </row>
    <row r="4211" spans="1:32" x14ac:dyDescent="0.25">
      <c r="A4211" s="37"/>
      <c r="B4211" s="37"/>
      <c r="C4211" s="37"/>
      <c r="F4211" s="38"/>
      <c r="G4211" s="38"/>
      <c r="H4211" s="38"/>
      <c r="I4211" s="37"/>
      <c r="J4211" s="38"/>
      <c r="K4211" s="38"/>
      <c r="L4211" s="42"/>
      <c r="M4211" s="42"/>
      <c r="N4211" s="42"/>
      <c r="O4211" s="42"/>
      <c r="R4211" s="37"/>
      <c r="S4211" s="37"/>
      <c r="T4211" s="91"/>
      <c r="U4211" s="91"/>
      <c r="V4211" s="41"/>
      <c r="W4211" s="37"/>
      <c r="X4211" s="37"/>
      <c r="Y4211" s="43"/>
      <c r="Z4211" s="37"/>
      <c r="AA4211" s="37"/>
      <c r="AD4211" s="37"/>
      <c r="AE4211" s="37"/>
      <c r="AF4211" s="37"/>
    </row>
    <row r="4212" spans="1:32" x14ac:dyDescent="0.25">
      <c r="A4212" s="37"/>
      <c r="B4212" s="37"/>
      <c r="C4212" s="37"/>
      <c r="F4212" s="38"/>
      <c r="G4212" s="38"/>
      <c r="H4212" s="38"/>
      <c r="I4212" s="37"/>
      <c r="J4212" s="38"/>
      <c r="K4212" s="38"/>
      <c r="L4212" s="42"/>
      <c r="M4212" s="42"/>
      <c r="N4212" s="42"/>
      <c r="O4212" s="42"/>
      <c r="R4212" s="37"/>
      <c r="S4212" s="37"/>
      <c r="T4212" s="91"/>
      <c r="U4212" s="91"/>
      <c r="V4212" s="41"/>
      <c r="W4212" s="37"/>
      <c r="X4212" s="37"/>
      <c r="Y4212" s="43"/>
      <c r="Z4212" s="37"/>
      <c r="AA4212" s="37"/>
      <c r="AD4212" s="37"/>
      <c r="AE4212" s="37"/>
      <c r="AF4212" s="37"/>
    </row>
    <row r="4213" spans="1:32" x14ac:dyDescent="0.25">
      <c r="A4213" s="37"/>
      <c r="B4213" s="37"/>
      <c r="C4213" s="37"/>
      <c r="F4213" s="38"/>
      <c r="G4213" s="38"/>
      <c r="H4213" s="38"/>
      <c r="I4213" s="37"/>
      <c r="J4213" s="38"/>
      <c r="K4213" s="38"/>
      <c r="L4213" s="42"/>
      <c r="M4213" s="42"/>
      <c r="N4213" s="42"/>
      <c r="O4213" s="42"/>
      <c r="R4213" s="37"/>
      <c r="S4213" s="37"/>
      <c r="T4213" s="91"/>
      <c r="U4213" s="91"/>
      <c r="V4213" s="41"/>
      <c r="W4213" s="37"/>
      <c r="X4213" s="37"/>
      <c r="Y4213" s="43"/>
      <c r="Z4213" s="37"/>
      <c r="AA4213" s="37"/>
      <c r="AD4213" s="37"/>
      <c r="AE4213" s="37"/>
      <c r="AF4213" s="37"/>
    </row>
    <row r="4214" spans="1:32" x14ac:dyDescent="0.25">
      <c r="A4214" s="37"/>
      <c r="B4214" s="37"/>
      <c r="C4214" s="37"/>
      <c r="F4214" s="38"/>
      <c r="G4214" s="38"/>
      <c r="H4214" s="38"/>
      <c r="I4214" s="37"/>
      <c r="J4214" s="38"/>
      <c r="K4214" s="38"/>
      <c r="L4214" s="42"/>
      <c r="M4214" s="42"/>
      <c r="N4214" s="42"/>
      <c r="O4214" s="42"/>
      <c r="R4214" s="37"/>
      <c r="S4214" s="37"/>
      <c r="T4214" s="91"/>
      <c r="U4214" s="91"/>
      <c r="V4214" s="41"/>
      <c r="W4214" s="37"/>
      <c r="X4214" s="37"/>
      <c r="Y4214" s="43"/>
      <c r="Z4214" s="37"/>
      <c r="AA4214" s="37"/>
      <c r="AD4214" s="37"/>
      <c r="AE4214" s="37"/>
      <c r="AF4214" s="37"/>
    </row>
    <row r="4215" spans="1:32" x14ac:dyDescent="0.25">
      <c r="A4215" s="37"/>
      <c r="B4215" s="37"/>
      <c r="C4215" s="37"/>
      <c r="F4215" s="38"/>
      <c r="G4215" s="38"/>
      <c r="H4215" s="38"/>
      <c r="I4215" s="37"/>
      <c r="J4215" s="38"/>
      <c r="K4215" s="38"/>
      <c r="L4215" s="42"/>
      <c r="M4215" s="42"/>
      <c r="N4215" s="42"/>
      <c r="O4215" s="42"/>
      <c r="R4215" s="37"/>
      <c r="S4215" s="37"/>
      <c r="T4215" s="91"/>
      <c r="U4215" s="91"/>
      <c r="V4215" s="41"/>
      <c r="W4215" s="37"/>
      <c r="X4215" s="37"/>
      <c r="Y4215" s="43"/>
      <c r="Z4215" s="37"/>
      <c r="AA4215" s="37"/>
      <c r="AD4215" s="37"/>
      <c r="AE4215" s="37"/>
      <c r="AF4215" s="37"/>
    </row>
    <row r="4216" spans="1:32" x14ac:dyDescent="0.25">
      <c r="A4216" s="37"/>
      <c r="B4216" s="37"/>
      <c r="C4216" s="37"/>
      <c r="F4216" s="38"/>
      <c r="G4216" s="38"/>
      <c r="H4216" s="38"/>
      <c r="I4216" s="37"/>
      <c r="J4216" s="38"/>
      <c r="K4216" s="38"/>
      <c r="L4216" s="42"/>
      <c r="M4216" s="42"/>
      <c r="N4216" s="42"/>
      <c r="O4216" s="42"/>
      <c r="R4216" s="37"/>
      <c r="S4216" s="37"/>
      <c r="T4216" s="91"/>
      <c r="U4216" s="91"/>
      <c r="V4216" s="41"/>
      <c r="W4216" s="37"/>
      <c r="X4216" s="37"/>
      <c r="Y4216" s="43"/>
      <c r="Z4216" s="37"/>
      <c r="AA4216" s="37"/>
      <c r="AD4216" s="37"/>
      <c r="AE4216" s="37"/>
      <c r="AF4216" s="37"/>
    </row>
    <row r="4217" spans="1:32" x14ac:dyDescent="0.25">
      <c r="A4217" s="37"/>
      <c r="B4217" s="37"/>
      <c r="C4217" s="37"/>
      <c r="F4217" s="38"/>
      <c r="G4217" s="38"/>
      <c r="H4217" s="38"/>
      <c r="I4217" s="37"/>
      <c r="J4217" s="38"/>
      <c r="K4217" s="38"/>
      <c r="L4217" s="42"/>
      <c r="M4217" s="42"/>
      <c r="N4217" s="42"/>
      <c r="O4217" s="42"/>
      <c r="R4217" s="37"/>
      <c r="S4217" s="37"/>
      <c r="T4217" s="91"/>
      <c r="U4217" s="91"/>
      <c r="V4217" s="41"/>
      <c r="W4217" s="37"/>
      <c r="X4217" s="37"/>
      <c r="Y4217" s="43"/>
      <c r="Z4217" s="37"/>
      <c r="AA4217" s="37"/>
      <c r="AD4217" s="37"/>
      <c r="AE4217" s="37"/>
      <c r="AF4217" s="37"/>
    </row>
    <row r="4218" spans="1:32" x14ac:dyDescent="0.25">
      <c r="A4218" s="37"/>
      <c r="B4218" s="37"/>
      <c r="C4218" s="37"/>
      <c r="F4218" s="38"/>
      <c r="G4218" s="38"/>
      <c r="H4218" s="38"/>
      <c r="I4218" s="37"/>
      <c r="J4218" s="38"/>
      <c r="K4218" s="38"/>
      <c r="L4218" s="42"/>
      <c r="M4218" s="42"/>
      <c r="N4218" s="42"/>
      <c r="O4218" s="42"/>
      <c r="R4218" s="37"/>
      <c r="S4218" s="37"/>
      <c r="T4218" s="91"/>
      <c r="U4218" s="91"/>
      <c r="V4218" s="41"/>
      <c r="W4218" s="37"/>
      <c r="X4218" s="37"/>
      <c r="Y4218" s="43"/>
      <c r="Z4218" s="37"/>
      <c r="AA4218" s="37"/>
      <c r="AD4218" s="37"/>
      <c r="AE4218" s="37"/>
      <c r="AF4218" s="37"/>
    </row>
    <row r="4219" spans="1:32" x14ac:dyDescent="0.25">
      <c r="A4219" s="37"/>
      <c r="B4219" s="37"/>
      <c r="C4219" s="37"/>
      <c r="F4219" s="38"/>
      <c r="G4219" s="38"/>
      <c r="H4219" s="38"/>
      <c r="I4219" s="37"/>
      <c r="J4219" s="38"/>
      <c r="K4219" s="38"/>
      <c r="L4219" s="42"/>
      <c r="M4219" s="42"/>
      <c r="N4219" s="42"/>
      <c r="O4219" s="42"/>
      <c r="R4219" s="37"/>
      <c r="S4219" s="37"/>
      <c r="T4219" s="91"/>
      <c r="U4219" s="91"/>
      <c r="V4219" s="41"/>
      <c r="W4219" s="37"/>
      <c r="X4219" s="37"/>
      <c r="Y4219" s="43"/>
      <c r="Z4219" s="37"/>
      <c r="AA4219" s="37"/>
      <c r="AD4219" s="37"/>
      <c r="AE4219" s="37"/>
      <c r="AF4219" s="37"/>
    </row>
    <row r="4220" spans="1:32" x14ac:dyDescent="0.25">
      <c r="A4220" s="37"/>
      <c r="B4220" s="37"/>
      <c r="C4220" s="37"/>
      <c r="F4220" s="38"/>
      <c r="G4220" s="38"/>
      <c r="H4220" s="38"/>
      <c r="I4220" s="37"/>
      <c r="J4220" s="38"/>
      <c r="K4220" s="38"/>
      <c r="L4220" s="42"/>
      <c r="M4220" s="42"/>
      <c r="N4220" s="42"/>
      <c r="O4220" s="42"/>
      <c r="R4220" s="37"/>
      <c r="S4220" s="37"/>
      <c r="T4220" s="91"/>
      <c r="U4220" s="91"/>
      <c r="V4220" s="41"/>
      <c r="W4220" s="37"/>
      <c r="X4220" s="37"/>
      <c r="Y4220" s="43"/>
      <c r="Z4220" s="37"/>
      <c r="AA4220" s="37"/>
      <c r="AD4220" s="37"/>
      <c r="AE4220" s="37"/>
      <c r="AF4220" s="37"/>
    </row>
    <row r="4221" spans="1:32" x14ac:dyDescent="0.25">
      <c r="A4221" s="37"/>
      <c r="B4221" s="37"/>
      <c r="C4221" s="37"/>
      <c r="F4221" s="38"/>
      <c r="G4221" s="38"/>
      <c r="H4221" s="38"/>
      <c r="I4221" s="37"/>
      <c r="J4221" s="38"/>
      <c r="K4221" s="38"/>
      <c r="L4221" s="42"/>
      <c r="M4221" s="42"/>
      <c r="N4221" s="42"/>
      <c r="O4221" s="42"/>
      <c r="R4221" s="37"/>
      <c r="S4221" s="37"/>
      <c r="T4221" s="91"/>
      <c r="U4221" s="91"/>
      <c r="V4221" s="41"/>
      <c r="W4221" s="37"/>
      <c r="X4221" s="37"/>
      <c r="Y4221" s="43"/>
      <c r="Z4221" s="37"/>
      <c r="AA4221" s="37"/>
      <c r="AD4221" s="37"/>
      <c r="AE4221" s="37"/>
      <c r="AF4221" s="37"/>
    </row>
    <row r="4222" spans="1:32" x14ac:dyDescent="0.25">
      <c r="A4222" s="37"/>
      <c r="B4222" s="37"/>
      <c r="C4222" s="37"/>
      <c r="F4222" s="38"/>
      <c r="G4222" s="38"/>
      <c r="H4222" s="38"/>
      <c r="I4222" s="37"/>
      <c r="J4222" s="38"/>
      <c r="K4222" s="38"/>
      <c r="L4222" s="42"/>
      <c r="M4222" s="42"/>
      <c r="N4222" s="42"/>
      <c r="O4222" s="42"/>
      <c r="R4222" s="37"/>
      <c r="S4222" s="37"/>
      <c r="T4222" s="91"/>
      <c r="U4222" s="91"/>
      <c r="V4222" s="41"/>
      <c r="W4222" s="37"/>
      <c r="X4222" s="37"/>
      <c r="Y4222" s="43"/>
      <c r="Z4222" s="37"/>
      <c r="AA4222" s="37"/>
      <c r="AD4222" s="37"/>
      <c r="AE4222" s="37"/>
      <c r="AF4222" s="37"/>
    </row>
    <row r="4223" spans="1:32" x14ac:dyDescent="0.25">
      <c r="A4223" s="37"/>
      <c r="B4223" s="37"/>
      <c r="C4223" s="37"/>
      <c r="F4223" s="38"/>
      <c r="G4223" s="38"/>
      <c r="H4223" s="38"/>
      <c r="I4223" s="37"/>
      <c r="J4223" s="38"/>
      <c r="K4223" s="38"/>
      <c r="L4223" s="42"/>
      <c r="M4223" s="42"/>
      <c r="N4223" s="42"/>
      <c r="O4223" s="42"/>
      <c r="R4223" s="37"/>
      <c r="S4223" s="37"/>
      <c r="T4223" s="91"/>
      <c r="U4223" s="91"/>
      <c r="V4223" s="41"/>
      <c r="W4223" s="37"/>
      <c r="X4223" s="37"/>
      <c r="Y4223" s="43"/>
      <c r="Z4223" s="37"/>
      <c r="AA4223" s="37"/>
      <c r="AD4223" s="37"/>
      <c r="AE4223" s="37"/>
      <c r="AF4223" s="37"/>
    </row>
    <row r="4224" spans="1:32" x14ac:dyDescent="0.25">
      <c r="A4224" s="37"/>
      <c r="B4224" s="37"/>
      <c r="C4224" s="37"/>
      <c r="F4224" s="38"/>
      <c r="G4224" s="38"/>
      <c r="H4224" s="38"/>
      <c r="I4224" s="37"/>
      <c r="J4224" s="38"/>
      <c r="K4224" s="38"/>
      <c r="L4224" s="42"/>
      <c r="M4224" s="42"/>
      <c r="N4224" s="42"/>
      <c r="O4224" s="42"/>
      <c r="R4224" s="37"/>
      <c r="S4224" s="37"/>
      <c r="T4224" s="91"/>
      <c r="U4224" s="91"/>
      <c r="V4224" s="41"/>
      <c r="W4224" s="37"/>
      <c r="X4224" s="37"/>
      <c r="Y4224" s="43"/>
      <c r="Z4224" s="37"/>
      <c r="AA4224" s="37"/>
      <c r="AD4224" s="37"/>
      <c r="AE4224" s="37"/>
      <c r="AF4224" s="37"/>
    </row>
    <row r="4225" spans="1:32" x14ac:dyDescent="0.25">
      <c r="A4225" s="37"/>
      <c r="B4225" s="37"/>
      <c r="C4225" s="37"/>
      <c r="F4225" s="38"/>
      <c r="G4225" s="38"/>
      <c r="H4225" s="38"/>
      <c r="I4225" s="37"/>
      <c r="J4225" s="38"/>
      <c r="K4225" s="38"/>
      <c r="L4225" s="42"/>
      <c r="M4225" s="42"/>
      <c r="N4225" s="42"/>
      <c r="O4225" s="42"/>
      <c r="R4225" s="37"/>
      <c r="S4225" s="37"/>
      <c r="T4225" s="91"/>
      <c r="U4225" s="91"/>
      <c r="V4225" s="41"/>
      <c r="W4225" s="37"/>
      <c r="X4225" s="37"/>
      <c r="Y4225" s="43"/>
      <c r="Z4225" s="37"/>
      <c r="AA4225" s="37"/>
      <c r="AD4225" s="37"/>
      <c r="AE4225" s="37"/>
      <c r="AF4225" s="37"/>
    </row>
    <row r="4226" spans="1:32" x14ac:dyDescent="0.25">
      <c r="A4226" s="37"/>
      <c r="B4226" s="37"/>
      <c r="C4226" s="37"/>
      <c r="F4226" s="38"/>
      <c r="G4226" s="38"/>
      <c r="H4226" s="38"/>
      <c r="I4226" s="37"/>
      <c r="J4226" s="38"/>
      <c r="K4226" s="38"/>
      <c r="L4226" s="42"/>
      <c r="M4226" s="42"/>
      <c r="N4226" s="42"/>
      <c r="O4226" s="42"/>
      <c r="R4226" s="37"/>
      <c r="S4226" s="37"/>
      <c r="T4226" s="91"/>
      <c r="U4226" s="91"/>
      <c r="V4226" s="41"/>
      <c r="W4226" s="37"/>
      <c r="X4226" s="37"/>
      <c r="Y4226" s="43"/>
      <c r="Z4226" s="37"/>
      <c r="AA4226" s="37"/>
      <c r="AD4226" s="37"/>
      <c r="AE4226" s="37"/>
      <c r="AF4226" s="37"/>
    </row>
    <row r="4227" spans="1:32" x14ac:dyDescent="0.25">
      <c r="A4227" s="37"/>
      <c r="B4227" s="37"/>
      <c r="C4227" s="37"/>
      <c r="F4227" s="38"/>
      <c r="G4227" s="38"/>
      <c r="H4227" s="38"/>
      <c r="I4227" s="37"/>
      <c r="J4227" s="38"/>
      <c r="K4227" s="38"/>
      <c r="L4227" s="42"/>
      <c r="M4227" s="42"/>
      <c r="N4227" s="42"/>
      <c r="O4227" s="42"/>
      <c r="R4227" s="37"/>
      <c r="S4227" s="37"/>
      <c r="T4227" s="91"/>
      <c r="U4227" s="91"/>
      <c r="V4227" s="41"/>
      <c r="W4227" s="37"/>
      <c r="X4227" s="37"/>
      <c r="Y4227" s="43"/>
      <c r="Z4227" s="37"/>
      <c r="AA4227" s="37"/>
      <c r="AD4227" s="37"/>
      <c r="AE4227" s="37"/>
      <c r="AF4227" s="37"/>
    </row>
    <row r="4228" spans="1:32" x14ac:dyDescent="0.25">
      <c r="A4228" s="37"/>
      <c r="B4228" s="37"/>
      <c r="C4228" s="37"/>
      <c r="F4228" s="38"/>
      <c r="G4228" s="38"/>
      <c r="H4228" s="38"/>
      <c r="I4228" s="37"/>
      <c r="J4228" s="38"/>
      <c r="K4228" s="38"/>
      <c r="L4228" s="42"/>
      <c r="M4228" s="42"/>
      <c r="N4228" s="42"/>
      <c r="O4228" s="42"/>
      <c r="R4228" s="37"/>
      <c r="S4228" s="37"/>
      <c r="T4228" s="91"/>
      <c r="U4228" s="91"/>
      <c r="V4228" s="41"/>
      <c r="W4228" s="37"/>
      <c r="X4228" s="37"/>
      <c r="Y4228" s="43"/>
      <c r="Z4228" s="37"/>
      <c r="AA4228" s="37"/>
      <c r="AD4228" s="37"/>
      <c r="AE4228" s="37"/>
      <c r="AF4228" s="37"/>
    </row>
    <row r="4229" spans="1:32" x14ac:dyDescent="0.25">
      <c r="A4229" s="37"/>
      <c r="B4229" s="37"/>
      <c r="C4229" s="37"/>
      <c r="F4229" s="38"/>
      <c r="G4229" s="38"/>
      <c r="H4229" s="38"/>
      <c r="I4229" s="37"/>
      <c r="J4229" s="38"/>
      <c r="K4229" s="38"/>
      <c r="L4229" s="42"/>
      <c r="M4229" s="42"/>
      <c r="N4229" s="42"/>
      <c r="O4229" s="42"/>
      <c r="R4229" s="37"/>
      <c r="S4229" s="37"/>
      <c r="T4229" s="91"/>
      <c r="U4229" s="91"/>
      <c r="V4229" s="41"/>
      <c r="W4229" s="37"/>
      <c r="X4229" s="37"/>
      <c r="Y4229" s="43"/>
      <c r="Z4229" s="37"/>
      <c r="AA4229" s="37"/>
      <c r="AD4229" s="37"/>
      <c r="AE4229" s="37"/>
      <c r="AF4229" s="37"/>
    </row>
    <row r="4230" spans="1:32" x14ac:dyDescent="0.25">
      <c r="A4230" s="37"/>
      <c r="B4230" s="37"/>
      <c r="C4230" s="37"/>
      <c r="F4230" s="38"/>
      <c r="G4230" s="38"/>
      <c r="H4230" s="38"/>
      <c r="I4230" s="37"/>
      <c r="J4230" s="38"/>
      <c r="K4230" s="38"/>
      <c r="L4230" s="42"/>
      <c r="M4230" s="42"/>
      <c r="N4230" s="42"/>
      <c r="O4230" s="42"/>
      <c r="R4230" s="37"/>
      <c r="S4230" s="37"/>
      <c r="T4230" s="91"/>
      <c r="U4230" s="91"/>
      <c r="V4230" s="41"/>
      <c r="W4230" s="37"/>
      <c r="X4230" s="37"/>
      <c r="Y4230" s="43"/>
      <c r="Z4230" s="37"/>
      <c r="AA4230" s="37"/>
      <c r="AD4230" s="37"/>
      <c r="AE4230" s="37"/>
      <c r="AF4230" s="37"/>
    </row>
    <row r="4231" spans="1:32" x14ac:dyDescent="0.25">
      <c r="A4231" s="37"/>
      <c r="B4231" s="37"/>
      <c r="C4231" s="37"/>
      <c r="F4231" s="38"/>
      <c r="G4231" s="38"/>
      <c r="H4231" s="38"/>
      <c r="I4231" s="37"/>
      <c r="J4231" s="38"/>
      <c r="K4231" s="38"/>
      <c r="L4231" s="42"/>
      <c r="M4231" s="42"/>
      <c r="N4231" s="42"/>
      <c r="O4231" s="42"/>
      <c r="R4231" s="37"/>
      <c r="S4231" s="37"/>
      <c r="T4231" s="91"/>
      <c r="U4231" s="91"/>
      <c r="V4231" s="41"/>
      <c r="W4231" s="37"/>
      <c r="X4231" s="37"/>
      <c r="Y4231" s="43"/>
      <c r="Z4231" s="37"/>
      <c r="AA4231" s="37"/>
      <c r="AD4231" s="37"/>
      <c r="AE4231" s="37"/>
      <c r="AF4231" s="37"/>
    </row>
    <row r="4232" spans="1:32" x14ac:dyDescent="0.25">
      <c r="A4232" s="37"/>
      <c r="B4232" s="37"/>
      <c r="C4232" s="37"/>
      <c r="F4232" s="38"/>
      <c r="G4232" s="38"/>
      <c r="H4232" s="38"/>
      <c r="I4232" s="37"/>
      <c r="J4232" s="38"/>
      <c r="K4232" s="38"/>
      <c r="L4232" s="42"/>
      <c r="M4232" s="42"/>
      <c r="N4232" s="42"/>
      <c r="O4232" s="42"/>
      <c r="R4232" s="37"/>
      <c r="S4232" s="37"/>
      <c r="T4232" s="91"/>
      <c r="U4232" s="91"/>
      <c r="V4232" s="41"/>
      <c r="W4232" s="37"/>
      <c r="X4232" s="37"/>
      <c r="Y4232" s="43"/>
      <c r="Z4232" s="37"/>
      <c r="AA4232" s="37"/>
      <c r="AD4232" s="37"/>
      <c r="AE4232" s="37"/>
      <c r="AF4232" s="37"/>
    </row>
    <row r="4233" spans="1:32" x14ac:dyDescent="0.25">
      <c r="A4233" s="37"/>
      <c r="B4233" s="37"/>
      <c r="C4233" s="37"/>
      <c r="F4233" s="38"/>
      <c r="G4233" s="38"/>
      <c r="H4233" s="38"/>
      <c r="I4233" s="37"/>
      <c r="J4233" s="38"/>
      <c r="K4233" s="38"/>
      <c r="L4233" s="42"/>
      <c r="M4233" s="42"/>
      <c r="N4233" s="42"/>
      <c r="O4233" s="42"/>
      <c r="R4233" s="37"/>
      <c r="S4233" s="37"/>
      <c r="T4233" s="91"/>
      <c r="U4233" s="91"/>
      <c r="V4233" s="41"/>
      <c r="W4233" s="37"/>
      <c r="X4233" s="37"/>
      <c r="Y4233" s="43"/>
      <c r="Z4233" s="37"/>
      <c r="AA4233" s="37"/>
      <c r="AD4233" s="37"/>
      <c r="AE4233" s="37"/>
      <c r="AF4233" s="37"/>
    </row>
    <row r="4234" spans="1:32" x14ac:dyDescent="0.25">
      <c r="A4234" s="37"/>
      <c r="B4234" s="37"/>
      <c r="C4234" s="37"/>
      <c r="F4234" s="38"/>
      <c r="G4234" s="38"/>
      <c r="H4234" s="38"/>
      <c r="I4234" s="37"/>
      <c r="J4234" s="38"/>
      <c r="K4234" s="38"/>
      <c r="L4234" s="42"/>
      <c r="M4234" s="42"/>
      <c r="N4234" s="42"/>
      <c r="O4234" s="42"/>
      <c r="R4234" s="37"/>
      <c r="S4234" s="37"/>
      <c r="T4234" s="91"/>
      <c r="U4234" s="91"/>
      <c r="V4234" s="41"/>
      <c r="W4234" s="37"/>
      <c r="X4234" s="37"/>
      <c r="Y4234" s="43"/>
      <c r="Z4234" s="37"/>
      <c r="AA4234" s="37"/>
      <c r="AD4234" s="37"/>
      <c r="AE4234" s="37"/>
      <c r="AF4234" s="37"/>
    </row>
    <row r="4235" spans="1:32" x14ac:dyDescent="0.25">
      <c r="A4235" s="37"/>
      <c r="B4235" s="37"/>
      <c r="C4235" s="37"/>
      <c r="F4235" s="38"/>
      <c r="G4235" s="38"/>
      <c r="H4235" s="38"/>
      <c r="I4235" s="37"/>
      <c r="J4235" s="38"/>
      <c r="K4235" s="38"/>
      <c r="L4235" s="42"/>
      <c r="M4235" s="42"/>
      <c r="N4235" s="42"/>
      <c r="O4235" s="42"/>
      <c r="R4235" s="37"/>
      <c r="S4235" s="37"/>
      <c r="T4235" s="91"/>
      <c r="U4235" s="91"/>
      <c r="V4235" s="41"/>
      <c r="W4235" s="37"/>
      <c r="X4235" s="37"/>
      <c r="Y4235" s="43"/>
      <c r="Z4235" s="37"/>
      <c r="AA4235" s="37"/>
      <c r="AD4235" s="37"/>
      <c r="AE4235" s="37"/>
      <c r="AF4235" s="37"/>
    </row>
    <row r="4236" spans="1:32" x14ac:dyDescent="0.25">
      <c r="A4236" s="37"/>
      <c r="B4236" s="37"/>
      <c r="C4236" s="37"/>
      <c r="F4236" s="38"/>
      <c r="G4236" s="38"/>
      <c r="H4236" s="38"/>
      <c r="I4236" s="37"/>
      <c r="J4236" s="38"/>
      <c r="K4236" s="38"/>
      <c r="L4236" s="42"/>
      <c r="M4236" s="42"/>
      <c r="N4236" s="42"/>
      <c r="O4236" s="42"/>
      <c r="R4236" s="37"/>
      <c r="S4236" s="37"/>
      <c r="T4236" s="91"/>
      <c r="U4236" s="91"/>
      <c r="V4236" s="41"/>
      <c r="W4236" s="37"/>
      <c r="X4236" s="37"/>
      <c r="Y4236" s="43"/>
      <c r="Z4236" s="37"/>
      <c r="AA4236" s="37"/>
      <c r="AD4236" s="37"/>
      <c r="AE4236" s="37"/>
      <c r="AF4236" s="37"/>
    </row>
    <row r="4237" spans="1:32" x14ac:dyDescent="0.25">
      <c r="A4237" s="37"/>
      <c r="B4237" s="37"/>
      <c r="C4237" s="37"/>
      <c r="F4237" s="38"/>
      <c r="G4237" s="38"/>
      <c r="H4237" s="38"/>
      <c r="I4237" s="37"/>
      <c r="J4237" s="38"/>
      <c r="K4237" s="38"/>
      <c r="L4237" s="42"/>
      <c r="M4237" s="42"/>
      <c r="N4237" s="42"/>
      <c r="O4237" s="42"/>
      <c r="R4237" s="37"/>
      <c r="S4237" s="37"/>
      <c r="T4237" s="91"/>
      <c r="U4237" s="91"/>
      <c r="V4237" s="41"/>
      <c r="W4237" s="37"/>
      <c r="X4237" s="37"/>
      <c r="Y4237" s="43"/>
      <c r="Z4237" s="37"/>
      <c r="AA4237" s="37"/>
      <c r="AD4237" s="37"/>
      <c r="AE4237" s="37"/>
      <c r="AF4237" s="37"/>
    </row>
    <row r="4238" spans="1:32" x14ac:dyDescent="0.25">
      <c r="A4238" s="37"/>
      <c r="B4238" s="37"/>
      <c r="C4238" s="37"/>
      <c r="F4238" s="38"/>
      <c r="G4238" s="38"/>
      <c r="H4238" s="38"/>
      <c r="I4238" s="37"/>
      <c r="J4238" s="38"/>
      <c r="K4238" s="38"/>
      <c r="L4238" s="42"/>
      <c r="M4238" s="42"/>
      <c r="N4238" s="42"/>
      <c r="O4238" s="42"/>
      <c r="R4238" s="37"/>
      <c r="S4238" s="37"/>
      <c r="T4238" s="91"/>
      <c r="U4238" s="91"/>
      <c r="V4238" s="41"/>
      <c r="W4238" s="37"/>
      <c r="X4238" s="37"/>
      <c r="Y4238" s="43"/>
      <c r="Z4238" s="37"/>
      <c r="AA4238" s="37"/>
      <c r="AD4238" s="37"/>
      <c r="AE4238" s="37"/>
      <c r="AF4238" s="37"/>
    </row>
    <row r="4239" spans="1:32" x14ac:dyDescent="0.25">
      <c r="A4239" s="37"/>
      <c r="B4239" s="37"/>
      <c r="C4239" s="37"/>
      <c r="F4239" s="38"/>
      <c r="G4239" s="38"/>
      <c r="H4239" s="38"/>
      <c r="I4239" s="37"/>
      <c r="J4239" s="38"/>
      <c r="K4239" s="38"/>
      <c r="L4239" s="42"/>
      <c r="M4239" s="42"/>
      <c r="N4239" s="42"/>
      <c r="O4239" s="42"/>
      <c r="R4239" s="37"/>
      <c r="S4239" s="37"/>
      <c r="T4239" s="91"/>
      <c r="U4239" s="91"/>
      <c r="V4239" s="41"/>
      <c r="W4239" s="37"/>
      <c r="X4239" s="37"/>
      <c r="Y4239" s="43"/>
      <c r="Z4239" s="37"/>
      <c r="AA4239" s="37"/>
      <c r="AD4239" s="37"/>
      <c r="AE4239" s="37"/>
      <c r="AF4239" s="37"/>
    </row>
    <row r="4240" spans="1:32" x14ac:dyDescent="0.25">
      <c r="A4240" s="37"/>
      <c r="B4240" s="37"/>
      <c r="C4240" s="37"/>
      <c r="F4240" s="38"/>
      <c r="G4240" s="38"/>
      <c r="H4240" s="38"/>
      <c r="I4240" s="37"/>
      <c r="J4240" s="38"/>
      <c r="K4240" s="38"/>
      <c r="L4240" s="42"/>
      <c r="M4240" s="42"/>
      <c r="N4240" s="42"/>
      <c r="O4240" s="42"/>
      <c r="R4240" s="37"/>
      <c r="S4240" s="37"/>
      <c r="T4240" s="91"/>
      <c r="U4240" s="91"/>
      <c r="V4240" s="41"/>
      <c r="W4240" s="37"/>
      <c r="X4240" s="37"/>
      <c r="Y4240" s="43"/>
      <c r="Z4240" s="37"/>
      <c r="AA4240" s="37"/>
      <c r="AD4240" s="37"/>
      <c r="AE4240" s="37"/>
      <c r="AF4240" s="37"/>
    </row>
    <row r="4241" spans="1:32" x14ac:dyDescent="0.25">
      <c r="A4241" s="37"/>
      <c r="B4241" s="37"/>
      <c r="C4241" s="37"/>
      <c r="F4241" s="38"/>
      <c r="G4241" s="38"/>
      <c r="H4241" s="38"/>
      <c r="I4241" s="37"/>
      <c r="J4241" s="38"/>
      <c r="K4241" s="38"/>
      <c r="L4241" s="42"/>
      <c r="M4241" s="42"/>
      <c r="N4241" s="42"/>
      <c r="O4241" s="42"/>
      <c r="R4241" s="37"/>
      <c r="S4241" s="37"/>
      <c r="T4241" s="91"/>
      <c r="U4241" s="91"/>
      <c r="V4241" s="41"/>
      <c r="W4241" s="37"/>
      <c r="X4241" s="37"/>
      <c r="Y4241" s="43"/>
      <c r="Z4241" s="37"/>
      <c r="AA4241" s="37"/>
      <c r="AD4241" s="37"/>
      <c r="AE4241" s="37"/>
      <c r="AF4241" s="37"/>
    </row>
    <row r="4242" spans="1:32" x14ac:dyDescent="0.25">
      <c r="A4242" s="37"/>
      <c r="B4242" s="37"/>
      <c r="C4242" s="37"/>
      <c r="F4242" s="38"/>
      <c r="G4242" s="38"/>
      <c r="H4242" s="38"/>
      <c r="I4242" s="37"/>
      <c r="J4242" s="38"/>
      <c r="K4242" s="38"/>
      <c r="L4242" s="42"/>
      <c r="M4242" s="42"/>
      <c r="N4242" s="42"/>
      <c r="O4242" s="42"/>
      <c r="R4242" s="37"/>
      <c r="S4242" s="37"/>
      <c r="T4242" s="91"/>
      <c r="U4242" s="91"/>
      <c r="V4242" s="41"/>
      <c r="W4242" s="37"/>
      <c r="X4242" s="37"/>
      <c r="Y4242" s="43"/>
      <c r="Z4242" s="37"/>
      <c r="AA4242" s="37"/>
      <c r="AD4242" s="37"/>
      <c r="AE4242" s="37"/>
      <c r="AF4242" s="37"/>
    </row>
    <row r="4243" spans="1:32" x14ac:dyDescent="0.25">
      <c r="A4243" s="37"/>
      <c r="B4243" s="37"/>
      <c r="C4243" s="37"/>
      <c r="F4243" s="38"/>
      <c r="G4243" s="38"/>
      <c r="H4243" s="38"/>
      <c r="I4243" s="37"/>
      <c r="J4243" s="38"/>
      <c r="K4243" s="38"/>
      <c r="L4243" s="42"/>
      <c r="M4243" s="42"/>
      <c r="N4243" s="42"/>
      <c r="O4243" s="42"/>
      <c r="R4243" s="37"/>
      <c r="S4243" s="37"/>
      <c r="T4243" s="91"/>
      <c r="U4243" s="91"/>
      <c r="V4243" s="41"/>
      <c r="W4243" s="37"/>
      <c r="X4243" s="37"/>
      <c r="Y4243" s="43"/>
      <c r="Z4243" s="37"/>
      <c r="AA4243" s="37"/>
      <c r="AD4243" s="37"/>
      <c r="AE4243" s="37"/>
      <c r="AF4243" s="37"/>
    </row>
    <row r="4244" spans="1:32" x14ac:dyDescent="0.25">
      <c r="A4244" s="37"/>
      <c r="B4244" s="37"/>
      <c r="C4244" s="37"/>
      <c r="F4244" s="38"/>
      <c r="G4244" s="38"/>
      <c r="H4244" s="38"/>
      <c r="I4244" s="37"/>
      <c r="J4244" s="38"/>
      <c r="K4244" s="38"/>
      <c r="L4244" s="42"/>
      <c r="M4244" s="42"/>
      <c r="N4244" s="42"/>
      <c r="O4244" s="42"/>
      <c r="R4244" s="37"/>
      <c r="S4244" s="37"/>
      <c r="T4244" s="91"/>
      <c r="U4244" s="91"/>
      <c r="V4244" s="41"/>
      <c r="W4244" s="37"/>
      <c r="X4244" s="37"/>
      <c r="Y4244" s="43"/>
      <c r="Z4244" s="37"/>
      <c r="AA4244" s="37"/>
      <c r="AD4244" s="37"/>
      <c r="AE4244" s="37"/>
      <c r="AF4244" s="37"/>
    </row>
    <row r="4245" spans="1:32" x14ac:dyDescent="0.25">
      <c r="A4245" s="37"/>
      <c r="B4245" s="37"/>
      <c r="C4245" s="37"/>
      <c r="F4245" s="38"/>
      <c r="G4245" s="38"/>
      <c r="H4245" s="38"/>
      <c r="I4245" s="37"/>
      <c r="J4245" s="38"/>
      <c r="K4245" s="38"/>
      <c r="L4245" s="42"/>
      <c r="M4245" s="42"/>
      <c r="N4245" s="42"/>
      <c r="O4245" s="42"/>
      <c r="R4245" s="37"/>
      <c r="S4245" s="37"/>
      <c r="T4245" s="91"/>
      <c r="U4245" s="91"/>
      <c r="V4245" s="41"/>
      <c r="W4245" s="37"/>
      <c r="X4245" s="37"/>
      <c r="Y4245" s="43"/>
      <c r="Z4245" s="37"/>
      <c r="AA4245" s="37"/>
      <c r="AD4245" s="37"/>
      <c r="AE4245" s="37"/>
      <c r="AF4245" s="37"/>
    </row>
    <row r="4246" spans="1:32" x14ac:dyDescent="0.25">
      <c r="A4246" s="37"/>
      <c r="B4246" s="37"/>
      <c r="C4246" s="37"/>
      <c r="F4246" s="38"/>
      <c r="G4246" s="38"/>
      <c r="H4246" s="38"/>
      <c r="I4246" s="37"/>
      <c r="J4246" s="38"/>
      <c r="K4246" s="38"/>
      <c r="L4246" s="42"/>
      <c r="M4246" s="42"/>
      <c r="N4246" s="42"/>
      <c r="O4246" s="42"/>
      <c r="R4246" s="37"/>
      <c r="S4246" s="37"/>
      <c r="T4246" s="91"/>
      <c r="U4246" s="91"/>
      <c r="V4246" s="41"/>
      <c r="W4246" s="37"/>
      <c r="X4246" s="37"/>
      <c r="Y4246" s="43"/>
      <c r="Z4246" s="37"/>
      <c r="AA4246" s="37"/>
      <c r="AD4246" s="37"/>
      <c r="AE4246" s="37"/>
      <c r="AF4246" s="37"/>
    </row>
    <row r="4247" spans="1:32" x14ac:dyDescent="0.25">
      <c r="A4247" s="37"/>
      <c r="B4247" s="37"/>
      <c r="C4247" s="37"/>
      <c r="F4247" s="38"/>
      <c r="G4247" s="38"/>
      <c r="H4247" s="38"/>
      <c r="I4247" s="37"/>
      <c r="J4247" s="38"/>
      <c r="K4247" s="38"/>
      <c r="L4247" s="42"/>
      <c r="M4247" s="42"/>
      <c r="N4247" s="42"/>
      <c r="O4247" s="42"/>
      <c r="R4247" s="37"/>
      <c r="S4247" s="37"/>
      <c r="T4247" s="91"/>
      <c r="U4247" s="91"/>
      <c r="V4247" s="41"/>
      <c r="W4247" s="37"/>
      <c r="X4247" s="37"/>
      <c r="Y4247" s="43"/>
      <c r="Z4247" s="37"/>
      <c r="AA4247" s="37"/>
      <c r="AD4247" s="37"/>
      <c r="AE4247" s="37"/>
      <c r="AF4247" s="37"/>
    </row>
    <row r="4248" spans="1:32" x14ac:dyDescent="0.25">
      <c r="A4248" s="37"/>
      <c r="B4248" s="37"/>
      <c r="C4248" s="37"/>
      <c r="F4248" s="38"/>
      <c r="G4248" s="38"/>
      <c r="H4248" s="38"/>
      <c r="I4248" s="37"/>
      <c r="J4248" s="38"/>
      <c r="K4248" s="38"/>
      <c r="L4248" s="42"/>
      <c r="M4248" s="42"/>
      <c r="N4248" s="42"/>
      <c r="O4248" s="42"/>
      <c r="R4248" s="37"/>
      <c r="S4248" s="37"/>
      <c r="T4248" s="91"/>
      <c r="U4248" s="91"/>
      <c r="V4248" s="41"/>
      <c r="W4248" s="37"/>
      <c r="X4248" s="37"/>
      <c r="Y4248" s="43"/>
      <c r="Z4248" s="37"/>
      <c r="AA4248" s="37"/>
      <c r="AD4248" s="37"/>
      <c r="AE4248" s="37"/>
      <c r="AF4248" s="37"/>
    </row>
    <row r="4249" spans="1:32" x14ac:dyDescent="0.25">
      <c r="A4249" s="37"/>
      <c r="B4249" s="37"/>
      <c r="C4249" s="37"/>
      <c r="F4249" s="38"/>
      <c r="G4249" s="38"/>
      <c r="H4249" s="38"/>
      <c r="I4249" s="37"/>
      <c r="J4249" s="38"/>
      <c r="K4249" s="38"/>
      <c r="L4249" s="42"/>
      <c r="M4249" s="42"/>
      <c r="N4249" s="42"/>
      <c r="O4249" s="42"/>
      <c r="R4249" s="37"/>
      <c r="S4249" s="37"/>
      <c r="T4249" s="91"/>
      <c r="U4249" s="91"/>
      <c r="V4249" s="41"/>
      <c r="W4249" s="37"/>
      <c r="X4249" s="37"/>
      <c r="Y4249" s="43"/>
      <c r="Z4249" s="37"/>
      <c r="AA4249" s="37"/>
      <c r="AD4249" s="37"/>
      <c r="AE4249" s="37"/>
      <c r="AF4249" s="37"/>
    </row>
    <row r="4250" spans="1:32" x14ac:dyDescent="0.25">
      <c r="A4250" s="37"/>
      <c r="B4250" s="37"/>
      <c r="C4250" s="37"/>
      <c r="F4250" s="38"/>
      <c r="G4250" s="38"/>
      <c r="H4250" s="38"/>
      <c r="I4250" s="37"/>
      <c r="J4250" s="38"/>
      <c r="K4250" s="38"/>
      <c r="L4250" s="42"/>
      <c r="M4250" s="42"/>
      <c r="N4250" s="42"/>
      <c r="O4250" s="42"/>
      <c r="R4250" s="37"/>
      <c r="S4250" s="37"/>
      <c r="T4250" s="91"/>
      <c r="U4250" s="91"/>
      <c r="V4250" s="41"/>
      <c r="W4250" s="37"/>
      <c r="X4250" s="37"/>
      <c r="Y4250" s="43"/>
      <c r="Z4250" s="37"/>
      <c r="AA4250" s="37"/>
      <c r="AD4250" s="37"/>
      <c r="AE4250" s="37"/>
      <c r="AF4250" s="37"/>
    </row>
    <row r="4251" spans="1:32" x14ac:dyDescent="0.25">
      <c r="A4251" s="37"/>
      <c r="B4251" s="37"/>
      <c r="C4251" s="37"/>
      <c r="F4251" s="38"/>
      <c r="G4251" s="38"/>
      <c r="H4251" s="38"/>
      <c r="I4251" s="37"/>
      <c r="J4251" s="38"/>
      <c r="K4251" s="38"/>
      <c r="L4251" s="42"/>
      <c r="M4251" s="42"/>
      <c r="N4251" s="42"/>
      <c r="O4251" s="42"/>
      <c r="R4251" s="37"/>
      <c r="S4251" s="37"/>
      <c r="T4251" s="91"/>
      <c r="U4251" s="91"/>
      <c r="V4251" s="41"/>
      <c r="W4251" s="37"/>
      <c r="X4251" s="37"/>
      <c r="Y4251" s="43"/>
      <c r="Z4251" s="37"/>
      <c r="AA4251" s="37"/>
      <c r="AD4251" s="37"/>
      <c r="AE4251" s="37"/>
      <c r="AF4251" s="37"/>
    </row>
    <row r="4252" spans="1:32" x14ac:dyDescent="0.25">
      <c r="A4252" s="37"/>
      <c r="B4252" s="37"/>
      <c r="C4252" s="37"/>
      <c r="F4252" s="38"/>
      <c r="G4252" s="38"/>
      <c r="H4252" s="38"/>
      <c r="I4252" s="37"/>
      <c r="J4252" s="38"/>
      <c r="K4252" s="38"/>
      <c r="L4252" s="42"/>
      <c r="M4252" s="42"/>
      <c r="N4252" s="42"/>
      <c r="O4252" s="42"/>
      <c r="R4252" s="37"/>
      <c r="S4252" s="37"/>
      <c r="T4252" s="91"/>
      <c r="U4252" s="91"/>
      <c r="V4252" s="41"/>
      <c r="W4252" s="37"/>
      <c r="X4252" s="37"/>
      <c r="Y4252" s="43"/>
      <c r="Z4252" s="37"/>
      <c r="AA4252" s="37"/>
      <c r="AD4252" s="37"/>
      <c r="AE4252" s="37"/>
      <c r="AF4252" s="37"/>
    </row>
    <row r="4253" spans="1:32" x14ac:dyDescent="0.25">
      <c r="A4253" s="37"/>
      <c r="B4253" s="37"/>
      <c r="C4253" s="37"/>
      <c r="F4253" s="38"/>
      <c r="G4253" s="38"/>
      <c r="H4253" s="38"/>
      <c r="I4253" s="37"/>
      <c r="J4253" s="38"/>
      <c r="K4253" s="38"/>
      <c r="L4253" s="42"/>
      <c r="M4253" s="42"/>
      <c r="N4253" s="42"/>
      <c r="O4253" s="42"/>
      <c r="R4253" s="37"/>
      <c r="S4253" s="37"/>
      <c r="T4253" s="91"/>
      <c r="U4253" s="91"/>
      <c r="V4253" s="41"/>
      <c r="W4253" s="37"/>
      <c r="X4253" s="37"/>
      <c r="Y4253" s="43"/>
      <c r="Z4253" s="37"/>
      <c r="AA4253" s="37"/>
      <c r="AD4253" s="37"/>
      <c r="AE4253" s="37"/>
      <c r="AF4253" s="37"/>
    </row>
    <row r="4254" spans="1:32" x14ac:dyDescent="0.25">
      <c r="A4254" s="37"/>
      <c r="B4254" s="37"/>
      <c r="C4254" s="37"/>
      <c r="F4254" s="38"/>
      <c r="G4254" s="38"/>
      <c r="H4254" s="38"/>
      <c r="I4254" s="37"/>
      <c r="J4254" s="38"/>
      <c r="K4254" s="38"/>
      <c r="L4254" s="42"/>
      <c r="M4254" s="42"/>
      <c r="N4254" s="42"/>
      <c r="O4254" s="42"/>
      <c r="R4254" s="37"/>
      <c r="S4254" s="37"/>
      <c r="T4254" s="91"/>
      <c r="U4254" s="91"/>
      <c r="V4254" s="41"/>
      <c r="W4254" s="37"/>
      <c r="X4254" s="37"/>
      <c r="Y4254" s="43"/>
      <c r="Z4254" s="37"/>
      <c r="AA4254" s="37"/>
      <c r="AD4254" s="37"/>
      <c r="AE4254" s="37"/>
      <c r="AF4254" s="37"/>
    </row>
    <row r="4255" spans="1:32" x14ac:dyDescent="0.25">
      <c r="A4255" s="37"/>
      <c r="B4255" s="37"/>
      <c r="C4255" s="37"/>
      <c r="F4255" s="38"/>
      <c r="G4255" s="38"/>
      <c r="H4255" s="38"/>
      <c r="I4255" s="37"/>
      <c r="J4255" s="38"/>
      <c r="K4255" s="38"/>
      <c r="L4255" s="42"/>
      <c r="M4255" s="42"/>
      <c r="N4255" s="42"/>
      <c r="O4255" s="42"/>
      <c r="R4255" s="37"/>
      <c r="S4255" s="37"/>
      <c r="T4255" s="91"/>
      <c r="U4255" s="91"/>
      <c r="V4255" s="41"/>
      <c r="W4255" s="37"/>
      <c r="X4255" s="37"/>
      <c r="Y4255" s="43"/>
      <c r="Z4255" s="37"/>
      <c r="AA4255" s="37"/>
      <c r="AD4255" s="37"/>
      <c r="AE4255" s="37"/>
      <c r="AF4255" s="37"/>
    </row>
    <row r="4256" spans="1:32" x14ac:dyDescent="0.25">
      <c r="A4256" s="37"/>
      <c r="B4256" s="37"/>
      <c r="C4256" s="37"/>
      <c r="F4256" s="38"/>
      <c r="G4256" s="38"/>
      <c r="H4256" s="38"/>
      <c r="I4256" s="37"/>
      <c r="J4256" s="38"/>
      <c r="K4256" s="38"/>
      <c r="L4256" s="42"/>
      <c r="M4256" s="42"/>
      <c r="N4256" s="42"/>
      <c r="O4256" s="42"/>
      <c r="R4256" s="37"/>
      <c r="S4256" s="37"/>
      <c r="T4256" s="91"/>
      <c r="U4256" s="91"/>
      <c r="V4256" s="41"/>
      <c r="W4256" s="37"/>
      <c r="X4256" s="37"/>
      <c r="Y4256" s="43"/>
      <c r="Z4256" s="37"/>
      <c r="AA4256" s="37"/>
      <c r="AD4256" s="37"/>
      <c r="AE4256" s="37"/>
      <c r="AF4256" s="37"/>
    </row>
    <row r="4257" spans="1:32" x14ac:dyDescent="0.25">
      <c r="A4257" s="37"/>
      <c r="B4257" s="37"/>
      <c r="C4257" s="37"/>
      <c r="F4257" s="38"/>
      <c r="G4257" s="38"/>
      <c r="H4257" s="38"/>
      <c r="I4257" s="37"/>
      <c r="J4257" s="38"/>
      <c r="K4257" s="38"/>
      <c r="L4257" s="42"/>
      <c r="M4257" s="42"/>
      <c r="N4257" s="42"/>
      <c r="O4257" s="42"/>
      <c r="R4257" s="37"/>
      <c r="S4257" s="37"/>
      <c r="T4257" s="91"/>
      <c r="U4257" s="91"/>
      <c r="V4257" s="41"/>
      <c r="W4257" s="37"/>
      <c r="X4257" s="37"/>
      <c r="Y4257" s="43"/>
      <c r="Z4257" s="37"/>
      <c r="AA4257" s="37"/>
      <c r="AD4257" s="37"/>
      <c r="AE4257" s="37"/>
      <c r="AF4257" s="37"/>
    </row>
    <row r="4258" spans="1:32" x14ac:dyDescent="0.25">
      <c r="A4258" s="37"/>
      <c r="B4258" s="37"/>
      <c r="C4258" s="37"/>
      <c r="F4258" s="38"/>
      <c r="G4258" s="38"/>
      <c r="H4258" s="38"/>
      <c r="I4258" s="37"/>
      <c r="J4258" s="38"/>
      <c r="K4258" s="38"/>
      <c r="L4258" s="42"/>
      <c r="M4258" s="42"/>
      <c r="N4258" s="42"/>
      <c r="O4258" s="42"/>
      <c r="R4258" s="37"/>
      <c r="S4258" s="37"/>
      <c r="T4258" s="91"/>
      <c r="U4258" s="91"/>
      <c r="V4258" s="41"/>
      <c r="W4258" s="37"/>
      <c r="X4258" s="37"/>
      <c r="Y4258" s="43"/>
      <c r="Z4258" s="37"/>
      <c r="AA4258" s="37"/>
      <c r="AD4258" s="37"/>
      <c r="AE4258" s="37"/>
      <c r="AF4258" s="37"/>
    </row>
    <row r="4259" spans="1:32" x14ac:dyDescent="0.25">
      <c r="A4259" s="37"/>
      <c r="B4259" s="37"/>
      <c r="C4259" s="37"/>
      <c r="F4259" s="38"/>
      <c r="G4259" s="38"/>
      <c r="H4259" s="38"/>
      <c r="I4259" s="37"/>
      <c r="J4259" s="38"/>
      <c r="K4259" s="38"/>
      <c r="L4259" s="42"/>
      <c r="M4259" s="42"/>
      <c r="N4259" s="42"/>
      <c r="O4259" s="42"/>
      <c r="R4259" s="37"/>
      <c r="S4259" s="37"/>
      <c r="T4259" s="91"/>
      <c r="U4259" s="91"/>
      <c r="V4259" s="41"/>
      <c r="W4259" s="37"/>
      <c r="X4259" s="37"/>
      <c r="Y4259" s="43"/>
      <c r="Z4259" s="37"/>
      <c r="AA4259" s="37"/>
      <c r="AD4259" s="37"/>
      <c r="AE4259" s="37"/>
      <c r="AF4259" s="37"/>
    </row>
    <row r="4260" spans="1:32" x14ac:dyDescent="0.25">
      <c r="A4260" s="37"/>
      <c r="B4260" s="37"/>
      <c r="C4260" s="37"/>
      <c r="F4260" s="38"/>
      <c r="G4260" s="38"/>
      <c r="H4260" s="38"/>
      <c r="I4260" s="37"/>
      <c r="J4260" s="38"/>
      <c r="K4260" s="38"/>
      <c r="L4260" s="42"/>
      <c r="M4260" s="42"/>
      <c r="N4260" s="42"/>
      <c r="O4260" s="42"/>
      <c r="R4260" s="37"/>
      <c r="S4260" s="37"/>
      <c r="T4260" s="91"/>
      <c r="U4260" s="91"/>
      <c r="V4260" s="41"/>
      <c r="W4260" s="37"/>
      <c r="X4260" s="37"/>
      <c r="Y4260" s="43"/>
      <c r="Z4260" s="37"/>
      <c r="AA4260" s="37"/>
      <c r="AD4260" s="37"/>
      <c r="AE4260" s="37"/>
      <c r="AF4260" s="37"/>
    </row>
    <row r="4261" spans="1:32" x14ac:dyDescent="0.25">
      <c r="A4261" s="37"/>
      <c r="B4261" s="37"/>
      <c r="C4261" s="37"/>
      <c r="F4261" s="38"/>
      <c r="G4261" s="38"/>
      <c r="H4261" s="38"/>
      <c r="I4261" s="37"/>
      <c r="J4261" s="38"/>
      <c r="K4261" s="38"/>
      <c r="L4261" s="42"/>
      <c r="M4261" s="42"/>
      <c r="N4261" s="42"/>
      <c r="O4261" s="42"/>
      <c r="R4261" s="37"/>
      <c r="S4261" s="37"/>
      <c r="T4261" s="91"/>
      <c r="U4261" s="91"/>
      <c r="V4261" s="41"/>
      <c r="W4261" s="37"/>
      <c r="X4261" s="37"/>
      <c r="Y4261" s="43"/>
      <c r="Z4261" s="37"/>
      <c r="AA4261" s="37"/>
      <c r="AD4261" s="37"/>
      <c r="AE4261" s="37"/>
      <c r="AF4261" s="37"/>
    </row>
    <row r="4262" spans="1:32" x14ac:dyDescent="0.25">
      <c r="A4262" s="37"/>
      <c r="B4262" s="37"/>
      <c r="C4262" s="37"/>
      <c r="F4262" s="38"/>
      <c r="G4262" s="38"/>
      <c r="H4262" s="38"/>
      <c r="I4262" s="37"/>
      <c r="J4262" s="38"/>
      <c r="K4262" s="38"/>
      <c r="L4262" s="42"/>
      <c r="M4262" s="42"/>
      <c r="N4262" s="42"/>
      <c r="O4262" s="42"/>
      <c r="R4262" s="37"/>
      <c r="S4262" s="37"/>
      <c r="T4262" s="91"/>
      <c r="U4262" s="91"/>
      <c r="V4262" s="41"/>
      <c r="W4262" s="37"/>
      <c r="X4262" s="37"/>
      <c r="Y4262" s="43"/>
      <c r="Z4262" s="37"/>
      <c r="AA4262" s="37"/>
      <c r="AD4262" s="37"/>
      <c r="AE4262" s="37"/>
      <c r="AF4262" s="37"/>
    </row>
    <row r="4263" spans="1:32" x14ac:dyDescent="0.25">
      <c r="A4263" s="37"/>
      <c r="B4263" s="37"/>
      <c r="C4263" s="37"/>
      <c r="F4263" s="38"/>
      <c r="G4263" s="38"/>
      <c r="H4263" s="38"/>
      <c r="I4263" s="37"/>
      <c r="J4263" s="38"/>
      <c r="K4263" s="38"/>
      <c r="L4263" s="42"/>
      <c r="M4263" s="42"/>
      <c r="N4263" s="42"/>
      <c r="O4263" s="42"/>
      <c r="R4263" s="37"/>
      <c r="S4263" s="37"/>
      <c r="T4263" s="91"/>
      <c r="U4263" s="91"/>
      <c r="V4263" s="41"/>
      <c r="W4263" s="37"/>
      <c r="X4263" s="37"/>
      <c r="Y4263" s="43"/>
      <c r="Z4263" s="37"/>
      <c r="AA4263" s="37"/>
      <c r="AD4263" s="37"/>
      <c r="AE4263" s="37"/>
      <c r="AF4263" s="37"/>
    </row>
    <row r="4264" spans="1:32" x14ac:dyDescent="0.25">
      <c r="A4264" s="37"/>
      <c r="B4264" s="37"/>
      <c r="C4264" s="37"/>
      <c r="F4264" s="38"/>
      <c r="G4264" s="38"/>
      <c r="H4264" s="38"/>
      <c r="I4264" s="37"/>
      <c r="J4264" s="38"/>
      <c r="K4264" s="38"/>
      <c r="L4264" s="42"/>
      <c r="M4264" s="42"/>
      <c r="N4264" s="42"/>
      <c r="O4264" s="42"/>
      <c r="R4264" s="37"/>
      <c r="S4264" s="37"/>
      <c r="T4264" s="91"/>
      <c r="U4264" s="91"/>
      <c r="V4264" s="41"/>
      <c r="W4264" s="37"/>
      <c r="X4264" s="37"/>
      <c r="Y4264" s="43"/>
      <c r="Z4264" s="37"/>
      <c r="AA4264" s="37"/>
      <c r="AD4264" s="37"/>
      <c r="AE4264" s="37"/>
      <c r="AF4264" s="37"/>
    </row>
    <row r="4265" spans="1:32" x14ac:dyDescent="0.25">
      <c r="A4265" s="37"/>
      <c r="B4265" s="37"/>
      <c r="C4265" s="37"/>
      <c r="F4265" s="38"/>
      <c r="G4265" s="38"/>
      <c r="H4265" s="38"/>
      <c r="I4265" s="37"/>
      <c r="J4265" s="38"/>
      <c r="K4265" s="38"/>
      <c r="L4265" s="42"/>
      <c r="M4265" s="42"/>
      <c r="N4265" s="42"/>
      <c r="O4265" s="42"/>
      <c r="R4265" s="37"/>
      <c r="S4265" s="37"/>
      <c r="T4265" s="91"/>
      <c r="U4265" s="91"/>
      <c r="V4265" s="41"/>
      <c r="W4265" s="37"/>
      <c r="X4265" s="37"/>
      <c r="Y4265" s="43"/>
      <c r="Z4265" s="37"/>
      <c r="AA4265" s="37"/>
      <c r="AD4265" s="37"/>
      <c r="AE4265" s="37"/>
      <c r="AF4265" s="37"/>
    </row>
    <row r="4266" spans="1:32" x14ac:dyDescent="0.25">
      <c r="A4266" s="37"/>
      <c r="B4266" s="37"/>
      <c r="C4266" s="37"/>
      <c r="F4266" s="38"/>
      <c r="G4266" s="38"/>
      <c r="H4266" s="38"/>
      <c r="I4266" s="37"/>
      <c r="J4266" s="38"/>
      <c r="K4266" s="38"/>
      <c r="L4266" s="42"/>
      <c r="M4266" s="42"/>
      <c r="N4266" s="42"/>
      <c r="O4266" s="42"/>
      <c r="R4266" s="37"/>
      <c r="S4266" s="37"/>
      <c r="T4266" s="91"/>
      <c r="U4266" s="91"/>
      <c r="V4266" s="41"/>
      <c r="W4266" s="37"/>
      <c r="X4266" s="37"/>
      <c r="Y4266" s="43"/>
      <c r="Z4266" s="37"/>
      <c r="AA4266" s="37"/>
      <c r="AD4266" s="37"/>
      <c r="AE4266" s="37"/>
      <c r="AF4266" s="37"/>
    </row>
    <row r="4267" spans="1:32" x14ac:dyDescent="0.25">
      <c r="A4267" s="37"/>
      <c r="B4267" s="37"/>
      <c r="C4267" s="37"/>
      <c r="F4267" s="38"/>
      <c r="G4267" s="38"/>
      <c r="H4267" s="38"/>
      <c r="I4267" s="37"/>
      <c r="J4267" s="38"/>
      <c r="K4267" s="38"/>
      <c r="L4267" s="42"/>
      <c r="M4267" s="42"/>
      <c r="N4267" s="42"/>
      <c r="O4267" s="42"/>
      <c r="R4267" s="37"/>
      <c r="S4267" s="37"/>
      <c r="T4267" s="91"/>
      <c r="U4267" s="91"/>
      <c r="V4267" s="41"/>
      <c r="W4267" s="37"/>
      <c r="X4267" s="37"/>
      <c r="Y4267" s="43"/>
      <c r="Z4267" s="37"/>
      <c r="AA4267" s="37"/>
      <c r="AD4267" s="37"/>
      <c r="AE4267" s="37"/>
      <c r="AF4267" s="37"/>
    </row>
    <row r="4268" spans="1:32" x14ac:dyDescent="0.25">
      <c r="A4268" s="37"/>
      <c r="B4268" s="37"/>
      <c r="C4268" s="37"/>
      <c r="F4268" s="38"/>
      <c r="G4268" s="38"/>
      <c r="H4268" s="38"/>
      <c r="I4268" s="37"/>
      <c r="J4268" s="38"/>
      <c r="K4268" s="38"/>
      <c r="L4268" s="42"/>
      <c r="M4268" s="42"/>
      <c r="N4268" s="42"/>
      <c r="O4268" s="42"/>
      <c r="R4268" s="37"/>
      <c r="S4268" s="37"/>
      <c r="T4268" s="91"/>
      <c r="U4268" s="91"/>
      <c r="V4268" s="41"/>
      <c r="W4268" s="37"/>
      <c r="X4268" s="37"/>
      <c r="Y4268" s="43"/>
      <c r="Z4268" s="37"/>
      <c r="AA4268" s="37"/>
      <c r="AD4268" s="37"/>
      <c r="AE4268" s="37"/>
      <c r="AF4268" s="37"/>
    </row>
    <row r="4269" spans="1:32" x14ac:dyDescent="0.25">
      <c r="A4269" s="37"/>
      <c r="B4269" s="37"/>
      <c r="C4269" s="37"/>
      <c r="F4269" s="38"/>
      <c r="G4269" s="38"/>
      <c r="H4269" s="38"/>
      <c r="I4269" s="37"/>
      <c r="J4269" s="38"/>
      <c r="K4269" s="38"/>
      <c r="L4269" s="42"/>
      <c r="M4269" s="42"/>
      <c r="N4269" s="42"/>
      <c r="O4269" s="42"/>
      <c r="R4269" s="37"/>
      <c r="S4269" s="37"/>
      <c r="T4269" s="91"/>
      <c r="U4269" s="91"/>
      <c r="V4269" s="41"/>
      <c r="W4269" s="37"/>
      <c r="X4269" s="37"/>
      <c r="Y4269" s="43"/>
      <c r="Z4269" s="37"/>
      <c r="AA4269" s="37"/>
      <c r="AD4269" s="37"/>
      <c r="AE4269" s="37"/>
      <c r="AF4269" s="37"/>
    </row>
    <row r="4270" spans="1:32" x14ac:dyDescent="0.25">
      <c r="A4270" s="37"/>
      <c r="B4270" s="37"/>
      <c r="C4270" s="37"/>
      <c r="F4270" s="38"/>
      <c r="G4270" s="38"/>
      <c r="H4270" s="38"/>
      <c r="I4270" s="37"/>
      <c r="J4270" s="38"/>
      <c r="K4270" s="38"/>
      <c r="L4270" s="42"/>
      <c r="M4270" s="42"/>
      <c r="N4270" s="42"/>
      <c r="O4270" s="42"/>
      <c r="R4270" s="37"/>
      <c r="S4270" s="37"/>
      <c r="T4270" s="91"/>
      <c r="U4270" s="91"/>
      <c r="V4270" s="41"/>
      <c r="W4270" s="37"/>
      <c r="X4270" s="37"/>
      <c r="Y4270" s="43"/>
      <c r="Z4270" s="37"/>
      <c r="AA4270" s="37"/>
      <c r="AD4270" s="37"/>
      <c r="AE4270" s="37"/>
      <c r="AF4270" s="37"/>
    </row>
    <row r="4271" spans="1:32" x14ac:dyDescent="0.25">
      <c r="A4271" s="37"/>
      <c r="B4271" s="37"/>
      <c r="C4271" s="37"/>
      <c r="F4271" s="38"/>
      <c r="G4271" s="38"/>
      <c r="H4271" s="38"/>
      <c r="I4271" s="37"/>
      <c r="J4271" s="38"/>
      <c r="K4271" s="38"/>
      <c r="L4271" s="42"/>
      <c r="M4271" s="42"/>
      <c r="N4271" s="42"/>
      <c r="O4271" s="42"/>
      <c r="R4271" s="37"/>
      <c r="S4271" s="37"/>
      <c r="T4271" s="91"/>
      <c r="U4271" s="91"/>
      <c r="V4271" s="41"/>
      <c r="W4271" s="37"/>
      <c r="X4271" s="37"/>
      <c r="Y4271" s="43"/>
      <c r="Z4271" s="37"/>
      <c r="AA4271" s="37"/>
      <c r="AD4271" s="37"/>
      <c r="AE4271" s="37"/>
      <c r="AF4271" s="37"/>
    </row>
    <row r="4272" spans="1:32" x14ac:dyDescent="0.25">
      <c r="A4272" s="37"/>
      <c r="B4272" s="37"/>
      <c r="C4272" s="37"/>
      <c r="F4272" s="38"/>
      <c r="G4272" s="38"/>
      <c r="H4272" s="38"/>
      <c r="I4272" s="37"/>
      <c r="J4272" s="38"/>
      <c r="K4272" s="38"/>
      <c r="L4272" s="42"/>
      <c r="M4272" s="42"/>
      <c r="N4272" s="42"/>
      <c r="O4272" s="42"/>
      <c r="R4272" s="37"/>
      <c r="S4272" s="37"/>
      <c r="T4272" s="91"/>
      <c r="U4272" s="91"/>
      <c r="V4272" s="41"/>
      <c r="W4272" s="37"/>
      <c r="X4272" s="37"/>
      <c r="Y4272" s="43"/>
      <c r="Z4272" s="37"/>
      <c r="AA4272" s="37"/>
      <c r="AD4272" s="37"/>
      <c r="AE4272" s="37"/>
      <c r="AF4272" s="37"/>
    </row>
    <row r="4273" spans="1:32" x14ac:dyDescent="0.25">
      <c r="A4273" s="37"/>
      <c r="B4273" s="37"/>
      <c r="C4273" s="37"/>
      <c r="F4273" s="38"/>
      <c r="G4273" s="38"/>
      <c r="H4273" s="38"/>
      <c r="I4273" s="37"/>
      <c r="J4273" s="38"/>
      <c r="K4273" s="38"/>
      <c r="L4273" s="42"/>
      <c r="M4273" s="42"/>
      <c r="N4273" s="42"/>
      <c r="O4273" s="42"/>
      <c r="R4273" s="37"/>
      <c r="S4273" s="37"/>
      <c r="T4273" s="91"/>
      <c r="U4273" s="91"/>
      <c r="V4273" s="41"/>
      <c r="W4273" s="37"/>
      <c r="X4273" s="37"/>
      <c r="Y4273" s="43"/>
      <c r="Z4273" s="37"/>
      <c r="AA4273" s="37"/>
      <c r="AD4273" s="37"/>
      <c r="AE4273" s="37"/>
      <c r="AF4273" s="37"/>
    </row>
    <row r="4274" spans="1:32" x14ac:dyDescent="0.25">
      <c r="A4274" s="37"/>
      <c r="B4274" s="37"/>
      <c r="C4274" s="37"/>
      <c r="F4274" s="38"/>
      <c r="G4274" s="38"/>
      <c r="H4274" s="38"/>
      <c r="I4274" s="37"/>
      <c r="J4274" s="38"/>
      <c r="K4274" s="38"/>
      <c r="L4274" s="42"/>
      <c r="M4274" s="42"/>
      <c r="N4274" s="42"/>
      <c r="O4274" s="42"/>
      <c r="R4274" s="37"/>
      <c r="S4274" s="37"/>
      <c r="T4274" s="91"/>
      <c r="U4274" s="91"/>
      <c r="V4274" s="41"/>
      <c r="W4274" s="37"/>
      <c r="X4274" s="37"/>
      <c r="Y4274" s="43"/>
      <c r="Z4274" s="37"/>
      <c r="AA4274" s="37"/>
      <c r="AD4274" s="37"/>
      <c r="AE4274" s="37"/>
      <c r="AF4274" s="37"/>
    </row>
    <row r="4275" spans="1:32" x14ac:dyDescent="0.25">
      <c r="A4275" s="37"/>
      <c r="B4275" s="37"/>
      <c r="C4275" s="37"/>
      <c r="F4275" s="38"/>
      <c r="G4275" s="38"/>
      <c r="H4275" s="38"/>
      <c r="I4275" s="37"/>
      <c r="J4275" s="38"/>
      <c r="K4275" s="38"/>
      <c r="L4275" s="42"/>
      <c r="M4275" s="42"/>
      <c r="N4275" s="42"/>
      <c r="O4275" s="42"/>
      <c r="R4275" s="37"/>
      <c r="S4275" s="37"/>
      <c r="T4275" s="91"/>
      <c r="U4275" s="91"/>
      <c r="V4275" s="41"/>
      <c r="W4275" s="37"/>
      <c r="X4275" s="37"/>
      <c r="Y4275" s="43"/>
      <c r="Z4275" s="37"/>
      <c r="AA4275" s="37"/>
      <c r="AD4275" s="37"/>
      <c r="AE4275" s="37"/>
      <c r="AF4275" s="37"/>
    </row>
    <row r="4276" spans="1:32" x14ac:dyDescent="0.25">
      <c r="A4276" s="37"/>
      <c r="B4276" s="37"/>
      <c r="C4276" s="37"/>
      <c r="F4276" s="38"/>
      <c r="G4276" s="38"/>
      <c r="H4276" s="38"/>
      <c r="I4276" s="37"/>
      <c r="J4276" s="38"/>
      <c r="K4276" s="38"/>
      <c r="L4276" s="42"/>
      <c r="M4276" s="42"/>
      <c r="N4276" s="42"/>
      <c r="O4276" s="42"/>
      <c r="R4276" s="37"/>
      <c r="S4276" s="37"/>
      <c r="T4276" s="91"/>
      <c r="U4276" s="91"/>
      <c r="V4276" s="41"/>
      <c r="W4276" s="37"/>
      <c r="X4276" s="37"/>
      <c r="Y4276" s="43"/>
      <c r="Z4276" s="37"/>
      <c r="AA4276" s="37"/>
      <c r="AD4276" s="37"/>
      <c r="AE4276" s="37"/>
      <c r="AF4276" s="37"/>
    </row>
    <row r="4277" spans="1:32" x14ac:dyDescent="0.25">
      <c r="A4277" s="37"/>
      <c r="B4277" s="37"/>
      <c r="C4277" s="37"/>
      <c r="F4277" s="38"/>
      <c r="G4277" s="38"/>
      <c r="H4277" s="38"/>
      <c r="I4277" s="37"/>
      <c r="J4277" s="38"/>
      <c r="K4277" s="38"/>
      <c r="L4277" s="42"/>
      <c r="M4277" s="42"/>
      <c r="N4277" s="42"/>
      <c r="O4277" s="42"/>
      <c r="R4277" s="37"/>
      <c r="S4277" s="37"/>
      <c r="T4277" s="91"/>
      <c r="U4277" s="91"/>
      <c r="V4277" s="41"/>
      <c r="W4277" s="37"/>
      <c r="X4277" s="37"/>
      <c r="Y4277" s="43"/>
      <c r="Z4277" s="37"/>
      <c r="AA4277" s="37"/>
      <c r="AD4277" s="37"/>
      <c r="AE4277" s="37"/>
      <c r="AF4277" s="37"/>
    </row>
    <row r="4278" spans="1:32" x14ac:dyDescent="0.25">
      <c r="A4278" s="37"/>
      <c r="B4278" s="37"/>
      <c r="C4278" s="37"/>
      <c r="F4278" s="38"/>
      <c r="G4278" s="38"/>
      <c r="H4278" s="38"/>
      <c r="I4278" s="37"/>
      <c r="J4278" s="38"/>
      <c r="K4278" s="38"/>
      <c r="L4278" s="42"/>
      <c r="M4278" s="42"/>
      <c r="N4278" s="42"/>
      <c r="O4278" s="42"/>
      <c r="R4278" s="37"/>
      <c r="S4278" s="37"/>
      <c r="T4278" s="91"/>
      <c r="U4278" s="91"/>
      <c r="V4278" s="41"/>
      <c r="W4278" s="37"/>
      <c r="X4278" s="37"/>
      <c r="Y4278" s="43"/>
      <c r="Z4278" s="37"/>
      <c r="AA4278" s="37"/>
      <c r="AD4278" s="37"/>
      <c r="AE4278" s="37"/>
      <c r="AF4278" s="37"/>
    </row>
    <row r="4279" spans="1:32" x14ac:dyDescent="0.25">
      <c r="A4279" s="37"/>
      <c r="B4279" s="37"/>
      <c r="C4279" s="37"/>
      <c r="F4279" s="38"/>
      <c r="G4279" s="38"/>
      <c r="H4279" s="38"/>
      <c r="I4279" s="37"/>
      <c r="J4279" s="38"/>
      <c r="K4279" s="38"/>
      <c r="L4279" s="42"/>
      <c r="M4279" s="42"/>
      <c r="N4279" s="42"/>
      <c r="O4279" s="42"/>
      <c r="R4279" s="37"/>
      <c r="S4279" s="37"/>
      <c r="T4279" s="91"/>
      <c r="U4279" s="91"/>
      <c r="V4279" s="41"/>
      <c r="W4279" s="37"/>
      <c r="X4279" s="37"/>
      <c r="Y4279" s="43"/>
      <c r="Z4279" s="37"/>
      <c r="AA4279" s="37"/>
      <c r="AD4279" s="37"/>
      <c r="AE4279" s="37"/>
      <c r="AF4279" s="37"/>
    </row>
    <row r="4280" spans="1:32" x14ac:dyDescent="0.25">
      <c r="A4280" s="37"/>
      <c r="B4280" s="37"/>
      <c r="C4280" s="37"/>
      <c r="F4280" s="38"/>
      <c r="G4280" s="38"/>
      <c r="H4280" s="38"/>
      <c r="I4280" s="37"/>
      <c r="J4280" s="38"/>
      <c r="K4280" s="38"/>
      <c r="L4280" s="42"/>
      <c r="M4280" s="42"/>
      <c r="N4280" s="42"/>
      <c r="O4280" s="42"/>
      <c r="R4280" s="37"/>
      <c r="S4280" s="37"/>
      <c r="T4280" s="91"/>
      <c r="U4280" s="91"/>
      <c r="V4280" s="41"/>
      <c r="W4280" s="37"/>
      <c r="X4280" s="37"/>
      <c r="Y4280" s="43"/>
      <c r="Z4280" s="37"/>
      <c r="AA4280" s="37"/>
      <c r="AD4280" s="37"/>
      <c r="AE4280" s="37"/>
      <c r="AF4280" s="37"/>
    </row>
    <row r="4281" spans="1:32" x14ac:dyDescent="0.25">
      <c r="A4281" s="37"/>
      <c r="B4281" s="37"/>
      <c r="C4281" s="37"/>
      <c r="F4281" s="38"/>
      <c r="G4281" s="38"/>
      <c r="H4281" s="38"/>
      <c r="I4281" s="37"/>
      <c r="J4281" s="38"/>
      <c r="K4281" s="38"/>
      <c r="L4281" s="42"/>
      <c r="M4281" s="42"/>
      <c r="N4281" s="42"/>
      <c r="O4281" s="42"/>
      <c r="R4281" s="37"/>
      <c r="S4281" s="37"/>
      <c r="T4281" s="91"/>
      <c r="U4281" s="91"/>
      <c r="V4281" s="41"/>
      <c r="W4281" s="37"/>
      <c r="X4281" s="37"/>
      <c r="Y4281" s="43"/>
      <c r="Z4281" s="37"/>
      <c r="AA4281" s="37"/>
      <c r="AD4281" s="37"/>
      <c r="AE4281" s="37"/>
      <c r="AF4281" s="37"/>
    </row>
    <row r="4282" spans="1:32" x14ac:dyDescent="0.25">
      <c r="A4282" s="37"/>
      <c r="B4282" s="37"/>
      <c r="C4282" s="37"/>
      <c r="F4282" s="38"/>
      <c r="G4282" s="38"/>
      <c r="H4282" s="38"/>
      <c r="I4282" s="37"/>
      <c r="J4282" s="38"/>
      <c r="K4282" s="38"/>
      <c r="L4282" s="42"/>
      <c r="M4282" s="42"/>
      <c r="N4282" s="42"/>
      <c r="O4282" s="42"/>
      <c r="R4282" s="37"/>
      <c r="S4282" s="37"/>
      <c r="T4282" s="91"/>
      <c r="U4282" s="91"/>
      <c r="V4282" s="41"/>
      <c r="W4282" s="37"/>
      <c r="X4282" s="37"/>
      <c r="Y4282" s="43"/>
      <c r="Z4282" s="37"/>
      <c r="AA4282" s="37"/>
      <c r="AD4282" s="37"/>
      <c r="AE4282" s="37"/>
      <c r="AF4282" s="37"/>
    </row>
    <row r="4283" spans="1:32" x14ac:dyDescent="0.25">
      <c r="A4283" s="37"/>
      <c r="B4283" s="37"/>
      <c r="C4283" s="37"/>
      <c r="F4283" s="38"/>
      <c r="G4283" s="38"/>
      <c r="H4283" s="38"/>
      <c r="I4283" s="37"/>
      <c r="J4283" s="38"/>
      <c r="K4283" s="38"/>
      <c r="L4283" s="42"/>
      <c r="M4283" s="42"/>
      <c r="N4283" s="42"/>
      <c r="O4283" s="42"/>
      <c r="R4283" s="37"/>
      <c r="S4283" s="37"/>
      <c r="T4283" s="91"/>
      <c r="U4283" s="91"/>
      <c r="V4283" s="41"/>
      <c r="W4283" s="37"/>
      <c r="X4283" s="37"/>
      <c r="Y4283" s="43"/>
      <c r="Z4283" s="37"/>
      <c r="AA4283" s="37"/>
      <c r="AD4283" s="37"/>
      <c r="AE4283" s="37"/>
      <c r="AF4283" s="37"/>
    </row>
    <row r="4284" spans="1:32" x14ac:dyDescent="0.25">
      <c r="A4284" s="37"/>
      <c r="B4284" s="37"/>
      <c r="C4284" s="37"/>
      <c r="F4284" s="38"/>
      <c r="G4284" s="38"/>
      <c r="H4284" s="38"/>
      <c r="I4284" s="37"/>
      <c r="J4284" s="38"/>
      <c r="K4284" s="38"/>
      <c r="L4284" s="42"/>
      <c r="M4284" s="42"/>
      <c r="N4284" s="42"/>
      <c r="O4284" s="42"/>
      <c r="R4284" s="37"/>
      <c r="S4284" s="37"/>
      <c r="T4284" s="91"/>
      <c r="U4284" s="91"/>
      <c r="V4284" s="41"/>
      <c r="W4284" s="37"/>
      <c r="X4284" s="37"/>
      <c r="Y4284" s="43"/>
      <c r="Z4284" s="37"/>
      <c r="AA4284" s="37"/>
      <c r="AD4284" s="37"/>
      <c r="AE4284" s="37"/>
      <c r="AF4284" s="37"/>
    </row>
    <row r="4285" spans="1:32" x14ac:dyDescent="0.25">
      <c r="A4285" s="37"/>
      <c r="B4285" s="37"/>
      <c r="C4285" s="37"/>
      <c r="F4285" s="38"/>
      <c r="G4285" s="38"/>
      <c r="H4285" s="38"/>
      <c r="I4285" s="37"/>
      <c r="J4285" s="38"/>
      <c r="K4285" s="38"/>
      <c r="L4285" s="42"/>
      <c r="M4285" s="42"/>
      <c r="N4285" s="42"/>
      <c r="O4285" s="42"/>
      <c r="R4285" s="37"/>
      <c r="S4285" s="37"/>
      <c r="T4285" s="91"/>
      <c r="U4285" s="91"/>
      <c r="V4285" s="41"/>
      <c r="W4285" s="37"/>
      <c r="X4285" s="37"/>
      <c r="Y4285" s="43"/>
      <c r="Z4285" s="37"/>
      <c r="AA4285" s="37"/>
      <c r="AD4285" s="37"/>
      <c r="AE4285" s="37"/>
      <c r="AF4285" s="37"/>
    </row>
    <row r="4286" spans="1:32" x14ac:dyDescent="0.25">
      <c r="A4286" s="37"/>
      <c r="B4286" s="37"/>
      <c r="C4286" s="37"/>
      <c r="F4286" s="38"/>
      <c r="G4286" s="38"/>
      <c r="H4286" s="38"/>
      <c r="I4286" s="37"/>
      <c r="J4286" s="38"/>
      <c r="K4286" s="38"/>
      <c r="L4286" s="42"/>
      <c r="M4286" s="42"/>
      <c r="N4286" s="42"/>
      <c r="O4286" s="42"/>
      <c r="R4286" s="37"/>
      <c r="S4286" s="37"/>
      <c r="T4286" s="91"/>
      <c r="U4286" s="91"/>
      <c r="V4286" s="41"/>
      <c r="W4286" s="37"/>
      <c r="X4286" s="37"/>
      <c r="Y4286" s="43"/>
      <c r="Z4286" s="37"/>
      <c r="AA4286" s="37"/>
      <c r="AD4286" s="37"/>
      <c r="AE4286" s="37"/>
      <c r="AF4286" s="37"/>
    </row>
    <row r="4287" spans="1:32" x14ac:dyDescent="0.25">
      <c r="A4287" s="37"/>
      <c r="B4287" s="37"/>
      <c r="C4287" s="37"/>
      <c r="F4287" s="38"/>
      <c r="G4287" s="38"/>
      <c r="H4287" s="38"/>
      <c r="I4287" s="37"/>
      <c r="J4287" s="38"/>
      <c r="K4287" s="38"/>
      <c r="L4287" s="42"/>
      <c r="M4287" s="42"/>
      <c r="N4287" s="42"/>
      <c r="O4287" s="42"/>
      <c r="R4287" s="37"/>
      <c r="S4287" s="37"/>
      <c r="T4287" s="91"/>
      <c r="U4287" s="91"/>
      <c r="V4287" s="41"/>
      <c r="W4287" s="37"/>
      <c r="X4287" s="37"/>
      <c r="Y4287" s="43"/>
      <c r="Z4287" s="37"/>
      <c r="AA4287" s="37"/>
      <c r="AD4287" s="37"/>
      <c r="AE4287" s="37"/>
      <c r="AF4287" s="37"/>
    </row>
    <row r="4288" spans="1:32" x14ac:dyDescent="0.25">
      <c r="A4288" s="37"/>
      <c r="B4288" s="37"/>
      <c r="C4288" s="37"/>
      <c r="F4288" s="38"/>
      <c r="G4288" s="38"/>
      <c r="H4288" s="38"/>
      <c r="I4288" s="37"/>
      <c r="J4288" s="38"/>
      <c r="K4288" s="38"/>
      <c r="L4288" s="42"/>
      <c r="M4288" s="42"/>
      <c r="N4288" s="42"/>
      <c r="O4288" s="42"/>
      <c r="R4288" s="37"/>
      <c r="S4288" s="37"/>
      <c r="T4288" s="91"/>
      <c r="U4288" s="91"/>
      <c r="V4288" s="41"/>
      <c r="W4288" s="37"/>
      <c r="X4288" s="37"/>
      <c r="Y4288" s="43"/>
      <c r="Z4288" s="37"/>
      <c r="AA4288" s="37"/>
      <c r="AD4288" s="37"/>
      <c r="AE4288" s="37"/>
      <c r="AF4288" s="37"/>
    </row>
    <row r="4289" spans="1:32" x14ac:dyDescent="0.25">
      <c r="A4289" s="37"/>
      <c r="B4289" s="37"/>
      <c r="C4289" s="37"/>
      <c r="F4289" s="38"/>
      <c r="G4289" s="38"/>
      <c r="H4289" s="38"/>
      <c r="I4289" s="37"/>
      <c r="J4289" s="38"/>
      <c r="K4289" s="38"/>
      <c r="L4289" s="42"/>
      <c r="M4289" s="42"/>
      <c r="N4289" s="42"/>
      <c r="O4289" s="42"/>
      <c r="R4289" s="37"/>
      <c r="S4289" s="37"/>
      <c r="T4289" s="91"/>
      <c r="U4289" s="91"/>
      <c r="V4289" s="41"/>
      <c r="W4289" s="37"/>
      <c r="X4289" s="37"/>
      <c r="Y4289" s="43"/>
      <c r="Z4289" s="37"/>
      <c r="AA4289" s="37"/>
      <c r="AD4289" s="37"/>
      <c r="AE4289" s="37"/>
      <c r="AF4289" s="37"/>
    </row>
    <row r="4290" spans="1:32" x14ac:dyDescent="0.25">
      <c r="A4290" s="37"/>
      <c r="B4290" s="37"/>
      <c r="C4290" s="37"/>
      <c r="F4290" s="38"/>
      <c r="G4290" s="38"/>
      <c r="H4290" s="38"/>
      <c r="I4290" s="37"/>
      <c r="J4290" s="38"/>
      <c r="K4290" s="38"/>
      <c r="L4290" s="42"/>
      <c r="M4290" s="42"/>
      <c r="N4290" s="42"/>
      <c r="O4290" s="42"/>
      <c r="R4290" s="37"/>
      <c r="S4290" s="37"/>
      <c r="T4290" s="91"/>
      <c r="U4290" s="91"/>
      <c r="V4290" s="41"/>
      <c r="W4290" s="37"/>
      <c r="X4290" s="37"/>
      <c r="Y4290" s="43"/>
      <c r="Z4290" s="37"/>
      <c r="AA4290" s="37"/>
      <c r="AD4290" s="37"/>
      <c r="AE4290" s="37"/>
      <c r="AF4290" s="37"/>
    </row>
    <row r="4291" spans="1:32" x14ac:dyDescent="0.25">
      <c r="A4291" s="37"/>
      <c r="B4291" s="37"/>
      <c r="C4291" s="37"/>
      <c r="F4291" s="38"/>
      <c r="G4291" s="38"/>
      <c r="H4291" s="38"/>
      <c r="I4291" s="37"/>
      <c r="J4291" s="38"/>
      <c r="K4291" s="38"/>
      <c r="L4291" s="42"/>
      <c r="M4291" s="42"/>
      <c r="N4291" s="42"/>
      <c r="O4291" s="42"/>
      <c r="R4291" s="37"/>
      <c r="S4291" s="37"/>
      <c r="T4291" s="91"/>
      <c r="U4291" s="91"/>
      <c r="V4291" s="41"/>
      <c r="W4291" s="37"/>
      <c r="X4291" s="37"/>
      <c r="Y4291" s="43"/>
      <c r="Z4291" s="37"/>
      <c r="AA4291" s="37"/>
      <c r="AD4291" s="37"/>
      <c r="AE4291" s="37"/>
      <c r="AF4291" s="37"/>
    </row>
    <row r="4292" spans="1:32" x14ac:dyDescent="0.25">
      <c r="A4292" s="37"/>
      <c r="B4292" s="37"/>
      <c r="C4292" s="37"/>
      <c r="F4292" s="38"/>
      <c r="G4292" s="38"/>
      <c r="H4292" s="38"/>
      <c r="I4292" s="37"/>
      <c r="J4292" s="38"/>
      <c r="K4292" s="38"/>
      <c r="L4292" s="42"/>
      <c r="M4292" s="42"/>
      <c r="N4292" s="42"/>
      <c r="O4292" s="42"/>
      <c r="R4292" s="37"/>
      <c r="S4292" s="37"/>
      <c r="T4292" s="91"/>
      <c r="U4292" s="91"/>
      <c r="V4292" s="41"/>
      <c r="W4292" s="37"/>
      <c r="X4292" s="37"/>
      <c r="Y4292" s="43"/>
      <c r="Z4292" s="37"/>
      <c r="AA4292" s="37"/>
      <c r="AD4292" s="37"/>
      <c r="AE4292" s="37"/>
      <c r="AF4292" s="37"/>
    </row>
    <row r="4293" spans="1:32" x14ac:dyDescent="0.25">
      <c r="A4293" s="37"/>
      <c r="B4293" s="37"/>
      <c r="C4293" s="37"/>
      <c r="F4293" s="38"/>
      <c r="G4293" s="38"/>
      <c r="H4293" s="38"/>
      <c r="I4293" s="37"/>
      <c r="J4293" s="38"/>
      <c r="K4293" s="38"/>
      <c r="L4293" s="42"/>
      <c r="M4293" s="42"/>
      <c r="N4293" s="42"/>
      <c r="O4293" s="42"/>
      <c r="R4293" s="37"/>
      <c r="S4293" s="37"/>
      <c r="T4293" s="91"/>
      <c r="U4293" s="91"/>
      <c r="V4293" s="41"/>
      <c r="W4293" s="37"/>
      <c r="X4293" s="37"/>
      <c r="Y4293" s="43"/>
      <c r="Z4293" s="37"/>
      <c r="AA4293" s="37"/>
      <c r="AD4293" s="37"/>
      <c r="AE4293" s="37"/>
      <c r="AF4293" s="37"/>
    </row>
    <row r="4294" spans="1:32" x14ac:dyDescent="0.25">
      <c r="A4294" s="37"/>
      <c r="B4294" s="37"/>
      <c r="C4294" s="37"/>
      <c r="F4294" s="38"/>
      <c r="G4294" s="38"/>
      <c r="H4294" s="38"/>
      <c r="I4294" s="37"/>
      <c r="J4294" s="38"/>
      <c r="K4294" s="38"/>
      <c r="L4294" s="42"/>
      <c r="M4294" s="42"/>
      <c r="N4294" s="42"/>
      <c r="O4294" s="42"/>
      <c r="R4294" s="37"/>
      <c r="S4294" s="37"/>
      <c r="T4294" s="91"/>
      <c r="U4294" s="91"/>
      <c r="V4294" s="41"/>
      <c r="W4294" s="37"/>
      <c r="X4294" s="37"/>
      <c r="Y4294" s="43"/>
      <c r="Z4294" s="37"/>
      <c r="AA4294" s="37"/>
      <c r="AD4294" s="37"/>
      <c r="AE4294" s="37"/>
      <c r="AF4294" s="37"/>
    </row>
    <row r="4295" spans="1:32" x14ac:dyDescent="0.25">
      <c r="A4295" s="37"/>
      <c r="B4295" s="37"/>
      <c r="C4295" s="37"/>
      <c r="F4295" s="38"/>
      <c r="G4295" s="38"/>
      <c r="H4295" s="38"/>
      <c r="I4295" s="37"/>
      <c r="J4295" s="38"/>
      <c r="K4295" s="38"/>
      <c r="L4295" s="42"/>
      <c r="M4295" s="42"/>
      <c r="N4295" s="42"/>
      <c r="O4295" s="42"/>
      <c r="R4295" s="37"/>
      <c r="S4295" s="37"/>
      <c r="T4295" s="91"/>
      <c r="U4295" s="91"/>
      <c r="V4295" s="41"/>
      <c r="W4295" s="37"/>
      <c r="X4295" s="37"/>
      <c r="Y4295" s="43"/>
      <c r="Z4295" s="37"/>
      <c r="AA4295" s="37"/>
      <c r="AD4295" s="37"/>
      <c r="AE4295" s="37"/>
      <c r="AF4295" s="37"/>
    </row>
    <row r="4296" spans="1:32" x14ac:dyDescent="0.25">
      <c r="A4296" s="37"/>
      <c r="B4296" s="37"/>
      <c r="C4296" s="37"/>
      <c r="F4296" s="38"/>
      <c r="G4296" s="38"/>
      <c r="H4296" s="38"/>
      <c r="I4296" s="37"/>
      <c r="J4296" s="38"/>
      <c r="K4296" s="38"/>
      <c r="L4296" s="42"/>
      <c r="M4296" s="42"/>
      <c r="N4296" s="42"/>
      <c r="O4296" s="42"/>
      <c r="R4296" s="37"/>
      <c r="S4296" s="37"/>
      <c r="T4296" s="91"/>
      <c r="U4296" s="91"/>
      <c r="V4296" s="41"/>
      <c r="W4296" s="37"/>
      <c r="X4296" s="37"/>
      <c r="Y4296" s="43"/>
      <c r="Z4296" s="37"/>
      <c r="AA4296" s="37"/>
      <c r="AD4296" s="37"/>
      <c r="AE4296" s="37"/>
      <c r="AF4296" s="37"/>
    </row>
    <row r="4297" spans="1:32" x14ac:dyDescent="0.25">
      <c r="A4297" s="37"/>
      <c r="B4297" s="37"/>
      <c r="C4297" s="37"/>
      <c r="F4297" s="38"/>
      <c r="G4297" s="38"/>
      <c r="H4297" s="38"/>
      <c r="I4297" s="37"/>
      <c r="J4297" s="38"/>
      <c r="K4297" s="38"/>
      <c r="L4297" s="42"/>
      <c r="M4297" s="42"/>
      <c r="N4297" s="42"/>
      <c r="O4297" s="42"/>
      <c r="R4297" s="37"/>
      <c r="S4297" s="37"/>
      <c r="T4297" s="91"/>
      <c r="U4297" s="91"/>
      <c r="V4297" s="41"/>
      <c r="W4297" s="37"/>
      <c r="X4297" s="37"/>
      <c r="Y4297" s="43"/>
      <c r="Z4297" s="37"/>
      <c r="AA4297" s="37"/>
      <c r="AD4297" s="37"/>
      <c r="AE4297" s="37"/>
      <c r="AF4297" s="37"/>
    </row>
    <row r="4298" spans="1:32" x14ac:dyDescent="0.25">
      <c r="A4298" s="37"/>
      <c r="B4298" s="37"/>
      <c r="C4298" s="37"/>
      <c r="F4298" s="38"/>
      <c r="G4298" s="38"/>
      <c r="H4298" s="38"/>
      <c r="I4298" s="37"/>
      <c r="J4298" s="38"/>
      <c r="K4298" s="38"/>
      <c r="L4298" s="42"/>
      <c r="M4298" s="42"/>
      <c r="N4298" s="42"/>
      <c r="O4298" s="42"/>
      <c r="R4298" s="37"/>
      <c r="S4298" s="37"/>
      <c r="T4298" s="91"/>
      <c r="U4298" s="91"/>
      <c r="V4298" s="41"/>
      <c r="W4298" s="37"/>
      <c r="X4298" s="37"/>
      <c r="Y4298" s="43"/>
      <c r="Z4298" s="37"/>
      <c r="AA4298" s="37"/>
      <c r="AD4298" s="37"/>
      <c r="AE4298" s="37"/>
      <c r="AF4298" s="37"/>
    </row>
    <row r="4299" spans="1:32" x14ac:dyDescent="0.25">
      <c r="A4299" s="37"/>
      <c r="B4299" s="37"/>
      <c r="C4299" s="37"/>
      <c r="F4299" s="38"/>
      <c r="G4299" s="38"/>
      <c r="H4299" s="38"/>
      <c r="I4299" s="37"/>
      <c r="J4299" s="38"/>
      <c r="K4299" s="38"/>
      <c r="L4299" s="42"/>
      <c r="M4299" s="42"/>
      <c r="N4299" s="42"/>
      <c r="O4299" s="42"/>
      <c r="R4299" s="37"/>
      <c r="S4299" s="37"/>
      <c r="T4299" s="91"/>
      <c r="U4299" s="91"/>
      <c r="V4299" s="41"/>
      <c r="W4299" s="37"/>
      <c r="X4299" s="37"/>
      <c r="Y4299" s="43"/>
      <c r="Z4299" s="37"/>
      <c r="AA4299" s="37"/>
      <c r="AD4299" s="37"/>
      <c r="AE4299" s="37"/>
      <c r="AF4299" s="37"/>
    </row>
    <row r="4300" spans="1:32" x14ac:dyDescent="0.25">
      <c r="A4300" s="37"/>
      <c r="B4300" s="37"/>
      <c r="C4300" s="37"/>
      <c r="F4300" s="38"/>
      <c r="G4300" s="38"/>
      <c r="H4300" s="38"/>
      <c r="I4300" s="37"/>
      <c r="J4300" s="38"/>
      <c r="K4300" s="38"/>
      <c r="L4300" s="42"/>
      <c r="M4300" s="42"/>
      <c r="N4300" s="42"/>
      <c r="O4300" s="42"/>
      <c r="R4300" s="37"/>
      <c r="S4300" s="37"/>
      <c r="T4300" s="91"/>
      <c r="U4300" s="91"/>
      <c r="V4300" s="41"/>
      <c r="W4300" s="37"/>
      <c r="X4300" s="37"/>
      <c r="Y4300" s="43"/>
      <c r="Z4300" s="37"/>
      <c r="AA4300" s="37"/>
      <c r="AD4300" s="37"/>
      <c r="AE4300" s="37"/>
      <c r="AF4300" s="37"/>
    </row>
    <row r="4301" spans="1:32" x14ac:dyDescent="0.25">
      <c r="A4301" s="37"/>
      <c r="B4301" s="37"/>
      <c r="C4301" s="37"/>
      <c r="F4301" s="38"/>
      <c r="G4301" s="38"/>
      <c r="H4301" s="38"/>
      <c r="I4301" s="37"/>
      <c r="J4301" s="38"/>
      <c r="K4301" s="38"/>
      <c r="L4301" s="42"/>
      <c r="M4301" s="42"/>
      <c r="N4301" s="42"/>
      <c r="O4301" s="42"/>
      <c r="R4301" s="37"/>
      <c r="S4301" s="37"/>
      <c r="T4301" s="91"/>
      <c r="U4301" s="91"/>
      <c r="V4301" s="41"/>
      <c r="W4301" s="37"/>
      <c r="X4301" s="37"/>
      <c r="Y4301" s="43"/>
      <c r="Z4301" s="37"/>
      <c r="AA4301" s="37"/>
      <c r="AD4301" s="37"/>
      <c r="AE4301" s="37"/>
      <c r="AF4301" s="37"/>
    </row>
    <row r="4302" spans="1:32" x14ac:dyDescent="0.25">
      <c r="A4302" s="37"/>
      <c r="B4302" s="37"/>
      <c r="C4302" s="37"/>
      <c r="F4302" s="38"/>
      <c r="G4302" s="38"/>
      <c r="H4302" s="38"/>
      <c r="I4302" s="37"/>
      <c r="J4302" s="38"/>
      <c r="K4302" s="38"/>
      <c r="L4302" s="42"/>
      <c r="M4302" s="42"/>
      <c r="N4302" s="42"/>
      <c r="O4302" s="42"/>
      <c r="R4302" s="37"/>
      <c r="S4302" s="37"/>
      <c r="T4302" s="91"/>
      <c r="U4302" s="91"/>
      <c r="V4302" s="41"/>
      <c r="W4302" s="37"/>
      <c r="X4302" s="37"/>
      <c r="Y4302" s="43"/>
      <c r="Z4302" s="37"/>
      <c r="AA4302" s="37"/>
      <c r="AD4302" s="37"/>
      <c r="AE4302" s="37"/>
      <c r="AF4302" s="37"/>
    </row>
    <row r="4303" spans="1:32" x14ac:dyDescent="0.25">
      <c r="A4303" s="37"/>
      <c r="B4303" s="37"/>
      <c r="C4303" s="37"/>
      <c r="F4303" s="38"/>
      <c r="G4303" s="38"/>
      <c r="H4303" s="38"/>
      <c r="I4303" s="37"/>
      <c r="J4303" s="38"/>
      <c r="K4303" s="38"/>
      <c r="L4303" s="42"/>
      <c r="M4303" s="42"/>
      <c r="N4303" s="42"/>
      <c r="O4303" s="42"/>
      <c r="R4303" s="37"/>
      <c r="S4303" s="37"/>
      <c r="T4303" s="91"/>
      <c r="U4303" s="91"/>
      <c r="V4303" s="41"/>
      <c r="W4303" s="37"/>
      <c r="X4303" s="37"/>
      <c r="Y4303" s="43"/>
      <c r="Z4303" s="37"/>
      <c r="AA4303" s="37"/>
      <c r="AD4303" s="37"/>
      <c r="AE4303" s="37"/>
      <c r="AF4303" s="37"/>
    </row>
    <row r="4304" spans="1:32" x14ac:dyDescent="0.25">
      <c r="A4304" s="37"/>
      <c r="B4304" s="37"/>
      <c r="C4304" s="37"/>
      <c r="F4304" s="38"/>
      <c r="G4304" s="38"/>
      <c r="H4304" s="38"/>
      <c r="I4304" s="37"/>
      <c r="J4304" s="38"/>
      <c r="K4304" s="38"/>
      <c r="L4304" s="42"/>
      <c r="M4304" s="42"/>
      <c r="N4304" s="42"/>
      <c r="O4304" s="42"/>
      <c r="R4304" s="37"/>
      <c r="S4304" s="37"/>
      <c r="T4304" s="91"/>
      <c r="U4304" s="91"/>
      <c r="V4304" s="41"/>
      <c r="W4304" s="37"/>
      <c r="X4304" s="37"/>
      <c r="Y4304" s="43"/>
      <c r="Z4304" s="37"/>
      <c r="AA4304" s="37"/>
      <c r="AD4304" s="37"/>
      <c r="AE4304" s="37"/>
      <c r="AF4304" s="37"/>
    </row>
    <row r="4305" spans="1:32" x14ac:dyDescent="0.25">
      <c r="A4305" s="37"/>
      <c r="B4305" s="37"/>
      <c r="C4305" s="37"/>
      <c r="F4305" s="38"/>
      <c r="G4305" s="38"/>
      <c r="H4305" s="38"/>
      <c r="I4305" s="37"/>
      <c r="J4305" s="38"/>
      <c r="K4305" s="38"/>
      <c r="L4305" s="42"/>
      <c r="M4305" s="42"/>
      <c r="N4305" s="42"/>
      <c r="O4305" s="42"/>
      <c r="R4305" s="37"/>
      <c r="S4305" s="37"/>
      <c r="T4305" s="91"/>
      <c r="U4305" s="91"/>
      <c r="V4305" s="41"/>
      <c r="W4305" s="37"/>
      <c r="X4305" s="37"/>
      <c r="Y4305" s="43"/>
      <c r="Z4305" s="37"/>
      <c r="AA4305" s="37"/>
      <c r="AD4305" s="37"/>
      <c r="AE4305" s="37"/>
      <c r="AF4305" s="37"/>
    </row>
    <row r="4306" spans="1:32" x14ac:dyDescent="0.25">
      <c r="A4306" s="37"/>
      <c r="B4306" s="37"/>
      <c r="C4306" s="37"/>
      <c r="F4306" s="38"/>
      <c r="G4306" s="38"/>
      <c r="H4306" s="38"/>
      <c r="I4306" s="37"/>
      <c r="J4306" s="38"/>
      <c r="K4306" s="38"/>
      <c r="L4306" s="42"/>
      <c r="M4306" s="42"/>
      <c r="N4306" s="42"/>
      <c r="O4306" s="42"/>
      <c r="R4306" s="37"/>
      <c r="S4306" s="37"/>
      <c r="T4306" s="91"/>
      <c r="U4306" s="91"/>
      <c r="V4306" s="41"/>
      <c r="W4306" s="37"/>
      <c r="X4306" s="37"/>
      <c r="Y4306" s="43"/>
      <c r="Z4306" s="37"/>
      <c r="AA4306" s="37"/>
      <c r="AD4306" s="37"/>
      <c r="AE4306" s="37"/>
      <c r="AF4306" s="37"/>
    </row>
    <row r="4307" spans="1:32" x14ac:dyDescent="0.25">
      <c r="A4307" s="37"/>
      <c r="B4307" s="37"/>
      <c r="C4307" s="37"/>
      <c r="F4307" s="38"/>
      <c r="G4307" s="38"/>
      <c r="H4307" s="38"/>
      <c r="I4307" s="37"/>
      <c r="J4307" s="38"/>
      <c r="K4307" s="38"/>
      <c r="L4307" s="42"/>
      <c r="M4307" s="42"/>
      <c r="N4307" s="42"/>
      <c r="O4307" s="42"/>
      <c r="R4307" s="37"/>
      <c r="S4307" s="37"/>
      <c r="T4307" s="91"/>
      <c r="U4307" s="91"/>
      <c r="V4307" s="41"/>
      <c r="W4307" s="37"/>
      <c r="X4307" s="37"/>
      <c r="Y4307" s="43"/>
      <c r="Z4307" s="37"/>
      <c r="AA4307" s="37"/>
      <c r="AD4307" s="37"/>
      <c r="AE4307" s="37"/>
      <c r="AF4307" s="37"/>
    </row>
    <row r="4308" spans="1:32" x14ac:dyDescent="0.25">
      <c r="A4308" s="37"/>
      <c r="B4308" s="37"/>
      <c r="C4308" s="37"/>
      <c r="F4308" s="38"/>
      <c r="G4308" s="38"/>
      <c r="H4308" s="38"/>
      <c r="I4308" s="37"/>
      <c r="J4308" s="38"/>
      <c r="K4308" s="38"/>
      <c r="L4308" s="42"/>
      <c r="M4308" s="42"/>
      <c r="N4308" s="42"/>
      <c r="O4308" s="42"/>
      <c r="R4308" s="37"/>
      <c r="S4308" s="37"/>
      <c r="T4308" s="91"/>
      <c r="U4308" s="91"/>
      <c r="V4308" s="41"/>
      <c r="W4308" s="37"/>
      <c r="X4308" s="37"/>
      <c r="Y4308" s="43"/>
      <c r="Z4308" s="37"/>
      <c r="AA4308" s="37"/>
      <c r="AD4308" s="37"/>
      <c r="AE4308" s="37"/>
      <c r="AF4308" s="37"/>
    </row>
    <row r="4309" spans="1:32" x14ac:dyDescent="0.25">
      <c r="A4309" s="37"/>
      <c r="B4309" s="37"/>
      <c r="C4309" s="37"/>
      <c r="F4309" s="38"/>
      <c r="G4309" s="38"/>
      <c r="H4309" s="38"/>
      <c r="I4309" s="37"/>
      <c r="J4309" s="38"/>
      <c r="K4309" s="38"/>
      <c r="L4309" s="42"/>
      <c r="M4309" s="42"/>
      <c r="N4309" s="42"/>
      <c r="O4309" s="42"/>
      <c r="R4309" s="37"/>
      <c r="S4309" s="37"/>
      <c r="T4309" s="91"/>
      <c r="U4309" s="91"/>
      <c r="V4309" s="41"/>
      <c r="W4309" s="37"/>
      <c r="X4309" s="37"/>
      <c r="Y4309" s="43"/>
      <c r="Z4309" s="37"/>
      <c r="AA4309" s="37"/>
      <c r="AD4309" s="37"/>
      <c r="AE4309" s="37"/>
      <c r="AF4309" s="37"/>
    </row>
    <row r="4310" spans="1:32" x14ac:dyDescent="0.25">
      <c r="A4310" s="37"/>
      <c r="B4310" s="37"/>
      <c r="C4310" s="37"/>
      <c r="F4310" s="38"/>
      <c r="G4310" s="38"/>
      <c r="H4310" s="38"/>
      <c r="I4310" s="37"/>
      <c r="J4310" s="38"/>
      <c r="K4310" s="38"/>
      <c r="L4310" s="42"/>
      <c r="M4310" s="42"/>
      <c r="N4310" s="42"/>
      <c r="O4310" s="42"/>
      <c r="R4310" s="37"/>
      <c r="S4310" s="37"/>
      <c r="T4310" s="91"/>
      <c r="U4310" s="91"/>
      <c r="V4310" s="41"/>
      <c r="W4310" s="37"/>
      <c r="X4310" s="37"/>
      <c r="Y4310" s="43"/>
      <c r="Z4310" s="37"/>
      <c r="AA4310" s="37"/>
      <c r="AD4310" s="37"/>
      <c r="AE4310" s="37"/>
      <c r="AF4310" s="37"/>
    </row>
    <row r="4311" spans="1:32" x14ac:dyDescent="0.25">
      <c r="A4311" s="37"/>
      <c r="B4311" s="37"/>
      <c r="C4311" s="37"/>
      <c r="F4311" s="38"/>
      <c r="G4311" s="38"/>
      <c r="H4311" s="38"/>
      <c r="I4311" s="37"/>
      <c r="J4311" s="38"/>
      <c r="K4311" s="38"/>
      <c r="L4311" s="42"/>
      <c r="M4311" s="42"/>
      <c r="N4311" s="42"/>
      <c r="O4311" s="42"/>
      <c r="R4311" s="37"/>
      <c r="S4311" s="37"/>
      <c r="T4311" s="91"/>
      <c r="U4311" s="91"/>
      <c r="V4311" s="41"/>
      <c r="W4311" s="37"/>
      <c r="X4311" s="37"/>
      <c r="Y4311" s="43"/>
      <c r="Z4311" s="37"/>
      <c r="AA4311" s="37"/>
      <c r="AD4311" s="37"/>
      <c r="AE4311" s="37"/>
      <c r="AF4311" s="37"/>
    </row>
    <row r="4312" spans="1:32" x14ac:dyDescent="0.25">
      <c r="A4312" s="37"/>
      <c r="B4312" s="37"/>
      <c r="C4312" s="37"/>
      <c r="F4312" s="38"/>
      <c r="G4312" s="38"/>
      <c r="H4312" s="38"/>
      <c r="I4312" s="37"/>
      <c r="J4312" s="38"/>
      <c r="K4312" s="38"/>
      <c r="L4312" s="42"/>
      <c r="M4312" s="42"/>
      <c r="N4312" s="42"/>
      <c r="O4312" s="42"/>
      <c r="R4312" s="37"/>
      <c r="S4312" s="37"/>
      <c r="T4312" s="91"/>
      <c r="U4312" s="91"/>
      <c r="V4312" s="41"/>
      <c r="W4312" s="37"/>
      <c r="X4312" s="37"/>
      <c r="Y4312" s="43"/>
      <c r="Z4312" s="37"/>
      <c r="AA4312" s="37"/>
      <c r="AD4312" s="37"/>
      <c r="AE4312" s="37"/>
      <c r="AF4312" s="37"/>
    </row>
    <row r="4313" spans="1:32" x14ac:dyDescent="0.25">
      <c r="A4313" s="37"/>
      <c r="B4313" s="37"/>
      <c r="C4313" s="37"/>
      <c r="F4313" s="38"/>
      <c r="G4313" s="38"/>
      <c r="H4313" s="38"/>
      <c r="I4313" s="37"/>
      <c r="J4313" s="38"/>
      <c r="K4313" s="38"/>
      <c r="L4313" s="42"/>
      <c r="M4313" s="42"/>
      <c r="N4313" s="42"/>
      <c r="O4313" s="42"/>
      <c r="R4313" s="37"/>
      <c r="S4313" s="37"/>
      <c r="T4313" s="91"/>
      <c r="U4313" s="91"/>
      <c r="V4313" s="41"/>
      <c r="W4313" s="37"/>
      <c r="X4313" s="37"/>
      <c r="Y4313" s="43"/>
      <c r="Z4313" s="37"/>
      <c r="AA4313" s="37"/>
      <c r="AD4313" s="37"/>
      <c r="AE4313" s="37"/>
      <c r="AF4313" s="37"/>
    </row>
    <row r="4314" spans="1:32" x14ac:dyDescent="0.25">
      <c r="A4314" s="37"/>
      <c r="B4314" s="37"/>
      <c r="C4314" s="37"/>
      <c r="F4314" s="38"/>
      <c r="G4314" s="38"/>
      <c r="H4314" s="38"/>
      <c r="I4314" s="37"/>
      <c r="J4314" s="38"/>
      <c r="K4314" s="38"/>
      <c r="L4314" s="42"/>
      <c r="M4314" s="42"/>
      <c r="N4314" s="42"/>
      <c r="O4314" s="42"/>
      <c r="R4314" s="37"/>
      <c r="S4314" s="37"/>
      <c r="T4314" s="91"/>
      <c r="U4314" s="91"/>
      <c r="V4314" s="41"/>
      <c r="W4314" s="37"/>
      <c r="X4314" s="37"/>
      <c r="Y4314" s="43"/>
      <c r="Z4314" s="37"/>
      <c r="AA4314" s="37"/>
      <c r="AD4314" s="37"/>
      <c r="AE4314" s="37"/>
      <c r="AF4314" s="37"/>
    </row>
    <row r="4315" spans="1:32" x14ac:dyDescent="0.25">
      <c r="A4315" s="37"/>
      <c r="B4315" s="37"/>
      <c r="C4315" s="37"/>
      <c r="F4315" s="38"/>
      <c r="G4315" s="38"/>
      <c r="H4315" s="38"/>
      <c r="I4315" s="37"/>
      <c r="J4315" s="38"/>
      <c r="K4315" s="38"/>
      <c r="L4315" s="42"/>
      <c r="M4315" s="42"/>
      <c r="N4315" s="42"/>
      <c r="O4315" s="42"/>
      <c r="R4315" s="37"/>
      <c r="S4315" s="37"/>
      <c r="T4315" s="91"/>
      <c r="U4315" s="91"/>
      <c r="V4315" s="41"/>
      <c r="W4315" s="37"/>
      <c r="X4315" s="37"/>
      <c r="Y4315" s="43"/>
      <c r="Z4315" s="37"/>
      <c r="AA4315" s="37"/>
      <c r="AD4315" s="37"/>
      <c r="AE4315" s="37"/>
      <c r="AF4315" s="37"/>
    </row>
    <row r="4316" spans="1:32" x14ac:dyDescent="0.25">
      <c r="A4316" s="37"/>
      <c r="B4316" s="37"/>
      <c r="C4316" s="37"/>
      <c r="F4316" s="38"/>
      <c r="G4316" s="38"/>
      <c r="H4316" s="38"/>
      <c r="I4316" s="37"/>
      <c r="J4316" s="38"/>
      <c r="K4316" s="38"/>
      <c r="L4316" s="42"/>
      <c r="M4316" s="42"/>
      <c r="N4316" s="42"/>
      <c r="O4316" s="42"/>
      <c r="R4316" s="37"/>
      <c r="S4316" s="37"/>
      <c r="T4316" s="91"/>
      <c r="U4316" s="91"/>
      <c r="V4316" s="41"/>
      <c r="W4316" s="37"/>
      <c r="X4316" s="37"/>
      <c r="Y4316" s="43"/>
      <c r="Z4316" s="37"/>
      <c r="AA4316" s="37"/>
      <c r="AD4316" s="37"/>
      <c r="AE4316" s="37"/>
      <c r="AF4316" s="37"/>
    </row>
    <row r="4317" spans="1:32" x14ac:dyDescent="0.25">
      <c r="A4317" s="37"/>
      <c r="B4317" s="37"/>
      <c r="C4317" s="37"/>
      <c r="F4317" s="38"/>
      <c r="G4317" s="38"/>
      <c r="H4317" s="38"/>
      <c r="I4317" s="37"/>
      <c r="J4317" s="38"/>
      <c r="K4317" s="38"/>
      <c r="L4317" s="42"/>
      <c r="M4317" s="42"/>
      <c r="N4317" s="42"/>
      <c r="O4317" s="42"/>
      <c r="R4317" s="37"/>
      <c r="S4317" s="37"/>
      <c r="T4317" s="91"/>
      <c r="U4317" s="91"/>
      <c r="V4317" s="41"/>
      <c r="W4317" s="37"/>
      <c r="X4317" s="37"/>
      <c r="Y4317" s="43"/>
      <c r="Z4317" s="37"/>
      <c r="AA4317" s="37"/>
      <c r="AD4317" s="37"/>
      <c r="AE4317" s="37"/>
      <c r="AF4317" s="37"/>
    </row>
    <row r="4318" spans="1:32" x14ac:dyDescent="0.25">
      <c r="A4318" s="37"/>
      <c r="B4318" s="37"/>
      <c r="C4318" s="37"/>
      <c r="F4318" s="38"/>
      <c r="G4318" s="38"/>
      <c r="H4318" s="38"/>
      <c r="I4318" s="37"/>
      <c r="J4318" s="38"/>
      <c r="K4318" s="38"/>
      <c r="L4318" s="42"/>
      <c r="M4318" s="42"/>
      <c r="N4318" s="42"/>
      <c r="O4318" s="42"/>
      <c r="R4318" s="37"/>
      <c r="S4318" s="37"/>
      <c r="T4318" s="91"/>
      <c r="U4318" s="91"/>
      <c r="V4318" s="41"/>
      <c r="W4318" s="37"/>
      <c r="X4318" s="37"/>
      <c r="Y4318" s="43"/>
      <c r="Z4318" s="37"/>
      <c r="AA4318" s="37"/>
      <c r="AD4318" s="37"/>
      <c r="AE4318" s="37"/>
      <c r="AF4318" s="37"/>
    </row>
    <row r="4319" spans="1:32" x14ac:dyDescent="0.25">
      <c r="A4319" s="37"/>
      <c r="B4319" s="37"/>
      <c r="C4319" s="37"/>
      <c r="F4319" s="38"/>
      <c r="G4319" s="38"/>
      <c r="H4319" s="38"/>
      <c r="I4319" s="37"/>
      <c r="J4319" s="38"/>
      <c r="K4319" s="38"/>
      <c r="L4319" s="42"/>
      <c r="M4319" s="42"/>
      <c r="N4319" s="42"/>
      <c r="O4319" s="42"/>
      <c r="R4319" s="37"/>
      <c r="S4319" s="37"/>
      <c r="T4319" s="91"/>
      <c r="U4319" s="91"/>
      <c r="V4319" s="41"/>
      <c r="W4319" s="37"/>
      <c r="X4319" s="37"/>
      <c r="Y4319" s="43"/>
      <c r="Z4319" s="37"/>
      <c r="AA4319" s="37"/>
      <c r="AD4319" s="37"/>
      <c r="AE4319" s="37"/>
      <c r="AF4319" s="37"/>
    </row>
    <row r="4320" spans="1:32" x14ac:dyDescent="0.25">
      <c r="A4320" s="37"/>
      <c r="B4320" s="37"/>
      <c r="C4320" s="37"/>
      <c r="F4320" s="38"/>
      <c r="G4320" s="38"/>
      <c r="H4320" s="38"/>
      <c r="I4320" s="37"/>
      <c r="J4320" s="38"/>
      <c r="K4320" s="38"/>
      <c r="L4320" s="42"/>
      <c r="M4320" s="42"/>
      <c r="N4320" s="42"/>
      <c r="O4320" s="42"/>
      <c r="R4320" s="37"/>
      <c r="S4320" s="37"/>
      <c r="T4320" s="91"/>
      <c r="U4320" s="91"/>
      <c r="V4320" s="41"/>
      <c r="W4320" s="37"/>
      <c r="X4320" s="37"/>
      <c r="Y4320" s="43"/>
      <c r="Z4320" s="37"/>
      <c r="AA4320" s="37"/>
      <c r="AD4320" s="37"/>
      <c r="AE4320" s="37"/>
      <c r="AF4320" s="37"/>
    </row>
    <row r="4321" spans="1:32" x14ac:dyDescent="0.25">
      <c r="A4321" s="37"/>
      <c r="B4321" s="37"/>
      <c r="C4321" s="37"/>
      <c r="F4321" s="38"/>
      <c r="G4321" s="38"/>
      <c r="H4321" s="38"/>
      <c r="I4321" s="37"/>
      <c r="J4321" s="38"/>
      <c r="K4321" s="38"/>
      <c r="L4321" s="42"/>
      <c r="M4321" s="42"/>
      <c r="N4321" s="42"/>
      <c r="O4321" s="42"/>
      <c r="R4321" s="37"/>
      <c r="S4321" s="37"/>
      <c r="T4321" s="91"/>
      <c r="U4321" s="91"/>
      <c r="V4321" s="41"/>
      <c r="W4321" s="37"/>
      <c r="X4321" s="37"/>
      <c r="Y4321" s="43"/>
      <c r="Z4321" s="37"/>
      <c r="AA4321" s="37"/>
      <c r="AD4321" s="37"/>
      <c r="AE4321" s="37"/>
      <c r="AF4321" s="37"/>
    </row>
    <row r="4322" spans="1:32" x14ac:dyDescent="0.25">
      <c r="A4322" s="37"/>
      <c r="B4322" s="37"/>
      <c r="C4322" s="37"/>
      <c r="F4322" s="38"/>
      <c r="G4322" s="38"/>
      <c r="H4322" s="38"/>
      <c r="I4322" s="37"/>
      <c r="J4322" s="38"/>
      <c r="K4322" s="38"/>
      <c r="L4322" s="42"/>
      <c r="M4322" s="42"/>
      <c r="N4322" s="42"/>
      <c r="O4322" s="42"/>
      <c r="R4322" s="37"/>
      <c r="S4322" s="37"/>
      <c r="T4322" s="91"/>
      <c r="U4322" s="91"/>
      <c r="V4322" s="41"/>
      <c r="W4322" s="37"/>
      <c r="X4322" s="37"/>
      <c r="Y4322" s="43"/>
      <c r="Z4322" s="37"/>
      <c r="AA4322" s="37"/>
      <c r="AD4322" s="37"/>
      <c r="AE4322" s="37"/>
      <c r="AF4322" s="37"/>
    </row>
    <row r="4323" spans="1:32" x14ac:dyDescent="0.25">
      <c r="A4323" s="37"/>
      <c r="B4323" s="37"/>
      <c r="C4323" s="37"/>
      <c r="F4323" s="38"/>
      <c r="G4323" s="38"/>
      <c r="H4323" s="38"/>
      <c r="I4323" s="37"/>
      <c r="J4323" s="38"/>
      <c r="K4323" s="38"/>
      <c r="L4323" s="42"/>
      <c r="M4323" s="42"/>
      <c r="N4323" s="42"/>
      <c r="O4323" s="42"/>
      <c r="R4323" s="37"/>
      <c r="S4323" s="37"/>
      <c r="T4323" s="91"/>
      <c r="U4323" s="91"/>
      <c r="V4323" s="41"/>
      <c r="W4323" s="37"/>
      <c r="X4323" s="37"/>
      <c r="Y4323" s="43"/>
      <c r="Z4323" s="37"/>
      <c r="AA4323" s="37"/>
      <c r="AD4323" s="37"/>
      <c r="AE4323" s="37"/>
      <c r="AF4323" s="37"/>
    </row>
    <row r="4324" spans="1:32" x14ac:dyDescent="0.25">
      <c r="A4324" s="37"/>
      <c r="B4324" s="37"/>
      <c r="C4324" s="37"/>
      <c r="F4324" s="38"/>
      <c r="G4324" s="38"/>
      <c r="H4324" s="38"/>
      <c r="I4324" s="37"/>
      <c r="J4324" s="38"/>
      <c r="K4324" s="38"/>
      <c r="L4324" s="42"/>
      <c r="M4324" s="42"/>
      <c r="N4324" s="42"/>
      <c r="O4324" s="42"/>
      <c r="R4324" s="37"/>
      <c r="S4324" s="37"/>
      <c r="T4324" s="91"/>
      <c r="U4324" s="91"/>
      <c r="V4324" s="41"/>
      <c r="W4324" s="37"/>
      <c r="X4324" s="37"/>
      <c r="Y4324" s="43"/>
      <c r="Z4324" s="37"/>
      <c r="AA4324" s="37"/>
      <c r="AD4324" s="37"/>
      <c r="AE4324" s="37"/>
      <c r="AF4324" s="37"/>
    </row>
    <row r="4325" spans="1:32" x14ac:dyDescent="0.25">
      <c r="A4325" s="37"/>
      <c r="B4325" s="37"/>
      <c r="C4325" s="37"/>
      <c r="F4325" s="38"/>
      <c r="G4325" s="38"/>
      <c r="H4325" s="38"/>
      <c r="I4325" s="37"/>
      <c r="J4325" s="38"/>
      <c r="K4325" s="38"/>
      <c r="L4325" s="42"/>
      <c r="M4325" s="42"/>
      <c r="N4325" s="42"/>
      <c r="O4325" s="42"/>
      <c r="R4325" s="37"/>
      <c r="S4325" s="37"/>
      <c r="T4325" s="91"/>
      <c r="U4325" s="91"/>
      <c r="V4325" s="41"/>
      <c r="W4325" s="37"/>
      <c r="X4325" s="37"/>
      <c r="Y4325" s="43"/>
      <c r="Z4325" s="37"/>
      <c r="AA4325" s="37"/>
      <c r="AD4325" s="37"/>
      <c r="AE4325" s="37"/>
      <c r="AF4325" s="37"/>
    </row>
    <row r="4326" spans="1:32" x14ac:dyDescent="0.25">
      <c r="A4326" s="37"/>
      <c r="B4326" s="37"/>
      <c r="C4326" s="37"/>
      <c r="F4326" s="38"/>
      <c r="G4326" s="38"/>
      <c r="H4326" s="38"/>
      <c r="I4326" s="37"/>
      <c r="J4326" s="38"/>
      <c r="K4326" s="38"/>
      <c r="L4326" s="42"/>
      <c r="M4326" s="42"/>
      <c r="N4326" s="42"/>
      <c r="O4326" s="42"/>
      <c r="R4326" s="37"/>
      <c r="S4326" s="37"/>
      <c r="T4326" s="91"/>
      <c r="U4326" s="91"/>
      <c r="V4326" s="41"/>
      <c r="W4326" s="37"/>
      <c r="X4326" s="37"/>
      <c r="Y4326" s="43"/>
      <c r="Z4326" s="37"/>
      <c r="AA4326" s="37"/>
      <c r="AD4326" s="37"/>
      <c r="AE4326" s="37"/>
      <c r="AF4326" s="37"/>
    </row>
    <row r="4327" spans="1:32" x14ac:dyDescent="0.25">
      <c r="A4327" s="37"/>
      <c r="B4327" s="37"/>
      <c r="C4327" s="37"/>
      <c r="F4327" s="38"/>
      <c r="G4327" s="38"/>
      <c r="H4327" s="38"/>
      <c r="I4327" s="37"/>
      <c r="J4327" s="38"/>
      <c r="K4327" s="38"/>
      <c r="L4327" s="42"/>
      <c r="M4327" s="42"/>
      <c r="N4327" s="42"/>
      <c r="O4327" s="42"/>
      <c r="R4327" s="37"/>
      <c r="S4327" s="37"/>
      <c r="T4327" s="91"/>
      <c r="U4327" s="91"/>
      <c r="V4327" s="41"/>
      <c r="W4327" s="37"/>
      <c r="X4327" s="37"/>
      <c r="Y4327" s="43"/>
      <c r="Z4327" s="37"/>
      <c r="AA4327" s="37"/>
      <c r="AD4327" s="37"/>
      <c r="AE4327" s="37"/>
      <c r="AF4327" s="37"/>
    </row>
    <row r="4328" spans="1:32" x14ac:dyDescent="0.25">
      <c r="A4328" s="37"/>
      <c r="B4328" s="37"/>
      <c r="C4328" s="37"/>
      <c r="F4328" s="38"/>
      <c r="G4328" s="38"/>
      <c r="H4328" s="38"/>
      <c r="I4328" s="37"/>
      <c r="J4328" s="38"/>
      <c r="K4328" s="38"/>
      <c r="L4328" s="42"/>
      <c r="M4328" s="42"/>
      <c r="N4328" s="42"/>
      <c r="O4328" s="42"/>
      <c r="R4328" s="37"/>
      <c r="S4328" s="37"/>
      <c r="T4328" s="91"/>
      <c r="U4328" s="91"/>
      <c r="V4328" s="41"/>
      <c r="W4328" s="37"/>
      <c r="X4328" s="37"/>
      <c r="Y4328" s="43"/>
      <c r="Z4328" s="37"/>
      <c r="AA4328" s="37"/>
      <c r="AD4328" s="37"/>
      <c r="AE4328" s="37"/>
      <c r="AF4328" s="37"/>
    </row>
    <row r="4329" spans="1:32" x14ac:dyDescent="0.25">
      <c r="A4329" s="37"/>
      <c r="B4329" s="37"/>
      <c r="C4329" s="37"/>
      <c r="F4329" s="38"/>
      <c r="G4329" s="38"/>
      <c r="H4329" s="38"/>
      <c r="I4329" s="37"/>
      <c r="J4329" s="38"/>
      <c r="K4329" s="38"/>
      <c r="L4329" s="42"/>
      <c r="M4329" s="42"/>
      <c r="N4329" s="42"/>
      <c r="O4329" s="42"/>
      <c r="R4329" s="37"/>
      <c r="S4329" s="37"/>
      <c r="T4329" s="91"/>
      <c r="U4329" s="91"/>
      <c r="V4329" s="41"/>
      <c r="W4329" s="37"/>
      <c r="X4329" s="37"/>
      <c r="Y4329" s="43"/>
      <c r="Z4329" s="37"/>
      <c r="AA4329" s="37"/>
      <c r="AD4329" s="37"/>
      <c r="AE4329" s="37"/>
      <c r="AF4329" s="37"/>
    </row>
    <row r="4330" spans="1:32" x14ac:dyDescent="0.25">
      <c r="A4330" s="37"/>
      <c r="B4330" s="37"/>
      <c r="C4330" s="37"/>
      <c r="F4330" s="38"/>
      <c r="G4330" s="38"/>
      <c r="H4330" s="38"/>
      <c r="I4330" s="37"/>
      <c r="J4330" s="38"/>
      <c r="K4330" s="38"/>
      <c r="L4330" s="42"/>
      <c r="M4330" s="42"/>
      <c r="N4330" s="42"/>
      <c r="O4330" s="42"/>
      <c r="R4330" s="37"/>
      <c r="S4330" s="37"/>
      <c r="T4330" s="91"/>
      <c r="U4330" s="91"/>
      <c r="V4330" s="41"/>
      <c r="W4330" s="37"/>
      <c r="X4330" s="37"/>
      <c r="Y4330" s="43"/>
      <c r="Z4330" s="37"/>
      <c r="AA4330" s="37"/>
      <c r="AD4330" s="37"/>
      <c r="AE4330" s="37"/>
      <c r="AF4330" s="37"/>
    </row>
    <row r="4331" spans="1:32" x14ac:dyDescent="0.25">
      <c r="A4331" s="37"/>
      <c r="B4331" s="37"/>
      <c r="C4331" s="37"/>
      <c r="F4331" s="38"/>
      <c r="G4331" s="38"/>
      <c r="H4331" s="38"/>
      <c r="I4331" s="37"/>
      <c r="J4331" s="38"/>
      <c r="K4331" s="38"/>
      <c r="L4331" s="42"/>
      <c r="M4331" s="42"/>
      <c r="N4331" s="42"/>
      <c r="O4331" s="42"/>
      <c r="R4331" s="37"/>
      <c r="S4331" s="37"/>
      <c r="T4331" s="91"/>
      <c r="U4331" s="91"/>
      <c r="V4331" s="41"/>
      <c r="W4331" s="37"/>
      <c r="X4331" s="37"/>
      <c r="Y4331" s="43"/>
      <c r="Z4331" s="37"/>
      <c r="AA4331" s="37"/>
      <c r="AD4331" s="37"/>
      <c r="AE4331" s="37"/>
      <c r="AF4331" s="37"/>
    </row>
    <row r="4332" spans="1:32" x14ac:dyDescent="0.25">
      <c r="A4332" s="37"/>
      <c r="B4332" s="37"/>
      <c r="C4332" s="37"/>
      <c r="F4332" s="38"/>
      <c r="G4332" s="38"/>
      <c r="H4332" s="38"/>
      <c r="I4332" s="37"/>
      <c r="J4332" s="38"/>
      <c r="K4332" s="38"/>
      <c r="L4332" s="42"/>
      <c r="M4332" s="42"/>
      <c r="N4332" s="42"/>
      <c r="O4332" s="42"/>
      <c r="R4332" s="37"/>
      <c r="S4332" s="37"/>
      <c r="T4332" s="91"/>
      <c r="U4332" s="91"/>
      <c r="V4332" s="41"/>
      <c r="W4332" s="37"/>
      <c r="X4332" s="37"/>
      <c r="Y4332" s="43"/>
      <c r="Z4332" s="37"/>
      <c r="AA4332" s="37"/>
      <c r="AD4332" s="37"/>
      <c r="AE4332" s="37"/>
      <c r="AF4332" s="37"/>
    </row>
    <row r="4333" spans="1:32" x14ac:dyDescent="0.25">
      <c r="A4333" s="37"/>
      <c r="B4333" s="37"/>
      <c r="C4333" s="37"/>
      <c r="F4333" s="38"/>
      <c r="G4333" s="38"/>
      <c r="H4333" s="38"/>
      <c r="I4333" s="37"/>
      <c r="J4333" s="38"/>
      <c r="K4333" s="38"/>
      <c r="L4333" s="42"/>
      <c r="M4333" s="42"/>
      <c r="N4333" s="42"/>
      <c r="O4333" s="42"/>
      <c r="R4333" s="37"/>
      <c r="S4333" s="37"/>
      <c r="T4333" s="91"/>
      <c r="U4333" s="91"/>
      <c r="V4333" s="41"/>
      <c r="W4333" s="37"/>
      <c r="X4333" s="37"/>
      <c r="Y4333" s="43"/>
      <c r="Z4333" s="37"/>
      <c r="AA4333" s="37"/>
      <c r="AD4333" s="37"/>
      <c r="AE4333" s="37"/>
      <c r="AF4333" s="37"/>
    </row>
    <row r="4334" spans="1:32" x14ac:dyDescent="0.25">
      <c r="A4334" s="37"/>
      <c r="B4334" s="37"/>
      <c r="C4334" s="37"/>
      <c r="F4334" s="38"/>
      <c r="G4334" s="38"/>
      <c r="H4334" s="38"/>
      <c r="I4334" s="37"/>
      <c r="J4334" s="38"/>
      <c r="K4334" s="38"/>
      <c r="L4334" s="42"/>
      <c r="M4334" s="42"/>
      <c r="N4334" s="42"/>
      <c r="O4334" s="42"/>
      <c r="R4334" s="37"/>
      <c r="S4334" s="37"/>
      <c r="T4334" s="91"/>
      <c r="U4334" s="91"/>
      <c r="V4334" s="41"/>
      <c r="W4334" s="37"/>
      <c r="X4334" s="37"/>
      <c r="Y4334" s="43"/>
      <c r="Z4334" s="37"/>
      <c r="AA4334" s="37"/>
      <c r="AD4334" s="37"/>
      <c r="AE4334" s="37"/>
      <c r="AF4334" s="37"/>
    </row>
    <row r="4335" spans="1:32" x14ac:dyDescent="0.25">
      <c r="A4335" s="37"/>
      <c r="B4335" s="37"/>
      <c r="C4335" s="37"/>
      <c r="F4335" s="38"/>
      <c r="G4335" s="38"/>
      <c r="H4335" s="38"/>
      <c r="I4335" s="37"/>
      <c r="J4335" s="38"/>
      <c r="K4335" s="38"/>
      <c r="L4335" s="42"/>
      <c r="M4335" s="42"/>
      <c r="N4335" s="42"/>
      <c r="O4335" s="42"/>
      <c r="R4335" s="37"/>
      <c r="S4335" s="37"/>
      <c r="T4335" s="91"/>
      <c r="U4335" s="91"/>
      <c r="V4335" s="41"/>
      <c r="W4335" s="37"/>
      <c r="X4335" s="37"/>
      <c r="Y4335" s="43"/>
      <c r="Z4335" s="37"/>
      <c r="AA4335" s="37"/>
      <c r="AD4335" s="37"/>
      <c r="AE4335" s="37"/>
      <c r="AF4335" s="37"/>
    </row>
    <row r="4336" spans="1:32" x14ac:dyDescent="0.25">
      <c r="A4336" s="37"/>
      <c r="B4336" s="37"/>
      <c r="C4336" s="37"/>
      <c r="F4336" s="38"/>
      <c r="G4336" s="38"/>
      <c r="H4336" s="38"/>
      <c r="I4336" s="37"/>
      <c r="J4336" s="38"/>
      <c r="K4336" s="38"/>
      <c r="L4336" s="42"/>
      <c r="M4336" s="42"/>
      <c r="N4336" s="42"/>
      <c r="O4336" s="42"/>
      <c r="R4336" s="37"/>
      <c r="S4336" s="37"/>
      <c r="T4336" s="91"/>
      <c r="U4336" s="91"/>
      <c r="V4336" s="41"/>
      <c r="W4336" s="37"/>
      <c r="X4336" s="37"/>
      <c r="Y4336" s="43"/>
      <c r="Z4336" s="37"/>
      <c r="AA4336" s="37"/>
      <c r="AD4336" s="37"/>
      <c r="AE4336" s="37"/>
      <c r="AF4336" s="37"/>
    </row>
    <row r="4337" spans="1:32" x14ac:dyDescent="0.25">
      <c r="A4337" s="37"/>
      <c r="B4337" s="37"/>
      <c r="C4337" s="37"/>
      <c r="F4337" s="38"/>
      <c r="G4337" s="38"/>
      <c r="H4337" s="38"/>
      <c r="I4337" s="37"/>
      <c r="J4337" s="38"/>
      <c r="K4337" s="38"/>
      <c r="L4337" s="42"/>
      <c r="M4337" s="42"/>
      <c r="N4337" s="42"/>
      <c r="O4337" s="42"/>
      <c r="R4337" s="37"/>
      <c r="S4337" s="37"/>
      <c r="T4337" s="91"/>
      <c r="U4337" s="91"/>
      <c r="V4337" s="41"/>
      <c r="W4337" s="37"/>
      <c r="X4337" s="37"/>
      <c r="Y4337" s="43"/>
      <c r="Z4337" s="37"/>
      <c r="AA4337" s="37"/>
      <c r="AD4337" s="37"/>
      <c r="AE4337" s="37"/>
      <c r="AF4337" s="37"/>
    </row>
    <row r="4338" spans="1:32" x14ac:dyDescent="0.25">
      <c r="A4338" s="37"/>
      <c r="B4338" s="37"/>
      <c r="C4338" s="37"/>
      <c r="F4338" s="38"/>
      <c r="G4338" s="38"/>
      <c r="H4338" s="38"/>
      <c r="I4338" s="37"/>
      <c r="J4338" s="38"/>
      <c r="K4338" s="38"/>
      <c r="L4338" s="42"/>
      <c r="M4338" s="42"/>
      <c r="N4338" s="42"/>
      <c r="O4338" s="42"/>
      <c r="R4338" s="37"/>
      <c r="S4338" s="37"/>
      <c r="T4338" s="91"/>
      <c r="U4338" s="91"/>
      <c r="V4338" s="41"/>
      <c r="W4338" s="37"/>
      <c r="X4338" s="37"/>
      <c r="Y4338" s="43"/>
      <c r="Z4338" s="37"/>
      <c r="AA4338" s="37"/>
      <c r="AD4338" s="37"/>
      <c r="AE4338" s="37"/>
      <c r="AF4338" s="37"/>
    </row>
    <row r="4339" spans="1:32" x14ac:dyDescent="0.25">
      <c r="A4339" s="37"/>
      <c r="B4339" s="37"/>
      <c r="C4339" s="37"/>
      <c r="F4339" s="38"/>
      <c r="G4339" s="38"/>
      <c r="H4339" s="38"/>
      <c r="I4339" s="37"/>
      <c r="J4339" s="38"/>
      <c r="K4339" s="38"/>
      <c r="L4339" s="42"/>
      <c r="M4339" s="42"/>
      <c r="N4339" s="42"/>
      <c r="O4339" s="42"/>
      <c r="R4339" s="37"/>
      <c r="S4339" s="37"/>
      <c r="T4339" s="91"/>
      <c r="U4339" s="91"/>
      <c r="V4339" s="41"/>
      <c r="W4339" s="37"/>
      <c r="X4339" s="37"/>
      <c r="Y4339" s="43"/>
      <c r="Z4339" s="37"/>
      <c r="AA4339" s="37"/>
      <c r="AD4339" s="37"/>
      <c r="AE4339" s="37"/>
      <c r="AF4339" s="37"/>
    </row>
    <row r="4340" spans="1:32" x14ac:dyDescent="0.25">
      <c r="A4340" s="37"/>
      <c r="B4340" s="37"/>
      <c r="C4340" s="37"/>
      <c r="F4340" s="38"/>
      <c r="G4340" s="38"/>
      <c r="H4340" s="38"/>
      <c r="I4340" s="37"/>
      <c r="J4340" s="38"/>
      <c r="K4340" s="38"/>
      <c r="L4340" s="42"/>
      <c r="M4340" s="42"/>
      <c r="N4340" s="42"/>
      <c r="O4340" s="42"/>
      <c r="R4340" s="37"/>
      <c r="S4340" s="37"/>
      <c r="T4340" s="91"/>
      <c r="U4340" s="91"/>
      <c r="V4340" s="41"/>
      <c r="W4340" s="37"/>
      <c r="X4340" s="37"/>
      <c r="Y4340" s="43"/>
      <c r="Z4340" s="37"/>
      <c r="AA4340" s="37"/>
      <c r="AD4340" s="37"/>
      <c r="AE4340" s="37"/>
      <c r="AF4340" s="37"/>
    </row>
    <row r="4341" spans="1:32" x14ac:dyDescent="0.25">
      <c r="A4341" s="37"/>
      <c r="B4341" s="37"/>
      <c r="C4341" s="37"/>
      <c r="F4341" s="38"/>
      <c r="G4341" s="38"/>
      <c r="H4341" s="38"/>
      <c r="I4341" s="37"/>
      <c r="J4341" s="38"/>
      <c r="K4341" s="38"/>
      <c r="L4341" s="42"/>
      <c r="M4341" s="42"/>
      <c r="N4341" s="42"/>
      <c r="O4341" s="42"/>
      <c r="R4341" s="37"/>
      <c r="S4341" s="37"/>
      <c r="T4341" s="91"/>
      <c r="U4341" s="91"/>
      <c r="V4341" s="41"/>
      <c r="W4341" s="37"/>
      <c r="X4341" s="37"/>
      <c r="Y4341" s="43"/>
      <c r="Z4341" s="37"/>
      <c r="AA4341" s="37"/>
      <c r="AD4341" s="37"/>
      <c r="AE4341" s="37"/>
      <c r="AF4341" s="37"/>
    </row>
    <row r="4342" spans="1:32" x14ac:dyDescent="0.25">
      <c r="A4342" s="37"/>
      <c r="B4342" s="37"/>
      <c r="C4342" s="37"/>
      <c r="F4342" s="38"/>
      <c r="G4342" s="38"/>
      <c r="H4342" s="38"/>
      <c r="I4342" s="37"/>
      <c r="J4342" s="38"/>
      <c r="K4342" s="38"/>
      <c r="L4342" s="42"/>
      <c r="M4342" s="42"/>
      <c r="N4342" s="42"/>
      <c r="O4342" s="42"/>
      <c r="R4342" s="37"/>
      <c r="S4342" s="37"/>
      <c r="T4342" s="91"/>
      <c r="U4342" s="91"/>
      <c r="V4342" s="41"/>
      <c r="W4342" s="37"/>
      <c r="X4342" s="37"/>
      <c r="Y4342" s="43"/>
      <c r="Z4342" s="37"/>
      <c r="AA4342" s="37"/>
      <c r="AD4342" s="37"/>
      <c r="AE4342" s="37"/>
      <c r="AF4342" s="37"/>
    </row>
    <row r="4343" spans="1:32" x14ac:dyDescent="0.25">
      <c r="A4343" s="37"/>
      <c r="B4343" s="37"/>
      <c r="C4343" s="37"/>
      <c r="F4343" s="38"/>
      <c r="G4343" s="38"/>
      <c r="H4343" s="38"/>
      <c r="I4343" s="37"/>
      <c r="J4343" s="38"/>
      <c r="K4343" s="38"/>
      <c r="L4343" s="42"/>
      <c r="M4343" s="42"/>
      <c r="N4343" s="42"/>
      <c r="O4343" s="42"/>
      <c r="R4343" s="37"/>
      <c r="S4343" s="37"/>
      <c r="T4343" s="91"/>
      <c r="U4343" s="91"/>
      <c r="V4343" s="41"/>
      <c r="W4343" s="37"/>
      <c r="X4343" s="37"/>
      <c r="Y4343" s="43"/>
      <c r="Z4343" s="37"/>
      <c r="AA4343" s="37"/>
      <c r="AD4343" s="37"/>
      <c r="AE4343" s="37"/>
      <c r="AF4343" s="37"/>
    </row>
    <row r="4344" spans="1:32" x14ac:dyDescent="0.25">
      <c r="A4344" s="37"/>
      <c r="B4344" s="37"/>
      <c r="C4344" s="37"/>
      <c r="F4344" s="38"/>
      <c r="G4344" s="38"/>
      <c r="H4344" s="38"/>
      <c r="I4344" s="37"/>
      <c r="J4344" s="38"/>
      <c r="K4344" s="38"/>
      <c r="L4344" s="42"/>
      <c r="M4344" s="42"/>
      <c r="N4344" s="42"/>
      <c r="O4344" s="42"/>
      <c r="R4344" s="37"/>
      <c r="S4344" s="37"/>
      <c r="T4344" s="91"/>
      <c r="U4344" s="91"/>
      <c r="V4344" s="41"/>
      <c r="W4344" s="37"/>
      <c r="X4344" s="37"/>
      <c r="Y4344" s="43"/>
      <c r="Z4344" s="37"/>
      <c r="AA4344" s="37"/>
      <c r="AD4344" s="37"/>
      <c r="AE4344" s="37"/>
      <c r="AF4344" s="37"/>
    </row>
    <row r="4345" spans="1:32" x14ac:dyDescent="0.25">
      <c r="A4345" s="37"/>
      <c r="B4345" s="37"/>
      <c r="C4345" s="37"/>
      <c r="F4345" s="38"/>
      <c r="G4345" s="38"/>
      <c r="H4345" s="38"/>
      <c r="I4345" s="37"/>
      <c r="J4345" s="38"/>
      <c r="K4345" s="38"/>
      <c r="L4345" s="42"/>
      <c r="M4345" s="42"/>
      <c r="N4345" s="42"/>
      <c r="O4345" s="42"/>
      <c r="R4345" s="37"/>
      <c r="S4345" s="37"/>
      <c r="T4345" s="91"/>
      <c r="U4345" s="91"/>
      <c r="V4345" s="41"/>
      <c r="W4345" s="37"/>
      <c r="X4345" s="37"/>
      <c r="Y4345" s="43"/>
      <c r="Z4345" s="37"/>
      <c r="AA4345" s="37"/>
      <c r="AD4345" s="37"/>
      <c r="AE4345" s="37"/>
      <c r="AF4345" s="37"/>
    </row>
    <row r="4346" spans="1:32" x14ac:dyDescent="0.25">
      <c r="A4346" s="37"/>
      <c r="B4346" s="37"/>
      <c r="C4346" s="37"/>
      <c r="F4346" s="38"/>
      <c r="G4346" s="38"/>
      <c r="H4346" s="38"/>
      <c r="I4346" s="37"/>
      <c r="J4346" s="38"/>
      <c r="K4346" s="38"/>
      <c r="L4346" s="42"/>
      <c r="M4346" s="42"/>
      <c r="N4346" s="42"/>
      <c r="O4346" s="42"/>
      <c r="R4346" s="37"/>
      <c r="S4346" s="37"/>
      <c r="T4346" s="91"/>
      <c r="U4346" s="91"/>
      <c r="V4346" s="41"/>
      <c r="W4346" s="37"/>
      <c r="X4346" s="37"/>
      <c r="Y4346" s="43"/>
      <c r="Z4346" s="37"/>
      <c r="AA4346" s="37"/>
      <c r="AD4346" s="37"/>
      <c r="AE4346" s="37"/>
      <c r="AF4346" s="37"/>
    </row>
    <row r="4347" spans="1:32" x14ac:dyDescent="0.25">
      <c r="A4347" s="37"/>
      <c r="B4347" s="37"/>
      <c r="C4347" s="37"/>
      <c r="F4347" s="38"/>
      <c r="G4347" s="38"/>
      <c r="H4347" s="38"/>
      <c r="I4347" s="37"/>
      <c r="J4347" s="38"/>
      <c r="K4347" s="38"/>
      <c r="L4347" s="42"/>
      <c r="M4347" s="42"/>
      <c r="N4347" s="42"/>
      <c r="O4347" s="42"/>
      <c r="R4347" s="37"/>
      <c r="S4347" s="37"/>
      <c r="T4347" s="91"/>
      <c r="U4347" s="91"/>
      <c r="V4347" s="41"/>
      <c r="W4347" s="37"/>
      <c r="X4347" s="37"/>
      <c r="Y4347" s="43"/>
      <c r="Z4347" s="37"/>
      <c r="AA4347" s="37"/>
      <c r="AD4347" s="37"/>
      <c r="AE4347" s="37"/>
      <c r="AF4347" s="37"/>
    </row>
    <row r="4348" spans="1:32" x14ac:dyDescent="0.25">
      <c r="A4348" s="37"/>
      <c r="B4348" s="37"/>
      <c r="C4348" s="37"/>
      <c r="F4348" s="38"/>
      <c r="G4348" s="38"/>
      <c r="H4348" s="38"/>
      <c r="I4348" s="37"/>
      <c r="J4348" s="38"/>
      <c r="K4348" s="38"/>
      <c r="L4348" s="42"/>
      <c r="M4348" s="42"/>
      <c r="N4348" s="42"/>
      <c r="O4348" s="42"/>
      <c r="R4348" s="37"/>
      <c r="S4348" s="37"/>
      <c r="T4348" s="91"/>
      <c r="U4348" s="91"/>
      <c r="V4348" s="41"/>
      <c r="W4348" s="37"/>
      <c r="X4348" s="37"/>
      <c r="Y4348" s="43"/>
      <c r="Z4348" s="37"/>
      <c r="AA4348" s="37"/>
      <c r="AD4348" s="37"/>
      <c r="AE4348" s="37"/>
      <c r="AF4348" s="37"/>
    </row>
    <row r="4349" spans="1:32" x14ac:dyDescent="0.25">
      <c r="A4349" s="37"/>
      <c r="B4349" s="37"/>
      <c r="C4349" s="37"/>
      <c r="F4349" s="38"/>
      <c r="G4349" s="38"/>
      <c r="H4349" s="38"/>
      <c r="I4349" s="37"/>
      <c r="J4349" s="38"/>
      <c r="K4349" s="38"/>
      <c r="L4349" s="42"/>
      <c r="M4349" s="42"/>
      <c r="N4349" s="42"/>
      <c r="O4349" s="42"/>
      <c r="R4349" s="37"/>
      <c r="S4349" s="37"/>
      <c r="T4349" s="91"/>
      <c r="U4349" s="91"/>
      <c r="V4349" s="41"/>
      <c r="W4349" s="37"/>
      <c r="X4349" s="37"/>
      <c r="Y4349" s="43"/>
      <c r="Z4349" s="37"/>
      <c r="AA4349" s="37"/>
      <c r="AD4349" s="37"/>
      <c r="AE4349" s="37"/>
      <c r="AF4349" s="37"/>
    </row>
    <row r="4350" spans="1:32" x14ac:dyDescent="0.25">
      <c r="A4350" s="37"/>
      <c r="B4350" s="37"/>
      <c r="C4350" s="37"/>
      <c r="F4350" s="38"/>
      <c r="G4350" s="38"/>
      <c r="H4350" s="38"/>
      <c r="I4350" s="37"/>
      <c r="J4350" s="38"/>
      <c r="K4350" s="38"/>
      <c r="L4350" s="42"/>
      <c r="M4350" s="42"/>
      <c r="N4350" s="42"/>
      <c r="O4350" s="42"/>
      <c r="R4350" s="37"/>
      <c r="S4350" s="37"/>
      <c r="T4350" s="91"/>
      <c r="U4350" s="91"/>
      <c r="V4350" s="41"/>
      <c r="W4350" s="37"/>
      <c r="X4350" s="37"/>
      <c r="Y4350" s="43"/>
      <c r="Z4350" s="37"/>
      <c r="AA4350" s="37"/>
      <c r="AD4350" s="37"/>
      <c r="AE4350" s="37"/>
      <c r="AF4350" s="37"/>
    </row>
    <row r="4351" spans="1:32" x14ac:dyDescent="0.25">
      <c r="A4351" s="37"/>
      <c r="B4351" s="37"/>
      <c r="C4351" s="37"/>
      <c r="F4351" s="38"/>
      <c r="G4351" s="38"/>
      <c r="H4351" s="38"/>
      <c r="I4351" s="37"/>
      <c r="J4351" s="38"/>
      <c r="K4351" s="38"/>
      <c r="L4351" s="42"/>
      <c r="M4351" s="42"/>
      <c r="N4351" s="42"/>
      <c r="O4351" s="42"/>
      <c r="R4351" s="37"/>
      <c r="S4351" s="37"/>
      <c r="T4351" s="91"/>
      <c r="U4351" s="91"/>
      <c r="V4351" s="41"/>
      <c r="W4351" s="37"/>
      <c r="X4351" s="37"/>
      <c r="Y4351" s="43"/>
      <c r="Z4351" s="37"/>
      <c r="AA4351" s="37"/>
      <c r="AD4351" s="37"/>
      <c r="AE4351" s="37"/>
      <c r="AF4351" s="37"/>
    </row>
    <row r="4352" spans="1:32" x14ac:dyDescent="0.25">
      <c r="A4352" s="37"/>
      <c r="B4352" s="37"/>
      <c r="C4352" s="37"/>
      <c r="F4352" s="38"/>
      <c r="G4352" s="38"/>
      <c r="H4352" s="38"/>
      <c r="I4352" s="37"/>
      <c r="J4352" s="38"/>
      <c r="K4352" s="38"/>
      <c r="L4352" s="42"/>
      <c r="M4352" s="42"/>
      <c r="N4352" s="42"/>
      <c r="O4352" s="42"/>
      <c r="R4352" s="37"/>
      <c r="S4352" s="37"/>
      <c r="T4352" s="91"/>
      <c r="U4352" s="91"/>
      <c r="V4352" s="41"/>
      <c r="W4352" s="37"/>
      <c r="X4352" s="37"/>
      <c r="Y4352" s="43"/>
      <c r="Z4352" s="37"/>
      <c r="AA4352" s="37"/>
      <c r="AD4352" s="37"/>
      <c r="AE4352" s="37"/>
      <c r="AF4352" s="37"/>
    </row>
    <row r="4353" spans="1:32" x14ac:dyDescent="0.25">
      <c r="A4353" s="37"/>
      <c r="B4353" s="37"/>
      <c r="C4353" s="37"/>
      <c r="F4353" s="38"/>
      <c r="G4353" s="38"/>
      <c r="H4353" s="38"/>
      <c r="I4353" s="37"/>
      <c r="J4353" s="38"/>
      <c r="K4353" s="38"/>
      <c r="L4353" s="42"/>
      <c r="M4353" s="42"/>
      <c r="N4353" s="42"/>
      <c r="O4353" s="42"/>
      <c r="R4353" s="37"/>
      <c r="S4353" s="37"/>
      <c r="T4353" s="91"/>
      <c r="U4353" s="91"/>
      <c r="V4353" s="41"/>
      <c r="W4353" s="37"/>
      <c r="X4353" s="37"/>
      <c r="Y4353" s="43"/>
      <c r="Z4353" s="37"/>
      <c r="AA4353" s="37"/>
      <c r="AD4353" s="37"/>
      <c r="AE4353" s="37"/>
      <c r="AF4353" s="37"/>
    </row>
    <row r="4354" spans="1:32" x14ac:dyDescent="0.25">
      <c r="A4354" s="37"/>
      <c r="B4354" s="37"/>
      <c r="C4354" s="37"/>
      <c r="F4354" s="38"/>
      <c r="G4354" s="38"/>
      <c r="H4354" s="38"/>
      <c r="I4354" s="37"/>
      <c r="J4354" s="38"/>
      <c r="K4354" s="38"/>
      <c r="L4354" s="42"/>
      <c r="M4354" s="42"/>
      <c r="N4354" s="42"/>
      <c r="O4354" s="42"/>
      <c r="R4354" s="37"/>
      <c r="S4354" s="37"/>
      <c r="T4354" s="91"/>
      <c r="U4354" s="91"/>
      <c r="V4354" s="41"/>
      <c r="W4354" s="37"/>
      <c r="X4354" s="37"/>
      <c r="Y4354" s="43"/>
      <c r="Z4354" s="37"/>
      <c r="AA4354" s="37"/>
      <c r="AD4354" s="37"/>
      <c r="AE4354" s="37"/>
      <c r="AF4354" s="37"/>
    </row>
    <row r="4355" spans="1:32" x14ac:dyDescent="0.25">
      <c r="A4355" s="37"/>
      <c r="B4355" s="37"/>
      <c r="C4355" s="37"/>
      <c r="F4355" s="38"/>
      <c r="G4355" s="38"/>
      <c r="H4355" s="38"/>
      <c r="I4355" s="37"/>
      <c r="J4355" s="38"/>
      <c r="K4355" s="38"/>
      <c r="L4355" s="42"/>
      <c r="M4355" s="42"/>
      <c r="N4355" s="42"/>
      <c r="O4355" s="42"/>
      <c r="R4355" s="37"/>
      <c r="S4355" s="37"/>
      <c r="T4355" s="91"/>
      <c r="U4355" s="91"/>
      <c r="V4355" s="41"/>
      <c r="W4355" s="37"/>
      <c r="X4355" s="37"/>
      <c r="Y4355" s="43"/>
      <c r="Z4355" s="37"/>
      <c r="AA4355" s="37"/>
      <c r="AD4355" s="37"/>
      <c r="AE4355" s="37"/>
      <c r="AF4355" s="37"/>
    </row>
    <row r="4356" spans="1:32" x14ac:dyDescent="0.25">
      <c r="A4356" s="37"/>
      <c r="B4356" s="37"/>
      <c r="C4356" s="37"/>
      <c r="F4356" s="38"/>
      <c r="G4356" s="38"/>
      <c r="H4356" s="38"/>
      <c r="I4356" s="37"/>
      <c r="J4356" s="38"/>
      <c r="K4356" s="38"/>
      <c r="L4356" s="42"/>
      <c r="M4356" s="42"/>
      <c r="N4356" s="42"/>
      <c r="O4356" s="42"/>
      <c r="R4356" s="37"/>
      <c r="S4356" s="37"/>
      <c r="T4356" s="91"/>
      <c r="U4356" s="91"/>
      <c r="V4356" s="41"/>
      <c r="W4356" s="37"/>
      <c r="X4356" s="37"/>
      <c r="Y4356" s="43"/>
      <c r="Z4356" s="37"/>
      <c r="AA4356" s="37"/>
      <c r="AD4356" s="37"/>
      <c r="AE4356" s="37"/>
      <c r="AF4356" s="37"/>
    </row>
    <row r="4357" spans="1:32" x14ac:dyDescent="0.25">
      <c r="A4357" s="37"/>
      <c r="B4357" s="37"/>
      <c r="C4357" s="37"/>
      <c r="F4357" s="38"/>
      <c r="G4357" s="38"/>
      <c r="H4357" s="38"/>
      <c r="I4357" s="37"/>
      <c r="J4357" s="38"/>
      <c r="K4357" s="38"/>
      <c r="L4357" s="42"/>
      <c r="M4357" s="42"/>
      <c r="N4357" s="42"/>
      <c r="O4357" s="42"/>
      <c r="R4357" s="37"/>
      <c r="S4357" s="37"/>
      <c r="T4357" s="91"/>
      <c r="U4357" s="91"/>
      <c r="V4357" s="41"/>
      <c r="W4357" s="37"/>
      <c r="X4357" s="37"/>
      <c r="Y4357" s="43"/>
      <c r="Z4357" s="37"/>
      <c r="AA4357" s="37"/>
      <c r="AD4357" s="37"/>
      <c r="AE4357" s="37"/>
      <c r="AF4357" s="37"/>
    </row>
    <row r="4358" spans="1:32" x14ac:dyDescent="0.25">
      <c r="A4358" s="37"/>
      <c r="B4358" s="37"/>
      <c r="C4358" s="37"/>
      <c r="F4358" s="38"/>
      <c r="G4358" s="38"/>
      <c r="H4358" s="38"/>
      <c r="I4358" s="37"/>
      <c r="J4358" s="38"/>
      <c r="K4358" s="38"/>
      <c r="L4358" s="42"/>
      <c r="M4358" s="42"/>
      <c r="N4358" s="42"/>
      <c r="O4358" s="42"/>
      <c r="R4358" s="37"/>
      <c r="S4358" s="37"/>
      <c r="T4358" s="91"/>
      <c r="U4358" s="91"/>
      <c r="V4358" s="41"/>
      <c r="W4358" s="37"/>
      <c r="X4358" s="37"/>
      <c r="Y4358" s="43"/>
      <c r="Z4358" s="37"/>
      <c r="AA4358" s="37"/>
      <c r="AD4358" s="37"/>
      <c r="AE4358" s="37"/>
      <c r="AF4358" s="37"/>
    </row>
    <row r="4359" spans="1:32" x14ac:dyDescent="0.25">
      <c r="A4359" s="37"/>
      <c r="B4359" s="37"/>
      <c r="C4359" s="37"/>
      <c r="F4359" s="38"/>
      <c r="G4359" s="38"/>
      <c r="H4359" s="38"/>
      <c r="I4359" s="37"/>
      <c r="J4359" s="38"/>
      <c r="K4359" s="38"/>
      <c r="L4359" s="42"/>
      <c r="M4359" s="42"/>
      <c r="N4359" s="42"/>
      <c r="O4359" s="42"/>
      <c r="R4359" s="37"/>
      <c r="S4359" s="37"/>
      <c r="T4359" s="91"/>
      <c r="U4359" s="91"/>
      <c r="V4359" s="41"/>
      <c r="W4359" s="37"/>
      <c r="X4359" s="37"/>
      <c r="Y4359" s="43"/>
      <c r="Z4359" s="37"/>
      <c r="AA4359" s="37"/>
      <c r="AD4359" s="37"/>
      <c r="AE4359" s="37"/>
      <c r="AF4359" s="37"/>
    </row>
    <row r="4360" spans="1:32" x14ac:dyDescent="0.25">
      <c r="A4360" s="37"/>
      <c r="B4360" s="37"/>
      <c r="C4360" s="37"/>
      <c r="F4360" s="38"/>
      <c r="G4360" s="38"/>
      <c r="H4360" s="38"/>
      <c r="I4360" s="37"/>
      <c r="J4360" s="38"/>
      <c r="K4360" s="38"/>
      <c r="L4360" s="42"/>
      <c r="M4360" s="42"/>
      <c r="N4360" s="42"/>
      <c r="O4360" s="42"/>
      <c r="R4360" s="37"/>
      <c r="S4360" s="37"/>
      <c r="T4360" s="91"/>
      <c r="U4360" s="91"/>
      <c r="V4360" s="41"/>
      <c r="W4360" s="37"/>
      <c r="X4360" s="37"/>
      <c r="Y4360" s="43"/>
      <c r="Z4360" s="37"/>
      <c r="AA4360" s="37"/>
      <c r="AD4360" s="37"/>
      <c r="AE4360" s="37"/>
      <c r="AF4360" s="37"/>
    </row>
    <row r="4361" spans="1:32" x14ac:dyDescent="0.25">
      <c r="A4361" s="37"/>
      <c r="B4361" s="37"/>
      <c r="C4361" s="37"/>
      <c r="F4361" s="38"/>
      <c r="G4361" s="38"/>
      <c r="H4361" s="38"/>
      <c r="I4361" s="37"/>
      <c r="J4361" s="38"/>
      <c r="K4361" s="38"/>
      <c r="L4361" s="42"/>
      <c r="M4361" s="42"/>
      <c r="N4361" s="42"/>
      <c r="O4361" s="42"/>
      <c r="R4361" s="37"/>
      <c r="S4361" s="37"/>
      <c r="T4361" s="91"/>
      <c r="U4361" s="91"/>
      <c r="V4361" s="41"/>
      <c r="W4361" s="37"/>
      <c r="X4361" s="37"/>
      <c r="Y4361" s="43"/>
      <c r="Z4361" s="37"/>
      <c r="AA4361" s="37"/>
      <c r="AD4361" s="37"/>
      <c r="AE4361" s="37"/>
      <c r="AF4361" s="37"/>
    </row>
    <row r="4362" spans="1:32" x14ac:dyDescent="0.25">
      <c r="A4362" s="37"/>
      <c r="B4362" s="37"/>
      <c r="C4362" s="37"/>
      <c r="F4362" s="38"/>
      <c r="G4362" s="38"/>
      <c r="H4362" s="38"/>
      <c r="I4362" s="37"/>
      <c r="J4362" s="38"/>
      <c r="K4362" s="38"/>
      <c r="L4362" s="42"/>
      <c r="M4362" s="42"/>
      <c r="N4362" s="42"/>
      <c r="O4362" s="42"/>
      <c r="R4362" s="37"/>
      <c r="S4362" s="37"/>
      <c r="T4362" s="91"/>
      <c r="U4362" s="91"/>
      <c r="V4362" s="41"/>
      <c r="W4362" s="37"/>
      <c r="X4362" s="37"/>
      <c r="Y4362" s="43"/>
      <c r="Z4362" s="37"/>
      <c r="AA4362" s="37"/>
      <c r="AD4362" s="37"/>
      <c r="AE4362" s="37"/>
      <c r="AF4362" s="37"/>
    </row>
    <row r="4363" spans="1:32" x14ac:dyDescent="0.25">
      <c r="A4363" s="37"/>
      <c r="B4363" s="37"/>
      <c r="C4363" s="37"/>
      <c r="F4363" s="38"/>
      <c r="G4363" s="38"/>
      <c r="H4363" s="38"/>
      <c r="I4363" s="37"/>
      <c r="J4363" s="38"/>
      <c r="K4363" s="38"/>
      <c r="L4363" s="42"/>
      <c r="M4363" s="42"/>
      <c r="N4363" s="42"/>
      <c r="O4363" s="42"/>
      <c r="R4363" s="37"/>
      <c r="S4363" s="37"/>
      <c r="T4363" s="91"/>
      <c r="U4363" s="91"/>
      <c r="V4363" s="41"/>
      <c r="W4363" s="37"/>
      <c r="X4363" s="37"/>
      <c r="Y4363" s="43"/>
      <c r="Z4363" s="37"/>
      <c r="AA4363" s="37"/>
      <c r="AD4363" s="37"/>
      <c r="AE4363" s="37"/>
      <c r="AF4363" s="37"/>
    </row>
    <row r="4364" spans="1:32" x14ac:dyDescent="0.25">
      <c r="A4364" s="37"/>
      <c r="B4364" s="37"/>
      <c r="C4364" s="37"/>
      <c r="F4364" s="38"/>
      <c r="G4364" s="38"/>
      <c r="H4364" s="38"/>
      <c r="I4364" s="37"/>
      <c r="J4364" s="38"/>
      <c r="K4364" s="38"/>
      <c r="L4364" s="42"/>
      <c r="M4364" s="42"/>
      <c r="N4364" s="42"/>
      <c r="O4364" s="42"/>
      <c r="R4364" s="37"/>
      <c r="S4364" s="37"/>
      <c r="T4364" s="91"/>
      <c r="U4364" s="91"/>
      <c r="V4364" s="41"/>
      <c r="W4364" s="37"/>
      <c r="X4364" s="37"/>
      <c r="Y4364" s="43"/>
      <c r="Z4364" s="37"/>
      <c r="AA4364" s="37"/>
      <c r="AD4364" s="37"/>
      <c r="AE4364" s="37"/>
      <c r="AF4364" s="37"/>
    </row>
    <row r="4365" spans="1:32" x14ac:dyDescent="0.25">
      <c r="A4365" s="37"/>
      <c r="B4365" s="37"/>
      <c r="C4365" s="37"/>
      <c r="F4365" s="38"/>
      <c r="G4365" s="38"/>
      <c r="H4365" s="38"/>
      <c r="I4365" s="37"/>
      <c r="J4365" s="38"/>
      <c r="K4365" s="38"/>
      <c r="L4365" s="42"/>
      <c r="M4365" s="42"/>
      <c r="N4365" s="42"/>
      <c r="O4365" s="42"/>
      <c r="R4365" s="37"/>
      <c r="S4365" s="37"/>
      <c r="T4365" s="91"/>
      <c r="U4365" s="91"/>
      <c r="V4365" s="41"/>
      <c r="W4365" s="37"/>
      <c r="X4365" s="37"/>
      <c r="Y4365" s="43"/>
      <c r="Z4365" s="37"/>
      <c r="AA4365" s="37"/>
      <c r="AD4365" s="37"/>
      <c r="AE4365" s="37"/>
      <c r="AF4365" s="37"/>
    </row>
    <row r="4366" spans="1:32" x14ac:dyDescent="0.25">
      <c r="A4366" s="37"/>
      <c r="B4366" s="37"/>
      <c r="C4366" s="37"/>
      <c r="F4366" s="38"/>
      <c r="G4366" s="38"/>
      <c r="H4366" s="38"/>
      <c r="I4366" s="37"/>
      <c r="J4366" s="38"/>
      <c r="K4366" s="38"/>
      <c r="L4366" s="42"/>
      <c r="M4366" s="42"/>
      <c r="N4366" s="42"/>
      <c r="O4366" s="42"/>
      <c r="R4366" s="37"/>
      <c r="S4366" s="37"/>
      <c r="T4366" s="91"/>
      <c r="U4366" s="91"/>
      <c r="V4366" s="41"/>
      <c r="W4366" s="37"/>
      <c r="X4366" s="37"/>
      <c r="Y4366" s="43"/>
      <c r="Z4366" s="37"/>
      <c r="AA4366" s="37"/>
      <c r="AD4366" s="37"/>
      <c r="AE4366" s="37"/>
      <c r="AF4366" s="37"/>
    </row>
    <row r="4367" spans="1:32" x14ac:dyDescent="0.25">
      <c r="A4367" s="37"/>
      <c r="B4367" s="37"/>
      <c r="C4367" s="37"/>
      <c r="F4367" s="38"/>
      <c r="G4367" s="38"/>
      <c r="H4367" s="38"/>
      <c r="I4367" s="37"/>
      <c r="J4367" s="38"/>
      <c r="K4367" s="38"/>
      <c r="L4367" s="42"/>
      <c r="M4367" s="42"/>
      <c r="N4367" s="42"/>
      <c r="O4367" s="42"/>
      <c r="R4367" s="37"/>
      <c r="S4367" s="37"/>
      <c r="T4367" s="91"/>
      <c r="U4367" s="91"/>
      <c r="V4367" s="41"/>
      <c r="W4367" s="37"/>
      <c r="X4367" s="37"/>
      <c r="Y4367" s="43"/>
      <c r="Z4367" s="37"/>
      <c r="AA4367" s="37"/>
      <c r="AD4367" s="37"/>
      <c r="AE4367" s="37"/>
      <c r="AF4367" s="37"/>
    </row>
    <row r="4368" spans="1:32" x14ac:dyDescent="0.25">
      <c r="A4368" s="37"/>
      <c r="B4368" s="37"/>
      <c r="C4368" s="37"/>
      <c r="F4368" s="38"/>
      <c r="G4368" s="38"/>
      <c r="H4368" s="38"/>
      <c r="I4368" s="37"/>
      <c r="J4368" s="38"/>
      <c r="K4368" s="38"/>
      <c r="L4368" s="42"/>
      <c r="M4368" s="42"/>
      <c r="N4368" s="42"/>
      <c r="O4368" s="42"/>
      <c r="R4368" s="37"/>
      <c r="S4368" s="37"/>
      <c r="T4368" s="91"/>
      <c r="U4368" s="91"/>
      <c r="V4368" s="41"/>
      <c r="W4368" s="37"/>
      <c r="X4368" s="37"/>
      <c r="Y4368" s="43"/>
      <c r="Z4368" s="37"/>
      <c r="AA4368" s="37"/>
      <c r="AD4368" s="37"/>
      <c r="AE4368" s="37"/>
      <c r="AF4368" s="37"/>
    </row>
    <row r="4369" spans="1:32" x14ac:dyDescent="0.25">
      <c r="A4369" s="37"/>
      <c r="B4369" s="37"/>
      <c r="C4369" s="37"/>
      <c r="F4369" s="38"/>
      <c r="G4369" s="38"/>
      <c r="H4369" s="38"/>
      <c r="I4369" s="37"/>
      <c r="J4369" s="38"/>
      <c r="K4369" s="38"/>
      <c r="L4369" s="42"/>
      <c r="M4369" s="42"/>
      <c r="N4369" s="42"/>
      <c r="O4369" s="42"/>
      <c r="R4369" s="37"/>
      <c r="S4369" s="37"/>
      <c r="T4369" s="91"/>
      <c r="U4369" s="91"/>
      <c r="V4369" s="41"/>
      <c r="W4369" s="37"/>
      <c r="X4369" s="37"/>
      <c r="Y4369" s="43"/>
      <c r="Z4369" s="37"/>
      <c r="AA4369" s="37"/>
      <c r="AD4369" s="37"/>
      <c r="AE4369" s="37"/>
      <c r="AF4369" s="37"/>
    </row>
    <row r="4370" spans="1:32" x14ac:dyDescent="0.25">
      <c r="A4370" s="37"/>
      <c r="B4370" s="37"/>
      <c r="C4370" s="37"/>
      <c r="F4370" s="38"/>
      <c r="G4370" s="38"/>
      <c r="H4370" s="38"/>
      <c r="I4370" s="37"/>
      <c r="J4370" s="38"/>
      <c r="K4370" s="38"/>
      <c r="L4370" s="42"/>
      <c r="M4370" s="42"/>
      <c r="N4370" s="42"/>
      <c r="O4370" s="42"/>
      <c r="R4370" s="37"/>
      <c r="S4370" s="37"/>
      <c r="T4370" s="91"/>
      <c r="U4370" s="91"/>
      <c r="V4370" s="41"/>
      <c r="W4370" s="37"/>
      <c r="X4370" s="37"/>
      <c r="Y4370" s="43"/>
      <c r="Z4370" s="37"/>
      <c r="AA4370" s="37"/>
      <c r="AD4370" s="37"/>
      <c r="AE4370" s="37"/>
      <c r="AF4370" s="37"/>
    </row>
    <row r="4371" spans="1:32" x14ac:dyDescent="0.25">
      <c r="A4371" s="37"/>
      <c r="B4371" s="37"/>
      <c r="C4371" s="37"/>
      <c r="F4371" s="38"/>
      <c r="G4371" s="38"/>
      <c r="H4371" s="38"/>
      <c r="I4371" s="37"/>
      <c r="J4371" s="38"/>
      <c r="K4371" s="38"/>
      <c r="L4371" s="42"/>
      <c r="M4371" s="42"/>
      <c r="N4371" s="42"/>
      <c r="O4371" s="42"/>
      <c r="R4371" s="37"/>
      <c r="S4371" s="37"/>
      <c r="T4371" s="91"/>
      <c r="U4371" s="91"/>
      <c r="V4371" s="41"/>
      <c r="W4371" s="37"/>
      <c r="X4371" s="37"/>
      <c r="Y4371" s="43"/>
      <c r="Z4371" s="37"/>
      <c r="AA4371" s="37"/>
      <c r="AD4371" s="37"/>
      <c r="AE4371" s="37"/>
      <c r="AF4371" s="37"/>
    </row>
    <row r="4372" spans="1:32" x14ac:dyDescent="0.25">
      <c r="A4372" s="37"/>
      <c r="B4372" s="37"/>
      <c r="C4372" s="37"/>
      <c r="F4372" s="38"/>
      <c r="G4372" s="38"/>
      <c r="H4372" s="38"/>
      <c r="I4372" s="37"/>
      <c r="J4372" s="38"/>
      <c r="K4372" s="38"/>
      <c r="L4372" s="42"/>
      <c r="M4372" s="42"/>
      <c r="N4372" s="42"/>
      <c r="O4372" s="42"/>
      <c r="R4372" s="37"/>
      <c r="S4372" s="37"/>
      <c r="T4372" s="91"/>
      <c r="U4372" s="91"/>
      <c r="V4372" s="41"/>
      <c r="W4372" s="37"/>
      <c r="X4372" s="37"/>
      <c r="Y4372" s="43"/>
      <c r="Z4372" s="37"/>
      <c r="AA4372" s="37"/>
      <c r="AD4372" s="37"/>
      <c r="AE4372" s="37"/>
      <c r="AF4372" s="37"/>
    </row>
    <row r="4373" spans="1:32" x14ac:dyDescent="0.25">
      <c r="A4373" s="37"/>
      <c r="B4373" s="37"/>
      <c r="C4373" s="37"/>
      <c r="F4373" s="38"/>
      <c r="G4373" s="38"/>
      <c r="H4373" s="38"/>
      <c r="I4373" s="37"/>
      <c r="J4373" s="38"/>
      <c r="K4373" s="38"/>
      <c r="L4373" s="42"/>
      <c r="M4373" s="42"/>
      <c r="N4373" s="42"/>
      <c r="O4373" s="42"/>
      <c r="R4373" s="37"/>
      <c r="S4373" s="37"/>
      <c r="T4373" s="91"/>
      <c r="U4373" s="91"/>
      <c r="V4373" s="41"/>
      <c r="W4373" s="37"/>
      <c r="X4373" s="37"/>
      <c r="Y4373" s="43"/>
      <c r="Z4373" s="37"/>
      <c r="AA4373" s="37"/>
      <c r="AD4373" s="37"/>
      <c r="AE4373" s="37"/>
      <c r="AF4373" s="37"/>
    </row>
    <row r="4374" spans="1:32" x14ac:dyDescent="0.25">
      <c r="A4374" s="37"/>
      <c r="B4374" s="37"/>
      <c r="C4374" s="37"/>
      <c r="F4374" s="38"/>
      <c r="G4374" s="38"/>
      <c r="H4374" s="38"/>
      <c r="I4374" s="37"/>
      <c r="J4374" s="38"/>
      <c r="K4374" s="38"/>
      <c r="L4374" s="42"/>
      <c r="M4374" s="42"/>
      <c r="N4374" s="42"/>
      <c r="O4374" s="42"/>
      <c r="R4374" s="37"/>
      <c r="S4374" s="37"/>
      <c r="T4374" s="91"/>
      <c r="U4374" s="91"/>
      <c r="V4374" s="41"/>
      <c r="W4374" s="37"/>
      <c r="X4374" s="37"/>
      <c r="Y4374" s="43"/>
      <c r="Z4374" s="37"/>
      <c r="AA4374" s="37"/>
      <c r="AD4374" s="37"/>
      <c r="AE4374" s="37"/>
      <c r="AF4374" s="37"/>
    </row>
    <row r="4375" spans="1:32" x14ac:dyDescent="0.25">
      <c r="A4375" s="37"/>
      <c r="B4375" s="37"/>
      <c r="C4375" s="37"/>
      <c r="F4375" s="38"/>
      <c r="G4375" s="38"/>
      <c r="H4375" s="38"/>
      <c r="I4375" s="37"/>
      <c r="J4375" s="38"/>
      <c r="K4375" s="38"/>
      <c r="L4375" s="42"/>
      <c r="M4375" s="42"/>
      <c r="N4375" s="42"/>
      <c r="O4375" s="42"/>
      <c r="R4375" s="37"/>
      <c r="S4375" s="37"/>
      <c r="T4375" s="91"/>
      <c r="U4375" s="91"/>
      <c r="V4375" s="41"/>
      <c r="W4375" s="37"/>
      <c r="X4375" s="37"/>
      <c r="Y4375" s="43"/>
      <c r="Z4375" s="37"/>
      <c r="AA4375" s="37"/>
      <c r="AD4375" s="37"/>
      <c r="AE4375" s="37"/>
      <c r="AF4375" s="37"/>
    </row>
    <row r="4376" spans="1:32" x14ac:dyDescent="0.25">
      <c r="A4376" s="37"/>
      <c r="B4376" s="37"/>
      <c r="C4376" s="37"/>
      <c r="F4376" s="38"/>
      <c r="G4376" s="38"/>
      <c r="H4376" s="38"/>
      <c r="I4376" s="37"/>
      <c r="J4376" s="38"/>
      <c r="K4376" s="38"/>
      <c r="L4376" s="42"/>
      <c r="M4376" s="42"/>
      <c r="N4376" s="42"/>
      <c r="O4376" s="42"/>
      <c r="R4376" s="37"/>
      <c r="S4376" s="37"/>
      <c r="T4376" s="91"/>
      <c r="U4376" s="91"/>
      <c r="V4376" s="41"/>
      <c r="W4376" s="37"/>
      <c r="X4376" s="37"/>
      <c r="Y4376" s="43"/>
      <c r="Z4376" s="37"/>
      <c r="AA4376" s="37"/>
      <c r="AD4376" s="37"/>
      <c r="AE4376" s="37"/>
      <c r="AF4376" s="37"/>
    </row>
    <row r="4377" spans="1:32" x14ac:dyDescent="0.25">
      <c r="A4377" s="37"/>
      <c r="B4377" s="37"/>
      <c r="C4377" s="37"/>
      <c r="F4377" s="38"/>
      <c r="G4377" s="38"/>
      <c r="H4377" s="38"/>
      <c r="I4377" s="37"/>
      <c r="J4377" s="38"/>
      <c r="K4377" s="38"/>
      <c r="L4377" s="42"/>
      <c r="M4377" s="42"/>
      <c r="N4377" s="42"/>
      <c r="O4377" s="42"/>
      <c r="R4377" s="37"/>
      <c r="S4377" s="37"/>
      <c r="T4377" s="91"/>
      <c r="U4377" s="91"/>
      <c r="V4377" s="41"/>
      <c r="W4377" s="37"/>
      <c r="X4377" s="37"/>
      <c r="Y4377" s="43"/>
      <c r="Z4377" s="37"/>
      <c r="AA4377" s="37"/>
      <c r="AD4377" s="37"/>
      <c r="AE4377" s="37"/>
      <c r="AF4377" s="37"/>
    </row>
    <row r="4378" spans="1:32" x14ac:dyDescent="0.25">
      <c r="A4378" s="37"/>
      <c r="B4378" s="37"/>
      <c r="C4378" s="37"/>
      <c r="F4378" s="38"/>
      <c r="G4378" s="38"/>
      <c r="H4378" s="38"/>
      <c r="I4378" s="37"/>
      <c r="J4378" s="38"/>
      <c r="K4378" s="38"/>
      <c r="L4378" s="42"/>
      <c r="M4378" s="42"/>
      <c r="N4378" s="42"/>
      <c r="O4378" s="42"/>
      <c r="R4378" s="37"/>
      <c r="S4378" s="37"/>
      <c r="T4378" s="91"/>
      <c r="U4378" s="91"/>
      <c r="V4378" s="41"/>
      <c r="W4378" s="37"/>
      <c r="X4378" s="37"/>
      <c r="Y4378" s="43"/>
      <c r="Z4378" s="37"/>
      <c r="AA4378" s="37"/>
      <c r="AD4378" s="37"/>
      <c r="AE4378" s="37"/>
      <c r="AF4378" s="37"/>
    </row>
    <row r="4379" spans="1:32" x14ac:dyDescent="0.25">
      <c r="A4379" s="37"/>
      <c r="B4379" s="37"/>
      <c r="C4379" s="37"/>
      <c r="F4379" s="38"/>
      <c r="G4379" s="38"/>
      <c r="H4379" s="38"/>
      <c r="I4379" s="37"/>
      <c r="J4379" s="38"/>
      <c r="K4379" s="38"/>
      <c r="L4379" s="42"/>
      <c r="M4379" s="42"/>
      <c r="N4379" s="42"/>
      <c r="O4379" s="42"/>
      <c r="R4379" s="37"/>
      <c r="S4379" s="37"/>
      <c r="T4379" s="91"/>
      <c r="U4379" s="91"/>
      <c r="V4379" s="41"/>
      <c r="W4379" s="37"/>
      <c r="X4379" s="37"/>
      <c r="Y4379" s="43"/>
      <c r="Z4379" s="37"/>
      <c r="AA4379" s="37"/>
      <c r="AD4379" s="37"/>
      <c r="AE4379" s="37"/>
      <c r="AF4379" s="37"/>
    </row>
    <row r="4380" spans="1:32" x14ac:dyDescent="0.25">
      <c r="A4380" s="37"/>
      <c r="B4380" s="37"/>
      <c r="C4380" s="37"/>
      <c r="F4380" s="38"/>
      <c r="G4380" s="38"/>
      <c r="H4380" s="38"/>
      <c r="I4380" s="37"/>
      <c r="J4380" s="38"/>
      <c r="K4380" s="38"/>
      <c r="L4380" s="42"/>
      <c r="M4380" s="42"/>
      <c r="N4380" s="42"/>
      <c r="O4380" s="42"/>
      <c r="R4380" s="37"/>
      <c r="S4380" s="37"/>
      <c r="T4380" s="91"/>
      <c r="U4380" s="91"/>
      <c r="V4380" s="41"/>
      <c r="W4380" s="37"/>
      <c r="X4380" s="37"/>
      <c r="Y4380" s="43"/>
      <c r="Z4380" s="37"/>
      <c r="AA4380" s="37"/>
      <c r="AD4380" s="37"/>
      <c r="AE4380" s="37"/>
      <c r="AF4380" s="37"/>
    </row>
    <row r="4381" spans="1:32" x14ac:dyDescent="0.25">
      <c r="A4381" s="37"/>
      <c r="B4381" s="37"/>
      <c r="C4381" s="37"/>
      <c r="F4381" s="38"/>
      <c r="G4381" s="38"/>
      <c r="H4381" s="38"/>
      <c r="I4381" s="37"/>
      <c r="J4381" s="38"/>
      <c r="K4381" s="38"/>
      <c r="L4381" s="42"/>
      <c r="M4381" s="42"/>
      <c r="N4381" s="42"/>
      <c r="O4381" s="42"/>
      <c r="R4381" s="37"/>
      <c r="S4381" s="37"/>
      <c r="T4381" s="91"/>
      <c r="U4381" s="91"/>
      <c r="V4381" s="41"/>
      <c r="W4381" s="37"/>
      <c r="X4381" s="37"/>
      <c r="Y4381" s="43"/>
      <c r="Z4381" s="37"/>
      <c r="AA4381" s="37"/>
      <c r="AD4381" s="37"/>
      <c r="AE4381" s="37"/>
      <c r="AF4381" s="37"/>
    </row>
    <row r="4382" spans="1:32" x14ac:dyDescent="0.25">
      <c r="A4382" s="37"/>
      <c r="B4382" s="37"/>
      <c r="C4382" s="37"/>
      <c r="F4382" s="38"/>
      <c r="G4382" s="38"/>
      <c r="H4382" s="38"/>
      <c r="I4382" s="37"/>
      <c r="J4382" s="38"/>
      <c r="K4382" s="38"/>
      <c r="L4382" s="42"/>
      <c r="M4382" s="42"/>
      <c r="N4382" s="42"/>
      <c r="O4382" s="42"/>
      <c r="R4382" s="37"/>
      <c r="S4382" s="37"/>
      <c r="T4382" s="91"/>
      <c r="U4382" s="91"/>
      <c r="V4382" s="41"/>
      <c r="W4382" s="37"/>
      <c r="X4382" s="37"/>
      <c r="Y4382" s="43"/>
      <c r="Z4382" s="37"/>
      <c r="AA4382" s="37"/>
      <c r="AD4382" s="37"/>
      <c r="AE4382" s="37"/>
      <c r="AF4382" s="37"/>
    </row>
    <row r="4383" spans="1:32" x14ac:dyDescent="0.25">
      <c r="A4383" s="37"/>
      <c r="B4383" s="37"/>
      <c r="C4383" s="37"/>
      <c r="F4383" s="38"/>
      <c r="G4383" s="38"/>
      <c r="H4383" s="38"/>
      <c r="I4383" s="37"/>
      <c r="J4383" s="38"/>
      <c r="K4383" s="38"/>
      <c r="L4383" s="42"/>
      <c r="M4383" s="42"/>
      <c r="N4383" s="42"/>
      <c r="O4383" s="42"/>
      <c r="R4383" s="37"/>
      <c r="S4383" s="37"/>
      <c r="T4383" s="91"/>
      <c r="U4383" s="91"/>
      <c r="V4383" s="41"/>
      <c r="W4383" s="37"/>
      <c r="X4383" s="37"/>
      <c r="Y4383" s="43"/>
      <c r="Z4383" s="37"/>
      <c r="AA4383" s="37"/>
      <c r="AD4383" s="37"/>
      <c r="AE4383" s="37"/>
      <c r="AF4383" s="37"/>
    </row>
    <row r="4384" spans="1:32" x14ac:dyDescent="0.25">
      <c r="A4384" s="37"/>
      <c r="B4384" s="37"/>
      <c r="C4384" s="37"/>
      <c r="F4384" s="38"/>
      <c r="G4384" s="38"/>
      <c r="H4384" s="38"/>
      <c r="I4384" s="37"/>
      <c r="J4384" s="38"/>
      <c r="K4384" s="38"/>
      <c r="L4384" s="42"/>
      <c r="M4384" s="42"/>
      <c r="N4384" s="42"/>
      <c r="O4384" s="42"/>
      <c r="R4384" s="37"/>
      <c r="S4384" s="37"/>
      <c r="T4384" s="91"/>
      <c r="U4384" s="91"/>
      <c r="V4384" s="41"/>
      <c r="W4384" s="37"/>
      <c r="X4384" s="37"/>
      <c r="Y4384" s="43"/>
      <c r="Z4384" s="37"/>
      <c r="AA4384" s="37"/>
      <c r="AD4384" s="37"/>
      <c r="AE4384" s="37"/>
      <c r="AF4384" s="37"/>
    </row>
    <row r="4385" spans="1:32" x14ac:dyDescent="0.25">
      <c r="A4385" s="37"/>
      <c r="B4385" s="37"/>
      <c r="C4385" s="37"/>
      <c r="F4385" s="38"/>
      <c r="G4385" s="38"/>
      <c r="H4385" s="38"/>
      <c r="I4385" s="37"/>
      <c r="J4385" s="38"/>
      <c r="K4385" s="38"/>
      <c r="L4385" s="42"/>
      <c r="M4385" s="42"/>
      <c r="N4385" s="42"/>
      <c r="O4385" s="42"/>
      <c r="R4385" s="37"/>
      <c r="S4385" s="37"/>
      <c r="T4385" s="91"/>
      <c r="U4385" s="91"/>
      <c r="V4385" s="41"/>
      <c r="W4385" s="37"/>
      <c r="X4385" s="37"/>
      <c r="Y4385" s="43"/>
      <c r="Z4385" s="37"/>
      <c r="AA4385" s="37"/>
      <c r="AD4385" s="37"/>
      <c r="AE4385" s="37"/>
      <c r="AF4385" s="37"/>
    </row>
    <row r="4386" spans="1:32" x14ac:dyDescent="0.25">
      <c r="A4386" s="37"/>
      <c r="B4386" s="37"/>
      <c r="C4386" s="37"/>
      <c r="F4386" s="38"/>
      <c r="G4386" s="38"/>
      <c r="H4386" s="38"/>
      <c r="I4386" s="37"/>
      <c r="J4386" s="38"/>
      <c r="K4386" s="38"/>
      <c r="L4386" s="42"/>
      <c r="M4386" s="42"/>
      <c r="N4386" s="42"/>
      <c r="O4386" s="42"/>
      <c r="R4386" s="37"/>
      <c r="S4386" s="37"/>
      <c r="T4386" s="91"/>
      <c r="U4386" s="91"/>
      <c r="V4386" s="41"/>
      <c r="W4386" s="37"/>
      <c r="X4386" s="37"/>
      <c r="Y4386" s="43"/>
      <c r="Z4386" s="37"/>
      <c r="AA4386" s="37"/>
      <c r="AD4386" s="37"/>
      <c r="AE4386" s="37"/>
      <c r="AF4386" s="37"/>
    </row>
    <row r="4387" spans="1:32" x14ac:dyDescent="0.25">
      <c r="A4387" s="37"/>
      <c r="B4387" s="37"/>
      <c r="C4387" s="37"/>
      <c r="F4387" s="38"/>
      <c r="G4387" s="38"/>
      <c r="H4387" s="38"/>
      <c r="I4387" s="37"/>
      <c r="J4387" s="38"/>
      <c r="K4387" s="38"/>
      <c r="L4387" s="42"/>
      <c r="M4387" s="42"/>
      <c r="N4387" s="42"/>
      <c r="O4387" s="42"/>
      <c r="R4387" s="37"/>
      <c r="S4387" s="37"/>
      <c r="T4387" s="91"/>
      <c r="U4387" s="91"/>
      <c r="V4387" s="41"/>
      <c r="W4387" s="37"/>
      <c r="X4387" s="37"/>
      <c r="Y4387" s="43"/>
      <c r="Z4387" s="37"/>
      <c r="AA4387" s="37"/>
      <c r="AD4387" s="37"/>
      <c r="AE4387" s="37"/>
      <c r="AF4387" s="37"/>
    </row>
    <row r="4388" spans="1:32" x14ac:dyDescent="0.25">
      <c r="A4388" s="37"/>
      <c r="B4388" s="37"/>
      <c r="C4388" s="37"/>
      <c r="F4388" s="38"/>
      <c r="G4388" s="38"/>
      <c r="H4388" s="38"/>
      <c r="I4388" s="37"/>
      <c r="J4388" s="38"/>
      <c r="K4388" s="38"/>
      <c r="L4388" s="42"/>
      <c r="M4388" s="42"/>
      <c r="N4388" s="42"/>
      <c r="O4388" s="42"/>
      <c r="R4388" s="37"/>
      <c r="S4388" s="37"/>
      <c r="T4388" s="91"/>
      <c r="U4388" s="91"/>
      <c r="V4388" s="41"/>
      <c r="W4388" s="37"/>
      <c r="X4388" s="37"/>
      <c r="Y4388" s="43"/>
      <c r="Z4388" s="37"/>
      <c r="AA4388" s="37"/>
      <c r="AD4388" s="37"/>
      <c r="AE4388" s="37"/>
      <c r="AF4388" s="37"/>
    </row>
    <row r="4389" spans="1:32" x14ac:dyDescent="0.25">
      <c r="A4389" s="37"/>
      <c r="B4389" s="37"/>
      <c r="C4389" s="37"/>
      <c r="F4389" s="38"/>
      <c r="G4389" s="38"/>
      <c r="H4389" s="38"/>
      <c r="I4389" s="37"/>
      <c r="J4389" s="38"/>
      <c r="K4389" s="38"/>
      <c r="L4389" s="42"/>
      <c r="M4389" s="42"/>
      <c r="N4389" s="42"/>
      <c r="O4389" s="42"/>
      <c r="R4389" s="37"/>
      <c r="S4389" s="37"/>
      <c r="T4389" s="91"/>
      <c r="U4389" s="91"/>
      <c r="V4389" s="41"/>
      <c r="W4389" s="37"/>
      <c r="X4389" s="37"/>
      <c r="Y4389" s="43"/>
      <c r="Z4389" s="37"/>
      <c r="AA4389" s="37"/>
      <c r="AD4389" s="37"/>
      <c r="AE4389" s="37"/>
      <c r="AF4389" s="37"/>
    </row>
    <row r="4390" spans="1:32" x14ac:dyDescent="0.25">
      <c r="A4390" s="37"/>
      <c r="B4390" s="37"/>
      <c r="C4390" s="37"/>
      <c r="F4390" s="38"/>
      <c r="G4390" s="38"/>
      <c r="H4390" s="38"/>
      <c r="I4390" s="37"/>
      <c r="J4390" s="38"/>
      <c r="K4390" s="38"/>
      <c r="L4390" s="42"/>
      <c r="M4390" s="42"/>
      <c r="N4390" s="42"/>
      <c r="O4390" s="42"/>
      <c r="R4390" s="37"/>
      <c r="S4390" s="37"/>
      <c r="T4390" s="91"/>
      <c r="U4390" s="91"/>
      <c r="V4390" s="41"/>
      <c r="W4390" s="37"/>
      <c r="X4390" s="37"/>
      <c r="Y4390" s="43"/>
      <c r="Z4390" s="37"/>
      <c r="AA4390" s="37"/>
      <c r="AD4390" s="37"/>
      <c r="AE4390" s="37"/>
      <c r="AF4390" s="37"/>
    </row>
    <row r="4391" spans="1:32" x14ac:dyDescent="0.25">
      <c r="A4391" s="37"/>
      <c r="B4391" s="37"/>
      <c r="C4391" s="37"/>
      <c r="F4391" s="38"/>
      <c r="G4391" s="38"/>
      <c r="H4391" s="38"/>
      <c r="I4391" s="37"/>
      <c r="J4391" s="38"/>
      <c r="K4391" s="38"/>
      <c r="L4391" s="42"/>
      <c r="M4391" s="42"/>
      <c r="N4391" s="42"/>
      <c r="O4391" s="42"/>
      <c r="R4391" s="37"/>
      <c r="S4391" s="37"/>
      <c r="T4391" s="91"/>
      <c r="U4391" s="91"/>
      <c r="V4391" s="41"/>
      <c r="W4391" s="37"/>
      <c r="X4391" s="37"/>
      <c r="Y4391" s="43"/>
      <c r="Z4391" s="37"/>
      <c r="AA4391" s="37"/>
      <c r="AD4391" s="37"/>
      <c r="AE4391" s="37"/>
      <c r="AF4391" s="37"/>
    </row>
    <row r="4392" spans="1:32" x14ac:dyDescent="0.25">
      <c r="A4392" s="37"/>
      <c r="B4392" s="37"/>
      <c r="C4392" s="37"/>
      <c r="F4392" s="38"/>
      <c r="G4392" s="38"/>
      <c r="H4392" s="38"/>
      <c r="I4392" s="37"/>
      <c r="J4392" s="38"/>
      <c r="K4392" s="38"/>
      <c r="L4392" s="42"/>
      <c r="M4392" s="42"/>
      <c r="N4392" s="42"/>
      <c r="O4392" s="42"/>
      <c r="R4392" s="37"/>
      <c r="S4392" s="37"/>
      <c r="T4392" s="91"/>
      <c r="U4392" s="91"/>
      <c r="V4392" s="41"/>
      <c r="W4392" s="37"/>
      <c r="X4392" s="37"/>
      <c r="Y4392" s="43"/>
      <c r="Z4392" s="37"/>
      <c r="AA4392" s="37"/>
      <c r="AD4392" s="37"/>
      <c r="AE4392" s="37"/>
      <c r="AF4392" s="37"/>
    </row>
    <row r="4393" spans="1:32" x14ac:dyDescent="0.25">
      <c r="A4393" s="37"/>
      <c r="B4393" s="37"/>
      <c r="C4393" s="37"/>
      <c r="F4393" s="38"/>
      <c r="G4393" s="38"/>
      <c r="H4393" s="38"/>
      <c r="I4393" s="37"/>
      <c r="J4393" s="38"/>
      <c r="K4393" s="38"/>
      <c r="L4393" s="42"/>
      <c r="M4393" s="42"/>
      <c r="N4393" s="42"/>
      <c r="O4393" s="42"/>
      <c r="R4393" s="37"/>
      <c r="S4393" s="37"/>
      <c r="T4393" s="91"/>
      <c r="U4393" s="91"/>
      <c r="V4393" s="41"/>
      <c r="W4393" s="37"/>
      <c r="X4393" s="37"/>
      <c r="Y4393" s="43"/>
      <c r="Z4393" s="37"/>
      <c r="AA4393" s="37"/>
      <c r="AD4393" s="37"/>
      <c r="AE4393" s="37"/>
      <c r="AF4393" s="37"/>
    </row>
    <row r="4394" spans="1:32" x14ac:dyDescent="0.25">
      <c r="A4394" s="37"/>
      <c r="B4394" s="37"/>
      <c r="C4394" s="37"/>
      <c r="F4394" s="38"/>
      <c r="G4394" s="38"/>
      <c r="H4394" s="38"/>
      <c r="I4394" s="37"/>
      <c r="J4394" s="38"/>
      <c r="K4394" s="38"/>
      <c r="L4394" s="42"/>
      <c r="M4394" s="42"/>
      <c r="N4394" s="42"/>
      <c r="O4394" s="42"/>
      <c r="R4394" s="37"/>
      <c r="S4394" s="37"/>
      <c r="T4394" s="91"/>
      <c r="U4394" s="91"/>
      <c r="V4394" s="41"/>
      <c r="W4394" s="37"/>
      <c r="X4394" s="37"/>
      <c r="Y4394" s="43"/>
      <c r="Z4394" s="37"/>
      <c r="AA4394" s="37"/>
      <c r="AD4394" s="37"/>
      <c r="AE4394" s="37"/>
      <c r="AF4394" s="37"/>
    </row>
    <row r="4395" spans="1:32" x14ac:dyDescent="0.25">
      <c r="A4395" s="37"/>
      <c r="B4395" s="37"/>
      <c r="C4395" s="37"/>
      <c r="F4395" s="38"/>
      <c r="G4395" s="38"/>
      <c r="H4395" s="38"/>
      <c r="I4395" s="37"/>
      <c r="J4395" s="38"/>
      <c r="K4395" s="38"/>
      <c r="L4395" s="42"/>
      <c r="M4395" s="42"/>
      <c r="N4395" s="42"/>
      <c r="O4395" s="42"/>
      <c r="R4395" s="37"/>
      <c r="S4395" s="37"/>
      <c r="T4395" s="91"/>
      <c r="U4395" s="91"/>
      <c r="V4395" s="41"/>
      <c r="W4395" s="37"/>
      <c r="X4395" s="37"/>
      <c r="Y4395" s="43"/>
      <c r="Z4395" s="37"/>
      <c r="AA4395" s="37"/>
      <c r="AD4395" s="37"/>
      <c r="AE4395" s="37"/>
      <c r="AF4395" s="37"/>
    </row>
    <row r="4396" spans="1:32" x14ac:dyDescent="0.25">
      <c r="A4396" s="37"/>
      <c r="B4396" s="37"/>
      <c r="C4396" s="37"/>
      <c r="F4396" s="38"/>
      <c r="G4396" s="38"/>
      <c r="H4396" s="38"/>
      <c r="I4396" s="37"/>
      <c r="J4396" s="38"/>
      <c r="K4396" s="38"/>
      <c r="L4396" s="42"/>
      <c r="M4396" s="42"/>
      <c r="N4396" s="42"/>
      <c r="O4396" s="42"/>
      <c r="R4396" s="37"/>
      <c r="S4396" s="37"/>
      <c r="T4396" s="91"/>
      <c r="U4396" s="91"/>
      <c r="V4396" s="41"/>
      <c r="W4396" s="37"/>
      <c r="X4396" s="37"/>
      <c r="Y4396" s="43"/>
      <c r="Z4396" s="37"/>
      <c r="AA4396" s="37"/>
      <c r="AD4396" s="37"/>
      <c r="AE4396" s="37"/>
      <c r="AF4396" s="37"/>
    </row>
    <row r="4397" spans="1:32" x14ac:dyDescent="0.25">
      <c r="A4397" s="37"/>
      <c r="B4397" s="37"/>
      <c r="C4397" s="37"/>
      <c r="F4397" s="38"/>
      <c r="G4397" s="38"/>
      <c r="H4397" s="38"/>
      <c r="I4397" s="37"/>
      <c r="J4397" s="38"/>
      <c r="K4397" s="38"/>
      <c r="L4397" s="42"/>
      <c r="M4397" s="42"/>
      <c r="N4397" s="42"/>
      <c r="O4397" s="42"/>
      <c r="R4397" s="37"/>
      <c r="S4397" s="37"/>
      <c r="T4397" s="91"/>
      <c r="U4397" s="91"/>
      <c r="V4397" s="41"/>
      <c r="W4397" s="37"/>
      <c r="X4397" s="37"/>
      <c r="Y4397" s="43"/>
      <c r="Z4397" s="37"/>
      <c r="AA4397" s="37"/>
      <c r="AD4397" s="37"/>
      <c r="AE4397" s="37"/>
      <c r="AF4397" s="37"/>
    </row>
    <row r="4398" spans="1:32" x14ac:dyDescent="0.25">
      <c r="A4398" s="37"/>
      <c r="B4398" s="37"/>
      <c r="C4398" s="37"/>
      <c r="F4398" s="38"/>
      <c r="G4398" s="38"/>
      <c r="H4398" s="38"/>
      <c r="I4398" s="37"/>
      <c r="J4398" s="38"/>
      <c r="K4398" s="38"/>
      <c r="L4398" s="42"/>
      <c r="M4398" s="42"/>
      <c r="N4398" s="42"/>
      <c r="O4398" s="42"/>
      <c r="R4398" s="37"/>
      <c r="S4398" s="37"/>
      <c r="T4398" s="91"/>
      <c r="U4398" s="91"/>
      <c r="V4398" s="41"/>
      <c r="W4398" s="37"/>
      <c r="X4398" s="37"/>
      <c r="Y4398" s="43"/>
      <c r="Z4398" s="37"/>
      <c r="AA4398" s="37"/>
      <c r="AD4398" s="37"/>
      <c r="AE4398" s="37"/>
      <c r="AF4398" s="37"/>
    </row>
    <row r="4399" spans="1:32" x14ac:dyDescent="0.25">
      <c r="A4399" s="37"/>
      <c r="B4399" s="37"/>
      <c r="C4399" s="37"/>
      <c r="F4399" s="38"/>
      <c r="G4399" s="38"/>
      <c r="H4399" s="38"/>
      <c r="I4399" s="37"/>
      <c r="J4399" s="38"/>
      <c r="K4399" s="38"/>
      <c r="L4399" s="42"/>
      <c r="M4399" s="42"/>
      <c r="N4399" s="42"/>
      <c r="O4399" s="42"/>
      <c r="R4399" s="37"/>
      <c r="S4399" s="37"/>
      <c r="T4399" s="91"/>
      <c r="U4399" s="91"/>
      <c r="V4399" s="41"/>
      <c r="W4399" s="37"/>
      <c r="X4399" s="37"/>
      <c r="Y4399" s="43"/>
      <c r="Z4399" s="37"/>
      <c r="AA4399" s="37"/>
      <c r="AD4399" s="37"/>
      <c r="AE4399" s="37"/>
      <c r="AF4399" s="37"/>
    </row>
    <row r="4400" spans="1:32" x14ac:dyDescent="0.25">
      <c r="A4400" s="37"/>
      <c r="B4400" s="37"/>
      <c r="C4400" s="37"/>
      <c r="F4400" s="38"/>
      <c r="G4400" s="38"/>
      <c r="H4400" s="38"/>
      <c r="I4400" s="37"/>
      <c r="J4400" s="38"/>
      <c r="K4400" s="38"/>
      <c r="L4400" s="42"/>
      <c r="M4400" s="42"/>
      <c r="N4400" s="42"/>
      <c r="O4400" s="42"/>
      <c r="R4400" s="37"/>
      <c r="S4400" s="37"/>
      <c r="T4400" s="91"/>
      <c r="U4400" s="91"/>
      <c r="V4400" s="41"/>
      <c r="W4400" s="37"/>
      <c r="X4400" s="37"/>
      <c r="Y4400" s="43"/>
      <c r="Z4400" s="37"/>
      <c r="AA4400" s="37"/>
      <c r="AD4400" s="37"/>
      <c r="AE4400" s="37"/>
      <c r="AF4400" s="37"/>
    </row>
    <row r="4401" spans="1:32" x14ac:dyDescent="0.25">
      <c r="A4401" s="37"/>
      <c r="B4401" s="37"/>
      <c r="C4401" s="37"/>
      <c r="F4401" s="38"/>
      <c r="G4401" s="38"/>
      <c r="H4401" s="38"/>
      <c r="I4401" s="37"/>
      <c r="J4401" s="38"/>
      <c r="K4401" s="38"/>
      <c r="L4401" s="42"/>
      <c r="M4401" s="42"/>
      <c r="N4401" s="42"/>
      <c r="O4401" s="42"/>
      <c r="R4401" s="37"/>
      <c r="S4401" s="37"/>
      <c r="T4401" s="91"/>
      <c r="U4401" s="91"/>
      <c r="V4401" s="41"/>
      <c r="W4401" s="37"/>
      <c r="X4401" s="37"/>
      <c r="Y4401" s="43"/>
      <c r="Z4401" s="37"/>
      <c r="AA4401" s="37"/>
      <c r="AD4401" s="37"/>
      <c r="AE4401" s="37"/>
      <c r="AF4401" s="37"/>
    </row>
    <row r="4402" spans="1:32" x14ac:dyDescent="0.25">
      <c r="A4402" s="37"/>
      <c r="B4402" s="37"/>
      <c r="C4402" s="37"/>
      <c r="F4402" s="38"/>
      <c r="G4402" s="38"/>
      <c r="H4402" s="38"/>
      <c r="I4402" s="37"/>
      <c r="J4402" s="38"/>
      <c r="K4402" s="38"/>
      <c r="L4402" s="42"/>
      <c r="M4402" s="42"/>
      <c r="N4402" s="42"/>
      <c r="O4402" s="42"/>
      <c r="R4402" s="37"/>
      <c r="S4402" s="37"/>
      <c r="T4402" s="91"/>
      <c r="U4402" s="91"/>
      <c r="V4402" s="41"/>
      <c r="W4402" s="37"/>
      <c r="X4402" s="37"/>
      <c r="Y4402" s="43"/>
      <c r="Z4402" s="37"/>
      <c r="AA4402" s="37"/>
      <c r="AD4402" s="37"/>
      <c r="AE4402" s="37"/>
      <c r="AF4402" s="37"/>
    </row>
    <row r="4403" spans="1:32" x14ac:dyDescent="0.25">
      <c r="A4403" s="37"/>
      <c r="B4403" s="37"/>
      <c r="C4403" s="37"/>
      <c r="F4403" s="38"/>
      <c r="G4403" s="38"/>
      <c r="H4403" s="38"/>
      <c r="I4403" s="37"/>
      <c r="J4403" s="38"/>
      <c r="K4403" s="38"/>
      <c r="L4403" s="42"/>
      <c r="M4403" s="42"/>
      <c r="N4403" s="42"/>
      <c r="O4403" s="42"/>
      <c r="R4403" s="37"/>
      <c r="S4403" s="37"/>
      <c r="T4403" s="91"/>
      <c r="U4403" s="91"/>
      <c r="V4403" s="41"/>
      <c r="W4403" s="37"/>
      <c r="X4403" s="37"/>
      <c r="Y4403" s="43"/>
      <c r="Z4403" s="37"/>
      <c r="AA4403" s="37"/>
      <c r="AD4403" s="37"/>
      <c r="AE4403" s="37"/>
      <c r="AF4403" s="37"/>
    </row>
    <row r="4404" spans="1:32" x14ac:dyDescent="0.25">
      <c r="A4404" s="37"/>
      <c r="B4404" s="37"/>
      <c r="C4404" s="37"/>
      <c r="F4404" s="38"/>
      <c r="G4404" s="38"/>
      <c r="H4404" s="38"/>
      <c r="I4404" s="37"/>
      <c r="J4404" s="38"/>
      <c r="K4404" s="38"/>
      <c r="L4404" s="42"/>
      <c r="M4404" s="42"/>
      <c r="N4404" s="42"/>
      <c r="O4404" s="42"/>
      <c r="R4404" s="37"/>
      <c r="S4404" s="37"/>
      <c r="T4404" s="91"/>
      <c r="U4404" s="91"/>
      <c r="V4404" s="41"/>
      <c r="W4404" s="37"/>
      <c r="X4404" s="37"/>
      <c r="Y4404" s="43"/>
      <c r="Z4404" s="37"/>
      <c r="AA4404" s="37"/>
      <c r="AD4404" s="37"/>
      <c r="AE4404" s="37"/>
      <c r="AF4404" s="37"/>
    </row>
    <row r="4405" spans="1:32" x14ac:dyDescent="0.25">
      <c r="A4405" s="37"/>
      <c r="B4405" s="37"/>
      <c r="C4405" s="37"/>
      <c r="F4405" s="38"/>
      <c r="G4405" s="38"/>
      <c r="H4405" s="38"/>
      <c r="I4405" s="37"/>
      <c r="J4405" s="38"/>
      <c r="K4405" s="38"/>
      <c r="L4405" s="42"/>
      <c r="M4405" s="42"/>
      <c r="N4405" s="42"/>
      <c r="O4405" s="42"/>
      <c r="R4405" s="37"/>
      <c r="S4405" s="37"/>
      <c r="T4405" s="91"/>
      <c r="U4405" s="91"/>
      <c r="V4405" s="41"/>
      <c r="W4405" s="37"/>
      <c r="X4405" s="37"/>
      <c r="Y4405" s="43"/>
      <c r="Z4405" s="37"/>
      <c r="AA4405" s="37"/>
      <c r="AD4405" s="37"/>
      <c r="AE4405" s="37"/>
      <c r="AF4405" s="37"/>
    </row>
    <row r="4406" spans="1:32" x14ac:dyDescent="0.25">
      <c r="A4406" s="37"/>
      <c r="B4406" s="37"/>
      <c r="C4406" s="37"/>
      <c r="F4406" s="38"/>
      <c r="G4406" s="38"/>
      <c r="H4406" s="38"/>
      <c r="I4406" s="37"/>
      <c r="J4406" s="38"/>
      <c r="K4406" s="38"/>
      <c r="L4406" s="42"/>
      <c r="M4406" s="42"/>
      <c r="N4406" s="42"/>
      <c r="O4406" s="42"/>
      <c r="R4406" s="37"/>
      <c r="S4406" s="37"/>
      <c r="T4406" s="91"/>
      <c r="U4406" s="91"/>
      <c r="V4406" s="41"/>
      <c r="W4406" s="37"/>
      <c r="X4406" s="37"/>
      <c r="Y4406" s="43"/>
      <c r="Z4406" s="37"/>
      <c r="AA4406" s="37"/>
      <c r="AD4406" s="37"/>
      <c r="AE4406" s="37"/>
      <c r="AF4406" s="37"/>
    </row>
    <row r="4407" spans="1:32" x14ac:dyDescent="0.25">
      <c r="A4407" s="37"/>
      <c r="B4407" s="37"/>
      <c r="C4407" s="37"/>
      <c r="F4407" s="38"/>
      <c r="G4407" s="38"/>
      <c r="H4407" s="38"/>
      <c r="I4407" s="37"/>
      <c r="J4407" s="38"/>
      <c r="K4407" s="38"/>
      <c r="L4407" s="42"/>
      <c r="M4407" s="42"/>
      <c r="N4407" s="42"/>
      <c r="O4407" s="42"/>
      <c r="R4407" s="37"/>
      <c r="S4407" s="37"/>
      <c r="T4407" s="91"/>
      <c r="U4407" s="91"/>
      <c r="V4407" s="41"/>
      <c r="W4407" s="37"/>
      <c r="X4407" s="37"/>
      <c r="Y4407" s="43"/>
      <c r="Z4407" s="37"/>
      <c r="AA4407" s="37"/>
      <c r="AD4407" s="37"/>
      <c r="AE4407" s="37"/>
      <c r="AF4407" s="37"/>
    </row>
    <row r="4408" spans="1:32" x14ac:dyDescent="0.25">
      <c r="A4408" s="37"/>
      <c r="B4408" s="37"/>
      <c r="C4408" s="37"/>
      <c r="F4408" s="38"/>
      <c r="G4408" s="38"/>
      <c r="H4408" s="38"/>
      <c r="I4408" s="37"/>
      <c r="J4408" s="38"/>
      <c r="K4408" s="38"/>
      <c r="L4408" s="42"/>
      <c r="M4408" s="42"/>
      <c r="N4408" s="42"/>
      <c r="O4408" s="42"/>
      <c r="R4408" s="37"/>
      <c r="S4408" s="37"/>
      <c r="T4408" s="91"/>
      <c r="U4408" s="91"/>
      <c r="V4408" s="41"/>
      <c r="W4408" s="37"/>
      <c r="X4408" s="37"/>
      <c r="Y4408" s="43"/>
      <c r="Z4408" s="37"/>
      <c r="AA4408" s="37"/>
      <c r="AD4408" s="37"/>
      <c r="AE4408" s="37"/>
      <c r="AF4408" s="37"/>
    </row>
    <row r="4409" spans="1:32" x14ac:dyDescent="0.25">
      <c r="A4409" s="37"/>
      <c r="B4409" s="37"/>
      <c r="C4409" s="37"/>
      <c r="F4409" s="38"/>
      <c r="G4409" s="38"/>
      <c r="H4409" s="38"/>
      <c r="I4409" s="37"/>
      <c r="J4409" s="38"/>
      <c r="K4409" s="38"/>
      <c r="L4409" s="42"/>
      <c r="M4409" s="42"/>
      <c r="N4409" s="42"/>
      <c r="O4409" s="42"/>
      <c r="R4409" s="37"/>
      <c r="S4409" s="37"/>
      <c r="T4409" s="91"/>
      <c r="U4409" s="91"/>
      <c r="V4409" s="41"/>
      <c r="W4409" s="37"/>
      <c r="X4409" s="37"/>
      <c r="Y4409" s="43"/>
      <c r="Z4409" s="37"/>
      <c r="AA4409" s="37"/>
      <c r="AD4409" s="37"/>
      <c r="AE4409" s="37"/>
      <c r="AF4409" s="37"/>
    </row>
    <row r="4410" spans="1:32" x14ac:dyDescent="0.25">
      <c r="A4410" s="37"/>
      <c r="B4410" s="37"/>
      <c r="C4410" s="37"/>
      <c r="F4410" s="38"/>
      <c r="G4410" s="38"/>
      <c r="H4410" s="38"/>
      <c r="I4410" s="37"/>
      <c r="J4410" s="38"/>
      <c r="K4410" s="38"/>
      <c r="L4410" s="42"/>
      <c r="M4410" s="42"/>
      <c r="N4410" s="42"/>
      <c r="O4410" s="42"/>
      <c r="R4410" s="37"/>
      <c r="S4410" s="37"/>
      <c r="T4410" s="91"/>
      <c r="U4410" s="91"/>
      <c r="V4410" s="41"/>
      <c r="W4410" s="37"/>
      <c r="X4410" s="37"/>
      <c r="Y4410" s="43"/>
      <c r="Z4410" s="37"/>
      <c r="AA4410" s="37"/>
      <c r="AD4410" s="37"/>
      <c r="AE4410" s="37"/>
      <c r="AF4410" s="37"/>
    </row>
    <row r="4411" spans="1:32" x14ac:dyDescent="0.25">
      <c r="A4411" s="37"/>
      <c r="B4411" s="37"/>
      <c r="C4411" s="37"/>
      <c r="F4411" s="38"/>
      <c r="G4411" s="38"/>
      <c r="H4411" s="38"/>
      <c r="I4411" s="37"/>
      <c r="J4411" s="38"/>
      <c r="K4411" s="38"/>
      <c r="L4411" s="42"/>
      <c r="M4411" s="42"/>
      <c r="N4411" s="42"/>
      <c r="O4411" s="42"/>
      <c r="R4411" s="37"/>
      <c r="S4411" s="37"/>
      <c r="T4411" s="91"/>
      <c r="U4411" s="91"/>
      <c r="V4411" s="41"/>
      <c r="W4411" s="37"/>
      <c r="X4411" s="37"/>
      <c r="Y4411" s="43"/>
      <c r="Z4411" s="37"/>
      <c r="AA4411" s="37"/>
      <c r="AD4411" s="37"/>
      <c r="AE4411" s="37"/>
      <c r="AF4411" s="37"/>
    </row>
    <row r="4412" spans="1:32" x14ac:dyDescent="0.25">
      <c r="A4412" s="37"/>
      <c r="B4412" s="37"/>
      <c r="C4412" s="37"/>
      <c r="F4412" s="38"/>
      <c r="G4412" s="38"/>
      <c r="H4412" s="38"/>
      <c r="I4412" s="37"/>
      <c r="J4412" s="38"/>
      <c r="K4412" s="38"/>
      <c r="L4412" s="42"/>
      <c r="M4412" s="42"/>
      <c r="N4412" s="42"/>
      <c r="O4412" s="42"/>
      <c r="R4412" s="37"/>
      <c r="S4412" s="37"/>
      <c r="T4412" s="91"/>
      <c r="U4412" s="91"/>
      <c r="V4412" s="41"/>
      <c r="W4412" s="37"/>
      <c r="X4412" s="37"/>
      <c r="Y4412" s="43"/>
      <c r="Z4412" s="37"/>
      <c r="AA4412" s="37"/>
      <c r="AD4412" s="37"/>
      <c r="AE4412" s="37"/>
      <c r="AF4412" s="37"/>
    </row>
    <row r="4413" spans="1:32" x14ac:dyDescent="0.25">
      <c r="A4413" s="37"/>
      <c r="B4413" s="37"/>
      <c r="C4413" s="37"/>
      <c r="F4413" s="38"/>
      <c r="G4413" s="38"/>
      <c r="H4413" s="38"/>
      <c r="I4413" s="37"/>
      <c r="J4413" s="38"/>
      <c r="K4413" s="38"/>
      <c r="L4413" s="42"/>
      <c r="M4413" s="42"/>
      <c r="N4413" s="42"/>
      <c r="O4413" s="42"/>
      <c r="R4413" s="37"/>
      <c r="S4413" s="37"/>
      <c r="T4413" s="91"/>
      <c r="U4413" s="91"/>
      <c r="V4413" s="41"/>
      <c r="W4413" s="37"/>
      <c r="X4413" s="37"/>
      <c r="Y4413" s="43"/>
      <c r="Z4413" s="37"/>
      <c r="AA4413" s="37"/>
      <c r="AD4413" s="37"/>
      <c r="AE4413" s="37"/>
      <c r="AF4413" s="37"/>
    </row>
    <row r="4414" spans="1:32" x14ac:dyDescent="0.25">
      <c r="A4414" s="37"/>
      <c r="B4414" s="37"/>
      <c r="C4414" s="37"/>
      <c r="F4414" s="38"/>
      <c r="G4414" s="38"/>
      <c r="H4414" s="38"/>
      <c r="I4414" s="37"/>
      <c r="J4414" s="38"/>
      <c r="K4414" s="38"/>
      <c r="L4414" s="42"/>
      <c r="M4414" s="42"/>
      <c r="N4414" s="42"/>
      <c r="O4414" s="42"/>
      <c r="R4414" s="37"/>
      <c r="S4414" s="37"/>
      <c r="T4414" s="91"/>
      <c r="U4414" s="91"/>
      <c r="V4414" s="41"/>
      <c r="W4414" s="37"/>
      <c r="X4414" s="37"/>
      <c r="Y4414" s="43"/>
      <c r="Z4414" s="37"/>
      <c r="AA4414" s="37"/>
      <c r="AD4414" s="37"/>
      <c r="AE4414" s="37"/>
      <c r="AF4414" s="37"/>
    </row>
    <row r="4415" spans="1:32" x14ac:dyDescent="0.25">
      <c r="A4415" s="37"/>
      <c r="B4415" s="37"/>
      <c r="C4415" s="37"/>
      <c r="F4415" s="38"/>
      <c r="G4415" s="38"/>
      <c r="H4415" s="38"/>
      <c r="I4415" s="37"/>
      <c r="J4415" s="38"/>
      <c r="K4415" s="38"/>
      <c r="L4415" s="42"/>
      <c r="M4415" s="42"/>
      <c r="N4415" s="42"/>
      <c r="O4415" s="42"/>
      <c r="R4415" s="37"/>
      <c r="S4415" s="37"/>
      <c r="T4415" s="91"/>
      <c r="U4415" s="91"/>
      <c r="V4415" s="41"/>
      <c r="W4415" s="37"/>
      <c r="X4415" s="37"/>
      <c r="Y4415" s="43"/>
      <c r="Z4415" s="37"/>
      <c r="AA4415" s="37"/>
      <c r="AD4415" s="37"/>
      <c r="AE4415" s="37"/>
      <c r="AF4415" s="37"/>
    </row>
    <row r="4416" spans="1:32" x14ac:dyDescent="0.25">
      <c r="A4416" s="37"/>
      <c r="B4416" s="37"/>
      <c r="C4416" s="37"/>
      <c r="F4416" s="38"/>
      <c r="G4416" s="38"/>
      <c r="H4416" s="38"/>
      <c r="I4416" s="37"/>
      <c r="J4416" s="38"/>
      <c r="K4416" s="38"/>
      <c r="L4416" s="42"/>
      <c r="M4416" s="42"/>
      <c r="N4416" s="42"/>
      <c r="O4416" s="42"/>
      <c r="R4416" s="37"/>
      <c r="S4416" s="37"/>
      <c r="T4416" s="91"/>
      <c r="U4416" s="91"/>
      <c r="V4416" s="41"/>
      <c r="W4416" s="37"/>
      <c r="X4416" s="37"/>
      <c r="Y4416" s="43"/>
      <c r="Z4416" s="37"/>
      <c r="AA4416" s="37"/>
      <c r="AD4416" s="37"/>
      <c r="AE4416" s="37"/>
      <c r="AF4416" s="37"/>
    </row>
    <row r="4417" spans="1:32" x14ac:dyDescent="0.25">
      <c r="A4417" s="37"/>
      <c r="B4417" s="37"/>
      <c r="C4417" s="37"/>
      <c r="F4417" s="38"/>
      <c r="G4417" s="38"/>
      <c r="H4417" s="38"/>
      <c r="I4417" s="37"/>
      <c r="J4417" s="38"/>
      <c r="K4417" s="38"/>
      <c r="L4417" s="42"/>
      <c r="M4417" s="42"/>
      <c r="N4417" s="42"/>
      <c r="O4417" s="42"/>
      <c r="R4417" s="37"/>
      <c r="S4417" s="37"/>
      <c r="T4417" s="91"/>
      <c r="U4417" s="91"/>
      <c r="V4417" s="41"/>
      <c r="W4417" s="37"/>
      <c r="X4417" s="37"/>
      <c r="Y4417" s="43"/>
      <c r="Z4417" s="37"/>
      <c r="AA4417" s="37"/>
      <c r="AD4417" s="37"/>
      <c r="AE4417" s="37"/>
      <c r="AF4417" s="37"/>
    </row>
    <row r="4418" spans="1:32" x14ac:dyDescent="0.25">
      <c r="A4418" s="37"/>
      <c r="B4418" s="37"/>
      <c r="C4418" s="37"/>
      <c r="F4418" s="38"/>
      <c r="G4418" s="38"/>
      <c r="H4418" s="38"/>
      <c r="I4418" s="37"/>
      <c r="J4418" s="38"/>
      <c r="K4418" s="38"/>
      <c r="L4418" s="42"/>
      <c r="M4418" s="42"/>
      <c r="N4418" s="42"/>
      <c r="O4418" s="42"/>
      <c r="R4418" s="37"/>
      <c r="S4418" s="37"/>
      <c r="T4418" s="91"/>
      <c r="U4418" s="91"/>
      <c r="V4418" s="41"/>
      <c r="W4418" s="37"/>
      <c r="X4418" s="37"/>
      <c r="Y4418" s="43"/>
      <c r="Z4418" s="37"/>
      <c r="AA4418" s="37"/>
      <c r="AD4418" s="37"/>
      <c r="AE4418" s="37"/>
      <c r="AF4418" s="37"/>
    </row>
    <row r="4419" spans="1:32" x14ac:dyDescent="0.25">
      <c r="A4419" s="37"/>
      <c r="B4419" s="37"/>
      <c r="C4419" s="37"/>
      <c r="F4419" s="38"/>
      <c r="G4419" s="38"/>
      <c r="H4419" s="38"/>
      <c r="I4419" s="37"/>
      <c r="J4419" s="38"/>
      <c r="K4419" s="38"/>
      <c r="L4419" s="42"/>
      <c r="M4419" s="42"/>
      <c r="N4419" s="42"/>
      <c r="O4419" s="42"/>
      <c r="R4419" s="37"/>
      <c r="S4419" s="37"/>
      <c r="T4419" s="91"/>
      <c r="U4419" s="91"/>
      <c r="V4419" s="41"/>
      <c r="W4419" s="37"/>
      <c r="X4419" s="37"/>
      <c r="Y4419" s="43"/>
      <c r="Z4419" s="37"/>
      <c r="AA4419" s="37"/>
      <c r="AD4419" s="37"/>
      <c r="AE4419" s="37"/>
      <c r="AF4419" s="37"/>
    </row>
    <row r="4420" spans="1:32" x14ac:dyDescent="0.25">
      <c r="A4420" s="37"/>
      <c r="B4420" s="37"/>
      <c r="C4420" s="37"/>
      <c r="F4420" s="38"/>
      <c r="G4420" s="38"/>
      <c r="H4420" s="38"/>
      <c r="I4420" s="37"/>
      <c r="J4420" s="38"/>
      <c r="K4420" s="38"/>
      <c r="L4420" s="42"/>
      <c r="M4420" s="42"/>
      <c r="N4420" s="42"/>
      <c r="O4420" s="42"/>
      <c r="R4420" s="37"/>
      <c r="S4420" s="37"/>
      <c r="T4420" s="91"/>
      <c r="U4420" s="91"/>
      <c r="V4420" s="41"/>
      <c r="W4420" s="37"/>
      <c r="X4420" s="37"/>
      <c r="Y4420" s="43"/>
      <c r="Z4420" s="37"/>
      <c r="AA4420" s="37"/>
      <c r="AD4420" s="37"/>
      <c r="AE4420" s="37"/>
      <c r="AF4420" s="37"/>
    </row>
    <row r="4421" spans="1:32" x14ac:dyDescent="0.25">
      <c r="A4421" s="37"/>
      <c r="B4421" s="37"/>
      <c r="C4421" s="37"/>
      <c r="F4421" s="38"/>
      <c r="G4421" s="38"/>
      <c r="H4421" s="38"/>
      <c r="I4421" s="37"/>
      <c r="J4421" s="38"/>
      <c r="K4421" s="38"/>
      <c r="L4421" s="42"/>
      <c r="M4421" s="42"/>
      <c r="N4421" s="42"/>
      <c r="O4421" s="42"/>
      <c r="R4421" s="37"/>
      <c r="S4421" s="37"/>
      <c r="T4421" s="91"/>
      <c r="U4421" s="91"/>
      <c r="V4421" s="41"/>
      <c r="W4421" s="37"/>
      <c r="X4421" s="37"/>
      <c r="Y4421" s="43"/>
      <c r="Z4421" s="37"/>
      <c r="AA4421" s="37"/>
      <c r="AD4421" s="37"/>
      <c r="AE4421" s="37"/>
      <c r="AF4421" s="37"/>
    </row>
    <row r="4422" spans="1:32" x14ac:dyDescent="0.25">
      <c r="A4422" s="37"/>
      <c r="B4422" s="37"/>
      <c r="C4422" s="37"/>
      <c r="F4422" s="38"/>
      <c r="G4422" s="38"/>
      <c r="H4422" s="38"/>
      <c r="I4422" s="37"/>
      <c r="J4422" s="38"/>
      <c r="K4422" s="38"/>
      <c r="L4422" s="42"/>
      <c r="M4422" s="42"/>
      <c r="N4422" s="42"/>
      <c r="O4422" s="42"/>
      <c r="R4422" s="37"/>
      <c r="S4422" s="37"/>
      <c r="T4422" s="91"/>
      <c r="U4422" s="91"/>
      <c r="V4422" s="41"/>
      <c r="W4422" s="37"/>
      <c r="X4422" s="37"/>
      <c r="Y4422" s="43"/>
      <c r="Z4422" s="37"/>
      <c r="AA4422" s="37"/>
      <c r="AD4422" s="37"/>
      <c r="AE4422" s="37"/>
      <c r="AF4422" s="37"/>
    </row>
    <row r="4423" spans="1:32" x14ac:dyDescent="0.25">
      <c r="A4423" s="37"/>
      <c r="B4423" s="37"/>
      <c r="C4423" s="37"/>
      <c r="F4423" s="38"/>
      <c r="G4423" s="38"/>
      <c r="H4423" s="38"/>
      <c r="I4423" s="37"/>
      <c r="J4423" s="38"/>
      <c r="K4423" s="38"/>
      <c r="L4423" s="42"/>
      <c r="M4423" s="42"/>
      <c r="N4423" s="42"/>
      <c r="O4423" s="42"/>
      <c r="R4423" s="37"/>
      <c r="S4423" s="37"/>
      <c r="T4423" s="91"/>
      <c r="U4423" s="91"/>
      <c r="V4423" s="41"/>
      <c r="W4423" s="37"/>
      <c r="X4423" s="37"/>
      <c r="Y4423" s="43"/>
      <c r="Z4423" s="37"/>
      <c r="AA4423" s="37"/>
      <c r="AD4423" s="37"/>
      <c r="AE4423" s="37"/>
      <c r="AF4423" s="37"/>
    </row>
    <row r="4424" spans="1:32" x14ac:dyDescent="0.25">
      <c r="A4424" s="37"/>
      <c r="B4424" s="37"/>
      <c r="C4424" s="37"/>
      <c r="F4424" s="38"/>
      <c r="G4424" s="38"/>
      <c r="H4424" s="38"/>
      <c r="I4424" s="37"/>
      <c r="J4424" s="38"/>
      <c r="K4424" s="38"/>
      <c r="L4424" s="42"/>
      <c r="M4424" s="42"/>
      <c r="N4424" s="42"/>
      <c r="O4424" s="42"/>
      <c r="R4424" s="37"/>
      <c r="S4424" s="37"/>
      <c r="T4424" s="91"/>
      <c r="U4424" s="91"/>
      <c r="V4424" s="41"/>
      <c r="W4424" s="37"/>
      <c r="X4424" s="37"/>
      <c r="Y4424" s="43"/>
      <c r="Z4424" s="37"/>
      <c r="AA4424" s="37"/>
      <c r="AD4424" s="37"/>
      <c r="AE4424" s="37"/>
      <c r="AF4424" s="37"/>
    </row>
    <row r="4425" spans="1:32" x14ac:dyDescent="0.25">
      <c r="A4425" s="37"/>
      <c r="B4425" s="37"/>
      <c r="C4425" s="37"/>
      <c r="F4425" s="38"/>
      <c r="G4425" s="38"/>
      <c r="H4425" s="38"/>
      <c r="I4425" s="37"/>
      <c r="J4425" s="38"/>
      <c r="K4425" s="38"/>
      <c r="L4425" s="42"/>
      <c r="M4425" s="42"/>
      <c r="N4425" s="42"/>
      <c r="O4425" s="42"/>
      <c r="R4425" s="37"/>
      <c r="S4425" s="37"/>
      <c r="T4425" s="91"/>
      <c r="U4425" s="91"/>
      <c r="V4425" s="41"/>
      <c r="W4425" s="37"/>
      <c r="X4425" s="37"/>
      <c r="Y4425" s="43"/>
      <c r="Z4425" s="37"/>
      <c r="AA4425" s="37"/>
      <c r="AD4425" s="37"/>
      <c r="AE4425" s="37"/>
      <c r="AF4425" s="37"/>
    </row>
    <row r="4426" spans="1:32" x14ac:dyDescent="0.25">
      <c r="A4426" s="37"/>
      <c r="B4426" s="37"/>
      <c r="C4426" s="37"/>
      <c r="F4426" s="38"/>
      <c r="G4426" s="38"/>
      <c r="H4426" s="38"/>
      <c r="I4426" s="37"/>
      <c r="J4426" s="38"/>
      <c r="K4426" s="38"/>
      <c r="L4426" s="42"/>
      <c r="M4426" s="42"/>
      <c r="N4426" s="42"/>
      <c r="O4426" s="42"/>
      <c r="R4426" s="37"/>
      <c r="S4426" s="37"/>
      <c r="T4426" s="91"/>
      <c r="U4426" s="91"/>
      <c r="V4426" s="41"/>
      <c r="W4426" s="37"/>
      <c r="X4426" s="37"/>
      <c r="Y4426" s="43"/>
      <c r="Z4426" s="37"/>
      <c r="AA4426" s="37"/>
      <c r="AD4426" s="37"/>
      <c r="AE4426" s="37"/>
      <c r="AF4426" s="37"/>
    </row>
    <row r="4427" spans="1:32" x14ac:dyDescent="0.25">
      <c r="A4427" s="37"/>
      <c r="B4427" s="37"/>
      <c r="C4427" s="37"/>
      <c r="F4427" s="38"/>
      <c r="G4427" s="38"/>
      <c r="H4427" s="38"/>
      <c r="I4427" s="37"/>
      <c r="J4427" s="38"/>
      <c r="K4427" s="38"/>
      <c r="L4427" s="42"/>
      <c r="M4427" s="42"/>
      <c r="N4427" s="42"/>
      <c r="O4427" s="42"/>
      <c r="R4427" s="37"/>
      <c r="S4427" s="37"/>
      <c r="T4427" s="91"/>
      <c r="U4427" s="91"/>
      <c r="V4427" s="41"/>
      <c r="W4427" s="37"/>
      <c r="X4427" s="37"/>
      <c r="Y4427" s="43"/>
      <c r="Z4427" s="37"/>
      <c r="AA4427" s="37"/>
      <c r="AD4427" s="37"/>
      <c r="AE4427" s="37"/>
      <c r="AF4427" s="37"/>
    </row>
    <row r="4428" spans="1:32" x14ac:dyDescent="0.25">
      <c r="A4428" s="37"/>
      <c r="B4428" s="37"/>
      <c r="C4428" s="37"/>
      <c r="F4428" s="38"/>
      <c r="G4428" s="38"/>
      <c r="H4428" s="38"/>
      <c r="I4428" s="37"/>
      <c r="J4428" s="38"/>
      <c r="K4428" s="38"/>
      <c r="L4428" s="42"/>
      <c r="M4428" s="42"/>
      <c r="N4428" s="42"/>
      <c r="O4428" s="42"/>
      <c r="R4428" s="37"/>
      <c r="S4428" s="37"/>
      <c r="T4428" s="91"/>
      <c r="U4428" s="91"/>
      <c r="V4428" s="41"/>
      <c r="W4428" s="37"/>
      <c r="X4428" s="37"/>
      <c r="Y4428" s="43"/>
      <c r="Z4428" s="37"/>
      <c r="AA4428" s="37"/>
      <c r="AD4428" s="37"/>
      <c r="AE4428" s="37"/>
      <c r="AF4428" s="37"/>
    </row>
    <row r="4429" spans="1:32" x14ac:dyDescent="0.25">
      <c r="A4429" s="37"/>
      <c r="B4429" s="37"/>
      <c r="C4429" s="37"/>
      <c r="F4429" s="38"/>
      <c r="G4429" s="38"/>
      <c r="H4429" s="38"/>
      <c r="I4429" s="37"/>
      <c r="J4429" s="38"/>
      <c r="K4429" s="38"/>
      <c r="L4429" s="42"/>
      <c r="M4429" s="42"/>
      <c r="N4429" s="42"/>
      <c r="O4429" s="42"/>
      <c r="R4429" s="37"/>
      <c r="S4429" s="37"/>
      <c r="T4429" s="91"/>
      <c r="U4429" s="91"/>
      <c r="V4429" s="41"/>
      <c r="W4429" s="37"/>
      <c r="X4429" s="37"/>
      <c r="Y4429" s="43"/>
      <c r="Z4429" s="37"/>
      <c r="AA4429" s="37"/>
      <c r="AD4429" s="37"/>
      <c r="AE4429" s="37"/>
      <c r="AF4429" s="37"/>
    </row>
    <row r="4430" spans="1:32" x14ac:dyDescent="0.25">
      <c r="A4430" s="37"/>
      <c r="B4430" s="37"/>
      <c r="C4430" s="37"/>
      <c r="F4430" s="38"/>
      <c r="G4430" s="38"/>
      <c r="H4430" s="38"/>
      <c r="I4430" s="37"/>
      <c r="J4430" s="38"/>
      <c r="K4430" s="38"/>
      <c r="L4430" s="42"/>
      <c r="M4430" s="42"/>
      <c r="N4430" s="42"/>
      <c r="O4430" s="42"/>
      <c r="R4430" s="37"/>
      <c r="S4430" s="37"/>
      <c r="T4430" s="91"/>
      <c r="U4430" s="91"/>
      <c r="V4430" s="41"/>
      <c r="W4430" s="37"/>
      <c r="X4430" s="37"/>
      <c r="Y4430" s="43"/>
      <c r="Z4430" s="37"/>
      <c r="AA4430" s="37"/>
      <c r="AD4430" s="37"/>
      <c r="AE4430" s="37"/>
      <c r="AF4430" s="37"/>
    </row>
    <row r="4431" spans="1:32" x14ac:dyDescent="0.25">
      <c r="A4431" s="37"/>
      <c r="B4431" s="37"/>
      <c r="C4431" s="37"/>
      <c r="F4431" s="38"/>
      <c r="G4431" s="38"/>
      <c r="H4431" s="38"/>
      <c r="I4431" s="37"/>
      <c r="J4431" s="38"/>
      <c r="K4431" s="38"/>
      <c r="L4431" s="42"/>
      <c r="M4431" s="42"/>
      <c r="N4431" s="42"/>
      <c r="O4431" s="42"/>
      <c r="R4431" s="37"/>
      <c r="S4431" s="37"/>
      <c r="T4431" s="91"/>
      <c r="U4431" s="91"/>
      <c r="V4431" s="41"/>
      <c r="W4431" s="37"/>
      <c r="X4431" s="37"/>
      <c r="Y4431" s="43"/>
      <c r="Z4431" s="37"/>
      <c r="AA4431" s="37"/>
      <c r="AD4431" s="37"/>
      <c r="AE4431" s="37"/>
      <c r="AF4431" s="37"/>
    </row>
    <row r="4432" spans="1:32" x14ac:dyDescent="0.25">
      <c r="A4432" s="37"/>
      <c r="B4432" s="37"/>
      <c r="C4432" s="37"/>
      <c r="F4432" s="38"/>
      <c r="G4432" s="38"/>
      <c r="H4432" s="38"/>
      <c r="I4432" s="37"/>
      <c r="J4432" s="38"/>
      <c r="K4432" s="38"/>
      <c r="L4432" s="42"/>
      <c r="M4432" s="42"/>
      <c r="N4432" s="42"/>
      <c r="O4432" s="42"/>
      <c r="R4432" s="37"/>
      <c r="S4432" s="37"/>
      <c r="T4432" s="91"/>
      <c r="U4432" s="91"/>
      <c r="V4432" s="41"/>
      <c r="W4432" s="37"/>
      <c r="X4432" s="37"/>
      <c r="Y4432" s="43"/>
      <c r="Z4432" s="37"/>
      <c r="AA4432" s="37"/>
      <c r="AD4432" s="37"/>
      <c r="AE4432" s="37"/>
      <c r="AF4432" s="37"/>
    </row>
    <row r="4433" spans="1:32" x14ac:dyDescent="0.25">
      <c r="A4433" s="37"/>
      <c r="B4433" s="37"/>
      <c r="C4433" s="37"/>
      <c r="F4433" s="38"/>
      <c r="G4433" s="38"/>
      <c r="H4433" s="38"/>
      <c r="I4433" s="37"/>
      <c r="J4433" s="38"/>
      <c r="K4433" s="38"/>
      <c r="L4433" s="42"/>
      <c r="M4433" s="42"/>
      <c r="N4433" s="42"/>
      <c r="O4433" s="42"/>
      <c r="R4433" s="37"/>
      <c r="S4433" s="37"/>
      <c r="T4433" s="91"/>
      <c r="U4433" s="91"/>
      <c r="V4433" s="41"/>
      <c r="W4433" s="37"/>
      <c r="X4433" s="37"/>
      <c r="Y4433" s="43"/>
      <c r="Z4433" s="37"/>
      <c r="AA4433" s="37"/>
      <c r="AD4433" s="37"/>
      <c r="AE4433" s="37"/>
      <c r="AF4433" s="37"/>
    </row>
    <row r="4434" spans="1:32" x14ac:dyDescent="0.25">
      <c r="A4434" s="37"/>
      <c r="B4434" s="37"/>
      <c r="C4434" s="37"/>
      <c r="F4434" s="38"/>
      <c r="G4434" s="38"/>
      <c r="H4434" s="38"/>
      <c r="I4434" s="37"/>
      <c r="J4434" s="38"/>
      <c r="K4434" s="38"/>
      <c r="L4434" s="42"/>
      <c r="M4434" s="42"/>
      <c r="N4434" s="42"/>
      <c r="O4434" s="42"/>
      <c r="R4434" s="37"/>
      <c r="S4434" s="37"/>
      <c r="T4434" s="91"/>
      <c r="U4434" s="91"/>
      <c r="V4434" s="41"/>
      <c r="W4434" s="37"/>
      <c r="X4434" s="37"/>
      <c r="Y4434" s="43"/>
      <c r="Z4434" s="37"/>
      <c r="AA4434" s="37"/>
      <c r="AD4434" s="37"/>
      <c r="AE4434" s="37"/>
      <c r="AF4434" s="37"/>
    </row>
    <row r="4435" spans="1:32" x14ac:dyDescent="0.25">
      <c r="A4435" s="37"/>
      <c r="B4435" s="37"/>
      <c r="C4435" s="37"/>
      <c r="F4435" s="38"/>
      <c r="G4435" s="38"/>
      <c r="H4435" s="38"/>
      <c r="I4435" s="37"/>
      <c r="J4435" s="38"/>
      <c r="K4435" s="38"/>
      <c r="L4435" s="42"/>
      <c r="M4435" s="42"/>
      <c r="N4435" s="42"/>
      <c r="O4435" s="42"/>
      <c r="R4435" s="37"/>
      <c r="S4435" s="37"/>
      <c r="T4435" s="91"/>
      <c r="U4435" s="91"/>
      <c r="V4435" s="41"/>
      <c r="W4435" s="37"/>
      <c r="X4435" s="37"/>
      <c r="Y4435" s="43"/>
      <c r="Z4435" s="37"/>
      <c r="AA4435" s="37"/>
      <c r="AD4435" s="37"/>
      <c r="AE4435" s="37"/>
      <c r="AF4435" s="37"/>
    </row>
    <row r="4436" spans="1:32" x14ac:dyDescent="0.25">
      <c r="A4436" s="37"/>
      <c r="B4436" s="37"/>
      <c r="C4436" s="37"/>
      <c r="F4436" s="38"/>
      <c r="G4436" s="38"/>
      <c r="H4436" s="38"/>
      <c r="I4436" s="37"/>
      <c r="J4436" s="38"/>
      <c r="K4436" s="38"/>
      <c r="L4436" s="42"/>
      <c r="M4436" s="42"/>
      <c r="N4436" s="42"/>
      <c r="O4436" s="42"/>
      <c r="R4436" s="37"/>
      <c r="S4436" s="37"/>
      <c r="T4436" s="91"/>
      <c r="U4436" s="91"/>
      <c r="V4436" s="41"/>
      <c r="W4436" s="37"/>
      <c r="X4436" s="37"/>
      <c r="Y4436" s="43"/>
      <c r="Z4436" s="37"/>
      <c r="AA4436" s="37"/>
      <c r="AD4436" s="37"/>
      <c r="AE4436" s="37"/>
      <c r="AF4436" s="37"/>
    </row>
    <row r="4437" spans="1:32" x14ac:dyDescent="0.25">
      <c r="A4437" s="37"/>
      <c r="B4437" s="37"/>
      <c r="C4437" s="37"/>
      <c r="F4437" s="38"/>
      <c r="G4437" s="38"/>
      <c r="H4437" s="38"/>
      <c r="I4437" s="37"/>
      <c r="J4437" s="38"/>
      <c r="K4437" s="38"/>
      <c r="L4437" s="42"/>
      <c r="M4437" s="42"/>
      <c r="N4437" s="42"/>
      <c r="O4437" s="42"/>
      <c r="R4437" s="37"/>
      <c r="S4437" s="37"/>
      <c r="T4437" s="91"/>
      <c r="U4437" s="91"/>
      <c r="V4437" s="41"/>
      <c r="W4437" s="37"/>
      <c r="X4437" s="37"/>
      <c r="Y4437" s="43"/>
      <c r="Z4437" s="37"/>
      <c r="AA4437" s="37"/>
      <c r="AD4437" s="37"/>
      <c r="AE4437" s="37"/>
      <c r="AF4437" s="37"/>
    </row>
    <row r="4438" spans="1:32" x14ac:dyDescent="0.25">
      <c r="A4438" s="37"/>
      <c r="B4438" s="37"/>
      <c r="C4438" s="37"/>
      <c r="F4438" s="38"/>
      <c r="G4438" s="38"/>
      <c r="H4438" s="38"/>
      <c r="I4438" s="37"/>
      <c r="J4438" s="38"/>
      <c r="K4438" s="38"/>
      <c r="L4438" s="42"/>
      <c r="M4438" s="42"/>
      <c r="N4438" s="42"/>
      <c r="O4438" s="42"/>
      <c r="R4438" s="37"/>
      <c r="S4438" s="37"/>
      <c r="T4438" s="91"/>
      <c r="U4438" s="91"/>
      <c r="V4438" s="41"/>
      <c r="W4438" s="37"/>
      <c r="X4438" s="37"/>
      <c r="Y4438" s="43"/>
      <c r="Z4438" s="37"/>
      <c r="AA4438" s="37"/>
      <c r="AD4438" s="37"/>
      <c r="AE4438" s="37"/>
      <c r="AF4438" s="37"/>
    </row>
    <row r="4439" spans="1:32" x14ac:dyDescent="0.25">
      <c r="A4439" s="37"/>
      <c r="B4439" s="37"/>
      <c r="C4439" s="37"/>
      <c r="F4439" s="38"/>
      <c r="G4439" s="38"/>
      <c r="H4439" s="38"/>
      <c r="I4439" s="37"/>
      <c r="J4439" s="38"/>
      <c r="K4439" s="38"/>
      <c r="L4439" s="42"/>
      <c r="M4439" s="42"/>
      <c r="N4439" s="42"/>
      <c r="O4439" s="42"/>
      <c r="R4439" s="37"/>
      <c r="S4439" s="37"/>
      <c r="T4439" s="91"/>
      <c r="U4439" s="91"/>
      <c r="V4439" s="41"/>
      <c r="W4439" s="37"/>
      <c r="X4439" s="37"/>
      <c r="Y4439" s="43"/>
      <c r="Z4439" s="37"/>
      <c r="AA4439" s="37"/>
      <c r="AD4439" s="37"/>
      <c r="AE4439" s="37"/>
      <c r="AF4439" s="37"/>
    </row>
    <row r="4440" spans="1:32" x14ac:dyDescent="0.25">
      <c r="A4440" s="37"/>
      <c r="B4440" s="37"/>
      <c r="C4440" s="37"/>
      <c r="F4440" s="38"/>
      <c r="G4440" s="38"/>
      <c r="H4440" s="38"/>
      <c r="I4440" s="37"/>
      <c r="J4440" s="38"/>
      <c r="K4440" s="38"/>
      <c r="L4440" s="42"/>
      <c r="M4440" s="42"/>
      <c r="N4440" s="42"/>
      <c r="O4440" s="42"/>
      <c r="R4440" s="37"/>
      <c r="S4440" s="37"/>
      <c r="T4440" s="91"/>
      <c r="U4440" s="91"/>
      <c r="V4440" s="41"/>
      <c r="W4440" s="37"/>
      <c r="X4440" s="37"/>
      <c r="Y4440" s="43"/>
      <c r="Z4440" s="37"/>
      <c r="AA4440" s="37"/>
      <c r="AD4440" s="37"/>
      <c r="AE4440" s="37"/>
      <c r="AF4440" s="37"/>
    </row>
    <row r="4441" spans="1:32" x14ac:dyDescent="0.25">
      <c r="A4441" s="37"/>
      <c r="B4441" s="37"/>
      <c r="C4441" s="37"/>
      <c r="F4441" s="38"/>
      <c r="G4441" s="38"/>
      <c r="H4441" s="38"/>
      <c r="I4441" s="37"/>
      <c r="J4441" s="38"/>
      <c r="K4441" s="38"/>
      <c r="L4441" s="42"/>
      <c r="M4441" s="42"/>
      <c r="N4441" s="42"/>
      <c r="O4441" s="42"/>
      <c r="R4441" s="37"/>
      <c r="S4441" s="37"/>
      <c r="T4441" s="91"/>
      <c r="U4441" s="91"/>
      <c r="V4441" s="41"/>
      <c r="W4441" s="37"/>
      <c r="X4441" s="37"/>
      <c r="Y4441" s="43"/>
      <c r="Z4441" s="37"/>
      <c r="AA4441" s="37"/>
      <c r="AD4441" s="37"/>
      <c r="AE4441" s="37"/>
      <c r="AF4441" s="37"/>
    </row>
    <row r="4442" spans="1:32" x14ac:dyDescent="0.25">
      <c r="A4442" s="37"/>
      <c r="B4442" s="37"/>
      <c r="C4442" s="37"/>
      <c r="F4442" s="38"/>
      <c r="G4442" s="38"/>
      <c r="H4442" s="38"/>
      <c r="I4442" s="37"/>
      <c r="J4442" s="38"/>
      <c r="K4442" s="38"/>
      <c r="L4442" s="42"/>
      <c r="M4442" s="42"/>
      <c r="N4442" s="42"/>
      <c r="O4442" s="42"/>
      <c r="R4442" s="37"/>
      <c r="S4442" s="37"/>
      <c r="T4442" s="91"/>
      <c r="U4442" s="91"/>
      <c r="V4442" s="41"/>
      <c r="W4442" s="37"/>
      <c r="X4442" s="37"/>
      <c r="Y4442" s="43"/>
      <c r="Z4442" s="37"/>
      <c r="AA4442" s="37"/>
      <c r="AD4442" s="37"/>
      <c r="AE4442" s="37"/>
      <c r="AF4442" s="37"/>
    </row>
    <row r="4443" spans="1:32" x14ac:dyDescent="0.25">
      <c r="A4443" s="37"/>
      <c r="B4443" s="37"/>
      <c r="C4443" s="37"/>
      <c r="F4443" s="38"/>
      <c r="G4443" s="38"/>
      <c r="H4443" s="38"/>
      <c r="I4443" s="37"/>
      <c r="J4443" s="38"/>
      <c r="K4443" s="38"/>
      <c r="L4443" s="42"/>
      <c r="M4443" s="42"/>
      <c r="N4443" s="42"/>
      <c r="O4443" s="42"/>
      <c r="R4443" s="37"/>
      <c r="S4443" s="37"/>
      <c r="T4443" s="91"/>
      <c r="U4443" s="91"/>
      <c r="V4443" s="41"/>
      <c r="W4443" s="37"/>
      <c r="X4443" s="37"/>
      <c r="Y4443" s="43"/>
      <c r="Z4443" s="37"/>
      <c r="AA4443" s="37"/>
      <c r="AD4443" s="37"/>
      <c r="AE4443" s="37"/>
      <c r="AF4443" s="37"/>
    </row>
    <row r="4444" spans="1:32" x14ac:dyDescent="0.25">
      <c r="A4444" s="37"/>
      <c r="B4444" s="37"/>
      <c r="C4444" s="37"/>
      <c r="F4444" s="38"/>
      <c r="G4444" s="38"/>
      <c r="H4444" s="38"/>
      <c r="I4444" s="37"/>
      <c r="J4444" s="38"/>
      <c r="K4444" s="38"/>
      <c r="L4444" s="42"/>
      <c r="M4444" s="42"/>
      <c r="N4444" s="42"/>
      <c r="O4444" s="42"/>
      <c r="R4444" s="37"/>
      <c r="S4444" s="37"/>
      <c r="T4444" s="91"/>
      <c r="U4444" s="91"/>
      <c r="V4444" s="41"/>
      <c r="W4444" s="37"/>
      <c r="X4444" s="37"/>
      <c r="Y4444" s="43"/>
      <c r="Z4444" s="37"/>
      <c r="AA4444" s="37"/>
      <c r="AD4444" s="37"/>
      <c r="AE4444" s="37"/>
      <c r="AF4444" s="37"/>
    </row>
    <row r="4445" spans="1:32" x14ac:dyDescent="0.25">
      <c r="A4445" s="37"/>
      <c r="B4445" s="37"/>
      <c r="C4445" s="37"/>
      <c r="F4445" s="38"/>
      <c r="G4445" s="38"/>
      <c r="H4445" s="38"/>
      <c r="I4445" s="37"/>
      <c r="J4445" s="38"/>
      <c r="K4445" s="38"/>
      <c r="L4445" s="42"/>
      <c r="M4445" s="42"/>
      <c r="N4445" s="42"/>
      <c r="O4445" s="42"/>
      <c r="R4445" s="37"/>
      <c r="S4445" s="37"/>
      <c r="T4445" s="91"/>
      <c r="U4445" s="91"/>
      <c r="V4445" s="41"/>
      <c r="W4445" s="37"/>
      <c r="X4445" s="37"/>
      <c r="Y4445" s="43"/>
      <c r="Z4445" s="37"/>
      <c r="AA4445" s="37"/>
      <c r="AD4445" s="37"/>
      <c r="AE4445" s="37"/>
      <c r="AF4445" s="37"/>
    </row>
    <row r="4446" spans="1:32" x14ac:dyDescent="0.25">
      <c r="A4446" s="37"/>
      <c r="B4446" s="37"/>
      <c r="C4446" s="37"/>
      <c r="F4446" s="38"/>
      <c r="G4446" s="38"/>
      <c r="H4446" s="38"/>
      <c r="I4446" s="37"/>
      <c r="J4446" s="38"/>
      <c r="K4446" s="38"/>
      <c r="L4446" s="42"/>
      <c r="M4446" s="42"/>
      <c r="N4446" s="42"/>
      <c r="O4446" s="42"/>
      <c r="R4446" s="37"/>
      <c r="S4446" s="37"/>
      <c r="T4446" s="91"/>
      <c r="U4446" s="91"/>
      <c r="V4446" s="41"/>
      <c r="W4446" s="37"/>
      <c r="X4446" s="37"/>
      <c r="Y4446" s="43"/>
      <c r="Z4446" s="37"/>
      <c r="AA4446" s="37"/>
      <c r="AD4446" s="37"/>
      <c r="AE4446" s="37"/>
      <c r="AF4446" s="37"/>
    </row>
    <row r="4447" spans="1:32" x14ac:dyDescent="0.25">
      <c r="A4447" s="37"/>
      <c r="B4447" s="37"/>
      <c r="C4447" s="37"/>
      <c r="F4447" s="38"/>
      <c r="G4447" s="38"/>
      <c r="H4447" s="38"/>
      <c r="I4447" s="37"/>
      <c r="J4447" s="38"/>
      <c r="K4447" s="38"/>
      <c r="L4447" s="42"/>
      <c r="M4447" s="42"/>
      <c r="N4447" s="42"/>
      <c r="O4447" s="42"/>
      <c r="R4447" s="37"/>
      <c r="S4447" s="37"/>
      <c r="T4447" s="91"/>
      <c r="U4447" s="91"/>
      <c r="V4447" s="41"/>
      <c r="W4447" s="37"/>
      <c r="X4447" s="37"/>
      <c r="Y4447" s="43"/>
      <c r="Z4447" s="37"/>
      <c r="AA4447" s="37"/>
      <c r="AD4447" s="37"/>
      <c r="AE4447" s="37"/>
      <c r="AF4447" s="37"/>
    </row>
    <row r="4448" spans="1:32" x14ac:dyDescent="0.25">
      <c r="A4448" s="37"/>
      <c r="B4448" s="37"/>
      <c r="C4448" s="37"/>
      <c r="F4448" s="38"/>
      <c r="G4448" s="38"/>
      <c r="H4448" s="38"/>
      <c r="I4448" s="37"/>
      <c r="J4448" s="38"/>
      <c r="K4448" s="38"/>
      <c r="L4448" s="42"/>
      <c r="M4448" s="42"/>
      <c r="N4448" s="42"/>
      <c r="O4448" s="42"/>
      <c r="R4448" s="37"/>
      <c r="S4448" s="37"/>
      <c r="T4448" s="91"/>
      <c r="U4448" s="91"/>
      <c r="V4448" s="41"/>
      <c r="W4448" s="37"/>
      <c r="X4448" s="37"/>
      <c r="Y4448" s="43"/>
      <c r="Z4448" s="37"/>
      <c r="AA4448" s="37"/>
      <c r="AD4448" s="37"/>
      <c r="AE4448" s="37"/>
      <c r="AF4448" s="37"/>
    </row>
    <row r="4449" spans="1:32" x14ac:dyDescent="0.25">
      <c r="A4449" s="37"/>
      <c r="B4449" s="37"/>
      <c r="C4449" s="37"/>
      <c r="F4449" s="38"/>
      <c r="G4449" s="38"/>
      <c r="H4449" s="38"/>
      <c r="I4449" s="37"/>
      <c r="J4449" s="38"/>
      <c r="K4449" s="38"/>
      <c r="L4449" s="42"/>
      <c r="M4449" s="42"/>
      <c r="N4449" s="42"/>
      <c r="O4449" s="42"/>
      <c r="R4449" s="37"/>
      <c r="S4449" s="37"/>
      <c r="T4449" s="91"/>
      <c r="U4449" s="91"/>
      <c r="V4449" s="41"/>
      <c r="W4449" s="37"/>
      <c r="X4449" s="37"/>
      <c r="Y4449" s="43"/>
      <c r="Z4449" s="37"/>
      <c r="AA4449" s="37"/>
      <c r="AD4449" s="37"/>
      <c r="AE4449" s="37"/>
      <c r="AF4449" s="37"/>
    </row>
    <row r="4450" spans="1:32" x14ac:dyDescent="0.25">
      <c r="A4450" s="37"/>
      <c r="B4450" s="37"/>
      <c r="C4450" s="37"/>
      <c r="F4450" s="38"/>
      <c r="G4450" s="38"/>
      <c r="H4450" s="38"/>
      <c r="I4450" s="37"/>
      <c r="J4450" s="38"/>
      <c r="K4450" s="38"/>
      <c r="L4450" s="42"/>
      <c r="M4450" s="42"/>
      <c r="N4450" s="42"/>
      <c r="O4450" s="42"/>
      <c r="R4450" s="37"/>
      <c r="S4450" s="37"/>
      <c r="T4450" s="91"/>
      <c r="U4450" s="91"/>
      <c r="V4450" s="41"/>
      <c r="W4450" s="37"/>
      <c r="X4450" s="37"/>
      <c r="Y4450" s="43"/>
      <c r="Z4450" s="37"/>
      <c r="AA4450" s="37"/>
      <c r="AD4450" s="37"/>
      <c r="AE4450" s="37"/>
      <c r="AF4450" s="37"/>
    </row>
    <row r="4451" spans="1:32" x14ac:dyDescent="0.25">
      <c r="A4451" s="37"/>
      <c r="B4451" s="37"/>
      <c r="C4451" s="37"/>
      <c r="F4451" s="38"/>
      <c r="G4451" s="38"/>
      <c r="H4451" s="38"/>
      <c r="I4451" s="37"/>
      <c r="J4451" s="38"/>
      <c r="K4451" s="38"/>
      <c r="L4451" s="42"/>
      <c r="M4451" s="42"/>
      <c r="N4451" s="42"/>
      <c r="O4451" s="42"/>
      <c r="R4451" s="37"/>
      <c r="S4451" s="37"/>
      <c r="T4451" s="91"/>
      <c r="U4451" s="91"/>
      <c r="V4451" s="41"/>
      <c r="W4451" s="37"/>
      <c r="X4451" s="37"/>
      <c r="Y4451" s="43"/>
      <c r="Z4451" s="37"/>
      <c r="AA4451" s="37"/>
      <c r="AD4451" s="37"/>
      <c r="AE4451" s="37"/>
      <c r="AF4451" s="37"/>
    </row>
    <row r="4452" spans="1:32" x14ac:dyDescent="0.25">
      <c r="A4452" s="37"/>
      <c r="B4452" s="37"/>
      <c r="C4452" s="37"/>
      <c r="F4452" s="38"/>
      <c r="G4452" s="38"/>
      <c r="H4452" s="38"/>
      <c r="I4452" s="37"/>
      <c r="J4452" s="38"/>
      <c r="K4452" s="38"/>
      <c r="L4452" s="42"/>
      <c r="M4452" s="42"/>
      <c r="N4452" s="42"/>
      <c r="O4452" s="42"/>
      <c r="R4452" s="37"/>
      <c r="S4452" s="37"/>
      <c r="T4452" s="91"/>
      <c r="U4452" s="91"/>
      <c r="V4452" s="41"/>
      <c r="W4452" s="37"/>
      <c r="X4452" s="37"/>
      <c r="Y4452" s="43"/>
      <c r="Z4452" s="37"/>
      <c r="AA4452" s="37"/>
      <c r="AD4452" s="37"/>
      <c r="AE4452" s="37"/>
      <c r="AF4452" s="37"/>
    </row>
    <row r="4453" spans="1:32" x14ac:dyDescent="0.25">
      <c r="A4453" s="37"/>
      <c r="B4453" s="37"/>
      <c r="C4453" s="37"/>
      <c r="F4453" s="38"/>
      <c r="G4453" s="38"/>
      <c r="H4453" s="38"/>
      <c r="I4453" s="37"/>
      <c r="J4453" s="38"/>
      <c r="K4453" s="38"/>
      <c r="L4453" s="42"/>
      <c r="M4453" s="42"/>
      <c r="N4453" s="42"/>
      <c r="O4453" s="42"/>
      <c r="R4453" s="37"/>
      <c r="S4453" s="37"/>
      <c r="T4453" s="91"/>
      <c r="U4453" s="91"/>
      <c r="V4453" s="41"/>
      <c r="W4453" s="37"/>
      <c r="X4453" s="37"/>
      <c r="Y4453" s="43"/>
      <c r="Z4453" s="37"/>
      <c r="AA4453" s="37"/>
      <c r="AD4453" s="37"/>
      <c r="AE4453" s="37"/>
      <c r="AF4453" s="37"/>
    </row>
    <row r="4454" spans="1:32" x14ac:dyDescent="0.25">
      <c r="A4454" s="37"/>
      <c r="B4454" s="37"/>
      <c r="C4454" s="37"/>
      <c r="F4454" s="38"/>
      <c r="G4454" s="38"/>
      <c r="H4454" s="38"/>
      <c r="I4454" s="37"/>
      <c r="J4454" s="38"/>
      <c r="K4454" s="38"/>
      <c r="L4454" s="42"/>
      <c r="M4454" s="42"/>
      <c r="N4454" s="42"/>
      <c r="O4454" s="42"/>
      <c r="R4454" s="37"/>
      <c r="S4454" s="37"/>
      <c r="T4454" s="91"/>
      <c r="U4454" s="91"/>
      <c r="V4454" s="41"/>
      <c r="W4454" s="37"/>
      <c r="X4454" s="37"/>
      <c r="Y4454" s="43"/>
      <c r="Z4454" s="37"/>
      <c r="AA4454" s="37"/>
      <c r="AD4454" s="37"/>
      <c r="AE4454" s="37"/>
      <c r="AF4454" s="37"/>
    </row>
    <row r="4455" spans="1:32" x14ac:dyDescent="0.25">
      <c r="A4455" s="37"/>
      <c r="B4455" s="37"/>
      <c r="C4455" s="37"/>
      <c r="F4455" s="38"/>
      <c r="G4455" s="38"/>
      <c r="H4455" s="38"/>
      <c r="I4455" s="37"/>
      <c r="J4455" s="38"/>
      <c r="K4455" s="38"/>
      <c r="L4455" s="42"/>
      <c r="M4455" s="42"/>
      <c r="N4455" s="42"/>
      <c r="O4455" s="42"/>
      <c r="R4455" s="37"/>
      <c r="S4455" s="37"/>
      <c r="T4455" s="91"/>
      <c r="U4455" s="91"/>
      <c r="V4455" s="41"/>
      <c r="W4455" s="37"/>
      <c r="X4455" s="37"/>
      <c r="Y4455" s="43"/>
      <c r="Z4455" s="37"/>
      <c r="AA4455" s="37"/>
      <c r="AD4455" s="37"/>
      <c r="AE4455" s="37"/>
      <c r="AF4455" s="37"/>
    </row>
    <row r="4456" spans="1:32" x14ac:dyDescent="0.25">
      <c r="A4456" s="37"/>
      <c r="B4456" s="37"/>
      <c r="C4456" s="37"/>
      <c r="F4456" s="38"/>
      <c r="G4456" s="38"/>
      <c r="H4456" s="38"/>
      <c r="I4456" s="37"/>
      <c r="J4456" s="38"/>
      <c r="K4456" s="38"/>
      <c r="L4456" s="42"/>
      <c r="M4456" s="42"/>
      <c r="N4456" s="42"/>
      <c r="O4456" s="42"/>
      <c r="R4456" s="37"/>
      <c r="S4456" s="37"/>
      <c r="T4456" s="91"/>
      <c r="U4456" s="91"/>
      <c r="V4456" s="41"/>
      <c r="W4456" s="37"/>
      <c r="X4456" s="37"/>
      <c r="Y4456" s="43"/>
      <c r="Z4456" s="37"/>
      <c r="AA4456" s="37"/>
      <c r="AD4456" s="37"/>
      <c r="AE4456" s="37"/>
      <c r="AF4456" s="37"/>
    </row>
    <row r="4457" spans="1:32" x14ac:dyDescent="0.25">
      <c r="A4457" s="37"/>
      <c r="B4457" s="37"/>
      <c r="C4457" s="37"/>
      <c r="F4457" s="38"/>
      <c r="G4457" s="38"/>
      <c r="H4457" s="38"/>
      <c r="I4457" s="37"/>
      <c r="J4457" s="38"/>
      <c r="K4457" s="38"/>
      <c r="L4457" s="42"/>
      <c r="M4457" s="42"/>
      <c r="N4457" s="42"/>
      <c r="O4457" s="42"/>
      <c r="R4457" s="37"/>
      <c r="S4457" s="37"/>
      <c r="T4457" s="91"/>
      <c r="U4457" s="91"/>
      <c r="V4457" s="41"/>
      <c r="W4457" s="37"/>
      <c r="X4457" s="37"/>
      <c r="Y4457" s="43"/>
      <c r="Z4457" s="37"/>
      <c r="AA4457" s="37"/>
      <c r="AD4457" s="37"/>
      <c r="AE4457" s="37"/>
      <c r="AF4457" s="37"/>
    </row>
    <row r="4458" spans="1:32" x14ac:dyDescent="0.25">
      <c r="A4458" s="37"/>
      <c r="B4458" s="37"/>
      <c r="C4458" s="37"/>
      <c r="F4458" s="38"/>
      <c r="G4458" s="38"/>
      <c r="H4458" s="38"/>
      <c r="I4458" s="37"/>
      <c r="J4458" s="38"/>
      <c r="K4458" s="38"/>
      <c r="L4458" s="42"/>
      <c r="M4458" s="42"/>
      <c r="N4458" s="42"/>
      <c r="O4458" s="42"/>
      <c r="R4458" s="37"/>
      <c r="S4458" s="37"/>
      <c r="T4458" s="91"/>
      <c r="U4458" s="91"/>
      <c r="V4458" s="41"/>
      <c r="W4458" s="37"/>
      <c r="X4458" s="37"/>
      <c r="Y4458" s="43"/>
      <c r="Z4458" s="37"/>
      <c r="AA4458" s="37"/>
      <c r="AD4458" s="37"/>
      <c r="AE4458" s="37"/>
      <c r="AF4458" s="37"/>
    </row>
    <row r="4459" spans="1:32" x14ac:dyDescent="0.25">
      <c r="A4459" s="37"/>
      <c r="B4459" s="37"/>
      <c r="C4459" s="37"/>
      <c r="F4459" s="38"/>
      <c r="G4459" s="38"/>
      <c r="H4459" s="38"/>
      <c r="I4459" s="37"/>
      <c r="J4459" s="38"/>
      <c r="K4459" s="38"/>
      <c r="L4459" s="42"/>
      <c r="M4459" s="42"/>
      <c r="N4459" s="42"/>
      <c r="O4459" s="42"/>
      <c r="R4459" s="37"/>
      <c r="S4459" s="37"/>
      <c r="T4459" s="91"/>
      <c r="U4459" s="91"/>
      <c r="V4459" s="41"/>
      <c r="W4459" s="37"/>
      <c r="X4459" s="37"/>
      <c r="Y4459" s="43"/>
      <c r="Z4459" s="37"/>
      <c r="AA4459" s="37"/>
      <c r="AD4459" s="37"/>
      <c r="AE4459" s="37"/>
      <c r="AF4459" s="37"/>
    </row>
    <row r="4460" spans="1:32" x14ac:dyDescent="0.25">
      <c r="A4460" s="37"/>
      <c r="B4460" s="37"/>
      <c r="C4460" s="37"/>
      <c r="F4460" s="38"/>
      <c r="G4460" s="38"/>
      <c r="H4460" s="38"/>
      <c r="I4460" s="37"/>
      <c r="J4460" s="38"/>
      <c r="K4460" s="38"/>
      <c r="L4460" s="42"/>
      <c r="M4460" s="42"/>
      <c r="N4460" s="42"/>
      <c r="O4460" s="42"/>
      <c r="R4460" s="37"/>
      <c r="S4460" s="37"/>
      <c r="T4460" s="91"/>
      <c r="U4460" s="91"/>
      <c r="V4460" s="41"/>
      <c r="W4460" s="37"/>
      <c r="X4460" s="37"/>
      <c r="Y4460" s="43"/>
      <c r="Z4460" s="37"/>
      <c r="AA4460" s="37"/>
      <c r="AD4460" s="37"/>
      <c r="AE4460" s="37"/>
      <c r="AF4460" s="37"/>
    </row>
    <row r="4461" spans="1:32" x14ac:dyDescent="0.25">
      <c r="A4461" s="37"/>
      <c r="B4461" s="37"/>
      <c r="C4461" s="37"/>
      <c r="F4461" s="38"/>
      <c r="G4461" s="38"/>
      <c r="H4461" s="38"/>
      <c r="I4461" s="37"/>
      <c r="J4461" s="38"/>
      <c r="K4461" s="38"/>
      <c r="L4461" s="42"/>
      <c r="M4461" s="42"/>
      <c r="N4461" s="42"/>
      <c r="O4461" s="42"/>
      <c r="R4461" s="37"/>
      <c r="S4461" s="37"/>
      <c r="T4461" s="91"/>
      <c r="U4461" s="91"/>
      <c r="V4461" s="41"/>
      <c r="W4461" s="37"/>
      <c r="X4461" s="37"/>
      <c r="Y4461" s="43"/>
      <c r="Z4461" s="37"/>
      <c r="AA4461" s="37"/>
      <c r="AD4461" s="37"/>
      <c r="AE4461" s="37"/>
      <c r="AF4461" s="37"/>
    </row>
    <row r="4462" spans="1:32" x14ac:dyDescent="0.25">
      <c r="A4462" s="37"/>
      <c r="B4462" s="37"/>
      <c r="C4462" s="37"/>
      <c r="F4462" s="38"/>
      <c r="G4462" s="38"/>
      <c r="H4462" s="38"/>
      <c r="I4462" s="37"/>
      <c r="J4462" s="38"/>
      <c r="K4462" s="38"/>
      <c r="L4462" s="42"/>
      <c r="M4462" s="42"/>
      <c r="N4462" s="42"/>
      <c r="O4462" s="42"/>
      <c r="R4462" s="37"/>
      <c r="S4462" s="37"/>
      <c r="T4462" s="91"/>
      <c r="U4462" s="91"/>
      <c r="V4462" s="41"/>
      <c r="W4462" s="37"/>
      <c r="X4462" s="37"/>
      <c r="Y4462" s="43"/>
      <c r="Z4462" s="37"/>
      <c r="AA4462" s="37"/>
      <c r="AD4462" s="37"/>
      <c r="AE4462" s="37"/>
      <c r="AF4462" s="37"/>
    </row>
    <row r="4463" spans="1:32" x14ac:dyDescent="0.25">
      <c r="A4463" s="37"/>
      <c r="B4463" s="37"/>
      <c r="C4463" s="37"/>
      <c r="F4463" s="38"/>
      <c r="G4463" s="38"/>
      <c r="H4463" s="38"/>
      <c r="I4463" s="37"/>
      <c r="J4463" s="38"/>
      <c r="K4463" s="38"/>
      <c r="L4463" s="42"/>
      <c r="M4463" s="42"/>
      <c r="N4463" s="42"/>
      <c r="O4463" s="42"/>
      <c r="R4463" s="37"/>
      <c r="S4463" s="37"/>
      <c r="T4463" s="91"/>
      <c r="U4463" s="91"/>
      <c r="V4463" s="41"/>
      <c r="W4463" s="37"/>
      <c r="X4463" s="37"/>
      <c r="Y4463" s="43"/>
      <c r="Z4463" s="37"/>
      <c r="AA4463" s="37"/>
      <c r="AD4463" s="37"/>
      <c r="AE4463" s="37"/>
      <c r="AF4463" s="37"/>
    </row>
    <row r="4464" spans="1:32" x14ac:dyDescent="0.25">
      <c r="A4464" s="37"/>
      <c r="B4464" s="37"/>
      <c r="C4464" s="37"/>
      <c r="F4464" s="38"/>
      <c r="G4464" s="38"/>
      <c r="H4464" s="38"/>
      <c r="I4464" s="37"/>
      <c r="J4464" s="38"/>
      <c r="K4464" s="38"/>
      <c r="L4464" s="42"/>
      <c r="M4464" s="42"/>
      <c r="N4464" s="42"/>
      <c r="O4464" s="42"/>
      <c r="R4464" s="37"/>
      <c r="S4464" s="37"/>
      <c r="T4464" s="91"/>
      <c r="U4464" s="91"/>
      <c r="V4464" s="41"/>
      <c r="W4464" s="37"/>
      <c r="X4464" s="37"/>
      <c r="Y4464" s="43"/>
      <c r="Z4464" s="37"/>
      <c r="AA4464" s="37"/>
      <c r="AD4464" s="37"/>
      <c r="AE4464" s="37"/>
      <c r="AF4464" s="37"/>
    </row>
    <row r="4465" spans="1:32" x14ac:dyDescent="0.25">
      <c r="A4465" s="37"/>
      <c r="B4465" s="37"/>
      <c r="C4465" s="37"/>
      <c r="F4465" s="38"/>
      <c r="G4465" s="38"/>
      <c r="H4465" s="38"/>
      <c r="I4465" s="37"/>
      <c r="J4465" s="38"/>
      <c r="K4465" s="38"/>
      <c r="L4465" s="42"/>
      <c r="M4465" s="42"/>
      <c r="N4465" s="42"/>
      <c r="O4465" s="42"/>
      <c r="R4465" s="37"/>
      <c r="S4465" s="37"/>
      <c r="T4465" s="91"/>
      <c r="U4465" s="91"/>
      <c r="V4465" s="41"/>
      <c r="W4465" s="37"/>
      <c r="X4465" s="37"/>
      <c r="Y4465" s="43"/>
      <c r="Z4465" s="37"/>
      <c r="AA4465" s="37"/>
      <c r="AD4465" s="37"/>
      <c r="AE4465" s="37"/>
      <c r="AF4465" s="37"/>
    </row>
    <row r="4466" spans="1:32" x14ac:dyDescent="0.25">
      <c r="A4466" s="37"/>
      <c r="B4466" s="37"/>
      <c r="C4466" s="37"/>
      <c r="F4466" s="38"/>
      <c r="G4466" s="38"/>
      <c r="H4466" s="38"/>
      <c r="I4466" s="37"/>
      <c r="J4466" s="38"/>
      <c r="K4466" s="38"/>
      <c r="L4466" s="42"/>
      <c r="M4466" s="42"/>
      <c r="N4466" s="42"/>
      <c r="O4466" s="42"/>
      <c r="R4466" s="37"/>
      <c r="S4466" s="37"/>
      <c r="T4466" s="91"/>
      <c r="U4466" s="91"/>
      <c r="V4466" s="41"/>
      <c r="W4466" s="37"/>
      <c r="X4466" s="37"/>
      <c r="Y4466" s="43"/>
      <c r="Z4466" s="37"/>
      <c r="AA4466" s="37"/>
      <c r="AD4466" s="37"/>
      <c r="AE4466" s="37"/>
      <c r="AF4466" s="37"/>
    </row>
    <row r="4467" spans="1:32" x14ac:dyDescent="0.25">
      <c r="A4467" s="37"/>
      <c r="B4467" s="37"/>
      <c r="C4467" s="37"/>
      <c r="F4467" s="38"/>
      <c r="G4467" s="38"/>
      <c r="H4467" s="38"/>
      <c r="I4467" s="37"/>
      <c r="J4467" s="38"/>
      <c r="K4467" s="38"/>
      <c r="L4467" s="42"/>
      <c r="M4467" s="42"/>
      <c r="N4467" s="42"/>
      <c r="O4467" s="42"/>
      <c r="R4467" s="37"/>
      <c r="S4467" s="37"/>
      <c r="T4467" s="91"/>
      <c r="U4467" s="91"/>
      <c r="V4467" s="41"/>
      <c r="W4467" s="37"/>
      <c r="X4467" s="37"/>
      <c r="Y4467" s="43"/>
      <c r="Z4467" s="37"/>
      <c r="AA4467" s="37"/>
      <c r="AD4467" s="37"/>
      <c r="AE4467" s="37"/>
      <c r="AF4467" s="37"/>
    </row>
    <row r="4468" spans="1:32" x14ac:dyDescent="0.25">
      <c r="A4468" s="37"/>
      <c r="B4468" s="37"/>
      <c r="C4468" s="37"/>
      <c r="F4468" s="38"/>
      <c r="G4468" s="38"/>
      <c r="H4468" s="38"/>
      <c r="I4468" s="37"/>
      <c r="J4468" s="38"/>
      <c r="K4468" s="38"/>
      <c r="L4468" s="42"/>
      <c r="M4468" s="42"/>
      <c r="N4468" s="42"/>
      <c r="O4468" s="42"/>
      <c r="R4468" s="37"/>
      <c r="S4468" s="37"/>
      <c r="T4468" s="91"/>
      <c r="U4468" s="91"/>
      <c r="V4468" s="41"/>
      <c r="W4468" s="37"/>
      <c r="X4468" s="37"/>
      <c r="Y4468" s="43"/>
      <c r="Z4468" s="37"/>
      <c r="AA4468" s="37"/>
      <c r="AD4468" s="37"/>
      <c r="AE4468" s="37"/>
      <c r="AF4468" s="37"/>
    </row>
    <row r="4469" spans="1:32" x14ac:dyDescent="0.25">
      <c r="A4469" s="37"/>
      <c r="B4469" s="37"/>
      <c r="C4469" s="37"/>
      <c r="F4469" s="38"/>
      <c r="G4469" s="38"/>
      <c r="H4469" s="38"/>
      <c r="I4469" s="37"/>
      <c r="J4469" s="38"/>
      <c r="K4469" s="38"/>
      <c r="L4469" s="42"/>
      <c r="M4469" s="42"/>
      <c r="N4469" s="42"/>
      <c r="O4469" s="42"/>
      <c r="R4469" s="37"/>
      <c r="S4469" s="37"/>
      <c r="T4469" s="91"/>
      <c r="U4469" s="91"/>
      <c r="V4469" s="41"/>
      <c r="W4469" s="37"/>
      <c r="X4469" s="37"/>
      <c r="Y4469" s="43"/>
      <c r="Z4469" s="37"/>
      <c r="AA4469" s="37"/>
      <c r="AD4469" s="37"/>
      <c r="AE4469" s="37"/>
      <c r="AF4469" s="37"/>
    </row>
    <row r="4470" spans="1:32" x14ac:dyDescent="0.25">
      <c r="A4470" s="37"/>
      <c r="B4470" s="37"/>
      <c r="C4470" s="37"/>
      <c r="F4470" s="38"/>
      <c r="G4470" s="38"/>
      <c r="H4470" s="38"/>
      <c r="I4470" s="37"/>
      <c r="J4470" s="38"/>
      <c r="K4470" s="38"/>
      <c r="L4470" s="42"/>
      <c r="M4470" s="42"/>
      <c r="N4470" s="42"/>
      <c r="O4470" s="42"/>
      <c r="R4470" s="37"/>
      <c r="S4470" s="37"/>
      <c r="T4470" s="91"/>
      <c r="U4470" s="91"/>
      <c r="V4470" s="41"/>
      <c r="W4470" s="37"/>
      <c r="X4470" s="37"/>
      <c r="Y4470" s="43"/>
      <c r="Z4470" s="37"/>
      <c r="AA4470" s="37"/>
      <c r="AD4470" s="37"/>
      <c r="AE4470" s="37"/>
      <c r="AF4470" s="37"/>
    </row>
    <row r="4471" spans="1:32" x14ac:dyDescent="0.25">
      <c r="A4471" s="37"/>
      <c r="B4471" s="37"/>
      <c r="C4471" s="37"/>
      <c r="F4471" s="38"/>
      <c r="G4471" s="38"/>
      <c r="H4471" s="38"/>
      <c r="I4471" s="37"/>
      <c r="J4471" s="38"/>
      <c r="K4471" s="38"/>
      <c r="L4471" s="42"/>
      <c r="M4471" s="42"/>
      <c r="N4471" s="42"/>
      <c r="O4471" s="42"/>
      <c r="R4471" s="37"/>
      <c r="S4471" s="37"/>
      <c r="T4471" s="91"/>
      <c r="U4471" s="91"/>
      <c r="V4471" s="41"/>
      <c r="W4471" s="37"/>
      <c r="X4471" s="37"/>
      <c r="Y4471" s="43"/>
      <c r="Z4471" s="37"/>
      <c r="AA4471" s="37"/>
      <c r="AD4471" s="37"/>
      <c r="AE4471" s="37"/>
      <c r="AF4471" s="37"/>
    </row>
    <row r="4472" spans="1:32" x14ac:dyDescent="0.25">
      <c r="A4472" s="37"/>
      <c r="B4472" s="37"/>
      <c r="C4472" s="37"/>
      <c r="F4472" s="38"/>
      <c r="G4472" s="38"/>
      <c r="H4472" s="38"/>
      <c r="I4472" s="37"/>
      <c r="J4472" s="38"/>
      <c r="K4472" s="38"/>
      <c r="L4472" s="42"/>
      <c r="M4472" s="42"/>
      <c r="N4472" s="42"/>
      <c r="O4472" s="42"/>
      <c r="R4472" s="37"/>
      <c r="S4472" s="37"/>
      <c r="T4472" s="91"/>
      <c r="U4472" s="91"/>
      <c r="V4472" s="41"/>
      <c r="W4472" s="37"/>
      <c r="X4472" s="37"/>
      <c r="Y4472" s="43"/>
      <c r="Z4472" s="37"/>
      <c r="AA4472" s="37"/>
      <c r="AD4472" s="37"/>
      <c r="AE4472" s="37"/>
      <c r="AF4472" s="37"/>
    </row>
    <row r="4473" spans="1:32" x14ac:dyDescent="0.25">
      <c r="A4473" s="37"/>
      <c r="B4473" s="37"/>
      <c r="C4473" s="37"/>
      <c r="F4473" s="38"/>
      <c r="G4473" s="38"/>
      <c r="H4473" s="38"/>
      <c r="I4473" s="37"/>
      <c r="J4473" s="38"/>
      <c r="K4473" s="38"/>
      <c r="L4473" s="42"/>
      <c r="M4473" s="42"/>
      <c r="N4473" s="42"/>
      <c r="O4473" s="42"/>
      <c r="R4473" s="37"/>
      <c r="S4473" s="37"/>
      <c r="T4473" s="91"/>
      <c r="U4473" s="91"/>
      <c r="V4473" s="41"/>
      <c r="W4473" s="37"/>
      <c r="X4473" s="37"/>
      <c r="Y4473" s="43"/>
      <c r="Z4473" s="37"/>
      <c r="AA4473" s="37"/>
      <c r="AD4473" s="37"/>
      <c r="AE4473" s="37"/>
      <c r="AF4473" s="37"/>
    </row>
    <row r="4474" spans="1:32" x14ac:dyDescent="0.25">
      <c r="A4474" s="37"/>
      <c r="B4474" s="37"/>
      <c r="C4474" s="37"/>
      <c r="F4474" s="38"/>
      <c r="G4474" s="38"/>
      <c r="H4474" s="38"/>
      <c r="I4474" s="37"/>
      <c r="J4474" s="38"/>
      <c r="K4474" s="38"/>
      <c r="L4474" s="42"/>
      <c r="M4474" s="42"/>
      <c r="N4474" s="42"/>
      <c r="O4474" s="42"/>
      <c r="R4474" s="37"/>
      <c r="S4474" s="37"/>
      <c r="T4474" s="91"/>
      <c r="U4474" s="91"/>
      <c r="V4474" s="41"/>
      <c r="W4474" s="37"/>
      <c r="X4474" s="37"/>
      <c r="Y4474" s="43"/>
      <c r="Z4474" s="37"/>
      <c r="AA4474" s="37"/>
      <c r="AD4474" s="37"/>
      <c r="AE4474" s="37"/>
      <c r="AF4474" s="37"/>
    </row>
    <row r="4475" spans="1:32" x14ac:dyDescent="0.25">
      <c r="A4475" s="37"/>
      <c r="B4475" s="37"/>
      <c r="C4475" s="37"/>
      <c r="F4475" s="38"/>
      <c r="G4475" s="38"/>
      <c r="H4475" s="38"/>
      <c r="I4475" s="37"/>
      <c r="J4475" s="38"/>
      <c r="K4475" s="38"/>
      <c r="L4475" s="42"/>
      <c r="M4475" s="42"/>
      <c r="N4475" s="42"/>
      <c r="O4475" s="42"/>
      <c r="R4475" s="37"/>
      <c r="S4475" s="37"/>
      <c r="T4475" s="91"/>
      <c r="U4475" s="91"/>
      <c r="V4475" s="41"/>
      <c r="W4475" s="37"/>
      <c r="X4475" s="37"/>
      <c r="Y4475" s="43"/>
      <c r="Z4475" s="37"/>
      <c r="AA4475" s="37"/>
      <c r="AD4475" s="37"/>
      <c r="AE4475" s="37"/>
      <c r="AF4475" s="37"/>
    </row>
    <row r="4476" spans="1:32" x14ac:dyDescent="0.25">
      <c r="A4476" s="37"/>
      <c r="B4476" s="37"/>
      <c r="C4476" s="37"/>
      <c r="F4476" s="38"/>
      <c r="G4476" s="38"/>
      <c r="H4476" s="38"/>
      <c r="I4476" s="37"/>
      <c r="J4476" s="38"/>
      <c r="K4476" s="38"/>
      <c r="L4476" s="42"/>
      <c r="M4476" s="42"/>
      <c r="N4476" s="42"/>
      <c r="O4476" s="42"/>
      <c r="R4476" s="37"/>
      <c r="S4476" s="37"/>
      <c r="T4476" s="91"/>
      <c r="U4476" s="91"/>
      <c r="V4476" s="41"/>
      <c r="W4476" s="37"/>
      <c r="X4476" s="37"/>
      <c r="Y4476" s="43"/>
      <c r="Z4476" s="37"/>
      <c r="AA4476" s="37"/>
      <c r="AD4476" s="37"/>
      <c r="AE4476" s="37"/>
      <c r="AF4476" s="37"/>
    </row>
    <row r="4477" spans="1:32" x14ac:dyDescent="0.25">
      <c r="A4477" s="37"/>
      <c r="B4477" s="37"/>
      <c r="C4477" s="37"/>
      <c r="F4477" s="38"/>
      <c r="G4477" s="38"/>
      <c r="H4477" s="38"/>
      <c r="I4477" s="37"/>
      <c r="J4477" s="38"/>
      <c r="K4477" s="38"/>
      <c r="L4477" s="42"/>
      <c r="M4477" s="42"/>
      <c r="N4477" s="42"/>
      <c r="O4477" s="42"/>
      <c r="R4477" s="37"/>
      <c r="S4477" s="37"/>
      <c r="T4477" s="91"/>
      <c r="U4477" s="91"/>
      <c r="V4477" s="41"/>
      <c r="W4477" s="37"/>
      <c r="X4477" s="37"/>
      <c r="Y4477" s="43"/>
      <c r="Z4477" s="37"/>
      <c r="AA4477" s="37"/>
      <c r="AD4477" s="37"/>
      <c r="AE4477" s="37"/>
      <c r="AF4477" s="37"/>
    </row>
    <row r="4478" spans="1:32" x14ac:dyDescent="0.25">
      <c r="A4478" s="37"/>
      <c r="B4478" s="37"/>
      <c r="C4478" s="37"/>
      <c r="F4478" s="38"/>
      <c r="G4478" s="38"/>
      <c r="H4478" s="38"/>
      <c r="I4478" s="37"/>
      <c r="J4478" s="38"/>
      <c r="K4478" s="38"/>
      <c r="L4478" s="42"/>
      <c r="M4478" s="42"/>
      <c r="N4478" s="42"/>
      <c r="O4478" s="42"/>
      <c r="R4478" s="37"/>
      <c r="S4478" s="37"/>
      <c r="T4478" s="91"/>
      <c r="U4478" s="91"/>
      <c r="V4478" s="41"/>
      <c r="W4478" s="37"/>
      <c r="X4478" s="37"/>
      <c r="Y4478" s="43"/>
      <c r="Z4478" s="37"/>
      <c r="AA4478" s="37"/>
      <c r="AD4478" s="37"/>
      <c r="AE4478" s="37"/>
      <c r="AF4478" s="37"/>
    </row>
    <row r="4479" spans="1:32" x14ac:dyDescent="0.25">
      <c r="A4479" s="37"/>
      <c r="B4479" s="37"/>
      <c r="C4479" s="37"/>
      <c r="F4479" s="38"/>
      <c r="G4479" s="38"/>
      <c r="H4479" s="38"/>
      <c r="I4479" s="37"/>
      <c r="J4479" s="38"/>
      <c r="K4479" s="38"/>
      <c r="L4479" s="42"/>
      <c r="M4479" s="42"/>
      <c r="N4479" s="42"/>
      <c r="O4479" s="42"/>
      <c r="R4479" s="37"/>
      <c r="S4479" s="37"/>
      <c r="T4479" s="91"/>
      <c r="U4479" s="91"/>
      <c r="V4479" s="41"/>
      <c r="W4479" s="37"/>
      <c r="X4479" s="37"/>
      <c r="Y4479" s="43"/>
      <c r="Z4479" s="37"/>
      <c r="AA4479" s="37"/>
      <c r="AD4479" s="37"/>
      <c r="AE4479" s="37"/>
      <c r="AF4479" s="37"/>
    </row>
    <row r="4480" spans="1:32" x14ac:dyDescent="0.25">
      <c r="A4480" s="37"/>
      <c r="B4480" s="37"/>
      <c r="C4480" s="37"/>
      <c r="F4480" s="38"/>
      <c r="G4480" s="38"/>
      <c r="H4480" s="38"/>
      <c r="I4480" s="37"/>
      <c r="J4480" s="38"/>
      <c r="K4480" s="38"/>
      <c r="L4480" s="42"/>
      <c r="M4480" s="42"/>
      <c r="N4480" s="42"/>
      <c r="O4480" s="42"/>
      <c r="R4480" s="37"/>
      <c r="S4480" s="37"/>
      <c r="T4480" s="91"/>
      <c r="U4480" s="91"/>
      <c r="V4480" s="41"/>
      <c r="W4480" s="37"/>
      <c r="X4480" s="37"/>
      <c r="Y4480" s="43"/>
      <c r="Z4480" s="37"/>
      <c r="AA4480" s="37"/>
      <c r="AD4480" s="37"/>
      <c r="AE4480" s="37"/>
      <c r="AF4480" s="37"/>
    </row>
    <row r="4481" spans="1:32" x14ac:dyDescent="0.25">
      <c r="A4481" s="37"/>
      <c r="B4481" s="37"/>
      <c r="C4481" s="37"/>
      <c r="F4481" s="38"/>
      <c r="G4481" s="38"/>
      <c r="H4481" s="38"/>
      <c r="I4481" s="37"/>
      <c r="J4481" s="38"/>
      <c r="K4481" s="38"/>
      <c r="L4481" s="42"/>
      <c r="M4481" s="42"/>
      <c r="N4481" s="42"/>
      <c r="O4481" s="42"/>
      <c r="R4481" s="37"/>
      <c r="S4481" s="37"/>
      <c r="T4481" s="91"/>
      <c r="U4481" s="91"/>
      <c r="V4481" s="41"/>
      <c r="W4481" s="37"/>
      <c r="X4481" s="37"/>
      <c r="Y4481" s="43"/>
      <c r="Z4481" s="37"/>
      <c r="AA4481" s="37"/>
      <c r="AD4481" s="37"/>
      <c r="AE4481" s="37"/>
      <c r="AF4481" s="37"/>
    </row>
    <row r="4482" spans="1:32" x14ac:dyDescent="0.25">
      <c r="A4482" s="37"/>
      <c r="B4482" s="37"/>
      <c r="C4482" s="37"/>
      <c r="F4482" s="38"/>
      <c r="G4482" s="38"/>
      <c r="H4482" s="38"/>
      <c r="I4482" s="37"/>
      <c r="J4482" s="38"/>
      <c r="K4482" s="38"/>
      <c r="L4482" s="42"/>
      <c r="M4482" s="42"/>
      <c r="N4482" s="42"/>
      <c r="O4482" s="42"/>
      <c r="R4482" s="37"/>
      <c r="S4482" s="37"/>
      <c r="T4482" s="91"/>
      <c r="U4482" s="91"/>
      <c r="V4482" s="41"/>
      <c r="W4482" s="37"/>
      <c r="X4482" s="37"/>
      <c r="Y4482" s="43"/>
      <c r="Z4482" s="37"/>
      <c r="AA4482" s="37"/>
      <c r="AD4482" s="37"/>
      <c r="AE4482" s="37"/>
      <c r="AF4482" s="37"/>
    </row>
    <row r="4483" spans="1:32" x14ac:dyDescent="0.25">
      <c r="A4483" s="37"/>
      <c r="B4483" s="37"/>
      <c r="C4483" s="37"/>
      <c r="F4483" s="38"/>
      <c r="G4483" s="38"/>
      <c r="H4483" s="38"/>
      <c r="I4483" s="37"/>
      <c r="J4483" s="38"/>
      <c r="K4483" s="38"/>
      <c r="L4483" s="42"/>
      <c r="M4483" s="42"/>
      <c r="N4483" s="42"/>
      <c r="O4483" s="42"/>
      <c r="R4483" s="37"/>
      <c r="S4483" s="37"/>
      <c r="T4483" s="91"/>
      <c r="U4483" s="91"/>
      <c r="V4483" s="41"/>
      <c r="W4483" s="37"/>
      <c r="X4483" s="37"/>
      <c r="Y4483" s="43"/>
      <c r="Z4483" s="37"/>
      <c r="AA4483" s="37"/>
      <c r="AD4483" s="37"/>
      <c r="AE4483" s="37"/>
      <c r="AF4483" s="37"/>
    </row>
    <row r="4484" spans="1:32" x14ac:dyDescent="0.25">
      <c r="A4484" s="37"/>
      <c r="B4484" s="37"/>
      <c r="C4484" s="37"/>
      <c r="F4484" s="38"/>
      <c r="G4484" s="38"/>
      <c r="H4484" s="38"/>
      <c r="I4484" s="37"/>
      <c r="J4484" s="38"/>
      <c r="K4484" s="38"/>
      <c r="L4484" s="42"/>
      <c r="M4484" s="42"/>
      <c r="N4484" s="42"/>
      <c r="O4484" s="42"/>
      <c r="R4484" s="37"/>
      <c r="S4484" s="37"/>
      <c r="T4484" s="91"/>
      <c r="U4484" s="91"/>
      <c r="V4484" s="41"/>
      <c r="W4484" s="37"/>
      <c r="X4484" s="37"/>
      <c r="Y4484" s="43"/>
      <c r="Z4484" s="37"/>
      <c r="AA4484" s="37"/>
      <c r="AD4484" s="37"/>
      <c r="AE4484" s="37"/>
      <c r="AF4484" s="37"/>
    </row>
    <row r="4485" spans="1:32" x14ac:dyDescent="0.25">
      <c r="A4485" s="37"/>
      <c r="B4485" s="37"/>
      <c r="C4485" s="37"/>
      <c r="F4485" s="38"/>
      <c r="G4485" s="38"/>
      <c r="H4485" s="38"/>
      <c r="I4485" s="37"/>
      <c r="J4485" s="38"/>
      <c r="K4485" s="38"/>
      <c r="L4485" s="42"/>
      <c r="M4485" s="42"/>
      <c r="N4485" s="42"/>
      <c r="O4485" s="42"/>
      <c r="R4485" s="37"/>
      <c r="S4485" s="37"/>
      <c r="T4485" s="91"/>
      <c r="U4485" s="91"/>
      <c r="V4485" s="41"/>
      <c r="W4485" s="37"/>
      <c r="X4485" s="37"/>
      <c r="Y4485" s="43"/>
      <c r="Z4485" s="37"/>
      <c r="AA4485" s="37"/>
      <c r="AD4485" s="37"/>
      <c r="AE4485" s="37"/>
      <c r="AF4485" s="37"/>
    </row>
    <row r="4486" spans="1:32" x14ac:dyDescent="0.25">
      <c r="A4486" s="37"/>
      <c r="B4486" s="37"/>
      <c r="C4486" s="37"/>
      <c r="F4486" s="38"/>
      <c r="G4486" s="38"/>
      <c r="H4486" s="38"/>
      <c r="I4486" s="37"/>
      <c r="J4486" s="38"/>
      <c r="K4486" s="38"/>
      <c r="L4486" s="42"/>
      <c r="M4486" s="42"/>
      <c r="N4486" s="42"/>
      <c r="O4486" s="42"/>
      <c r="R4486" s="37"/>
      <c r="S4486" s="37"/>
      <c r="T4486" s="91"/>
      <c r="U4486" s="91"/>
      <c r="V4486" s="41"/>
      <c r="W4486" s="37"/>
      <c r="X4486" s="37"/>
      <c r="Y4486" s="43"/>
      <c r="Z4486" s="37"/>
      <c r="AA4486" s="37"/>
      <c r="AD4486" s="37"/>
      <c r="AE4486" s="37"/>
      <c r="AF4486" s="37"/>
    </row>
    <row r="4487" spans="1:32" x14ac:dyDescent="0.25">
      <c r="A4487" s="37"/>
      <c r="B4487" s="37"/>
      <c r="C4487" s="37"/>
      <c r="F4487" s="38"/>
      <c r="G4487" s="38"/>
      <c r="H4487" s="38"/>
      <c r="I4487" s="37"/>
      <c r="J4487" s="38"/>
      <c r="K4487" s="38"/>
      <c r="L4487" s="42"/>
      <c r="M4487" s="42"/>
      <c r="N4487" s="42"/>
      <c r="O4487" s="42"/>
      <c r="R4487" s="37"/>
      <c r="S4487" s="37"/>
      <c r="T4487" s="91"/>
      <c r="U4487" s="91"/>
      <c r="V4487" s="41"/>
      <c r="W4487" s="37"/>
      <c r="X4487" s="37"/>
      <c r="Y4487" s="43"/>
      <c r="Z4487" s="37"/>
      <c r="AA4487" s="37"/>
      <c r="AD4487" s="37"/>
      <c r="AE4487" s="37"/>
      <c r="AF4487" s="37"/>
    </row>
    <row r="4488" spans="1:32" x14ac:dyDescent="0.25">
      <c r="A4488" s="37"/>
      <c r="B4488" s="37"/>
      <c r="C4488" s="37"/>
      <c r="F4488" s="38"/>
      <c r="G4488" s="38"/>
      <c r="H4488" s="38"/>
      <c r="I4488" s="37"/>
      <c r="J4488" s="38"/>
      <c r="K4488" s="38"/>
      <c r="L4488" s="42"/>
      <c r="M4488" s="42"/>
      <c r="N4488" s="42"/>
      <c r="O4488" s="42"/>
      <c r="R4488" s="37"/>
      <c r="S4488" s="37"/>
      <c r="T4488" s="91"/>
      <c r="U4488" s="91"/>
      <c r="V4488" s="41"/>
      <c r="W4488" s="37"/>
      <c r="X4488" s="37"/>
      <c r="Y4488" s="43"/>
      <c r="Z4488" s="37"/>
      <c r="AA4488" s="37"/>
      <c r="AD4488" s="37"/>
      <c r="AE4488" s="37"/>
      <c r="AF4488" s="37"/>
    </row>
    <row r="4489" spans="1:32" x14ac:dyDescent="0.25">
      <c r="A4489" s="37"/>
      <c r="B4489" s="37"/>
      <c r="C4489" s="37"/>
      <c r="F4489" s="38"/>
      <c r="G4489" s="38"/>
      <c r="H4489" s="38"/>
      <c r="I4489" s="37"/>
      <c r="J4489" s="38"/>
      <c r="K4489" s="38"/>
      <c r="L4489" s="42"/>
      <c r="M4489" s="42"/>
      <c r="N4489" s="42"/>
      <c r="O4489" s="42"/>
      <c r="R4489" s="37"/>
      <c r="S4489" s="37"/>
      <c r="T4489" s="91"/>
      <c r="U4489" s="91"/>
      <c r="V4489" s="41"/>
      <c r="W4489" s="37"/>
      <c r="X4489" s="37"/>
      <c r="Y4489" s="43"/>
      <c r="Z4489" s="37"/>
      <c r="AA4489" s="37"/>
      <c r="AD4489" s="37"/>
      <c r="AE4489" s="37"/>
      <c r="AF4489" s="37"/>
    </row>
    <row r="4490" spans="1:32" x14ac:dyDescent="0.25">
      <c r="A4490" s="37"/>
      <c r="B4490" s="37"/>
      <c r="C4490" s="37"/>
      <c r="F4490" s="38"/>
      <c r="G4490" s="38"/>
      <c r="H4490" s="38"/>
      <c r="I4490" s="37"/>
      <c r="J4490" s="38"/>
      <c r="K4490" s="38"/>
      <c r="L4490" s="42"/>
      <c r="M4490" s="42"/>
      <c r="N4490" s="42"/>
      <c r="O4490" s="42"/>
      <c r="R4490" s="37"/>
      <c r="S4490" s="37"/>
      <c r="T4490" s="91"/>
      <c r="U4490" s="91"/>
      <c r="V4490" s="41"/>
      <c r="W4490" s="37"/>
      <c r="X4490" s="37"/>
      <c r="Y4490" s="43"/>
      <c r="Z4490" s="37"/>
      <c r="AA4490" s="37"/>
      <c r="AD4490" s="37"/>
      <c r="AE4490" s="37"/>
      <c r="AF4490" s="37"/>
    </row>
    <row r="4491" spans="1:32" x14ac:dyDescent="0.25">
      <c r="A4491" s="37"/>
      <c r="B4491" s="37"/>
      <c r="C4491" s="37"/>
      <c r="F4491" s="38"/>
      <c r="G4491" s="38"/>
      <c r="H4491" s="38"/>
      <c r="I4491" s="37"/>
      <c r="J4491" s="38"/>
      <c r="K4491" s="38"/>
      <c r="L4491" s="42"/>
      <c r="M4491" s="42"/>
      <c r="N4491" s="42"/>
      <c r="O4491" s="42"/>
      <c r="R4491" s="37"/>
      <c r="S4491" s="37"/>
      <c r="T4491" s="91"/>
      <c r="U4491" s="91"/>
      <c r="V4491" s="41"/>
      <c r="W4491" s="37"/>
      <c r="X4491" s="37"/>
      <c r="Y4491" s="43"/>
      <c r="Z4491" s="37"/>
      <c r="AA4491" s="37"/>
      <c r="AD4491" s="37"/>
      <c r="AE4491" s="37"/>
      <c r="AF4491" s="37"/>
    </row>
    <row r="4492" spans="1:32" x14ac:dyDescent="0.25">
      <c r="A4492" s="37"/>
      <c r="B4492" s="37"/>
      <c r="C4492" s="37"/>
      <c r="F4492" s="38"/>
      <c r="G4492" s="38"/>
      <c r="H4492" s="38"/>
      <c r="I4492" s="37"/>
      <c r="J4492" s="38"/>
      <c r="K4492" s="38"/>
      <c r="L4492" s="42"/>
      <c r="M4492" s="42"/>
      <c r="N4492" s="42"/>
      <c r="O4492" s="42"/>
      <c r="R4492" s="37"/>
      <c r="S4492" s="37"/>
      <c r="T4492" s="91"/>
      <c r="U4492" s="91"/>
      <c r="V4492" s="41"/>
      <c r="W4492" s="37"/>
      <c r="X4492" s="37"/>
      <c r="Y4492" s="43"/>
      <c r="Z4492" s="37"/>
      <c r="AA4492" s="37"/>
      <c r="AD4492" s="37"/>
      <c r="AE4492" s="37"/>
      <c r="AF4492" s="37"/>
    </row>
    <row r="4493" spans="1:32" x14ac:dyDescent="0.25">
      <c r="A4493" s="37"/>
      <c r="B4493" s="37"/>
      <c r="C4493" s="37"/>
      <c r="F4493" s="38"/>
      <c r="G4493" s="38"/>
      <c r="H4493" s="38"/>
      <c r="I4493" s="37"/>
      <c r="J4493" s="38"/>
      <c r="K4493" s="38"/>
      <c r="L4493" s="42"/>
      <c r="M4493" s="42"/>
      <c r="N4493" s="42"/>
      <c r="O4493" s="42"/>
      <c r="R4493" s="37"/>
      <c r="S4493" s="37"/>
      <c r="T4493" s="91"/>
      <c r="U4493" s="91"/>
      <c r="V4493" s="41"/>
      <c r="W4493" s="37"/>
      <c r="X4493" s="37"/>
      <c r="Y4493" s="43"/>
      <c r="Z4493" s="37"/>
      <c r="AA4493" s="37"/>
      <c r="AD4493" s="37"/>
      <c r="AE4493" s="37"/>
      <c r="AF4493" s="37"/>
    </row>
    <row r="4494" spans="1:32" x14ac:dyDescent="0.25">
      <c r="A4494" s="37"/>
      <c r="B4494" s="37"/>
      <c r="C4494" s="37"/>
      <c r="F4494" s="38"/>
      <c r="G4494" s="38"/>
      <c r="H4494" s="38"/>
      <c r="I4494" s="37"/>
      <c r="J4494" s="38"/>
      <c r="K4494" s="38"/>
      <c r="L4494" s="42"/>
      <c r="M4494" s="42"/>
      <c r="N4494" s="42"/>
      <c r="O4494" s="42"/>
      <c r="R4494" s="37"/>
      <c r="S4494" s="37"/>
      <c r="T4494" s="91"/>
      <c r="U4494" s="91"/>
      <c r="V4494" s="41"/>
      <c r="W4494" s="37"/>
      <c r="X4494" s="37"/>
      <c r="Y4494" s="43"/>
      <c r="Z4494" s="37"/>
      <c r="AA4494" s="37"/>
      <c r="AD4494" s="37"/>
      <c r="AE4494" s="37"/>
      <c r="AF4494" s="37"/>
    </row>
    <row r="4495" spans="1:32" x14ac:dyDescent="0.25">
      <c r="A4495" s="37"/>
      <c r="B4495" s="37"/>
      <c r="C4495" s="37"/>
      <c r="F4495" s="38"/>
      <c r="G4495" s="38"/>
      <c r="H4495" s="38"/>
      <c r="I4495" s="37"/>
      <c r="J4495" s="38"/>
      <c r="K4495" s="38"/>
      <c r="L4495" s="42"/>
      <c r="M4495" s="42"/>
      <c r="N4495" s="42"/>
      <c r="O4495" s="42"/>
      <c r="R4495" s="37"/>
      <c r="S4495" s="37"/>
      <c r="T4495" s="91"/>
      <c r="U4495" s="91"/>
      <c r="V4495" s="41"/>
      <c r="W4495" s="37"/>
      <c r="X4495" s="37"/>
      <c r="Y4495" s="43"/>
      <c r="Z4495" s="37"/>
      <c r="AA4495" s="37"/>
      <c r="AD4495" s="37"/>
      <c r="AE4495" s="37"/>
      <c r="AF4495" s="37"/>
    </row>
    <row r="4496" spans="1:32" x14ac:dyDescent="0.25">
      <c r="A4496" s="37"/>
      <c r="B4496" s="37"/>
      <c r="C4496" s="37"/>
      <c r="F4496" s="38"/>
      <c r="G4496" s="38"/>
      <c r="H4496" s="38"/>
      <c r="I4496" s="37"/>
      <c r="J4496" s="38"/>
      <c r="K4496" s="38"/>
      <c r="L4496" s="42"/>
      <c r="M4496" s="42"/>
      <c r="N4496" s="42"/>
      <c r="O4496" s="42"/>
      <c r="R4496" s="37"/>
      <c r="S4496" s="37"/>
      <c r="T4496" s="91"/>
      <c r="U4496" s="91"/>
      <c r="V4496" s="41"/>
      <c r="W4496" s="37"/>
      <c r="X4496" s="37"/>
      <c r="Y4496" s="43"/>
      <c r="Z4496" s="37"/>
      <c r="AA4496" s="37"/>
      <c r="AD4496" s="37"/>
      <c r="AE4496" s="37"/>
      <c r="AF4496" s="37"/>
    </row>
    <row r="4497" spans="1:32" x14ac:dyDescent="0.25">
      <c r="A4497" s="37"/>
      <c r="B4497" s="37"/>
      <c r="C4497" s="37"/>
      <c r="F4497" s="38"/>
      <c r="G4497" s="38"/>
      <c r="H4497" s="38"/>
      <c r="I4497" s="37"/>
      <c r="J4497" s="38"/>
      <c r="K4497" s="38"/>
      <c r="L4497" s="42"/>
      <c r="M4497" s="42"/>
      <c r="N4497" s="42"/>
      <c r="O4497" s="42"/>
      <c r="R4497" s="37"/>
      <c r="S4497" s="37"/>
      <c r="T4497" s="91"/>
      <c r="U4497" s="91"/>
      <c r="V4497" s="41"/>
      <c r="W4497" s="37"/>
      <c r="X4497" s="37"/>
      <c r="Y4497" s="43"/>
      <c r="Z4497" s="37"/>
      <c r="AA4497" s="37"/>
      <c r="AD4497" s="37"/>
      <c r="AE4497" s="37"/>
      <c r="AF4497" s="37"/>
    </row>
    <row r="4498" spans="1:32" x14ac:dyDescent="0.25">
      <c r="A4498" s="37"/>
      <c r="B4498" s="37"/>
      <c r="C4498" s="37"/>
      <c r="F4498" s="38"/>
      <c r="G4498" s="38"/>
      <c r="H4498" s="38"/>
      <c r="I4498" s="37"/>
      <c r="J4498" s="38"/>
      <c r="K4498" s="38"/>
      <c r="L4498" s="42"/>
      <c r="M4498" s="42"/>
      <c r="N4498" s="42"/>
      <c r="O4498" s="42"/>
      <c r="R4498" s="37"/>
      <c r="S4498" s="37"/>
      <c r="T4498" s="91"/>
      <c r="U4498" s="91"/>
      <c r="V4498" s="41"/>
      <c r="W4498" s="37"/>
      <c r="X4498" s="37"/>
      <c r="Y4498" s="43"/>
      <c r="Z4498" s="37"/>
      <c r="AA4498" s="37"/>
      <c r="AD4498" s="37"/>
      <c r="AE4498" s="37"/>
      <c r="AF4498" s="37"/>
    </row>
    <row r="4499" spans="1:32" x14ac:dyDescent="0.25">
      <c r="A4499" s="37"/>
      <c r="B4499" s="37"/>
      <c r="C4499" s="37"/>
      <c r="F4499" s="38"/>
      <c r="G4499" s="38"/>
      <c r="H4499" s="38"/>
      <c r="I4499" s="37"/>
      <c r="J4499" s="38"/>
      <c r="K4499" s="38"/>
      <c r="L4499" s="42"/>
      <c r="M4499" s="42"/>
      <c r="N4499" s="42"/>
      <c r="O4499" s="42"/>
      <c r="R4499" s="37"/>
      <c r="S4499" s="37"/>
      <c r="T4499" s="91"/>
      <c r="U4499" s="91"/>
      <c r="V4499" s="41"/>
      <c r="W4499" s="37"/>
      <c r="X4499" s="37"/>
      <c r="Y4499" s="43"/>
      <c r="Z4499" s="37"/>
      <c r="AA4499" s="37"/>
      <c r="AD4499" s="37"/>
      <c r="AE4499" s="37"/>
      <c r="AF4499" s="37"/>
    </row>
    <row r="4500" spans="1:32" x14ac:dyDescent="0.25">
      <c r="A4500" s="37"/>
      <c r="B4500" s="37"/>
      <c r="C4500" s="37"/>
      <c r="F4500" s="38"/>
      <c r="G4500" s="38"/>
      <c r="H4500" s="38"/>
      <c r="I4500" s="37"/>
      <c r="J4500" s="38"/>
      <c r="K4500" s="38"/>
      <c r="L4500" s="42"/>
      <c r="M4500" s="42"/>
      <c r="N4500" s="42"/>
      <c r="O4500" s="42"/>
      <c r="R4500" s="37"/>
      <c r="S4500" s="37"/>
      <c r="T4500" s="91"/>
      <c r="U4500" s="91"/>
      <c r="V4500" s="41"/>
      <c r="W4500" s="37"/>
      <c r="X4500" s="37"/>
      <c r="Y4500" s="43"/>
      <c r="Z4500" s="37"/>
      <c r="AA4500" s="37"/>
      <c r="AD4500" s="37"/>
      <c r="AE4500" s="37"/>
      <c r="AF4500" s="37"/>
    </row>
    <row r="4501" spans="1:32" x14ac:dyDescent="0.25">
      <c r="A4501" s="37"/>
      <c r="B4501" s="37"/>
      <c r="C4501" s="37"/>
      <c r="F4501" s="38"/>
      <c r="G4501" s="38"/>
      <c r="H4501" s="38"/>
      <c r="I4501" s="37"/>
      <c r="J4501" s="38"/>
      <c r="K4501" s="38"/>
      <c r="L4501" s="42"/>
      <c r="M4501" s="42"/>
      <c r="N4501" s="42"/>
      <c r="O4501" s="42"/>
      <c r="R4501" s="37"/>
      <c r="S4501" s="37"/>
      <c r="T4501" s="91"/>
      <c r="U4501" s="91"/>
      <c r="V4501" s="41"/>
      <c r="W4501" s="37"/>
      <c r="X4501" s="37"/>
      <c r="Y4501" s="43"/>
      <c r="Z4501" s="37"/>
      <c r="AA4501" s="37"/>
      <c r="AD4501" s="37"/>
      <c r="AE4501" s="37"/>
      <c r="AF4501" s="37"/>
    </row>
    <row r="4502" spans="1:32" x14ac:dyDescent="0.25">
      <c r="A4502" s="37"/>
      <c r="B4502" s="37"/>
      <c r="C4502" s="37"/>
      <c r="F4502" s="38"/>
      <c r="G4502" s="38"/>
      <c r="H4502" s="38"/>
      <c r="I4502" s="37"/>
      <c r="J4502" s="38"/>
      <c r="K4502" s="38"/>
      <c r="L4502" s="42"/>
      <c r="M4502" s="42"/>
      <c r="N4502" s="42"/>
      <c r="O4502" s="42"/>
      <c r="R4502" s="37"/>
      <c r="S4502" s="37"/>
      <c r="T4502" s="91"/>
      <c r="U4502" s="91"/>
      <c r="V4502" s="41"/>
      <c r="W4502" s="37"/>
      <c r="X4502" s="37"/>
      <c r="Y4502" s="43"/>
      <c r="Z4502" s="37"/>
      <c r="AA4502" s="37"/>
      <c r="AD4502" s="37"/>
      <c r="AE4502" s="37"/>
      <c r="AF4502" s="37"/>
    </row>
    <row r="4503" spans="1:32" x14ac:dyDescent="0.25">
      <c r="A4503" s="37"/>
      <c r="B4503" s="37"/>
      <c r="C4503" s="37"/>
      <c r="F4503" s="38"/>
      <c r="G4503" s="38"/>
      <c r="H4503" s="38"/>
      <c r="I4503" s="37"/>
      <c r="J4503" s="38"/>
      <c r="K4503" s="38"/>
      <c r="L4503" s="42"/>
      <c r="M4503" s="42"/>
      <c r="N4503" s="42"/>
      <c r="O4503" s="42"/>
      <c r="R4503" s="37"/>
      <c r="S4503" s="37"/>
      <c r="T4503" s="91"/>
      <c r="U4503" s="91"/>
      <c r="V4503" s="41"/>
      <c r="W4503" s="37"/>
      <c r="X4503" s="37"/>
      <c r="Y4503" s="43"/>
      <c r="Z4503" s="37"/>
      <c r="AA4503" s="37"/>
      <c r="AD4503" s="37"/>
      <c r="AE4503" s="37"/>
      <c r="AF4503" s="37"/>
    </row>
    <row r="4504" spans="1:32" x14ac:dyDescent="0.25">
      <c r="A4504" s="37"/>
      <c r="B4504" s="37"/>
      <c r="C4504" s="37"/>
      <c r="F4504" s="38"/>
      <c r="G4504" s="38"/>
      <c r="H4504" s="38"/>
      <c r="I4504" s="37"/>
      <c r="J4504" s="38"/>
      <c r="K4504" s="38"/>
      <c r="L4504" s="42"/>
      <c r="M4504" s="42"/>
      <c r="N4504" s="42"/>
      <c r="O4504" s="42"/>
      <c r="R4504" s="37"/>
      <c r="S4504" s="37"/>
      <c r="T4504" s="91"/>
      <c r="U4504" s="91"/>
      <c r="V4504" s="41"/>
      <c r="W4504" s="37"/>
      <c r="X4504" s="37"/>
      <c r="Y4504" s="43"/>
      <c r="Z4504" s="37"/>
      <c r="AA4504" s="37"/>
      <c r="AD4504" s="37"/>
      <c r="AE4504" s="37"/>
      <c r="AF4504" s="37"/>
    </row>
    <row r="4505" spans="1:32" x14ac:dyDescent="0.25">
      <c r="A4505" s="37"/>
      <c r="B4505" s="37"/>
      <c r="C4505" s="37"/>
      <c r="F4505" s="38"/>
      <c r="G4505" s="38"/>
      <c r="H4505" s="38"/>
      <c r="I4505" s="37"/>
      <c r="J4505" s="38"/>
      <c r="K4505" s="38"/>
      <c r="L4505" s="42"/>
      <c r="M4505" s="42"/>
      <c r="N4505" s="42"/>
      <c r="O4505" s="42"/>
      <c r="R4505" s="37"/>
      <c r="S4505" s="37"/>
      <c r="T4505" s="91"/>
      <c r="U4505" s="91"/>
      <c r="V4505" s="41"/>
      <c r="W4505" s="37"/>
      <c r="X4505" s="37"/>
      <c r="Y4505" s="43"/>
      <c r="Z4505" s="37"/>
      <c r="AA4505" s="37"/>
      <c r="AD4505" s="37"/>
      <c r="AE4505" s="37"/>
      <c r="AF4505" s="37"/>
    </row>
    <row r="4506" spans="1:32" x14ac:dyDescent="0.25">
      <c r="A4506" s="37"/>
      <c r="B4506" s="37"/>
      <c r="C4506" s="37"/>
      <c r="F4506" s="38"/>
      <c r="G4506" s="38"/>
      <c r="H4506" s="38"/>
      <c r="I4506" s="37"/>
      <c r="J4506" s="38"/>
      <c r="K4506" s="38"/>
      <c r="L4506" s="42"/>
      <c r="M4506" s="42"/>
      <c r="N4506" s="42"/>
      <c r="O4506" s="42"/>
      <c r="R4506" s="37"/>
      <c r="S4506" s="37"/>
      <c r="T4506" s="91"/>
      <c r="U4506" s="91"/>
      <c r="V4506" s="41"/>
      <c r="W4506" s="37"/>
      <c r="X4506" s="37"/>
      <c r="Y4506" s="43"/>
      <c r="Z4506" s="37"/>
      <c r="AA4506" s="37"/>
      <c r="AD4506" s="37"/>
      <c r="AE4506" s="37"/>
      <c r="AF4506" s="37"/>
    </row>
    <row r="4507" spans="1:32" x14ac:dyDescent="0.25">
      <c r="A4507" s="37"/>
      <c r="B4507" s="37"/>
      <c r="C4507" s="37"/>
      <c r="F4507" s="38"/>
      <c r="G4507" s="38"/>
      <c r="H4507" s="38"/>
      <c r="I4507" s="37"/>
      <c r="J4507" s="38"/>
      <c r="K4507" s="38"/>
      <c r="L4507" s="42"/>
      <c r="M4507" s="42"/>
      <c r="N4507" s="42"/>
      <c r="O4507" s="42"/>
      <c r="R4507" s="37"/>
      <c r="S4507" s="37"/>
      <c r="T4507" s="91"/>
      <c r="U4507" s="91"/>
      <c r="V4507" s="41"/>
      <c r="W4507" s="37"/>
      <c r="X4507" s="37"/>
      <c r="Y4507" s="43"/>
      <c r="Z4507" s="37"/>
      <c r="AA4507" s="37"/>
      <c r="AD4507" s="37"/>
      <c r="AE4507" s="37"/>
      <c r="AF4507" s="37"/>
    </row>
    <row r="4508" spans="1:32" x14ac:dyDescent="0.25">
      <c r="A4508" s="37"/>
      <c r="B4508" s="37"/>
      <c r="C4508" s="37"/>
      <c r="F4508" s="38"/>
      <c r="G4508" s="38"/>
      <c r="H4508" s="38"/>
      <c r="I4508" s="37"/>
      <c r="J4508" s="38"/>
      <c r="K4508" s="38"/>
      <c r="L4508" s="42"/>
      <c r="M4508" s="42"/>
      <c r="N4508" s="42"/>
      <c r="O4508" s="42"/>
      <c r="R4508" s="37"/>
      <c r="S4508" s="37"/>
      <c r="T4508" s="91"/>
      <c r="U4508" s="91"/>
      <c r="V4508" s="41"/>
      <c r="W4508" s="37"/>
      <c r="X4508" s="37"/>
      <c r="Y4508" s="43"/>
      <c r="Z4508" s="37"/>
      <c r="AA4508" s="37"/>
      <c r="AD4508" s="37"/>
      <c r="AE4508" s="37"/>
      <c r="AF4508" s="37"/>
    </row>
    <row r="4509" spans="1:32" x14ac:dyDescent="0.25">
      <c r="A4509" s="37"/>
      <c r="B4509" s="37"/>
      <c r="C4509" s="37"/>
      <c r="F4509" s="38"/>
      <c r="G4509" s="38"/>
      <c r="H4509" s="38"/>
      <c r="I4509" s="37"/>
      <c r="J4509" s="38"/>
      <c r="K4509" s="38"/>
      <c r="L4509" s="42"/>
      <c r="M4509" s="42"/>
      <c r="N4509" s="42"/>
      <c r="O4509" s="42"/>
      <c r="R4509" s="37"/>
      <c r="S4509" s="37"/>
      <c r="T4509" s="91"/>
      <c r="U4509" s="91"/>
      <c r="V4509" s="41"/>
      <c r="W4509" s="37"/>
      <c r="X4509" s="37"/>
      <c r="Y4509" s="43"/>
      <c r="Z4509" s="37"/>
      <c r="AA4509" s="37"/>
      <c r="AD4509" s="37"/>
      <c r="AE4509" s="37"/>
      <c r="AF4509" s="37"/>
    </row>
    <row r="4510" spans="1:32" x14ac:dyDescent="0.25">
      <c r="A4510" s="37"/>
      <c r="B4510" s="37"/>
      <c r="C4510" s="37"/>
      <c r="F4510" s="38"/>
      <c r="G4510" s="38"/>
      <c r="H4510" s="38"/>
      <c r="I4510" s="37"/>
      <c r="J4510" s="38"/>
      <c r="K4510" s="38"/>
      <c r="L4510" s="42"/>
      <c r="M4510" s="42"/>
      <c r="N4510" s="42"/>
      <c r="O4510" s="42"/>
      <c r="R4510" s="37"/>
      <c r="S4510" s="37"/>
      <c r="T4510" s="91"/>
      <c r="U4510" s="91"/>
      <c r="V4510" s="41"/>
      <c r="W4510" s="37"/>
      <c r="X4510" s="37"/>
      <c r="Y4510" s="43"/>
      <c r="Z4510" s="37"/>
      <c r="AA4510" s="37"/>
      <c r="AD4510" s="37"/>
      <c r="AE4510" s="37"/>
      <c r="AF4510" s="37"/>
    </row>
    <row r="4511" spans="1:32" x14ac:dyDescent="0.25">
      <c r="A4511" s="37"/>
      <c r="B4511" s="37"/>
      <c r="C4511" s="37"/>
      <c r="F4511" s="38"/>
      <c r="G4511" s="38"/>
      <c r="H4511" s="38"/>
      <c r="I4511" s="37"/>
      <c r="J4511" s="38"/>
      <c r="K4511" s="38"/>
      <c r="L4511" s="42"/>
      <c r="M4511" s="42"/>
      <c r="N4511" s="42"/>
      <c r="O4511" s="42"/>
      <c r="R4511" s="37"/>
      <c r="S4511" s="37"/>
      <c r="T4511" s="91"/>
      <c r="U4511" s="91"/>
      <c r="V4511" s="41"/>
      <c r="W4511" s="37"/>
      <c r="X4511" s="37"/>
      <c r="Y4511" s="43"/>
      <c r="Z4511" s="37"/>
      <c r="AA4511" s="37"/>
      <c r="AD4511" s="37"/>
      <c r="AE4511" s="37"/>
      <c r="AF4511" s="37"/>
    </row>
    <row r="4512" spans="1:32" x14ac:dyDescent="0.25">
      <c r="A4512" s="37"/>
      <c r="B4512" s="37"/>
      <c r="C4512" s="37"/>
      <c r="F4512" s="38"/>
      <c r="G4512" s="38"/>
      <c r="H4512" s="38"/>
      <c r="I4512" s="37"/>
      <c r="J4512" s="38"/>
      <c r="K4512" s="38"/>
      <c r="L4512" s="42"/>
      <c r="M4512" s="42"/>
      <c r="N4512" s="42"/>
      <c r="O4512" s="42"/>
      <c r="R4512" s="37"/>
      <c r="S4512" s="37"/>
      <c r="T4512" s="91"/>
      <c r="U4512" s="91"/>
      <c r="V4512" s="41"/>
      <c r="W4512" s="37"/>
      <c r="X4512" s="37"/>
      <c r="Y4512" s="43"/>
      <c r="Z4512" s="37"/>
      <c r="AA4512" s="37"/>
      <c r="AD4512" s="37"/>
      <c r="AE4512" s="37"/>
      <c r="AF4512" s="37"/>
    </row>
    <row r="4513" spans="1:32" x14ac:dyDescent="0.25">
      <c r="A4513" s="37"/>
      <c r="B4513" s="37"/>
      <c r="C4513" s="37"/>
      <c r="F4513" s="38"/>
      <c r="G4513" s="38"/>
      <c r="H4513" s="38"/>
      <c r="I4513" s="37"/>
      <c r="J4513" s="38"/>
      <c r="K4513" s="38"/>
      <c r="L4513" s="42"/>
      <c r="M4513" s="42"/>
      <c r="N4513" s="42"/>
      <c r="O4513" s="42"/>
      <c r="R4513" s="37"/>
      <c r="S4513" s="37"/>
      <c r="T4513" s="91"/>
      <c r="U4513" s="91"/>
      <c r="V4513" s="41"/>
      <c r="W4513" s="37"/>
      <c r="X4513" s="37"/>
      <c r="Y4513" s="43"/>
      <c r="Z4513" s="37"/>
      <c r="AA4513" s="37"/>
      <c r="AD4513" s="37"/>
      <c r="AE4513" s="37"/>
      <c r="AF4513" s="37"/>
    </row>
    <row r="4514" spans="1:32" x14ac:dyDescent="0.25">
      <c r="A4514" s="37"/>
      <c r="B4514" s="37"/>
      <c r="C4514" s="37"/>
      <c r="F4514" s="38"/>
      <c r="G4514" s="38"/>
      <c r="H4514" s="38"/>
      <c r="I4514" s="37"/>
      <c r="J4514" s="38"/>
      <c r="K4514" s="38"/>
      <c r="L4514" s="42"/>
      <c r="M4514" s="42"/>
      <c r="N4514" s="42"/>
      <c r="O4514" s="42"/>
      <c r="R4514" s="37"/>
      <c r="S4514" s="37"/>
      <c r="T4514" s="91"/>
      <c r="U4514" s="91"/>
      <c r="V4514" s="41"/>
      <c r="W4514" s="37"/>
      <c r="X4514" s="37"/>
      <c r="Y4514" s="43"/>
      <c r="Z4514" s="37"/>
      <c r="AA4514" s="37"/>
      <c r="AD4514" s="37"/>
      <c r="AE4514" s="37"/>
      <c r="AF4514" s="37"/>
    </row>
    <row r="4515" spans="1:32" x14ac:dyDescent="0.25">
      <c r="A4515" s="37"/>
      <c r="B4515" s="37"/>
      <c r="C4515" s="37"/>
      <c r="F4515" s="38"/>
      <c r="G4515" s="38"/>
      <c r="H4515" s="38"/>
      <c r="I4515" s="37"/>
      <c r="J4515" s="38"/>
      <c r="K4515" s="38"/>
      <c r="L4515" s="42"/>
      <c r="M4515" s="42"/>
      <c r="N4515" s="42"/>
      <c r="O4515" s="42"/>
      <c r="R4515" s="37"/>
      <c r="S4515" s="37"/>
      <c r="T4515" s="91"/>
      <c r="U4515" s="91"/>
      <c r="V4515" s="41"/>
      <c r="W4515" s="37"/>
      <c r="X4515" s="37"/>
      <c r="Y4515" s="43"/>
      <c r="Z4515" s="37"/>
      <c r="AA4515" s="37"/>
      <c r="AD4515" s="37"/>
      <c r="AE4515" s="37"/>
      <c r="AF4515" s="37"/>
    </row>
    <row r="4516" spans="1:32" x14ac:dyDescent="0.25">
      <c r="A4516" s="37"/>
      <c r="B4516" s="37"/>
      <c r="C4516" s="37"/>
      <c r="F4516" s="38"/>
      <c r="G4516" s="38"/>
      <c r="H4516" s="38"/>
      <c r="I4516" s="37"/>
      <c r="J4516" s="38"/>
      <c r="K4516" s="38"/>
      <c r="L4516" s="42"/>
      <c r="M4516" s="42"/>
      <c r="N4516" s="42"/>
      <c r="O4516" s="42"/>
      <c r="R4516" s="37"/>
      <c r="S4516" s="37"/>
      <c r="T4516" s="91"/>
      <c r="U4516" s="91"/>
      <c r="V4516" s="41"/>
      <c r="W4516" s="37"/>
      <c r="X4516" s="37"/>
      <c r="Y4516" s="43"/>
      <c r="Z4516" s="37"/>
      <c r="AA4516" s="37"/>
      <c r="AD4516" s="37"/>
      <c r="AE4516" s="37"/>
      <c r="AF4516" s="37"/>
    </row>
    <row r="4517" spans="1:32" x14ac:dyDescent="0.25">
      <c r="A4517" s="37"/>
      <c r="B4517" s="37"/>
      <c r="C4517" s="37"/>
      <c r="F4517" s="38"/>
      <c r="G4517" s="38"/>
      <c r="H4517" s="38"/>
      <c r="I4517" s="37"/>
      <c r="J4517" s="38"/>
      <c r="K4517" s="38"/>
      <c r="L4517" s="42"/>
      <c r="M4517" s="42"/>
      <c r="N4517" s="42"/>
      <c r="O4517" s="42"/>
      <c r="R4517" s="37"/>
      <c r="S4517" s="37"/>
      <c r="T4517" s="91"/>
      <c r="U4517" s="91"/>
      <c r="V4517" s="41"/>
      <c r="W4517" s="37"/>
      <c r="X4517" s="37"/>
      <c r="Y4517" s="43"/>
      <c r="Z4517" s="37"/>
      <c r="AA4517" s="37"/>
      <c r="AD4517" s="37"/>
      <c r="AE4517" s="37"/>
      <c r="AF4517" s="37"/>
    </row>
    <row r="4518" spans="1:32" x14ac:dyDescent="0.25">
      <c r="A4518" s="37"/>
      <c r="B4518" s="37"/>
      <c r="C4518" s="37"/>
      <c r="F4518" s="38"/>
      <c r="G4518" s="38"/>
      <c r="H4518" s="38"/>
      <c r="I4518" s="37"/>
      <c r="J4518" s="38"/>
      <c r="K4518" s="38"/>
      <c r="L4518" s="42"/>
      <c r="M4518" s="42"/>
      <c r="N4518" s="42"/>
      <c r="O4518" s="42"/>
      <c r="R4518" s="37"/>
      <c r="S4518" s="37"/>
      <c r="T4518" s="91"/>
      <c r="U4518" s="91"/>
      <c r="V4518" s="41"/>
      <c r="W4518" s="37"/>
      <c r="X4518" s="37"/>
      <c r="Y4518" s="43"/>
      <c r="Z4518" s="37"/>
      <c r="AA4518" s="37"/>
      <c r="AD4518" s="37"/>
      <c r="AE4518" s="37"/>
      <c r="AF4518" s="37"/>
    </row>
    <row r="4519" spans="1:32" x14ac:dyDescent="0.25">
      <c r="A4519" s="37"/>
      <c r="B4519" s="37"/>
      <c r="C4519" s="37"/>
      <c r="F4519" s="38"/>
      <c r="G4519" s="38"/>
      <c r="H4519" s="38"/>
      <c r="I4519" s="37"/>
      <c r="J4519" s="38"/>
      <c r="K4519" s="38"/>
      <c r="L4519" s="42"/>
      <c r="M4519" s="42"/>
      <c r="N4519" s="42"/>
      <c r="O4519" s="42"/>
      <c r="R4519" s="37"/>
      <c r="S4519" s="37"/>
      <c r="T4519" s="91"/>
      <c r="U4519" s="91"/>
      <c r="V4519" s="41"/>
      <c r="W4519" s="37"/>
      <c r="X4519" s="37"/>
      <c r="Y4519" s="43"/>
      <c r="Z4519" s="37"/>
      <c r="AA4519" s="37"/>
      <c r="AD4519" s="37"/>
      <c r="AE4519" s="37"/>
      <c r="AF4519" s="37"/>
    </row>
    <row r="4520" spans="1:32" x14ac:dyDescent="0.25">
      <c r="A4520" s="37"/>
      <c r="B4520" s="37"/>
      <c r="C4520" s="37"/>
      <c r="F4520" s="38"/>
      <c r="G4520" s="38"/>
      <c r="H4520" s="38"/>
      <c r="I4520" s="37"/>
      <c r="J4520" s="38"/>
      <c r="K4520" s="38"/>
      <c r="L4520" s="42"/>
      <c r="M4520" s="42"/>
      <c r="N4520" s="42"/>
      <c r="O4520" s="42"/>
      <c r="R4520" s="37"/>
      <c r="S4520" s="37"/>
      <c r="T4520" s="91"/>
      <c r="U4520" s="91"/>
      <c r="V4520" s="41"/>
      <c r="W4520" s="37"/>
      <c r="X4520" s="37"/>
      <c r="Y4520" s="43"/>
      <c r="Z4520" s="37"/>
      <c r="AA4520" s="37"/>
      <c r="AD4520" s="37"/>
      <c r="AE4520" s="37"/>
      <c r="AF4520" s="37"/>
    </row>
    <row r="4521" spans="1:32" x14ac:dyDescent="0.25">
      <c r="A4521" s="37"/>
      <c r="B4521" s="37"/>
      <c r="C4521" s="37"/>
      <c r="F4521" s="38"/>
      <c r="G4521" s="38"/>
      <c r="H4521" s="38"/>
      <c r="I4521" s="37"/>
      <c r="J4521" s="38"/>
      <c r="K4521" s="38"/>
      <c r="L4521" s="42"/>
      <c r="M4521" s="42"/>
      <c r="N4521" s="42"/>
      <c r="O4521" s="42"/>
      <c r="R4521" s="37"/>
      <c r="S4521" s="37"/>
      <c r="T4521" s="91"/>
      <c r="U4521" s="91"/>
      <c r="V4521" s="41"/>
      <c r="W4521" s="37"/>
      <c r="X4521" s="37"/>
      <c r="Y4521" s="43"/>
      <c r="Z4521" s="37"/>
      <c r="AA4521" s="37"/>
      <c r="AD4521" s="37"/>
      <c r="AE4521" s="37"/>
      <c r="AF4521" s="37"/>
    </row>
    <row r="4522" spans="1:32" x14ac:dyDescent="0.25">
      <c r="A4522" s="37"/>
      <c r="B4522" s="37"/>
      <c r="C4522" s="37"/>
      <c r="F4522" s="38"/>
      <c r="G4522" s="38"/>
      <c r="H4522" s="38"/>
      <c r="I4522" s="37"/>
      <c r="J4522" s="38"/>
      <c r="K4522" s="38"/>
      <c r="L4522" s="42"/>
      <c r="M4522" s="42"/>
      <c r="N4522" s="42"/>
      <c r="O4522" s="42"/>
      <c r="R4522" s="37"/>
      <c r="S4522" s="37"/>
      <c r="T4522" s="91"/>
      <c r="U4522" s="91"/>
      <c r="V4522" s="41"/>
      <c r="W4522" s="37"/>
      <c r="X4522" s="37"/>
      <c r="Y4522" s="43"/>
      <c r="Z4522" s="37"/>
      <c r="AA4522" s="37"/>
      <c r="AD4522" s="37"/>
      <c r="AE4522" s="37"/>
      <c r="AF4522" s="37"/>
    </row>
    <row r="4523" spans="1:32" x14ac:dyDescent="0.25">
      <c r="A4523" s="37"/>
      <c r="B4523" s="37"/>
      <c r="C4523" s="37"/>
      <c r="F4523" s="38"/>
      <c r="G4523" s="38"/>
      <c r="H4523" s="38"/>
      <c r="I4523" s="37"/>
      <c r="J4523" s="38"/>
      <c r="K4523" s="38"/>
      <c r="L4523" s="42"/>
      <c r="M4523" s="42"/>
      <c r="N4523" s="42"/>
      <c r="O4523" s="42"/>
      <c r="R4523" s="37"/>
      <c r="S4523" s="37"/>
      <c r="T4523" s="91"/>
      <c r="U4523" s="91"/>
      <c r="V4523" s="41"/>
      <c r="W4523" s="37"/>
      <c r="X4523" s="37"/>
      <c r="Y4523" s="43"/>
      <c r="Z4523" s="37"/>
      <c r="AA4523" s="37"/>
      <c r="AD4523" s="37"/>
      <c r="AE4523" s="37"/>
      <c r="AF4523" s="37"/>
    </row>
    <row r="4524" spans="1:32" x14ac:dyDescent="0.25">
      <c r="A4524" s="37"/>
      <c r="B4524" s="37"/>
      <c r="C4524" s="37"/>
      <c r="F4524" s="38"/>
      <c r="G4524" s="38"/>
      <c r="H4524" s="38"/>
      <c r="I4524" s="37"/>
      <c r="J4524" s="38"/>
      <c r="K4524" s="38"/>
      <c r="L4524" s="42"/>
      <c r="M4524" s="42"/>
      <c r="N4524" s="42"/>
      <c r="O4524" s="42"/>
      <c r="R4524" s="37"/>
      <c r="S4524" s="37"/>
      <c r="T4524" s="91"/>
      <c r="U4524" s="91"/>
      <c r="V4524" s="41"/>
      <c r="W4524" s="37"/>
      <c r="X4524" s="37"/>
      <c r="Y4524" s="43"/>
      <c r="Z4524" s="37"/>
      <c r="AA4524" s="37"/>
      <c r="AD4524" s="37"/>
      <c r="AE4524" s="37"/>
      <c r="AF4524" s="37"/>
    </row>
    <row r="4525" spans="1:32" x14ac:dyDescent="0.25">
      <c r="A4525" s="37"/>
      <c r="B4525" s="37"/>
      <c r="C4525" s="37"/>
      <c r="F4525" s="38"/>
      <c r="G4525" s="38"/>
      <c r="H4525" s="38"/>
      <c r="I4525" s="37"/>
      <c r="J4525" s="38"/>
      <c r="K4525" s="38"/>
      <c r="L4525" s="42"/>
      <c r="M4525" s="42"/>
      <c r="N4525" s="42"/>
      <c r="O4525" s="42"/>
      <c r="R4525" s="37"/>
      <c r="S4525" s="37"/>
      <c r="T4525" s="91"/>
      <c r="U4525" s="91"/>
      <c r="V4525" s="41"/>
      <c r="W4525" s="37"/>
      <c r="X4525" s="37"/>
      <c r="Y4525" s="43"/>
      <c r="Z4525" s="37"/>
      <c r="AA4525" s="37"/>
      <c r="AD4525" s="37"/>
      <c r="AE4525" s="37"/>
      <c r="AF4525" s="37"/>
    </row>
    <row r="4526" spans="1:32" x14ac:dyDescent="0.25">
      <c r="A4526" s="37"/>
      <c r="B4526" s="37"/>
      <c r="C4526" s="37"/>
      <c r="F4526" s="38"/>
      <c r="G4526" s="38"/>
      <c r="H4526" s="38"/>
      <c r="I4526" s="37"/>
      <c r="J4526" s="38"/>
      <c r="K4526" s="38"/>
      <c r="L4526" s="42"/>
      <c r="M4526" s="42"/>
      <c r="N4526" s="42"/>
      <c r="O4526" s="42"/>
      <c r="R4526" s="37"/>
      <c r="S4526" s="37"/>
      <c r="T4526" s="91"/>
      <c r="U4526" s="91"/>
      <c r="V4526" s="41"/>
      <c r="W4526" s="37"/>
      <c r="X4526" s="37"/>
      <c r="Y4526" s="43"/>
      <c r="Z4526" s="37"/>
      <c r="AA4526" s="37"/>
      <c r="AD4526" s="37"/>
      <c r="AE4526" s="37"/>
      <c r="AF4526" s="37"/>
    </row>
    <row r="4527" spans="1:32" x14ac:dyDescent="0.25">
      <c r="A4527" s="37"/>
      <c r="B4527" s="37"/>
      <c r="C4527" s="37"/>
      <c r="F4527" s="38"/>
      <c r="G4527" s="38"/>
      <c r="H4527" s="38"/>
      <c r="I4527" s="37"/>
      <c r="J4527" s="38"/>
      <c r="K4527" s="38"/>
      <c r="L4527" s="42"/>
      <c r="M4527" s="42"/>
      <c r="N4527" s="42"/>
      <c r="O4527" s="42"/>
      <c r="R4527" s="37"/>
      <c r="S4527" s="37"/>
      <c r="T4527" s="91"/>
      <c r="U4527" s="91"/>
      <c r="V4527" s="41"/>
      <c r="W4527" s="37"/>
      <c r="X4527" s="37"/>
      <c r="Y4527" s="43"/>
      <c r="Z4527" s="37"/>
      <c r="AA4527" s="37"/>
      <c r="AD4527" s="37"/>
      <c r="AE4527" s="37"/>
      <c r="AF4527" s="37"/>
    </row>
    <row r="4528" spans="1:32" x14ac:dyDescent="0.25">
      <c r="A4528" s="37"/>
      <c r="B4528" s="37"/>
      <c r="C4528" s="37"/>
      <c r="F4528" s="38"/>
      <c r="G4528" s="38"/>
      <c r="H4528" s="38"/>
      <c r="I4528" s="37"/>
      <c r="J4528" s="38"/>
      <c r="K4528" s="38"/>
      <c r="L4528" s="42"/>
      <c r="M4528" s="42"/>
      <c r="N4528" s="42"/>
      <c r="O4528" s="42"/>
      <c r="R4528" s="37"/>
      <c r="S4528" s="37"/>
      <c r="T4528" s="91"/>
      <c r="U4528" s="91"/>
      <c r="V4528" s="41"/>
      <c r="W4528" s="37"/>
      <c r="X4528" s="37"/>
      <c r="Y4528" s="43"/>
      <c r="Z4528" s="37"/>
      <c r="AA4528" s="37"/>
      <c r="AD4528" s="37"/>
      <c r="AE4528" s="37"/>
      <c r="AF4528" s="37"/>
    </row>
    <row r="4529" spans="1:32" x14ac:dyDescent="0.25">
      <c r="A4529" s="37"/>
      <c r="B4529" s="37"/>
      <c r="C4529" s="37"/>
      <c r="F4529" s="38"/>
      <c r="G4529" s="38"/>
      <c r="H4529" s="38"/>
      <c r="I4529" s="37"/>
      <c r="J4529" s="38"/>
      <c r="K4529" s="38"/>
      <c r="L4529" s="42"/>
      <c r="M4529" s="42"/>
      <c r="N4529" s="42"/>
      <c r="O4529" s="42"/>
      <c r="R4529" s="37"/>
      <c r="S4529" s="37"/>
      <c r="T4529" s="91"/>
      <c r="U4529" s="91"/>
      <c r="V4529" s="41"/>
      <c r="W4529" s="37"/>
      <c r="X4529" s="37"/>
      <c r="Y4529" s="43"/>
      <c r="Z4529" s="37"/>
      <c r="AA4529" s="37"/>
      <c r="AD4529" s="37"/>
      <c r="AE4529" s="37"/>
      <c r="AF4529" s="37"/>
    </row>
    <row r="4530" spans="1:32" x14ac:dyDescent="0.25">
      <c r="A4530" s="37"/>
      <c r="B4530" s="37"/>
      <c r="C4530" s="37"/>
      <c r="F4530" s="38"/>
      <c r="G4530" s="38"/>
      <c r="H4530" s="38"/>
      <c r="I4530" s="37"/>
      <c r="J4530" s="38"/>
      <c r="K4530" s="38"/>
      <c r="L4530" s="42"/>
      <c r="M4530" s="42"/>
      <c r="N4530" s="42"/>
      <c r="O4530" s="42"/>
      <c r="R4530" s="37"/>
      <c r="S4530" s="37"/>
      <c r="T4530" s="91"/>
      <c r="U4530" s="91"/>
      <c r="V4530" s="41"/>
      <c r="W4530" s="37"/>
      <c r="X4530" s="37"/>
      <c r="Y4530" s="43"/>
      <c r="Z4530" s="37"/>
      <c r="AA4530" s="37"/>
      <c r="AD4530" s="37"/>
      <c r="AE4530" s="37"/>
      <c r="AF4530" s="37"/>
    </row>
    <row r="4531" spans="1:32" x14ac:dyDescent="0.25">
      <c r="A4531" s="37"/>
      <c r="B4531" s="37"/>
      <c r="C4531" s="37"/>
      <c r="F4531" s="38"/>
      <c r="G4531" s="38"/>
      <c r="H4531" s="38"/>
      <c r="I4531" s="37"/>
      <c r="J4531" s="38"/>
      <c r="K4531" s="38"/>
      <c r="L4531" s="42"/>
      <c r="M4531" s="42"/>
      <c r="N4531" s="42"/>
      <c r="O4531" s="42"/>
      <c r="R4531" s="37"/>
      <c r="S4531" s="37"/>
      <c r="T4531" s="91"/>
      <c r="U4531" s="91"/>
      <c r="V4531" s="41"/>
      <c r="W4531" s="37"/>
      <c r="X4531" s="37"/>
      <c r="Y4531" s="43"/>
      <c r="Z4531" s="37"/>
      <c r="AA4531" s="37"/>
      <c r="AD4531" s="37"/>
      <c r="AE4531" s="37"/>
      <c r="AF4531" s="37"/>
    </row>
    <row r="4532" spans="1:32" x14ac:dyDescent="0.25">
      <c r="A4532" s="37"/>
      <c r="B4532" s="37"/>
      <c r="C4532" s="37"/>
      <c r="F4532" s="38"/>
      <c r="G4532" s="38"/>
      <c r="H4532" s="38"/>
      <c r="I4532" s="37"/>
      <c r="J4532" s="38"/>
      <c r="K4532" s="38"/>
      <c r="L4532" s="42"/>
      <c r="M4532" s="42"/>
      <c r="N4532" s="42"/>
      <c r="O4532" s="42"/>
      <c r="R4532" s="37"/>
      <c r="S4532" s="37"/>
      <c r="T4532" s="91"/>
      <c r="U4532" s="91"/>
      <c r="V4532" s="41"/>
      <c r="W4532" s="37"/>
      <c r="X4532" s="37"/>
      <c r="Y4532" s="43"/>
      <c r="Z4532" s="37"/>
      <c r="AA4532" s="37"/>
      <c r="AD4532" s="37"/>
      <c r="AE4532" s="37"/>
      <c r="AF4532" s="37"/>
    </row>
    <row r="4533" spans="1:32" x14ac:dyDescent="0.25">
      <c r="A4533" s="37"/>
      <c r="B4533" s="37"/>
      <c r="C4533" s="37"/>
      <c r="F4533" s="38"/>
      <c r="G4533" s="38"/>
      <c r="H4533" s="38"/>
      <c r="I4533" s="37"/>
      <c r="J4533" s="38"/>
      <c r="K4533" s="38"/>
      <c r="L4533" s="42"/>
      <c r="M4533" s="42"/>
      <c r="N4533" s="42"/>
      <c r="O4533" s="42"/>
      <c r="R4533" s="37"/>
      <c r="S4533" s="37"/>
      <c r="T4533" s="91"/>
      <c r="U4533" s="91"/>
      <c r="V4533" s="41"/>
      <c r="W4533" s="37"/>
      <c r="X4533" s="37"/>
      <c r="Y4533" s="43"/>
      <c r="Z4533" s="37"/>
      <c r="AA4533" s="37"/>
      <c r="AD4533" s="37"/>
      <c r="AE4533" s="37"/>
      <c r="AF4533" s="37"/>
    </row>
    <row r="4534" spans="1:32" x14ac:dyDescent="0.25">
      <c r="A4534" s="37"/>
      <c r="B4534" s="37"/>
      <c r="C4534" s="37"/>
      <c r="F4534" s="38"/>
      <c r="G4534" s="38"/>
      <c r="H4534" s="38"/>
      <c r="I4534" s="37"/>
      <c r="J4534" s="38"/>
      <c r="K4534" s="38"/>
      <c r="L4534" s="42"/>
      <c r="M4534" s="42"/>
      <c r="N4534" s="42"/>
      <c r="O4534" s="42"/>
      <c r="R4534" s="37"/>
      <c r="S4534" s="37"/>
      <c r="T4534" s="91"/>
      <c r="U4534" s="91"/>
      <c r="V4534" s="41"/>
      <c r="W4534" s="37"/>
      <c r="X4534" s="37"/>
      <c r="Y4534" s="43"/>
      <c r="Z4534" s="37"/>
      <c r="AA4534" s="37"/>
      <c r="AD4534" s="37"/>
      <c r="AE4534" s="37"/>
      <c r="AF4534" s="37"/>
    </row>
    <row r="4535" spans="1:32" x14ac:dyDescent="0.25">
      <c r="A4535" s="37"/>
      <c r="B4535" s="37"/>
      <c r="C4535" s="37"/>
      <c r="F4535" s="38"/>
      <c r="G4535" s="38"/>
      <c r="H4535" s="38"/>
      <c r="I4535" s="37"/>
      <c r="J4535" s="38"/>
      <c r="K4535" s="38"/>
      <c r="L4535" s="42"/>
      <c r="M4535" s="42"/>
      <c r="N4535" s="42"/>
      <c r="O4535" s="42"/>
      <c r="R4535" s="37"/>
      <c r="S4535" s="37"/>
      <c r="T4535" s="91"/>
      <c r="U4535" s="91"/>
      <c r="V4535" s="41"/>
      <c r="W4535" s="37"/>
      <c r="X4535" s="37"/>
      <c r="Y4535" s="43"/>
      <c r="Z4535" s="37"/>
      <c r="AA4535" s="37"/>
      <c r="AD4535" s="37"/>
      <c r="AE4535" s="37"/>
      <c r="AF4535" s="37"/>
    </row>
    <row r="4536" spans="1:32" x14ac:dyDescent="0.25">
      <c r="A4536" s="37"/>
      <c r="B4536" s="37"/>
      <c r="C4536" s="37"/>
      <c r="F4536" s="38"/>
      <c r="G4536" s="38"/>
      <c r="H4536" s="38"/>
      <c r="I4536" s="37"/>
      <c r="J4536" s="38"/>
      <c r="K4536" s="38"/>
      <c r="L4536" s="42"/>
      <c r="M4536" s="42"/>
      <c r="N4536" s="42"/>
      <c r="O4536" s="42"/>
      <c r="R4536" s="37"/>
      <c r="S4536" s="37"/>
      <c r="T4536" s="91"/>
      <c r="U4536" s="91"/>
      <c r="V4536" s="41"/>
      <c r="W4536" s="37"/>
      <c r="X4536" s="37"/>
      <c r="Y4536" s="43"/>
      <c r="Z4536" s="37"/>
      <c r="AA4536" s="37"/>
      <c r="AD4536" s="37"/>
      <c r="AE4536" s="37"/>
      <c r="AF4536" s="37"/>
    </row>
    <row r="4537" spans="1:32" x14ac:dyDescent="0.25">
      <c r="A4537" s="37"/>
      <c r="B4537" s="37"/>
      <c r="C4537" s="37"/>
      <c r="F4537" s="38"/>
      <c r="G4537" s="38"/>
      <c r="H4537" s="38"/>
      <c r="I4537" s="37"/>
      <c r="J4537" s="38"/>
      <c r="K4537" s="38"/>
      <c r="L4537" s="42"/>
      <c r="M4537" s="42"/>
      <c r="N4537" s="42"/>
      <c r="O4537" s="42"/>
      <c r="R4537" s="37"/>
      <c r="S4537" s="37"/>
      <c r="T4537" s="91"/>
      <c r="U4537" s="91"/>
      <c r="V4537" s="41"/>
      <c r="W4537" s="37"/>
      <c r="X4537" s="37"/>
      <c r="Y4537" s="43"/>
      <c r="Z4537" s="37"/>
      <c r="AA4537" s="37"/>
      <c r="AD4537" s="37"/>
      <c r="AE4537" s="37"/>
      <c r="AF4537" s="37"/>
    </row>
    <row r="4538" spans="1:32" x14ac:dyDescent="0.25">
      <c r="A4538" s="37"/>
      <c r="B4538" s="37"/>
      <c r="C4538" s="37"/>
      <c r="F4538" s="38"/>
      <c r="G4538" s="38"/>
      <c r="H4538" s="38"/>
      <c r="I4538" s="37"/>
      <c r="J4538" s="38"/>
      <c r="K4538" s="38"/>
      <c r="L4538" s="42"/>
      <c r="M4538" s="42"/>
      <c r="N4538" s="42"/>
      <c r="O4538" s="42"/>
      <c r="R4538" s="37"/>
      <c r="S4538" s="37"/>
      <c r="T4538" s="91"/>
      <c r="U4538" s="91"/>
      <c r="V4538" s="41"/>
      <c r="W4538" s="37"/>
      <c r="X4538" s="37"/>
      <c r="Y4538" s="43"/>
      <c r="Z4538" s="37"/>
      <c r="AA4538" s="37"/>
      <c r="AD4538" s="37"/>
      <c r="AE4538" s="37"/>
      <c r="AF4538" s="37"/>
    </row>
    <row r="4539" spans="1:32" x14ac:dyDescent="0.25">
      <c r="A4539" s="37"/>
      <c r="B4539" s="37"/>
      <c r="C4539" s="37"/>
      <c r="F4539" s="38"/>
      <c r="G4539" s="38"/>
      <c r="H4539" s="38"/>
      <c r="I4539" s="37"/>
      <c r="J4539" s="38"/>
      <c r="K4539" s="38"/>
      <c r="L4539" s="42"/>
      <c r="M4539" s="42"/>
      <c r="N4539" s="42"/>
      <c r="O4539" s="42"/>
      <c r="R4539" s="37"/>
      <c r="S4539" s="37"/>
      <c r="T4539" s="91"/>
      <c r="U4539" s="91"/>
      <c r="V4539" s="41"/>
      <c r="W4539" s="37"/>
      <c r="X4539" s="37"/>
      <c r="Y4539" s="43"/>
      <c r="Z4539" s="37"/>
      <c r="AA4539" s="37"/>
      <c r="AD4539" s="37"/>
      <c r="AE4539" s="37"/>
      <c r="AF4539" s="37"/>
    </row>
    <row r="4540" spans="1:32" x14ac:dyDescent="0.25">
      <c r="A4540" s="37"/>
      <c r="B4540" s="37"/>
      <c r="C4540" s="37"/>
      <c r="F4540" s="38"/>
      <c r="G4540" s="38"/>
      <c r="H4540" s="38"/>
      <c r="I4540" s="37"/>
      <c r="J4540" s="38"/>
      <c r="K4540" s="38"/>
      <c r="L4540" s="42"/>
      <c r="M4540" s="42"/>
      <c r="N4540" s="42"/>
      <c r="O4540" s="42"/>
      <c r="R4540" s="37"/>
      <c r="S4540" s="37"/>
      <c r="T4540" s="91"/>
      <c r="U4540" s="91"/>
      <c r="V4540" s="41"/>
      <c r="W4540" s="37"/>
      <c r="X4540" s="37"/>
      <c r="Y4540" s="43"/>
      <c r="Z4540" s="37"/>
      <c r="AA4540" s="37"/>
      <c r="AD4540" s="37"/>
      <c r="AE4540" s="37"/>
      <c r="AF4540" s="37"/>
    </row>
    <row r="4541" spans="1:32" x14ac:dyDescent="0.25">
      <c r="A4541" s="37"/>
      <c r="B4541" s="37"/>
      <c r="C4541" s="37"/>
      <c r="F4541" s="38"/>
      <c r="G4541" s="38"/>
      <c r="H4541" s="38"/>
      <c r="I4541" s="37"/>
      <c r="J4541" s="38"/>
      <c r="K4541" s="38"/>
      <c r="L4541" s="42"/>
      <c r="M4541" s="42"/>
      <c r="N4541" s="42"/>
      <c r="O4541" s="42"/>
      <c r="R4541" s="37"/>
      <c r="S4541" s="37"/>
      <c r="T4541" s="91"/>
      <c r="U4541" s="91"/>
      <c r="V4541" s="41"/>
      <c r="W4541" s="37"/>
      <c r="X4541" s="37"/>
      <c r="Y4541" s="43"/>
      <c r="Z4541" s="37"/>
      <c r="AA4541" s="37"/>
      <c r="AD4541" s="37"/>
      <c r="AE4541" s="37"/>
      <c r="AF4541" s="37"/>
    </row>
    <row r="4542" spans="1:32" x14ac:dyDescent="0.25">
      <c r="A4542" s="37"/>
      <c r="B4542" s="37"/>
      <c r="C4542" s="37"/>
      <c r="F4542" s="38"/>
      <c r="G4542" s="38"/>
      <c r="H4542" s="38"/>
      <c r="I4542" s="37"/>
      <c r="J4542" s="38"/>
      <c r="K4542" s="38"/>
      <c r="L4542" s="42"/>
      <c r="M4542" s="42"/>
      <c r="N4542" s="42"/>
      <c r="O4542" s="42"/>
      <c r="R4542" s="37"/>
      <c r="S4542" s="37"/>
      <c r="T4542" s="91"/>
      <c r="U4542" s="91"/>
      <c r="V4542" s="41"/>
      <c r="W4542" s="37"/>
      <c r="X4542" s="37"/>
      <c r="Y4542" s="43"/>
      <c r="Z4542" s="37"/>
      <c r="AA4542" s="37"/>
      <c r="AD4542" s="37"/>
      <c r="AE4542" s="37"/>
      <c r="AF4542" s="37"/>
    </row>
    <row r="4543" spans="1:32" x14ac:dyDescent="0.25">
      <c r="A4543" s="37"/>
      <c r="B4543" s="37"/>
      <c r="C4543" s="37"/>
      <c r="F4543" s="38"/>
      <c r="G4543" s="38"/>
      <c r="H4543" s="38"/>
      <c r="I4543" s="37"/>
      <c r="J4543" s="38"/>
      <c r="K4543" s="38"/>
      <c r="L4543" s="42"/>
      <c r="M4543" s="42"/>
      <c r="N4543" s="42"/>
      <c r="O4543" s="42"/>
      <c r="R4543" s="37"/>
      <c r="S4543" s="37"/>
      <c r="T4543" s="91"/>
      <c r="U4543" s="91"/>
      <c r="V4543" s="41"/>
      <c r="W4543" s="37"/>
      <c r="X4543" s="37"/>
      <c r="Y4543" s="43"/>
      <c r="Z4543" s="37"/>
      <c r="AA4543" s="37"/>
      <c r="AD4543" s="37"/>
      <c r="AE4543" s="37"/>
      <c r="AF4543" s="37"/>
    </row>
    <row r="4544" spans="1:32" x14ac:dyDescent="0.25">
      <c r="A4544" s="37"/>
      <c r="B4544" s="37"/>
      <c r="C4544" s="37"/>
      <c r="F4544" s="38"/>
      <c r="G4544" s="38"/>
      <c r="H4544" s="38"/>
      <c r="I4544" s="37"/>
      <c r="J4544" s="38"/>
      <c r="K4544" s="38"/>
      <c r="L4544" s="42"/>
      <c r="M4544" s="42"/>
      <c r="N4544" s="42"/>
      <c r="O4544" s="42"/>
      <c r="R4544" s="37"/>
      <c r="S4544" s="37"/>
      <c r="T4544" s="91"/>
      <c r="U4544" s="91"/>
      <c r="V4544" s="41"/>
      <c r="W4544" s="37"/>
      <c r="X4544" s="37"/>
      <c r="Y4544" s="43"/>
      <c r="Z4544" s="37"/>
      <c r="AA4544" s="37"/>
      <c r="AD4544" s="37"/>
      <c r="AE4544" s="37"/>
      <c r="AF4544" s="37"/>
    </row>
    <row r="4545" spans="1:32" x14ac:dyDescent="0.25">
      <c r="A4545" s="37"/>
      <c r="B4545" s="37"/>
      <c r="C4545" s="37"/>
      <c r="F4545" s="38"/>
      <c r="G4545" s="38"/>
      <c r="H4545" s="38"/>
      <c r="I4545" s="37"/>
      <c r="J4545" s="38"/>
      <c r="K4545" s="38"/>
      <c r="L4545" s="42"/>
      <c r="M4545" s="42"/>
      <c r="N4545" s="42"/>
      <c r="O4545" s="42"/>
      <c r="R4545" s="37"/>
      <c r="S4545" s="37"/>
      <c r="T4545" s="91"/>
      <c r="U4545" s="91"/>
      <c r="V4545" s="41"/>
      <c r="W4545" s="37"/>
      <c r="X4545" s="37"/>
      <c r="Y4545" s="43"/>
      <c r="Z4545" s="37"/>
      <c r="AA4545" s="37"/>
      <c r="AD4545" s="37"/>
      <c r="AE4545" s="37"/>
      <c r="AF4545" s="37"/>
    </row>
    <row r="4546" spans="1:32" x14ac:dyDescent="0.25">
      <c r="A4546" s="37"/>
      <c r="B4546" s="37"/>
      <c r="C4546" s="37"/>
      <c r="F4546" s="38"/>
      <c r="G4546" s="38"/>
      <c r="H4546" s="38"/>
      <c r="I4546" s="37"/>
      <c r="J4546" s="38"/>
      <c r="K4546" s="38"/>
      <c r="L4546" s="42"/>
      <c r="M4546" s="42"/>
      <c r="N4546" s="42"/>
      <c r="O4546" s="42"/>
      <c r="R4546" s="37"/>
      <c r="S4546" s="37"/>
      <c r="T4546" s="91"/>
      <c r="U4546" s="91"/>
      <c r="V4546" s="41"/>
      <c r="W4546" s="37"/>
      <c r="X4546" s="37"/>
      <c r="Y4546" s="43"/>
      <c r="Z4546" s="37"/>
      <c r="AA4546" s="37"/>
      <c r="AD4546" s="37"/>
      <c r="AE4546" s="37"/>
      <c r="AF4546" s="37"/>
    </row>
    <row r="4547" spans="1:32" x14ac:dyDescent="0.25">
      <c r="A4547" s="37"/>
      <c r="B4547" s="37"/>
      <c r="C4547" s="37"/>
      <c r="F4547" s="38"/>
      <c r="G4547" s="38"/>
      <c r="H4547" s="38"/>
      <c r="I4547" s="37"/>
      <c r="J4547" s="38"/>
      <c r="K4547" s="38"/>
      <c r="L4547" s="42"/>
      <c r="M4547" s="42"/>
      <c r="N4547" s="42"/>
      <c r="O4547" s="42"/>
      <c r="R4547" s="37"/>
      <c r="S4547" s="37"/>
      <c r="T4547" s="91"/>
      <c r="U4547" s="91"/>
      <c r="V4547" s="41"/>
      <c r="W4547" s="37"/>
      <c r="X4547" s="37"/>
      <c r="Y4547" s="43"/>
      <c r="Z4547" s="37"/>
      <c r="AA4547" s="37"/>
      <c r="AD4547" s="37"/>
      <c r="AE4547" s="37"/>
      <c r="AF4547" s="37"/>
    </row>
    <row r="4548" spans="1:32" x14ac:dyDescent="0.25">
      <c r="A4548" s="37"/>
      <c r="B4548" s="37"/>
      <c r="C4548" s="37"/>
      <c r="F4548" s="38"/>
      <c r="G4548" s="38"/>
      <c r="H4548" s="38"/>
      <c r="I4548" s="37"/>
      <c r="J4548" s="38"/>
      <c r="K4548" s="38"/>
      <c r="L4548" s="42"/>
      <c r="M4548" s="42"/>
      <c r="N4548" s="42"/>
      <c r="O4548" s="42"/>
      <c r="R4548" s="37"/>
      <c r="S4548" s="37"/>
      <c r="T4548" s="91"/>
      <c r="U4548" s="91"/>
      <c r="V4548" s="41"/>
      <c r="W4548" s="37"/>
      <c r="X4548" s="37"/>
      <c r="Y4548" s="43"/>
      <c r="Z4548" s="37"/>
      <c r="AA4548" s="37"/>
      <c r="AD4548" s="37"/>
      <c r="AE4548" s="37"/>
      <c r="AF4548" s="37"/>
    </row>
    <row r="4549" spans="1:32" x14ac:dyDescent="0.25">
      <c r="A4549" s="37"/>
      <c r="B4549" s="37"/>
      <c r="C4549" s="37"/>
      <c r="F4549" s="38"/>
      <c r="G4549" s="38"/>
      <c r="H4549" s="38"/>
      <c r="I4549" s="37"/>
      <c r="J4549" s="38"/>
      <c r="K4549" s="38"/>
      <c r="L4549" s="42"/>
      <c r="M4549" s="42"/>
      <c r="N4549" s="42"/>
      <c r="O4549" s="42"/>
      <c r="R4549" s="37"/>
      <c r="S4549" s="37"/>
      <c r="T4549" s="91"/>
      <c r="U4549" s="91"/>
      <c r="V4549" s="41"/>
      <c r="W4549" s="37"/>
      <c r="X4549" s="37"/>
      <c r="Y4549" s="43"/>
      <c r="Z4549" s="37"/>
      <c r="AA4549" s="37"/>
      <c r="AD4549" s="37"/>
      <c r="AE4549" s="37"/>
      <c r="AF4549" s="37"/>
    </row>
    <row r="4550" spans="1:32" x14ac:dyDescent="0.25">
      <c r="A4550" s="37"/>
      <c r="B4550" s="37"/>
      <c r="C4550" s="37"/>
      <c r="F4550" s="38"/>
      <c r="G4550" s="38"/>
      <c r="H4550" s="38"/>
      <c r="I4550" s="37"/>
      <c r="J4550" s="38"/>
      <c r="K4550" s="38"/>
      <c r="L4550" s="42"/>
      <c r="M4550" s="42"/>
      <c r="N4550" s="42"/>
      <c r="O4550" s="42"/>
      <c r="R4550" s="37"/>
      <c r="S4550" s="37"/>
      <c r="T4550" s="91"/>
      <c r="U4550" s="91"/>
      <c r="V4550" s="41"/>
      <c r="W4550" s="37"/>
      <c r="X4550" s="37"/>
      <c r="Y4550" s="43"/>
      <c r="Z4550" s="37"/>
      <c r="AA4550" s="37"/>
      <c r="AD4550" s="37"/>
      <c r="AE4550" s="37"/>
      <c r="AF4550" s="37"/>
    </row>
    <row r="4551" spans="1:32" x14ac:dyDescent="0.25">
      <c r="A4551" s="37"/>
      <c r="B4551" s="37"/>
      <c r="C4551" s="37"/>
      <c r="F4551" s="38"/>
      <c r="G4551" s="38"/>
      <c r="H4551" s="38"/>
      <c r="I4551" s="37"/>
      <c r="J4551" s="38"/>
      <c r="K4551" s="38"/>
      <c r="L4551" s="42"/>
      <c r="M4551" s="42"/>
      <c r="N4551" s="42"/>
      <c r="O4551" s="42"/>
      <c r="R4551" s="37"/>
      <c r="S4551" s="37"/>
      <c r="T4551" s="91"/>
      <c r="U4551" s="91"/>
      <c r="V4551" s="41"/>
      <c r="W4551" s="37"/>
      <c r="X4551" s="37"/>
      <c r="Y4551" s="43"/>
      <c r="Z4551" s="37"/>
      <c r="AA4551" s="37"/>
      <c r="AD4551" s="37"/>
      <c r="AE4551" s="37"/>
      <c r="AF4551" s="37"/>
    </row>
    <row r="4552" spans="1:32" x14ac:dyDescent="0.25">
      <c r="A4552" s="37"/>
      <c r="B4552" s="37"/>
      <c r="C4552" s="37"/>
      <c r="F4552" s="38"/>
      <c r="G4552" s="38"/>
      <c r="H4552" s="38"/>
      <c r="I4552" s="37"/>
      <c r="J4552" s="38"/>
      <c r="K4552" s="38"/>
      <c r="L4552" s="42"/>
      <c r="M4552" s="42"/>
      <c r="N4552" s="42"/>
      <c r="O4552" s="42"/>
      <c r="R4552" s="37"/>
      <c r="S4552" s="37"/>
      <c r="T4552" s="91"/>
      <c r="U4552" s="91"/>
      <c r="V4552" s="41"/>
      <c r="W4552" s="37"/>
      <c r="X4552" s="37"/>
      <c r="Y4552" s="43"/>
      <c r="Z4552" s="37"/>
      <c r="AA4552" s="37"/>
      <c r="AD4552" s="37"/>
      <c r="AE4552" s="37"/>
      <c r="AF4552" s="37"/>
    </row>
    <row r="4553" spans="1:32" x14ac:dyDescent="0.25">
      <c r="A4553" s="37"/>
      <c r="B4553" s="37"/>
      <c r="C4553" s="37"/>
      <c r="F4553" s="38"/>
      <c r="G4553" s="38"/>
      <c r="H4553" s="38"/>
      <c r="I4553" s="37"/>
      <c r="J4553" s="38"/>
      <c r="K4553" s="38"/>
      <c r="L4553" s="42"/>
      <c r="M4553" s="42"/>
      <c r="N4553" s="42"/>
      <c r="O4553" s="42"/>
      <c r="R4553" s="37"/>
      <c r="S4553" s="37"/>
      <c r="T4553" s="91"/>
      <c r="U4553" s="91"/>
      <c r="V4553" s="41"/>
      <c r="W4553" s="37"/>
      <c r="X4553" s="37"/>
      <c r="Y4553" s="43"/>
      <c r="Z4553" s="37"/>
      <c r="AA4553" s="37"/>
      <c r="AD4553" s="37"/>
      <c r="AE4553" s="37"/>
      <c r="AF4553" s="37"/>
    </row>
    <row r="4554" spans="1:32" x14ac:dyDescent="0.25">
      <c r="A4554" s="37"/>
      <c r="B4554" s="37"/>
      <c r="C4554" s="37"/>
      <c r="F4554" s="38"/>
      <c r="G4554" s="38"/>
      <c r="H4554" s="38"/>
      <c r="I4554" s="37"/>
      <c r="J4554" s="38"/>
      <c r="K4554" s="38"/>
      <c r="L4554" s="42"/>
      <c r="M4554" s="42"/>
      <c r="N4554" s="42"/>
      <c r="O4554" s="42"/>
      <c r="R4554" s="37"/>
      <c r="S4554" s="37"/>
      <c r="T4554" s="91"/>
      <c r="U4554" s="91"/>
      <c r="V4554" s="41"/>
      <c r="W4554" s="37"/>
      <c r="X4554" s="37"/>
      <c r="Y4554" s="43"/>
      <c r="Z4554" s="37"/>
      <c r="AA4554" s="37"/>
      <c r="AD4554" s="37"/>
      <c r="AE4554" s="37"/>
      <c r="AF4554" s="37"/>
    </row>
    <row r="4555" spans="1:32" x14ac:dyDescent="0.25">
      <c r="A4555" s="37"/>
      <c r="B4555" s="37"/>
      <c r="C4555" s="37"/>
      <c r="F4555" s="38"/>
      <c r="G4555" s="38"/>
      <c r="H4555" s="38"/>
      <c r="I4555" s="37"/>
      <c r="J4555" s="38"/>
      <c r="K4555" s="38"/>
      <c r="L4555" s="42"/>
      <c r="M4555" s="42"/>
      <c r="N4555" s="42"/>
      <c r="O4555" s="42"/>
      <c r="R4555" s="37"/>
      <c r="S4555" s="37"/>
      <c r="T4555" s="91"/>
      <c r="U4555" s="91"/>
      <c r="V4555" s="41"/>
      <c r="W4555" s="37"/>
      <c r="X4555" s="37"/>
      <c r="Y4555" s="43"/>
      <c r="Z4555" s="37"/>
      <c r="AA4555" s="37"/>
      <c r="AD4555" s="37"/>
      <c r="AE4555" s="37"/>
      <c r="AF4555" s="37"/>
    </row>
    <row r="4556" spans="1:32" x14ac:dyDescent="0.25">
      <c r="A4556" s="37"/>
      <c r="B4556" s="37"/>
      <c r="C4556" s="37"/>
      <c r="F4556" s="38"/>
      <c r="G4556" s="38"/>
      <c r="H4556" s="38"/>
      <c r="I4556" s="37"/>
      <c r="J4556" s="38"/>
      <c r="K4556" s="38"/>
      <c r="L4556" s="42"/>
      <c r="M4556" s="42"/>
      <c r="N4556" s="42"/>
      <c r="O4556" s="42"/>
      <c r="R4556" s="37"/>
      <c r="S4556" s="37"/>
      <c r="T4556" s="91"/>
      <c r="U4556" s="91"/>
      <c r="V4556" s="41"/>
      <c r="W4556" s="37"/>
      <c r="X4556" s="37"/>
      <c r="Y4556" s="43"/>
      <c r="Z4556" s="37"/>
      <c r="AA4556" s="37"/>
      <c r="AD4556" s="37"/>
      <c r="AE4556" s="37"/>
      <c r="AF4556" s="37"/>
    </row>
    <row r="4557" spans="1:32" x14ac:dyDescent="0.25">
      <c r="A4557" s="37"/>
      <c r="B4557" s="37"/>
      <c r="C4557" s="37"/>
      <c r="F4557" s="38"/>
      <c r="G4557" s="38"/>
      <c r="H4557" s="38"/>
      <c r="I4557" s="37"/>
      <c r="J4557" s="38"/>
      <c r="K4557" s="38"/>
      <c r="L4557" s="42"/>
      <c r="M4557" s="42"/>
      <c r="N4557" s="42"/>
      <c r="O4557" s="42"/>
      <c r="R4557" s="37"/>
      <c r="S4557" s="37"/>
      <c r="T4557" s="91"/>
      <c r="U4557" s="91"/>
      <c r="V4557" s="41"/>
      <c r="W4557" s="37"/>
      <c r="X4557" s="37"/>
      <c r="Y4557" s="43"/>
      <c r="Z4557" s="37"/>
      <c r="AA4557" s="37"/>
      <c r="AD4557" s="37"/>
      <c r="AE4557" s="37"/>
      <c r="AF4557" s="37"/>
    </row>
    <row r="4558" spans="1:32" x14ac:dyDescent="0.25">
      <c r="A4558" s="37"/>
      <c r="B4558" s="37"/>
      <c r="C4558" s="37"/>
      <c r="F4558" s="38"/>
      <c r="G4558" s="38"/>
      <c r="H4558" s="38"/>
      <c r="I4558" s="37"/>
      <c r="J4558" s="38"/>
      <c r="K4558" s="38"/>
      <c r="L4558" s="42"/>
      <c r="M4558" s="42"/>
      <c r="N4558" s="42"/>
      <c r="O4558" s="42"/>
      <c r="R4558" s="37"/>
      <c r="S4558" s="37"/>
      <c r="T4558" s="91"/>
      <c r="U4558" s="91"/>
      <c r="V4558" s="41"/>
      <c r="W4558" s="37"/>
      <c r="X4558" s="37"/>
      <c r="Y4558" s="43"/>
      <c r="Z4558" s="37"/>
      <c r="AA4558" s="37"/>
      <c r="AD4558" s="37"/>
      <c r="AE4558" s="37"/>
      <c r="AF4558" s="37"/>
    </row>
    <row r="4559" spans="1:32" x14ac:dyDescent="0.25">
      <c r="A4559" s="37"/>
      <c r="B4559" s="37"/>
      <c r="C4559" s="37"/>
      <c r="F4559" s="38"/>
      <c r="G4559" s="38"/>
      <c r="H4559" s="38"/>
      <c r="I4559" s="37"/>
      <c r="J4559" s="38"/>
      <c r="K4559" s="38"/>
      <c r="L4559" s="42"/>
      <c r="M4559" s="42"/>
      <c r="N4559" s="42"/>
      <c r="O4559" s="42"/>
      <c r="R4559" s="37"/>
      <c r="S4559" s="37"/>
      <c r="T4559" s="91"/>
      <c r="U4559" s="91"/>
      <c r="V4559" s="41"/>
      <c r="W4559" s="37"/>
      <c r="X4559" s="37"/>
      <c r="Y4559" s="43"/>
      <c r="Z4559" s="37"/>
      <c r="AA4559" s="37"/>
      <c r="AD4559" s="37"/>
      <c r="AE4559" s="37"/>
      <c r="AF4559" s="37"/>
    </row>
    <row r="4560" spans="1:32" x14ac:dyDescent="0.25">
      <c r="A4560" s="37"/>
      <c r="B4560" s="37"/>
      <c r="C4560" s="37"/>
      <c r="F4560" s="38"/>
      <c r="G4560" s="38"/>
      <c r="H4560" s="38"/>
      <c r="I4560" s="37"/>
      <c r="J4560" s="38"/>
      <c r="K4560" s="38"/>
      <c r="L4560" s="42"/>
      <c r="M4560" s="42"/>
      <c r="N4560" s="42"/>
      <c r="O4560" s="42"/>
      <c r="R4560" s="37"/>
      <c r="S4560" s="37"/>
      <c r="T4560" s="91"/>
      <c r="U4560" s="91"/>
      <c r="V4560" s="41"/>
      <c r="W4560" s="37"/>
      <c r="X4560" s="37"/>
      <c r="Y4560" s="43"/>
      <c r="Z4560" s="37"/>
      <c r="AA4560" s="37"/>
      <c r="AD4560" s="37"/>
      <c r="AE4560" s="37"/>
      <c r="AF4560" s="37"/>
    </row>
    <row r="4561" spans="1:32" x14ac:dyDescent="0.25">
      <c r="A4561" s="37"/>
      <c r="B4561" s="37"/>
      <c r="C4561" s="37"/>
      <c r="F4561" s="38"/>
      <c r="G4561" s="38"/>
      <c r="H4561" s="38"/>
      <c r="I4561" s="37"/>
      <c r="J4561" s="38"/>
      <c r="K4561" s="38"/>
      <c r="L4561" s="42"/>
      <c r="M4561" s="42"/>
      <c r="N4561" s="42"/>
      <c r="O4561" s="42"/>
      <c r="R4561" s="37"/>
      <c r="S4561" s="37"/>
      <c r="T4561" s="91"/>
      <c r="U4561" s="91"/>
      <c r="V4561" s="41"/>
      <c r="W4561" s="37"/>
      <c r="X4561" s="37"/>
      <c r="Y4561" s="43"/>
      <c r="Z4561" s="37"/>
      <c r="AA4561" s="37"/>
      <c r="AD4561" s="37"/>
      <c r="AE4561" s="37"/>
      <c r="AF4561" s="37"/>
    </row>
    <row r="4562" spans="1:32" x14ac:dyDescent="0.25">
      <c r="A4562" s="37"/>
      <c r="B4562" s="37"/>
      <c r="C4562" s="37"/>
      <c r="F4562" s="38"/>
      <c r="G4562" s="38"/>
      <c r="H4562" s="38"/>
      <c r="I4562" s="37"/>
      <c r="J4562" s="38"/>
      <c r="K4562" s="38"/>
      <c r="L4562" s="42"/>
      <c r="M4562" s="42"/>
      <c r="N4562" s="42"/>
      <c r="O4562" s="42"/>
      <c r="R4562" s="37"/>
      <c r="S4562" s="37"/>
      <c r="T4562" s="91"/>
      <c r="U4562" s="91"/>
      <c r="V4562" s="41"/>
      <c r="W4562" s="37"/>
      <c r="X4562" s="37"/>
      <c r="Y4562" s="43"/>
      <c r="Z4562" s="37"/>
      <c r="AA4562" s="37"/>
      <c r="AD4562" s="37"/>
      <c r="AE4562" s="37"/>
      <c r="AF4562" s="37"/>
    </row>
    <row r="4563" spans="1:32" x14ac:dyDescent="0.25">
      <c r="A4563" s="37"/>
      <c r="B4563" s="37"/>
      <c r="C4563" s="37"/>
      <c r="F4563" s="38"/>
      <c r="G4563" s="38"/>
      <c r="H4563" s="38"/>
      <c r="I4563" s="37"/>
      <c r="J4563" s="38"/>
      <c r="K4563" s="38"/>
      <c r="L4563" s="42"/>
      <c r="M4563" s="42"/>
      <c r="N4563" s="42"/>
      <c r="O4563" s="42"/>
      <c r="R4563" s="37"/>
      <c r="S4563" s="37"/>
      <c r="T4563" s="91"/>
      <c r="U4563" s="91"/>
      <c r="V4563" s="41"/>
      <c r="W4563" s="37"/>
      <c r="X4563" s="37"/>
      <c r="Y4563" s="43"/>
      <c r="Z4563" s="37"/>
      <c r="AA4563" s="37"/>
      <c r="AD4563" s="37"/>
      <c r="AE4563" s="37"/>
      <c r="AF4563" s="37"/>
    </row>
    <row r="4564" spans="1:32" x14ac:dyDescent="0.25">
      <c r="A4564" s="37"/>
      <c r="B4564" s="37"/>
      <c r="C4564" s="37"/>
      <c r="F4564" s="38"/>
      <c r="G4564" s="38"/>
      <c r="H4564" s="38"/>
      <c r="I4564" s="37"/>
      <c r="J4564" s="38"/>
      <c r="K4564" s="38"/>
      <c r="L4564" s="42"/>
      <c r="M4564" s="42"/>
      <c r="N4564" s="42"/>
      <c r="O4564" s="42"/>
      <c r="R4564" s="37"/>
      <c r="S4564" s="37"/>
      <c r="T4564" s="91"/>
      <c r="U4564" s="91"/>
      <c r="V4564" s="41"/>
      <c r="W4564" s="37"/>
      <c r="X4564" s="37"/>
      <c r="Y4564" s="43"/>
      <c r="Z4564" s="37"/>
      <c r="AA4564" s="37"/>
      <c r="AD4564" s="37"/>
      <c r="AE4564" s="37"/>
      <c r="AF4564" s="37"/>
    </row>
    <row r="4565" spans="1:32" x14ac:dyDescent="0.25">
      <c r="A4565" s="37"/>
      <c r="B4565" s="37"/>
      <c r="C4565" s="37"/>
      <c r="F4565" s="38"/>
      <c r="G4565" s="38"/>
      <c r="H4565" s="38"/>
      <c r="I4565" s="37"/>
      <c r="J4565" s="38"/>
      <c r="K4565" s="38"/>
      <c r="L4565" s="42"/>
      <c r="M4565" s="42"/>
      <c r="N4565" s="42"/>
      <c r="O4565" s="42"/>
      <c r="R4565" s="37"/>
      <c r="S4565" s="37"/>
      <c r="T4565" s="91"/>
      <c r="U4565" s="91"/>
      <c r="V4565" s="41"/>
      <c r="W4565" s="37"/>
      <c r="X4565" s="37"/>
      <c r="Y4565" s="43"/>
      <c r="Z4565" s="37"/>
      <c r="AA4565" s="37"/>
      <c r="AD4565" s="37"/>
      <c r="AE4565" s="37"/>
      <c r="AF4565" s="37"/>
    </row>
    <row r="4566" spans="1:32" x14ac:dyDescent="0.25">
      <c r="A4566" s="37"/>
      <c r="B4566" s="37"/>
      <c r="C4566" s="37"/>
      <c r="F4566" s="38"/>
      <c r="G4566" s="38"/>
      <c r="H4566" s="38"/>
      <c r="I4566" s="37"/>
      <c r="J4566" s="38"/>
      <c r="K4566" s="38"/>
      <c r="L4566" s="42"/>
      <c r="M4566" s="42"/>
      <c r="N4566" s="42"/>
      <c r="O4566" s="42"/>
      <c r="R4566" s="37"/>
      <c r="S4566" s="37"/>
      <c r="T4566" s="91"/>
      <c r="U4566" s="91"/>
      <c r="V4566" s="41"/>
      <c r="W4566" s="37"/>
      <c r="X4566" s="37"/>
      <c r="Y4566" s="43"/>
      <c r="Z4566" s="37"/>
      <c r="AA4566" s="37"/>
      <c r="AD4566" s="37"/>
      <c r="AE4566" s="37"/>
      <c r="AF4566" s="37"/>
    </row>
    <row r="4567" spans="1:32" x14ac:dyDescent="0.25">
      <c r="A4567" s="37"/>
      <c r="B4567" s="37"/>
      <c r="C4567" s="37"/>
      <c r="F4567" s="38"/>
      <c r="G4567" s="38"/>
      <c r="H4567" s="38"/>
      <c r="I4567" s="37"/>
      <c r="J4567" s="38"/>
      <c r="K4567" s="38"/>
      <c r="L4567" s="42"/>
      <c r="M4567" s="42"/>
      <c r="N4567" s="42"/>
      <c r="O4567" s="42"/>
      <c r="R4567" s="37"/>
      <c r="S4567" s="37"/>
      <c r="T4567" s="91"/>
      <c r="U4567" s="91"/>
      <c r="V4567" s="41"/>
      <c r="W4567" s="37"/>
      <c r="X4567" s="37"/>
      <c r="Y4567" s="43"/>
      <c r="Z4567" s="37"/>
      <c r="AA4567" s="37"/>
      <c r="AD4567" s="37"/>
      <c r="AE4567" s="37"/>
      <c r="AF4567" s="37"/>
    </row>
    <row r="4568" spans="1:32" x14ac:dyDescent="0.25">
      <c r="A4568" s="37"/>
      <c r="B4568" s="37"/>
      <c r="C4568" s="37"/>
      <c r="F4568" s="38"/>
      <c r="G4568" s="38"/>
      <c r="H4568" s="38"/>
      <c r="I4568" s="37"/>
      <c r="J4568" s="38"/>
      <c r="K4568" s="38"/>
      <c r="L4568" s="42"/>
      <c r="M4568" s="42"/>
      <c r="N4568" s="42"/>
      <c r="O4568" s="42"/>
      <c r="R4568" s="37"/>
      <c r="S4568" s="37"/>
      <c r="T4568" s="91"/>
      <c r="U4568" s="91"/>
      <c r="V4568" s="41"/>
      <c r="W4568" s="37"/>
      <c r="X4568" s="37"/>
      <c r="Y4568" s="43"/>
      <c r="Z4568" s="37"/>
      <c r="AA4568" s="37"/>
      <c r="AD4568" s="37"/>
      <c r="AE4568" s="37"/>
      <c r="AF4568" s="37"/>
    </row>
    <row r="4569" spans="1:32" x14ac:dyDescent="0.25">
      <c r="A4569" s="37"/>
      <c r="B4569" s="37"/>
      <c r="C4569" s="37"/>
      <c r="F4569" s="38"/>
      <c r="G4569" s="38"/>
      <c r="H4569" s="38"/>
      <c r="I4569" s="37"/>
      <c r="J4569" s="38"/>
      <c r="K4569" s="38"/>
      <c r="L4569" s="42"/>
      <c r="M4569" s="42"/>
      <c r="N4569" s="42"/>
      <c r="O4569" s="42"/>
      <c r="R4569" s="37"/>
      <c r="S4569" s="37"/>
      <c r="T4569" s="91"/>
      <c r="U4569" s="91"/>
      <c r="V4569" s="41"/>
      <c r="W4569" s="37"/>
      <c r="X4569" s="37"/>
      <c r="Y4569" s="43"/>
      <c r="Z4569" s="37"/>
      <c r="AA4569" s="37"/>
      <c r="AD4569" s="37"/>
      <c r="AE4569" s="37"/>
      <c r="AF4569" s="37"/>
    </row>
    <row r="4570" spans="1:32" x14ac:dyDescent="0.25">
      <c r="A4570" s="37"/>
      <c r="B4570" s="37"/>
      <c r="C4570" s="37"/>
      <c r="F4570" s="38"/>
      <c r="G4570" s="38"/>
      <c r="H4570" s="38"/>
      <c r="I4570" s="37"/>
      <c r="J4570" s="38"/>
      <c r="K4570" s="38"/>
      <c r="L4570" s="42"/>
      <c r="M4570" s="42"/>
      <c r="N4570" s="42"/>
      <c r="O4570" s="42"/>
      <c r="R4570" s="37"/>
      <c r="S4570" s="37"/>
      <c r="T4570" s="91"/>
      <c r="U4570" s="91"/>
      <c r="V4570" s="41"/>
      <c r="W4570" s="37"/>
      <c r="X4570" s="37"/>
      <c r="Y4570" s="43"/>
      <c r="Z4570" s="37"/>
      <c r="AA4570" s="37"/>
      <c r="AD4570" s="37"/>
      <c r="AE4570" s="37"/>
      <c r="AF4570" s="37"/>
    </row>
    <row r="4571" spans="1:32" x14ac:dyDescent="0.25">
      <c r="A4571" s="37"/>
      <c r="B4571" s="37"/>
      <c r="C4571" s="37"/>
      <c r="F4571" s="38"/>
      <c r="G4571" s="38"/>
      <c r="H4571" s="38"/>
      <c r="I4571" s="37"/>
      <c r="J4571" s="38"/>
      <c r="K4571" s="38"/>
      <c r="L4571" s="42"/>
      <c r="M4571" s="42"/>
      <c r="N4571" s="42"/>
      <c r="O4571" s="42"/>
      <c r="R4571" s="37"/>
      <c r="S4571" s="37"/>
      <c r="T4571" s="91"/>
      <c r="U4571" s="91"/>
      <c r="V4571" s="41"/>
      <c r="W4571" s="37"/>
      <c r="X4571" s="37"/>
      <c r="Y4571" s="43"/>
      <c r="Z4571" s="37"/>
      <c r="AA4571" s="37"/>
      <c r="AD4571" s="37"/>
      <c r="AE4571" s="37"/>
      <c r="AF4571" s="37"/>
    </row>
    <row r="4572" spans="1:32" x14ac:dyDescent="0.25">
      <c r="A4572" s="37"/>
      <c r="B4572" s="37"/>
      <c r="C4572" s="37"/>
      <c r="F4572" s="38"/>
      <c r="G4572" s="38"/>
      <c r="H4572" s="38"/>
      <c r="I4572" s="37"/>
      <c r="J4572" s="38"/>
      <c r="K4572" s="38"/>
      <c r="L4572" s="42"/>
      <c r="M4572" s="42"/>
      <c r="N4572" s="42"/>
      <c r="O4572" s="42"/>
      <c r="R4572" s="37"/>
      <c r="S4572" s="37"/>
      <c r="T4572" s="91"/>
      <c r="U4572" s="91"/>
      <c r="V4572" s="41"/>
      <c r="W4572" s="37"/>
      <c r="X4572" s="37"/>
      <c r="Y4572" s="43"/>
      <c r="Z4572" s="37"/>
      <c r="AA4572" s="37"/>
      <c r="AD4572" s="37"/>
      <c r="AE4572" s="37"/>
      <c r="AF4572" s="37"/>
    </row>
    <row r="4573" spans="1:32" x14ac:dyDescent="0.25">
      <c r="A4573" s="37"/>
      <c r="B4573" s="37"/>
      <c r="C4573" s="37"/>
      <c r="F4573" s="38"/>
      <c r="G4573" s="38"/>
      <c r="H4573" s="38"/>
      <c r="I4573" s="37"/>
      <c r="J4573" s="38"/>
      <c r="K4573" s="38"/>
      <c r="L4573" s="42"/>
      <c r="M4573" s="42"/>
      <c r="N4573" s="42"/>
      <c r="O4573" s="42"/>
      <c r="R4573" s="37"/>
      <c r="S4573" s="37"/>
      <c r="T4573" s="91"/>
      <c r="U4573" s="91"/>
      <c r="V4573" s="41"/>
      <c r="W4573" s="37"/>
      <c r="X4573" s="37"/>
      <c r="Y4573" s="43"/>
      <c r="Z4573" s="37"/>
      <c r="AA4573" s="37"/>
      <c r="AD4573" s="37"/>
      <c r="AE4573" s="37"/>
      <c r="AF4573" s="37"/>
    </row>
    <row r="4574" spans="1:32" x14ac:dyDescent="0.25">
      <c r="A4574" s="37"/>
      <c r="B4574" s="37"/>
      <c r="C4574" s="37"/>
      <c r="F4574" s="38"/>
      <c r="G4574" s="38"/>
      <c r="H4574" s="38"/>
      <c r="I4574" s="37"/>
      <c r="J4574" s="38"/>
      <c r="K4574" s="38"/>
      <c r="L4574" s="42"/>
      <c r="M4574" s="42"/>
      <c r="N4574" s="42"/>
      <c r="O4574" s="42"/>
      <c r="R4574" s="37"/>
      <c r="S4574" s="37"/>
      <c r="T4574" s="91"/>
      <c r="U4574" s="91"/>
      <c r="V4574" s="41"/>
      <c r="W4574" s="37"/>
      <c r="X4574" s="37"/>
      <c r="Y4574" s="43"/>
      <c r="Z4574" s="37"/>
      <c r="AA4574" s="37"/>
      <c r="AD4574" s="37"/>
      <c r="AE4574" s="37"/>
      <c r="AF4574" s="37"/>
    </row>
    <row r="4575" spans="1:32" x14ac:dyDescent="0.25">
      <c r="A4575" s="37"/>
      <c r="B4575" s="37"/>
      <c r="C4575" s="37"/>
      <c r="F4575" s="38"/>
      <c r="G4575" s="38"/>
      <c r="H4575" s="38"/>
      <c r="I4575" s="37"/>
      <c r="J4575" s="38"/>
      <c r="K4575" s="38"/>
      <c r="L4575" s="42"/>
      <c r="M4575" s="42"/>
      <c r="N4575" s="42"/>
      <c r="O4575" s="42"/>
      <c r="R4575" s="37"/>
      <c r="S4575" s="37"/>
      <c r="T4575" s="91"/>
      <c r="U4575" s="91"/>
      <c r="V4575" s="41"/>
      <c r="W4575" s="37"/>
      <c r="X4575" s="37"/>
      <c r="Y4575" s="43"/>
      <c r="Z4575" s="37"/>
      <c r="AA4575" s="37"/>
      <c r="AD4575" s="37"/>
      <c r="AE4575" s="37"/>
      <c r="AF4575" s="37"/>
    </row>
    <row r="4576" spans="1:32" x14ac:dyDescent="0.25">
      <c r="A4576" s="37"/>
      <c r="B4576" s="37"/>
      <c r="C4576" s="37"/>
      <c r="F4576" s="38"/>
      <c r="G4576" s="38"/>
      <c r="H4576" s="38"/>
      <c r="I4576" s="37"/>
      <c r="J4576" s="38"/>
      <c r="K4576" s="38"/>
      <c r="L4576" s="42"/>
      <c r="M4576" s="42"/>
      <c r="N4576" s="42"/>
      <c r="O4576" s="42"/>
      <c r="R4576" s="37"/>
      <c r="S4576" s="37"/>
      <c r="T4576" s="91"/>
      <c r="U4576" s="91"/>
      <c r="V4576" s="41"/>
      <c r="W4576" s="37"/>
      <c r="X4576" s="37"/>
      <c r="Y4576" s="43"/>
      <c r="Z4576" s="37"/>
      <c r="AA4576" s="37"/>
      <c r="AD4576" s="37"/>
      <c r="AE4576" s="37"/>
      <c r="AF4576" s="37"/>
    </row>
    <row r="4577" spans="1:32" x14ac:dyDescent="0.25">
      <c r="A4577" s="37"/>
      <c r="B4577" s="37"/>
      <c r="C4577" s="37"/>
      <c r="F4577" s="38"/>
      <c r="G4577" s="38"/>
      <c r="H4577" s="38"/>
      <c r="I4577" s="37"/>
      <c r="J4577" s="38"/>
      <c r="K4577" s="38"/>
      <c r="L4577" s="42"/>
      <c r="M4577" s="42"/>
      <c r="N4577" s="42"/>
      <c r="O4577" s="42"/>
      <c r="R4577" s="37"/>
      <c r="S4577" s="37"/>
      <c r="T4577" s="91"/>
      <c r="U4577" s="91"/>
      <c r="V4577" s="41"/>
      <c r="W4577" s="37"/>
      <c r="X4577" s="37"/>
      <c r="Y4577" s="43"/>
      <c r="Z4577" s="37"/>
      <c r="AA4577" s="37"/>
      <c r="AD4577" s="37"/>
      <c r="AE4577" s="37"/>
      <c r="AF4577" s="37"/>
    </row>
    <row r="4578" spans="1:32" x14ac:dyDescent="0.25">
      <c r="A4578" s="37"/>
      <c r="B4578" s="37"/>
      <c r="C4578" s="37"/>
      <c r="F4578" s="38"/>
      <c r="G4578" s="38"/>
      <c r="H4578" s="38"/>
      <c r="I4578" s="37"/>
      <c r="J4578" s="38"/>
      <c r="K4578" s="38"/>
      <c r="L4578" s="42"/>
      <c r="M4578" s="42"/>
      <c r="N4578" s="42"/>
      <c r="O4578" s="42"/>
      <c r="R4578" s="37"/>
      <c r="S4578" s="37"/>
      <c r="T4578" s="91"/>
      <c r="U4578" s="91"/>
      <c r="V4578" s="41"/>
      <c r="W4578" s="37"/>
      <c r="X4578" s="37"/>
      <c r="Y4578" s="43"/>
      <c r="Z4578" s="37"/>
      <c r="AA4578" s="37"/>
      <c r="AD4578" s="37"/>
      <c r="AE4578" s="37"/>
      <c r="AF4578" s="37"/>
    </row>
    <row r="4579" spans="1:32" x14ac:dyDescent="0.25">
      <c r="A4579" s="37"/>
      <c r="B4579" s="37"/>
      <c r="C4579" s="37"/>
      <c r="F4579" s="38"/>
      <c r="G4579" s="38"/>
      <c r="H4579" s="38"/>
      <c r="I4579" s="37"/>
      <c r="J4579" s="38"/>
      <c r="K4579" s="38"/>
      <c r="L4579" s="42"/>
      <c r="M4579" s="42"/>
      <c r="N4579" s="42"/>
      <c r="O4579" s="42"/>
      <c r="R4579" s="37"/>
      <c r="S4579" s="37"/>
      <c r="T4579" s="91"/>
      <c r="U4579" s="91"/>
      <c r="V4579" s="41"/>
      <c r="W4579" s="37"/>
      <c r="X4579" s="37"/>
      <c r="Y4579" s="43"/>
      <c r="Z4579" s="37"/>
      <c r="AA4579" s="37"/>
      <c r="AD4579" s="37"/>
      <c r="AE4579" s="37"/>
      <c r="AF4579" s="37"/>
    </row>
    <row r="4580" spans="1:32" x14ac:dyDescent="0.25">
      <c r="A4580" s="37"/>
      <c r="B4580" s="37"/>
      <c r="C4580" s="37"/>
      <c r="F4580" s="38"/>
      <c r="G4580" s="38"/>
      <c r="H4580" s="38"/>
      <c r="I4580" s="37"/>
      <c r="J4580" s="38"/>
      <c r="K4580" s="38"/>
      <c r="L4580" s="42"/>
      <c r="M4580" s="42"/>
      <c r="N4580" s="42"/>
      <c r="O4580" s="42"/>
      <c r="R4580" s="37"/>
      <c r="S4580" s="37"/>
      <c r="T4580" s="91"/>
      <c r="U4580" s="91"/>
      <c r="V4580" s="41"/>
      <c r="W4580" s="37"/>
      <c r="X4580" s="37"/>
      <c r="Y4580" s="43"/>
      <c r="Z4580" s="37"/>
      <c r="AA4580" s="37"/>
      <c r="AD4580" s="37"/>
      <c r="AE4580" s="37"/>
      <c r="AF4580" s="37"/>
    </row>
    <row r="4581" spans="1:32" x14ac:dyDescent="0.25">
      <c r="A4581" s="37"/>
      <c r="B4581" s="37"/>
      <c r="C4581" s="37"/>
      <c r="F4581" s="38"/>
      <c r="G4581" s="38"/>
      <c r="H4581" s="38"/>
      <c r="I4581" s="37"/>
      <c r="J4581" s="38"/>
      <c r="K4581" s="38"/>
      <c r="L4581" s="42"/>
      <c r="M4581" s="42"/>
      <c r="N4581" s="42"/>
      <c r="O4581" s="42"/>
      <c r="R4581" s="37"/>
      <c r="S4581" s="37"/>
      <c r="T4581" s="91"/>
      <c r="U4581" s="91"/>
      <c r="V4581" s="41"/>
      <c r="W4581" s="37"/>
      <c r="X4581" s="37"/>
      <c r="Y4581" s="43"/>
      <c r="Z4581" s="37"/>
      <c r="AA4581" s="37"/>
      <c r="AD4581" s="37"/>
      <c r="AE4581" s="37"/>
      <c r="AF4581" s="37"/>
    </row>
    <row r="4582" spans="1:32" x14ac:dyDescent="0.25">
      <c r="A4582" s="37"/>
      <c r="B4582" s="37"/>
      <c r="C4582" s="37"/>
      <c r="F4582" s="38"/>
      <c r="G4582" s="38"/>
      <c r="H4582" s="38"/>
      <c r="I4582" s="37"/>
      <c r="J4582" s="38"/>
      <c r="K4582" s="38"/>
      <c r="L4582" s="42"/>
      <c r="M4582" s="42"/>
      <c r="N4582" s="42"/>
      <c r="O4582" s="42"/>
      <c r="R4582" s="37"/>
      <c r="S4582" s="37"/>
      <c r="T4582" s="91"/>
      <c r="U4582" s="91"/>
      <c r="V4582" s="41"/>
      <c r="W4582" s="37"/>
      <c r="X4582" s="37"/>
      <c r="Y4582" s="43"/>
      <c r="Z4582" s="37"/>
      <c r="AA4582" s="37"/>
      <c r="AD4582" s="37"/>
      <c r="AE4582" s="37"/>
      <c r="AF4582" s="37"/>
    </row>
    <row r="4583" spans="1:32" x14ac:dyDescent="0.25">
      <c r="A4583" s="37"/>
      <c r="B4583" s="37"/>
      <c r="C4583" s="37"/>
      <c r="F4583" s="38"/>
      <c r="G4583" s="38"/>
      <c r="H4583" s="38"/>
      <c r="I4583" s="37"/>
      <c r="J4583" s="38"/>
      <c r="K4583" s="38"/>
      <c r="L4583" s="42"/>
      <c r="M4583" s="42"/>
      <c r="N4583" s="42"/>
      <c r="O4583" s="42"/>
      <c r="R4583" s="37"/>
      <c r="S4583" s="37"/>
      <c r="T4583" s="91"/>
      <c r="U4583" s="91"/>
      <c r="V4583" s="41"/>
      <c r="W4583" s="37"/>
      <c r="X4583" s="37"/>
      <c r="Y4583" s="43"/>
      <c r="Z4583" s="37"/>
      <c r="AA4583" s="37"/>
      <c r="AD4583" s="37"/>
      <c r="AE4583" s="37"/>
      <c r="AF4583" s="37"/>
    </row>
    <row r="4584" spans="1:32" x14ac:dyDescent="0.25">
      <c r="A4584" s="37"/>
      <c r="B4584" s="37"/>
      <c r="C4584" s="37"/>
      <c r="F4584" s="38"/>
      <c r="G4584" s="38"/>
      <c r="H4584" s="38"/>
      <c r="I4584" s="37"/>
      <c r="J4584" s="38"/>
      <c r="K4584" s="38"/>
      <c r="L4584" s="42"/>
      <c r="M4584" s="42"/>
      <c r="N4584" s="42"/>
      <c r="O4584" s="42"/>
      <c r="R4584" s="37"/>
      <c r="S4584" s="37"/>
      <c r="T4584" s="91"/>
      <c r="U4584" s="91"/>
      <c r="V4584" s="41"/>
      <c r="W4584" s="37"/>
      <c r="X4584" s="37"/>
      <c r="Y4584" s="43"/>
      <c r="Z4584" s="37"/>
      <c r="AA4584" s="37"/>
      <c r="AD4584" s="37"/>
      <c r="AE4584" s="37"/>
      <c r="AF4584" s="37"/>
    </row>
    <row r="4585" spans="1:32" x14ac:dyDescent="0.25">
      <c r="A4585" s="37"/>
      <c r="B4585" s="37"/>
      <c r="C4585" s="37"/>
      <c r="F4585" s="38"/>
      <c r="G4585" s="38"/>
      <c r="H4585" s="38"/>
      <c r="I4585" s="37"/>
      <c r="J4585" s="38"/>
      <c r="K4585" s="38"/>
      <c r="L4585" s="42"/>
      <c r="M4585" s="42"/>
      <c r="N4585" s="42"/>
      <c r="O4585" s="42"/>
      <c r="R4585" s="37"/>
      <c r="S4585" s="37"/>
      <c r="T4585" s="91"/>
      <c r="U4585" s="91"/>
      <c r="V4585" s="41"/>
      <c r="W4585" s="37"/>
      <c r="X4585" s="37"/>
      <c r="Y4585" s="43"/>
      <c r="Z4585" s="37"/>
      <c r="AA4585" s="37"/>
      <c r="AD4585" s="37"/>
      <c r="AE4585" s="37"/>
      <c r="AF4585" s="37"/>
    </row>
    <row r="4586" spans="1:32" x14ac:dyDescent="0.25">
      <c r="A4586" s="37"/>
      <c r="B4586" s="37"/>
      <c r="C4586" s="37"/>
      <c r="F4586" s="38"/>
      <c r="G4586" s="38"/>
      <c r="H4586" s="38"/>
      <c r="I4586" s="37"/>
      <c r="J4586" s="38"/>
      <c r="K4586" s="38"/>
      <c r="L4586" s="42"/>
      <c r="M4586" s="42"/>
      <c r="N4586" s="42"/>
      <c r="O4586" s="42"/>
      <c r="R4586" s="37"/>
      <c r="S4586" s="37"/>
      <c r="T4586" s="91"/>
      <c r="U4586" s="91"/>
      <c r="V4586" s="41"/>
      <c r="W4586" s="37"/>
      <c r="X4586" s="37"/>
      <c r="Y4586" s="43"/>
      <c r="Z4586" s="37"/>
      <c r="AA4586" s="37"/>
      <c r="AD4586" s="37"/>
      <c r="AE4586" s="37"/>
      <c r="AF4586" s="37"/>
    </row>
    <row r="4587" spans="1:32" x14ac:dyDescent="0.25">
      <c r="A4587" s="37"/>
      <c r="B4587" s="37"/>
      <c r="C4587" s="37"/>
      <c r="F4587" s="38"/>
      <c r="G4587" s="38"/>
      <c r="H4587" s="38"/>
      <c r="I4587" s="37"/>
      <c r="J4587" s="38"/>
      <c r="K4587" s="38"/>
      <c r="L4587" s="42"/>
      <c r="M4587" s="42"/>
      <c r="N4587" s="42"/>
      <c r="O4587" s="42"/>
      <c r="R4587" s="37"/>
      <c r="S4587" s="37"/>
      <c r="T4587" s="91"/>
      <c r="U4587" s="91"/>
      <c r="V4587" s="41"/>
      <c r="W4587" s="37"/>
      <c r="X4587" s="37"/>
      <c r="Y4587" s="43"/>
      <c r="Z4587" s="37"/>
      <c r="AA4587" s="37"/>
      <c r="AD4587" s="37"/>
      <c r="AE4587" s="37"/>
      <c r="AF4587" s="37"/>
    </row>
    <row r="4588" spans="1:32" x14ac:dyDescent="0.25">
      <c r="A4588" s="37"/>
      <c r="B4588" s="37"/>
      <c r="C4588" s="37"/>
      <c r="F4588" s="38"/>
      <c r="G4588" s="38"/>
      <c r="H4588" s="38"/>
      <c r="I4588" s="37"/>
      <c r="J4588" s="38"/>
      <c r="K4588" s="38"/>
      <c r="L4588" s="42"/>
      <c r="M4588" s="42"/>
      <c r="N4588" s="42"/>
      <c r="O4588" s="42"/>
      <c r="R4588" s="37"/>
      <c r="S4588" s="37"/>
      <c r="T4588" s="91"/>
      <c r="U4588" s="91"/>
      <c r="V4588" s="41"/>
      <c r="W4588" s="37"/>
      <c r="X4588" s="37"/>
      <c r="Y4588" s="43"/>
      <c r="Z4588" s="37"/>
      <c r="AA4588" s="37"/>
      <c r="AD4588" s="37"/>
      <c r="AE4588" s="37"/>
      <c r="AF4588" s="37"/>
    </row>
    <row r="4589" spans="1:32" x14ac:dyDescent="0.25">
      <c r="A4589" s="37"/>
      <c r="B4589" s="37"/>
      <c r="C4589" s="37"/>
      <c r="F4589" s="38"/>
      <c r="G4589" s="38"/>
      <c r="H4589" s="38"/>
      <c r="I4589" s="37"/>
      <c r="J4589" s="38"/>
      <c r="K4589" s="38"/>
      <c r="L4589" s="42"/>
      <c r="M4589" s="42"/>
      <c r="N4589" s="42"/>
      <c r="O4589" s="42"/>
      <c r="R4589" s="37"/>
      <c r="S4589" s="37"/>
      <c r="T4589" s="91"/>
      <c r="U4589" s="91"/>
      <c r="V4589" s="41"/>
      <c r="W4589" s="37"/>
      <c r="X4589" s="37"/>
      <c r="Y4589" s="43"/>
      <c r="Z4589" s="37"/>
      <c r="AA4589" s="37"/>
      <c r="AD4589" s="37"/>
      <c r="AE4589" s="37"/>
      <c r="AF4589" s="37"/>
    </row>
    <row r="4590" spans="1:32" x14ac:dyDescent="0.25">
      <c r="A4590" s="37"/>
      <c r="B4590" s="37"/>
      <c r="C4590" s="37"/>
      <c r="F4590" s="38"/>
      <c r="G4590" s="38"/>
      <c r="H4590" s="38"/>
      <c r="I4590" s="37"/>
      <c r="J4590" s="38"/>
      <c r="K4590" s="38"/>
      <c r="L4590" s="42"/>
      <c r="M4590" s="42"/>
      <c r="N4590" s="42"/>
      <c r="O4590" s="42"/>
      <c r="R4590" s="37"/>
      <c r="S4590" s="37"/>
      <c r="T4590" s="91"/>
      <c r="U4590" s="91"/>
      <c r="V4590" s="41"/>
      <c r="W4590" s="37"/>
      <c r="X4590" s="37"/>
      <c r="Y4590" s="43"/>
      <c r="Z4590" s="37"/>
      <c r="AA4590" s="37"/>
      <c r="AD4590" s="37"/>
      <c r="AE4590" s="37"/>
      <c r="AF4590" s="37"/>
    </row>
    <row r="4591" spans="1:32" x14ac:dyDescent="0.25">
      <c r="A4591" s="37"/>
      <c r="B4591" s="37"/>
      <c r="C4591" s="37"/>
      <c r="F4591" s="38"/>
      <c r="G4591" s="38"/>
      <c r="H4591" s="38"/>
      <c r="I4591" s="37"/>
      <c r="J4591" s="38"/>
      <c r="K4591" s="38"/>
      <c r="L4591" s="42"/>
      <c r="M4591" s="42"/>
      <c r="N4591" s="42"/>
      <c r="O4591" s="42"/>
      <c r="R4591" s="37"/>
      <c r="S4591" s="37"/>
      <c r="T4591" s="91"/>
      <c r="U4591" s="91"/>
      <c r="V4591" s="41"/>
      <c r="W4591" s="37"/>
      <c r="X4591" s="37"/>
      <c r="Y4591" s="43"/>
      <c r="Z4591" s="37"/>
      <c r="AA4591" s="37"/>
      <c r="AD4591" s="37"/>
      <c r="AE4591" s="37"/>
      <c r="AF4591" s="37"/>
    </row>
    <row r="4592" spans="1:32" x14ac:dyDescent="0.25">
      <c r="A4592" s="37"/>
      <c r="B4592" s="37"/>
      <c r="C4592" s="37"/>
      <c r="F4592" s="38"/>
      <c r="G4592" s="38"/>
      <c r="H4592" s="38"/>
      <c r="I4592" s="37"/>
      <c r="J4592" s="38"/>
      <c r="K4592" s="38"/>
      <c r="L4592" s="42"/>
      <c r="M4592" s="42"/>
      <c r="N4592" s="42"/>
      <c r="O4592" s="42"/>
      <c r="R4592" s="37"/>
      <c r="S4592" s="37"/>
      <c r="T4592" s="91"/>
      <c r="U4592" s="91"/>
      <c r="V4592" s="41"/>
      <c r="W4592" s="37"/>
      <c r="X4592" s="37"/>
      <c r="Y4592" s="43"/>
      <c r="Z4592" s="37"/>
      <c r="AA4592" s="37"/>
      <c r="AD4592" s="37"/>
      <c r="AE4592" s="37"/>
      <c r="AF4592" s="37"/>
    </row>
    <row r="4593" spans="1:32" x14ac:dyDescent="0.25">
      <c r="A4593" s="37"/>
      <c r="B4593" s="37"/>
      <c r="C4593" s="37"/>
      <c r="F4593" s="38"/>
      <c r="G4593" s="38"/>
      <c r="H4593" s="38"/>
      <c r="I4593" s="37"/>
      <c r="J4593" s="38"/>
      <c r="K4593" s="38"/>
      <c r="L4593" s="42"/>
      <c r="M4593" s="42"/>
      <c r="N4593" s="42"/>
      <c r="O4593" s="42"/>
      <c r="R4593" s="37"/>
      <c r="S4593" s="37"/>
      <c r="T4593" s="91"/>
      <c r="U4593" s="91"/>
      <c r="V4593" s="41"/>
      <c r="W4593" s="37"/>
      <c r="X4593" s="37"/>
      <c r="Y4593" s="43"/>
      <c r="Z4593" s="37"/>
      <c r="AA4593" s="37"/>
      <c r="AD4593" s="37"/>
      <c r="AE4593" s="37"/>
      <c r="AF4593" s="37"/>
    </row>
    <row r="4594" spans="1:32" x14ac:dyDescent="0.25">
      <c r="A4594" s="37"/>
      <c r="B4594" s="37"/>
      <c r="C4594" s="37"/>
      <c r="F4594" s="38"/>
      <c r="G4594" s="38"/>
      <c r="H4594" s="38"/>
      <c r="I4594" s="37"/>
      <c r="J4594" s="38"/>
      <c r="K4594" s="38"/>
      <c r="L4594" s="42"/>
      <c r="M4594" s="42"/>
      <c r="N4594" s="42"/>
      <c r="O4594" s="42"/>
      <c r="R4594" s="37"/>
      <c r="S4594" s="37"/>
      <c r="T4594" s="91"/>
      <c r="U4594" s="91"/>
      <c r="V4594" s="41"/>
      <c r="W4594" s="37"/>
      <c r="X4594" s="37"/>
      <c r="Y4594" s="43"/>
      <c r="Z4594" s="37"/>
      <c r="AA4594" s="37"/>
      <c r="AD4594" s="37"/>
      <c r="AE4594" s="37"/>
      <c r="AF4594" s="37"/>
    </row>
    <row r="4595" spans="1:32" x14ac:dyDescent="0.25">
      <c r="A4595" s="37"/>
      <c r="B4595" s="37"/>
      <c r="C4595" s="37"/>
      <c r="F4595" s="38"/>
      <c r="G4595" s="38"/>
      <c r="H4595" s="38"/>
      <c r="I4595" s="37"/>
      <c r="J4595" s="38"/>
      <c r="K4595" s="38"/>
      <c r="L4595" s="42"/>
      <c r="M4595" s="42"/>
      <c r="N4595" s="42"/>
      <c r="O4595" s="42"/>
      <c r="R4595" s="37"/>
      <c r="S4595" s="37"/>
      <c r="T4595" s="91"/>
      <c r="U4595" s="91"/>
      <c r="V4595" s="41"/>
      <c r="W4595" s="37"/>
      <c r="X4595" s="37"/>
      <c r="Y4595" s="43"/>
      <c r="Z4595" s="37"/>
      <c r="AA4595" s="37"/>
      <c r="AD4595" s="37"/>
      <c r="AE4595" s="37"/>
      <c r="AF4595" s="37"/>
    </row>
    <row r="4596" spans="1:32" x14ac:dyDescent="0.25">
      <c r="A4596" s="37"/>
      <c r="B4596" s="37"/>
      <c r="C4596" s="37"/>
      <c r="F4596" s="38"/>
      <c r="G4596" s="38"/>
      <c r="H4596" s="38"/>
      <c r="I4596" s="37"/>
      <c r="J4596" s="38"/>
      <c r="K4596" s="38"/>
      <c r="L4596" s="42"/>
      <c r="M4596" s="42"/>
      <c r="N4596" s="42"/>
      <c r="O4596" s="42"/>
      <c r="R4596" s="37"/>
      <c r="S4596" s="37"/>
      <c r="T4596" s="91"/>
      <c r="U4596" s="91"/>
      <c r="V4596" s="41"/>
      <c r="W4596" s="37"/>
      <c r="X4596" s="37"/>
      <c r="Y4596" s="43"/>
      <c r="Z4596" s="37"/>
      <c r="AA4596" s="37"/>
      <c r="AD4596" s="37"/>
      <c r="AE4596" s="37"/>
      <c r="AF4596" s="37"/>
    </row>
    <row r="4597" spans="1:32" x14ac:dyDescent="0.25">
      <c r="A4597" s="37"/>
      <c r="B4597" s="37"/>
      <c r="C4597" s="37"/>
      <c r="F4597" s="38"/>
      <c r="G4597" s="38"/>
      <c r="H4597" s="38"/>
      <c r="I4597" s="37"/>
      <c r="J4597" s="38"/>
      <c r="K4597" s="38"/>
      <c r="L4597" s="42"/>
      <c r="M4597" s="42"/>
      <c r="N4597" s="42"/>
      <c r="O4597" s="42"/>
      <c r="R4597" s="37"/>
      <c r="S4597" s="37"/>
      <c r="T4597" s="91"/>
      <c r="U4597" s="91"/>
      <c r="V4597" s="41"/>
      <c r="W4597" s="37"/>
      <c r="X4597" s="37"/>
      <c r="Y4597" s="43"/>
      <c r="Z4597" s="37"/>
      <c r="AA4597" s="37"/>
      <c r="AD4597" s="37"/>
      <c r="AE4597" s="37"/>
      <c r="AF4597" s="37"/>
    </row>
    <row r="4598" spans="1:32" x14ac:dyDescent="0.25">
      <c r="A4598" s="37"/>
      <c r="B4598" s="37"/>
      <c r="C4598" s="37"/>
      <c r="F4598" s="38"/>
      <c r="G4598" s="38"/>
      <c r="H4598" s="38"/>
      <c r="I4598" s="37"/>
      <c r="J4598" s="38"/>
      <c r="K4598" s="38"/>
      <c r="L4598" s="42"/>
      <c r="M4598" s="42"/>
      <c r="N4598" s="42"/>
      <c r="O4598" s="42"/>
      <c r="R4598" s="37"/>
      <c r="S4598" s="37"/>
      <c r="T4598" s="91"/>
      <c r="U4598" s="91"/>
      <c r="V4598" s="41"/>
      <c r="W4598" s="37"/>
      <c r="X4598" s="37"/>
      <c r="Y4598" s="43"/>
      <c r="Z4598" s="37"/>
      <c r="AA4598" s="37"/>
      <c r="AD4598" s="37"/>
      <c r="AE4598" s="37"/>
      <c r="AF4598" s="37"/>
    </row>
    <row r="4599" spans="1:32" x14ac:dyDescent="0.25">
      <c r="A4599" s="37"/>
      <c r="B4599" s="37"/>
      <c r="C4599" s="37"/>
      <c r="F4599" s="38"/>
      <c r="G4599" s="38"/>
      <c r="H4599" s="38"/>
      <c r="I4599" s="37"/>
      <c r="J4599" s="38"/>
      <c r="K4599" s="38"/>
      <c r="L4599" s="42"/>
      <c r="M4599" s="42"/>
      <c r="N4599" s="42"/>
      <c r="O4599" s="42"/>
      <c r="R4599" s="37"/>
      <c r="S4599" s="37"/>
      <c r="T4599" s="91"/>
      <c r="U4599" s="91"/>
      <c r="V4599" s="41"/>
      <c r="W4599" s="37"/>
      <c r="X4599" s="37"/>
      <c r="Y4599" s="43"/>
      <c r="Z4599" s="37"/>
      <c r="AA4599" s="37"/>
      <c r="AD4599" s="37"/>
      <c r="AE4599" s="37"/>
      <c r="AF4599" s="37"/>
    </row>
    <row r="4600" spans="1:32" x14ac:dyDescent="0.25">
      <c r="A4600" s="37"/>
      <c r="B4600" s="37"/>
      <c r="C4600" s="37"/>
      <c r="F4600" s="38"/>
      <c r="G4600" s="38"/>
      <c r="H4600" s="38"/>
      <c r="I4600" s="37"/>
      <c r="J4600" s="38"/>
      <c r="K4600" s="38"/>
      <c r="L4600" s="42"/>
      <c r="M4600" s="42"/>
      <c r="N4600" s="42"/>
      <c r="O4600" s="42"/>
      <c r="R4600" s="37"/>
      <c r="S4600" s="37"/>
      <c r="T4600" s="91"/>
      <c r="U4600" s="91"/>
      <c r="V4600" s="41"/>
      <c r="W4600" s="37"/>
      <c r="X4600" s="37"/>
      <c r="Y4600" s="43"/>
      <c r="Z4600" s="37"/>
      <c r="AA4600" s="37"/>
      <c r="AD4600" s="37"/>
      <c r="AE4600" s="37"/>
      <c r="AF4600" s="37"/>
    </row>
    <row r="4601" spans="1:32" x14ac:dyDescent="0.25">
      <c r="A4601" s="37"/>
      <c r="B4601" s="37"/>
      <c r="C4601" s="37"/>
      <c r="F4601" s="38"/>
      <c r="G4601" s="38"/>
      <c r="H4601" s="38"/>
      <c r="I4601" s="37"/>
      <c r="J4601" s="38"/>
      <c r="K4601" s="38"/>
      <c r="L4601" s="42"/>
      <c r="M4601" s="42"/>
      <c r="N4601" s="42"/>
      <c r="O4601" s="42"/>
      <c r="R4601" s="37"/>
      <c r="S4601" s="37"/>
      <c r="T4601" s="91"/>
      <c r="U4601" s="91"/>
      <c r="V4601" s="41"/>
      <c r="W4601" s="37"/>
      <c r="X4601" s="37"/>
      <c r="Y4601" s="43"/>
      <c r="Z4601" s="37"/>
      <c r="AA4601" s="37"/>
      <c r="AD4601" s="37"/>
      <c r="AE4601" s="37"/>
      <c r="AF4601" s="37"/>
    </row>
    <row r="4602" spans="1:32" x14ac:dyDescent="0.25">
      <c r="A4602" s="37"/>
      <c r="B4602" s="37"/>
      <c r="C4602" s="37"/>
      <c r="F4602" s="38"/>
      <c r="G4602" s="38"/>
      <c r="H4602" s="38"/>
      <c r="I4602" s="37"/>
      <c r="J4602" s="38"/>
      <c r="K4602" s="38"/>
      <c r="L4602" s="42"/>
      <c r="M4602" s="42"/>
      <c r="N4602" s="42"/>
      <c r="O4602" s="42"/>
      <c r="R4602" s="37"/>
      <c r="S4602" s="37"/>
      <c r="T4602" s="91"/>
      <c r="U4602" s="91"/>
      <c r="V4602" s="41"/>
      <c r="W4602" s="37"/>
      <c r="X4602" s="37"/>
      <c r="Y4602" s="43"/>
      <c r="Z4602" s="37"/>
      <c r="AA4602" s="37"/>
      <c r="AD4602" s="37"/>
      <c r="AE4602" s="37"/>
      <c r="AF4602" s="37"/>
    </row>
    <row r="4603" spans="1:32" x14ac:dyDescent="0.25">
      <c r="A4603" s="37"/>
      <c r="B4603" s="37"/>
      <c r="C4603" s="37"/>
      <c r="F4603" s="38"/>
      <c r="G4603" s="38"/>
      <c r="H4603" s="38"/>
      <c r="I4603" s="37"/>
      <c r="J4603" s="38"/>
      <c r="K4603" s="38"/>
      <c r="L4603" s="42"/>
      <c r="M4603" s="42"/>
      <c r="N4603" s="42"/>
      <c r="O4603" s="42"/>
      <c r="R4603" s="37"/>
      <c r="S4603" s="37"/>
      <c r="T4603" s="91"/>
      <c r="U4603" s="91"/>
      <c r="V4603" s="41"/>
      <c r="W4603" s="37"/>
      <c r="X4603" s="37"/>
      <c r="Y4603" s="43"/>
      <c r="Z4603" s="37"/>
      <c r="AA4603" s="37"/>
      <c r="AD4603" s="37"/>
      <c r="AE4603" s="37"/>
      <c r="AF4603" s="37"/>
    </row>
    <row r="4604" spans="1:32" x14ac:dyDescent="0.25">
      <c r="A4604" s="37"/>
      <c r="B4604" s="37"/>
      <c r="C4604" s="37"/>
      <c r="F4604" s="38"/>
      <c r="G4604" s="38"/>
      <c r="H4604" s="38"/>
      <c r="I4604" s="37"/>
      <c r="J4604" s="38"/>
      <c r="K4604" s="38"/>
      <c r="L4604" s="42"/>
      <c r="M4604" s="42"/>
      <c r="N4604" s="42"/>
      <c r="O4604" s="42"/>
      <c r="R4604" s="37"/>
      <c r="S4604" s="37"/>
      <c r="T4604" s="91"/>
      <c r="U4604" s="91"/>
      <c r="V4604" s="41"/>
      <c r="W4604" s="37"/>
      <c r="X4604" s="37"/>
      <c r="Y4604" s="43"/>
      <c r="Z4604" s="37"/>
      <c r="AA4604" s="37"/>
      <c r="AD4604" s="37"/>
      <c r="AE4604" s="37"/>
      <c r="AF4604" s="37"/>
    </row>
    <row r="4605" spans="1:32" x14ac:dyDescent="0.25">
      <c r="A4605" s="37"/>
      <c r="B4605" s="37"/>
      <c r="C4605" s="37"/>
      <c r="F4605" s="38"/>
      <c r="G4605" s="38"/>
      <c r="H4605" s="38"/>
      <c r="I4605" s="37"/>
      <c r="J4605" s="38"/>
      <c r="K4605" s="38"/>
      <c r="L4605" s="42"/>
      <c r="M4605" s="42"/>
      <c r="N4605" s="42"/>
      <c r="O4605" s="42"/>
      <c r="R4605" s="37"/>
      <c r="S4605" s="37"/>
      <c r="T4605" s="91"/>
      <c r="U4605" s="91"/>
      <c r="V4605" s="41"/>
      <c r="W4605" s="37"/>
      <c r="X4605" s="37"/>
      <c r="Y4605" s="43"/>
      <c r="Z4605" s="37"/>
      <c r="AA4605" s="37"/>
      <c r="AD4605" s="37"/>
      <c r="AE4605" s="37"/>
      <c r="AF4605" s="37"/>
    </row>
    <row r="4606" spans="1:32" x14ac:dyDescent="0.25">
      <c r="A4606" s="37"/>
      <c r="B4606" s="37"/>
      <c r="C4606" s="37"/>
      <c r="F4606" s="38"/>
      <c r="G4606" s="38"/>
      <c r="H4606" s="38"/>
      <c r="I4606" s="37"/>
      <c r="J4606" s="38"/>
      <c r="K4606" s="38"/>
      <c r="L4606" s="42"/>
      <c r="M4606" s="42"/>
      <c r="N4606" s="42"/>
      <c r="O4606" s="42"/>
      <c r="R4606" s="37"/>
      <c r="S4606" s="37"/>
      <c r="T4606" s="91"/>
      <c r="U4606" s="91"/>
      <c r="V4606" s="41"/>
      <c r="W4606" s="37"/>
      <c r="X4606" s="37"/>
      <c r="Y4606" s="43"/>
      <c r="Z4606" s="37"/>
      <c r="AA4606" s="37"/>
      <c r="AD4606" s="37"/>
      <c r="AE4606" s="37"/>
      <c r="AF4606" s="37"/>
    </row>
    <row r="4607" spans="1:32" x14ac:dyDescent="0.25">
      <c r="A4607" s="37"/>
      <c r="B4607" s="37"/>
      <c r="C4607" s="37"/>
      <c r="F4607" s="38"/>
      <c r="G4607" s="38"/>
      <c r="H4607" s="38"/>
      <c r="I4607" s="37"/>
      <c r="J4607" s="38"/>
      <c r="K4607" s="38"/>
      <c r="L4607" s="42"/>
      <c r="M4607" s="42"/>
      <c r="N4607" s="42"/>
      <c r="O4607" s="42"/>
      <c r="R4607" s="37"/>
      <c r="S4607" s="37"/>
      <c r="T4607" s="91"/>
      <c r="U4607" s="91"/>
      <c r="V4607" s="41"/>
      <c r="W4607" s="37"/>
      <c r="X4607" s="37"/>
      <c r="Y4607" s="43"/>
      <c r="Z4607" s="37"/>
      <c r="AA4607" s="37"/>
      <c r="AD4607" s="37"/>
      <c r="AE4607" s="37"/>
      <c r="AF4607" s="37"/>
    </row>
    <row r="4608" spans="1:32" x14ac:dyDescent="0.25">
      <c r="A4608" s="37"/>
      <c r="B4608" s="37"/>
      <c r="C4608" s="37"/>
      <c r="F4608" s="38"/>
      <c r="G4608" s="38"/>
      <c r="H4608" s="38"/>
      <c r="I4608" s="37"/>
      <c r="J4608" s="38"/>
      <c r="K4608" s="38"/>
      <c r="L4608" s="42"/>
      <c r="M4608" s="42"/>
      <c r="N4608" s="42"/>
      <c r="O4608" s="42"/>
      <c r="R4608" s="37"/>
      <c r="S4608" s="37"/>
      <c r="T4608" s="91"/>
      <c r="U4608" s="91"/>
      <c r="V4608" s="41"/>
      <c r="W4608" s="37"/>
      <c r="X4608" s="37"/>
      <c r="Y4608" s="43"/>
      <c r="Z4608" s="37"/>
      <c r="AA4608" s="37"/>
      <c r="AD4608" s="37"/>
      <c r="AE4608" s="37"/>
      <c r="AF4608" s="37"/>
    </row>
    <row r="4609" spans="1:32" x14ac:dyDescent="0.25">
      <c r="A4609" s="37"/>
      <c r="B4609" s="37"/>
      <c r="C4609" s="37"/>
      <c r="F4609" s="38"/>
      <c r="G4609" s="38"/>
      <c r="H4609" s="38"/>
      <c r="I4609" s="37"/>
      <c r="J4609" s="38"/>
      <c r="K4609" s="38"/>
      <c r="L4609" s="42"/>
      <c r="M4609" s="42"/>
      <c r="N4609" s="42"/>
      <c r="O4609" s="42"/>
      <c r="R4609" s="37"/>
      <c r="S4609" s="37"/>
      <c r="T4609" s="91"/>
      <c r="U4609" s="91"/>
      <c r="V4609" s="41"/>
      <c r="W4609" s="37"/>
      <c r="X4609" s="37"/>
      <c r="Y4609" s="43"/>
      <c r="Z4609" s="37"/>
      <c r="AA4609" s="37"/>
      <c r="AD4609" s="37"/>
      <c r="AE4609" s="37"/>
      <c r="AF4609" s="37"/>
    </row>
    <row r="4610" spans="1:32" x14ac:dyDescent="0.25">
      <c r="A4610" s="37"/>
      <c r="B4610" s="37"/>
      <c r="C4610" s="37"/>
      <c r="F4610" s="38"/>
      <c r="G4610" s="38"/>
      <c r="H4610" s="38"/>
      <c r="I4610" s="37"/>
      <c r="J4610" s="38"/>
      <c r="K4610" s="38"/>
      <c r="L4610" s="42"/>
      <c r="M4610" s="42"/>
      <c r="N4610" s="42"/>
      <c r="O4610" s="42"/>
      <c r="R4610" s="37"/>
      <c r="S4610" s="37"/>
      <c r="T4610" s="91"/>
      <c r="U4610" s="91"/>
      <c r="V4610" s="41"/>
      <c r="W4610" s="37"/>
      <c r="X4610" s="37"/>
      <c r="Y4610" s="43"/>
      <c r="Z4610" s="37"/>
      <c r="AA4610" s="37"/>
      <c r="AD4610" s="37"/>
      <c r="AE4610" s="37"/>
      <c r="AF4610" s="37"/>
    </row>
    <row r="4611" spans="1:32" x14ac:dyDescent="0.25">
      <c r="A4611" s="37"/>
      <c r="B4611" s="37"/>
      <c r="C4611" s="37"/>
      <c r="F4611" s="38"/>
      <c r="G4611" s="38"/>
      <c r="H4611" s="38"/>
      <c r="I4611" s="37"/>
      <c r="J4611" s="38"/>
      <c r="K4611" s="38"/>
      <c r="L4611" s="42"/>
      <c r="M4611" s="42"/>
      <c r="N4611" s="42"/>
      <c r="O4611" s="42"/>
      <c r="R4611" s="37"/>
      <c r="S4611" s="37"/>
      <c r="T4611" s="91"/>
      <c r="U4611" s="91"/>
      <c r="V4611" s="41"/>
      <c r="W4611" s="37"/>
      <c r="X4611" s="37"/>
      <c r="Y4611" s="43"/>
      <c r="Z4611" s="37"/>
      <c r="AA4611" s="37"/>
      <c r="AD4611" s="37"/>
      <c r="AE4611" s="37"/>
      <c r="AF4611" s="37"/>
    </row>
    <row r="4612" spans="1:32" x14ac:dyDescent="0.25">
      <c r="A4612" s="37"/>
      <c r="B4612" s="37"/>
      <c r="C4612" s="37"/>
      <c r="F4612" s="38"/>
      <c r="G4612" s="38"/>
      <c r="H4612" s="38"/>
      <c r="I4612" s="37"/>
      <c r="J4612" s="38"/>
      <c r="K4612" s="38"/>
      <c r="L4612" s="42"/>
      <c r="M4612" s="42"/>
      <c r="N4612" s="42"/>
      <c r="O4612" s="42"/>
      <c r="R4612" s="37"/>
      <c r="S4612" s="37"/>
      <c r="T4612" s="91"/>
      <c r="U4612" s="91"/>
      <c r="V4612" s="41"/>
      <c r="W4612" s="37"/>
      <c r="X4612" s="37"/>
      <c r="Y4612" s="43"/>
      <c r="Z4612" s="37"/>
      <c r="AA4612" s="37"/>
      <c r="AD4612" s="37"/>
      <c r="AE4612" s="37"/>
      <c r="AF4612" s="37"/>
    </row>
    <row r="4613" spans="1:32" x14ac:dyDescent="0.25">
      <c r="A4613" s="37"/>
      <c r="B4613" s="37"/>
      <c r="C4613" s="37"/>
      <c r="F4613" s="38"/>
      <c r="G4613" s="38"/>
      <c r="H4613" s="38"/>
      <c r="I4613" s="37"/>
      <c r="J4613" s="38"/>
      <c r="K4613" s="38"/>
      <c r="L4613" s="42"/>
      <c r="M4613" s="42"/>
      <c r="N4613" s="42"/>
      <c r="O4613" s="42"/>
      <c r="R4613" s="37"/>
      <c r="S4613" s="37"/>
      <c r="T4613" s="91"/>
      <c r="U4613" s="91"/>
      <c r="V4613" s="41"/>
      <c r="W4613" s="37"/>
      <c r="X4613" s="37"/>
      <c r="Y4613" s="43"/>
      <c r="Z4613" s="37"/>
      <c r="AA4613" s="37"/>
      <c r="AD4613" s="37"/>
      <c r="AE4613" s="37"/>
      <c r="AF4613" s="37"/>
    </row>
    <row r="4614" spans="1:32" x14ac:dyDescent="0.25">
      <c r="A4614" s="37"/>
      <c r="B4614" s="37"/>
      <c r="C4614" s="37"/>
      <c r="F4614" s="38"/>
      <c r="G4614" s="38"/>
      <c r="H4614" s="38"/>
      <c r="I4614" s="37"/>
      <c r="J4614" s="38"/>
      <c r="K4614" s="38"/>
      <c r="L4614" s="42"/>
      <c r="M4614" s="42"/>
      <c r="N4614" s="42"/>
      <c r="O4614" s="42"/>
      <c r="R4614" s="37"/>
      <c r="S4614" s="37"/>
      <c r="T4614" s="91"/>
      <c r="U4614" s="91"/>
      <c r="V4614" s="41"/>
      <c r="W4614" s="37"/>
      <c r="X4614" s="37"/>
      <c r="Y4614" s="43"/>
      <c r="Z4614" s="37"/>
      <c r="AA4614" s="37"/>
      <c r="AD4614" s="37"/>
      <c r="AE4614" s="37"/>
      <c r="AF4614" s="37"/>
    </row>
    <row r="4615" spans="1:32" x14ac:dyDescent="0.25">
      <c r="A4615" s="37"/>
      <c r="B4615" s="37"/>
      <c r="C4615" s="37"/>
      <c r="F4615" s="38"/>
      <c r="G4615" s="38"/>
      <c r="H4615" s="38"/>
      <c r="I4615" s="37"/>
      <c r="J4615" s="38"/>
      <c r="K4615" s="38"/>
      <c r="L4615" s="42"/>
      <c r="M4615" s="42"/>
      <c r="N4615" s="42"/>
      <c r="O4615" s="42"/>
      <c r="R4615" s="37"/>
      <c r="S4615" s="37"/>
      <c r="T4615" s="91"/>
      <c r="U4615" s="91"/>
      <c r="V4615" s="41"/>
      <c r="W4615" s="37"/>
      <c r="X4615" s="37"/>
      <c r="Y4615" s="43"/>
      <c r="Z4615" s="37"/>
      <c r="AA4615" s="37"/>
      <c r="AD4615" s="37"/>
      <c r="AE4615" s="37"/>
      <c r="AF4615" s="37"/>
    </row>
    <row r="4616" spans="1:32" x14ac:dyDescent="0.25">
      <c r="A4616" s="37"/>
      <c r="B4616" s="37"/>
      <c r="C4616" s="37"/>
      <c r="F4616" s="38"/>
      <c r="G4616" s="38"/>
      <c r="H4616" s="38"/>
      <c r="I4616" s="37"/>
      <c r="J4616" s="38"/>
      <c r="K4616" s="38"/>
      <c r="L4616" s="42"/>
      <c r="M4616" s="42"/>
      <c r="N4616" s="42"/>
      <c r="O4616" s="42"/>
      <c r="R4616" s="37"/>
      <c r="S4616" s="37"/>
      <c r="T4616" s="91"/>
      <c r="U4616" s="91"/>
      <c r="V4616" s="41"/>
      <c r="W4616" s="37"/>
      <c r="X4616" s="37"/>
      <c r="Y4616" s="43"/>
      <c r="Z4616" s="37"/>
      <c r="AA4616" s="37"/>
      <c r="AD4616" s="37"/>
      <c r="AE4616" s="37"/>
      <c r="AF4616" s="37"/>
    </row>
    <row r="4617" spans="1:32" x14ac:dyDescent="0.25">
      <c r="A4617" s="37"/>
      <c r="B4617" s="37"/>
      <c r="C4617" s="37"/>
      <c r="F4617" s="38"/>
      <c r="G4617" s="38"/>
      <c r="H4617" s="38"/>
      <c r="I4617" s="37"/>
      <c r="J4617" s="38"/>
      <c r="K4617" s="38"/>
      <c r="L4617" s="42"/>
      <c r="M4617" s="42"/>
      <c r="N4617" s="42"/>
      <c r="O4617" s="42"/>
      <c r="R4617" s="37"/>
      <c r="S4617" s="37"/>
      <c r="T4617" s="91"/>
      <c r="U4617" s="91"/>
      <c r="V4617" s="41"/>
      <c r="W4617" s="37"/>
      <c r="X4617" s="37"/>
      <c r="Y4617" s="43"/>
      <c r="Z4617" s="37"/>
      <c r="AA4617" s="37"/>
      <c r="AD4617" s="37"/>
      <c r="AE4617" s="37"/>
      <c r="AF4617" s="37"/>
    </row>
    <row r="4618" spans="1:32" x14ac:dyDescent="0.25">
      <c r="A4618" s="37"/>
      <c r="B4618" s="37"/>
      <c r="C4618" s="37"/>
      <c r="F4618" s="38"/>
      <c r="G4618" s="38"/>
      <c r="H4618" s="38"/>
      <c r="I4618" s="37"/>
      <c r="J4618" s="38"/>
      <c r="K4618" s="38"/>
      <c r="L4618" s="42"/>
      <c r="M4618" s="42"/>
      <c r="N4618" s="42"/>
      <c r="O4618" s="42"/>
      <c r="R4618" s="37"/>
      <c r="S4618" s="37"/>
      <c r="T4618" s="91"/>
      <c r="U4618" s="91"/>
      <c r="V4618" s="41"/>
      <c r="W4618" s="37"/>
      <c r="X4618" s="37"/>
      <c r="Y4618" s="43"/>
      <c r="Z4618" s="37"/>
      <c r="AA4618" s="37"/>
      <c r="AD4618" s="37"/>
      <c r="AE4618" s="37"/>
      <c r="AF4618" s="37"/>
    </row>
    <row r="4619" spans="1:32" x14ac:dyDescent="0.25">
      <c r="A4619" s="37"/>
      <c r="B4619" s="37"/>
      <c r="C4619" s="37"/>
      <c r="F4619" s="38"/>
      <c r="G4619" s="38"/>
      <c r="H4619" s="38"/>
      <c r="I4619" s="37"/>
      <c r="J4619" s="38"/>
      <c r="K4619" s="38"/>
      <c r="L4619" s="42"/>
      <c r="M4619" s="42"/>
      <c r="N4619" s="42"/>
      <c r="O4619" s="42"/>
      <c r="R4619" s="37"/>
      <c r="S4619" s="37"/>
      <c r="T4619" s="91"/>
      <c r="U4619" s="91"/>
      <c r="V4619" s="41"/>
      <c r="W4619" s="37"/>
      <c r="X4619" s="37"/>
      <c r="Y4619" s="43"/>
      <c r="Z4619" s="37"/>
      <c r="AA4619" s="37"/>
      <c r="AD4619" s="37"/>
      <c r="AE4619" s="37"/>
      <c r="AF4619" s="37"/>
    </row>
    <row r="4620" spans="1:32" x14ac:dyDescent="0.25">
      <c r="A4620" s="37"/>
      <c r="B4620" s="37"/>
      <c r="C4620" s="37"/>
      <c r="F4620" s="38"/>
      <c r="G4620" s="38"/>
      <c r="H4620" s="38"/>
      <c r="I4620" s="37"/>
      <c r="J4620" s="38"/>
      <c r="K4620" s="38"/>
      <c r="L4620" s="42"/>
      <c r="M4620" s="42"/>
      <c r="N4620" s="42"/>
      <c r="O4620" s="42"/>
      <c r="R4620" s="37"/>
      <c r="S4620" s="37"/>
      <c r="T4620" s="91"/>
      <c r="U4620" s="91"/>
      <c r="V4620" s="41"/>
      <c r="W4620" s="37"/>
      <c r="X4620" s="37"/>
      <c r="Y4620" s="43"/>
      <c r="Z4620" s="37"/>
      <c r="AA4620" s="37"/>
      <c r="AD4620" s="37"/>
      <c r="AE4620" s="37"/>
      <c r="AF4620" s="37"/>
    </row>
    <row r="4621" spans="1:32" x14ac:dyDescent="0.25">
      <c r="A4621" s="37"/>
      <c r="B4621" s="37"/>
      <c r="C4621" s="37"/>
      <c r="F4621" s="38"/>
      <c r="G4621" s="38"/>
      <c r="H4621" s="38"/>
      <c r="I4621" s="37"/>
      <c r="J4621" s="38"/>
      <c r="K4621" s="38"/>
      <c r="L4621" s="42"/>
      <c r="M4621" s="42"/>
      <c r="N4621" s="42"/>
      <c r="O4621" s="42"/>
      <c r="R4621" s="37"/>
      <c r="S4621" s="37"/>
      <c r="T4621" s="91"/>
      <c r="U4621" s="91"/>
      <c r="V4621" s="41"/>
      <c r="W4621" s="37"/>
      <c r="X4621" s="37"/>
      <c r="Y4621" s="43"/>
      <c r="Z4621" s="37"/>
      <c r="AA4621" s="37"/>
      <c r="AD4621" s="37"/>
      <c r="AE4621" s="37"/>
      <c r="AF4621" s="37"/>
    </row>
    <row r="4622" spans="1:32" x14ac:dyDescent="0.25">
      <c r="A4622" s="37"/>
      <c r="B4622" s="37"/>
      <c r="C4622" s="37"/>
      <c r="F4622" s="38"/>
      <c r="G4622" s="38"/>
      <c r="H4622" s="38"/>
      <c r="I4622" s="37"/>
      <c r="J4622" s="38"/>
      <c r="K4622" s="38"/>
      <c r="L4622" s="42"/>
      <c r="M4622" s="42"/>
      <c r="N4622" s="42"/>
      <c r="O4622" s="42"/>
      <c r="R4622" s="37"/>
      <c r="S4622" s="37"/>
      <c r="T4622" s="91"/>
      <c r="U4622" s="91"/>
      <c r="V4622" s="41"/>
      <c r="W4622" s="37"/>
      <c r="X4622" s="37"/>
      <c r="Y4622" s="43"/>
      <c r="Z4622" s="37"/>
      <c r="AA4622" s="37"/>
      <c r="AD4622" s="37"/>
      <c r="AE4622" s="37"/>
      <c r="AF4622" s="37"/>
    </row>
    <row r="4623" spans="1:32" x14ac:dyDescent="0.25">
      <c r="A4623" s="37"/>
      <c r="B4623" s="37"/>
      <c r="C4623" s="37"/>
      <c r="F4623" s="38"/>
      <c r="G4623" s="38"/>
      <c r="H4623" s="38"/>
      <c r="I4623" s="37"/>
      <c r="J4623" s="38"/>
      <c r="K4623" s="38"/>
      <c r="L4623" s="42"/>
      <c r="M4623" s="42"/>
      <c r="N4623" s="42"/>
      <c r="O4623" s="42"/>
      <c r="R4623" s="37"/>
      <c r="S4623" s="37"/>
      <c r="T4623" s="91"/>
      <c r="U4623" s="91"/>
      <c r="V4623" s="41"/>
      <c r="W4623" s="37"/>
      <c r="X4623" s="37"/>
      <c r="Y4623" s="43"/>
      <c r="Z4623" s="37"/>
      <c r="AA4623" s="37"/>
      <c r="AD4623" s="37"/>
      <c r="AE4623" s="37"/>
      <c r="AF4623" s="37"/>
    </row>
    <row r="4624" spans="1:32" x14ac:dyDescent="0.25">
      <c r="A4624" s="37"/>
      <c r="B4624" s="37"/>
      <c r="C4624" s="37"/>
      <c r="F4624" s="38"/>
      <c r="G4624" s="38"/>
      <c r="H4624" s="38"/>
      <c r="I4624" s="37"/>
      <c r="J4624" s="38"/>
      <c r="K4624" s="38"/>
      <c r="L4624" s="42"/>
      <c r="M4624" s="42"/>
      <c r="N4624" s="42"/>
      <c r="O4624" s="42"/>
      <c r="R4624" s="37"/>
      <c r="S4624" s="37"/>
      <c r="T4624" s="91"/>
      <c r="U4624" s="91"/>
      <c r="V4624" s="41"/>
      <c r="W4624" s="37"/>
      <c r="X4624" s="37"/>
      <c r="Y4624" s="43"/>
      <c r="Z4624" s="37"/>
      <c r="AA4624" s="37"/>
      <c r="AD4624" s="37"/>
      <c r="AE4624" s="37"/>
      <c r="AF4624" s="37"/>
    </row>
    <row r="4625" spans="1:32" x14ac:dyDescent="0.25">
      <c r="A4625" s="37"/>
      <c r="B4625" s="37"/>
      <c r="C4625" s="37"/>
      <c r="F4625" s="38"/>
      <c r="G4625" s="38"/>
      <c r="H4625" s="38"/>
      <c r="I4625" s="37"/>
      <c r="J4625" s="38"/>
      <c r="K4625" s="38"/>
      <c r="L4625" s="42"/>
      <c r="M4625" s="42"/>
      <c r="N4625" s="42"/>
      <c r="O4625" s="42"/>
      <c r="R4625" s="37"/>
      <c r="S4625" s="37"/>
      <c r="T4625" s="91"/>
      <c r="U4625" s="91"/>
      <c r="V4625" s="41"/>
      <c r="W4625" s="37"/>
      <c r="X4625" s="37"/>
      <c r="Y4625" s="43"/>
      <c r="Z4625" s="37"/>
      <c r="AA4625" s="37"/>
      <c r="AD4625" s="37"/>
      <c r="AE4625" s="37"/>
      <c r="AF4625" s="37"/>
    </row>
    <row r="4626" spans="1:32" x14ac:dyDescent="0.25">
      <c r="A4626" s="37"/>
      <c r="B4626" s="37"/>
      <c r="C4626" s="37"/>
      <c r="F4626" s="38"/>
      <c r="G4626" s="38"/>
      <c r="H4626" s="38"/>
      <c r="I4626" s="37"/>
      <c r="J4626" s="38"/>
      <c r="K4626" s="38"/>
      <c r="L4626" s="42"/>
      <c r="M4626" s="42"/>
      <c r="N4626" s="42"/>
      <c r="O4626" s="42"/>
      <c r="R4626" s="37"/>
      <c r="S4626" s="37"/>
      <c r="T4626" s="91"/>
      <c r="U4626" s="91"/>
      <c r="V4626" s="41"/>
      <c r="W4626" s="37"/>
      <c r="X4626" s="37"/>
      <c r="Y4626" s="43"/>
      <c r="Z4626" s="37"/>
      <c r="AA4626" s="37"/>
      <c r="AD4626" s="37"/>
      <c r="AE4626" s="37"/>
      <c r="AF4626" s="37"/>
    </row>
    <row r="4627" spans="1:32" x14ac:dyDescent="0.25">
      <c r="A4627" s="37"/>
      <c r="B4627" s="37"/>
      <c r="C4627" s="37"/>
      <c r="F4627" s="38"/>
      <c r="G4627" s="38"/>
      <c r="H4627" s="38"/>
      <c r="I4627" s="37"/>
      <c r="J4627" s="38"/>
      <c r="K4627" s="38"/>
      <c r="L4627" s="42"/>
      <c r="M4627" s="42"/>
      <c r="N4627" s="42"/>
      <c r="O4627" s="42"/>
      <c r="R4627" s="37"/>
      <c r="S4627" s="37"/>
      <c r="T4627" s="91"/>
      <c r="U4627" s="91"/>
      <c r="V4627" s="41"/>
      <c r="W4627" s="37"/>
      <c r="X4627" s="37"/>
      <c r="Y4627" s="43"/>
      <c r="Z4627" s="37"/>
      <c r="AA4627" s="37"/>
      <c r="AD4627" s="37"/>
      <c r="AE4627" s="37"/>
      <c r="AF4627" s="37"/>
    </row>
    <row r="4628" spans="1:32" x14ac:dyDescent="0.25">
      <c r="A4628" s="37"/>
      <c r="B4628" s="37"/>
      <c r="C4628" s="37"/>
      <c r="F4628" s="38"/>
      <c r="G4628" s="38"/>
      <c r="H4628" s="38"/>
      <c r="I4628" s="37"/>
      <c r="J4628" s="38"/>
      <c r="K4628" s="38"/>
      <c r="L4628" s="42"/>
      <c r="M4628" s="42"/>
      <c r="N4628" s="42"/>
      <c r="O4628" s="42"/>
      <c r="R4628" s="37"/>
      <c r="S4628" s="37"/>
      <c r="T4628" s="91"/>
      <c r="U4628" s="91"/>
      <c r="V4628" s="41"/>
      <c r="W4628" s="37"/>
      <c r="X4628" s="37"/>
      <c r="Y4628" s="43"/>
      <c r="Z4628" s="37"/>
      <c r="AA4628" s="37"/>
      <c r="AD4628" s="37"/>
      <c r="AE4628" s="37"/>
      <c r="AF4628" s="37"/>
    </row>
    <row r="4629" spans="1:32" x14ac:dyDescent="0.25">
      <c r="A4629" s="37"/>
      <c r="B4629" s="37"/>
      <c r="C4629" s="37"/>
      <c r="F4629" s="38"/>
      <c r="G4629" s="38"/>
      <c r="H4629" s="38"/>
      <c r="I4629" s="37"/>
      <c r="J4629" s="38"/>
      <c r="K4629" s="38"/>
      <c r="L4629" s="42"/>
      <c r="M4629" s="42"/>
      <c r="N4629" s="42"/>
      <c r="O4629" s="42"/>
      <c r="R4629" s="37"/>
      <c r="S4629" s="37"/>
      <c r="T4629" s="91"/>
      <c r="U4629" s="91"/>
      <c r="V4629" s="41"/>
      <c r="W4629" s="37"/>
      <c r="X4629" s="37"/>
      <c r="Y4629" s="43"/>
      <c r="Z4629" s="37"/>
      <c r="AA4629" s="37"/>
      <c r="AD4629" s="37"/>
      <c r="AE4629" s="37"/>
      <c r="AF4629" s="37"/>
    </row>
    <row r="4630" spans="1:32" x14ac:dyDescent="0.25">
      <c r="A4630" s="37"/>
      <c r="B4630" s="37"/>
      <c r="C4630" s="37"/>
      <c r="F4630" s="38"/>
      <c r="G4630" s="38"/>
      <c r="H4630" s="38"/>
      <c r="I4630" s="37"/>
      <c r="J4630" s="38"/>
      <c r="K4630" s="38"/>
      <c r="L4630" s="42"/>
      <c r="M4630" s="42"/>
      <c r="N4630" s="42"/>
      <c r="O4630" s="42"/>
      <c r="R4630" s="37"/>
      <c r="S4630" s="37"/>
      <c r="T4630" s="91"/>
      <c r="U4630" s="91"/>
      <c r="V4630" s="41"/>
      <c r="W4630" s="37"/>
      <c r="X4630" s="37"/>
      <c r="Y4630" s="43"/>
      <c r="Z4630" s="37"/>
      <c r="AA4630" s="37"/>
      <c r="AD4630" s="37"/>
      <c r="AE4630" s="37"/>
      <c r="AF4630" s="37"/>
    </row>
    <row r="4631" spans="1:32" x14ac:dyDescent="0.25">
      <c r="A4631" s="37"/>
      <c r="B4631" s="37"/>
      <c r="C4631" s="37"/>
      <c r="F4631" s="38"/>
      <c r="G4631" s="38"/>
      <c r="H4631" s="38"/>
      <c r="I4631" s="37"/>
      <c r="J4631" s="38"/>
      <c r="K4631" s="38"/>
      <c r="L4631" s="42"/>
      <c r="M4631" s="42"/>
      <c r="N4631" s="42"/>
      <c r="O4631" s="42"/>
      <c r="R4631" s="37"/>
      <c r="S4631" s="37"/>
      <c r="T4631" s="91"/>
      <c r="U4631" s="91"/>
      <c r="V4631" s="41"/>
      <c r="W4631" s="37"/>
      <c r="X4631" s="37"/>
      <c r="Y4631" s="43"/>
      <c r="Z4631" s="37"/>
      <c r="AA4631" s="37"/>
      <c r="AD4631" s="37"/>
      <c r="AE4631" s="37"/>
      <c r="AF4631" s="37"/>
    </row>
    <row r="4632" spans="1:32" x14ac:dyDescent="0.25">
      <c r="A4632" s="37"/>
      <c r="B4632" s="37"/>
      <c r="C4632" s="37"/>
      <c r="F4632" s="38"/>
      <c r="G4632" s="38"/>
      <c r="H4632" s="38"/>
      <c r="I4632" s="37"/>
      <c r="J4632" s="38"/>
      <c r="K4632" s="38"/>
      <c r="L4632" s="42"/>
      <c r="M4632" s="42"/>
      <c r="N4632" s="42"/>
      <c r="O4632" s="42"/>
      <c r="R4632" s="37"/>
      <c r="S4632" s="37"/>
      <c r="T4632" s="91"/>
      <c r="U4632" s="91"/>
      <c r="V4632" s="41"/>
      <c r="W4632" s="37"/>
      <c r="X4632" s="37"/>
      <c r="Y4632" s="43"/>
      <c r="Z4632" s="37"/>
      <c r="AA4632" s="37"/>
      <c r="AD4632" s="37"/>
      <c r="AE4632" s="37"/>
      <c r="AF4632" s="37"/>
    </row>
    <row r="4633" spans="1:32" x14ac:dyDescent="0.25">
      <c r="A4633" s="37"/>
      <c r="B4633" s="37"/>
      <c r="C4633" s="37"/>
      <c r="F4633" s="38"/>
      <c r="G4633" s="38"/>
      <c r="H4633" s="38"/>
      <c r="I4633" s="37"/>
      <c r="J4633" s="38"/>
      <c r="K4633" s="38"/>
      <c r="L4633" s="42"/>
      <c r="M4633" s="42"/>
      <c r="N4633" s="42"/>
      <c r="O4633" s="42"/>
      <c r="R4633" s="37"/>
      <c r="S4633" s="37"/>
      <c r="T4633" s="91"/>
      <c r="U4633" s="91"/>
      <c r="V4633" s="41"/>
      <c r="W4633" s="37"/>
      <c r="X4633" s="37"/>
      <c r="Y4633" s="43"/>
      <c r="Z4633" s="37"/>
      <c r="AA4633" s="37"/>
      <c r="AD4633" s="37"/>
      <c r="AE4633" s="37"/>
      <c r="AF4633" s="37"/>
    </row>
    <row r="4634" spans="1:32" x14ac:dyDescent="0.25">
      <c r="A4634" s="37"/>
      <c r="B4634" s="37"/>
      <c r="C4634" s="37"/>
      <c r="F4634" s="38"/>
      <c r="G4634" s="38"/>
      <c r="H4634" s="38"/>
      <c r="I4634" s="37"/>
      <c r="J4634" s="38"/>
      <c r="K4634" s="38"/>
      <c r="L4634" s="42"/>
      <c r="M4634" s="42"/>
      <c r="N4634" s="42"/>
      <c r="O4634" s="42"/>
      <c r="R4634" s="37"/>
      <c r="S4634" s="37"/>
      <c r="T4634" s="91"/>
      <c r="U4634" s="91"/>
      <c r="V4634" s="41"/>
      <c r="W4634" s="37"/>
      <c r="X4634" s="37"/>
      <c r="Y4634" s="43"/>
      <c r="Z4634" s="37"/>
      <c r="AA4634" s="37"/>
      <c r="AD4634" s="37"/>
      <c r="AE4634" s="37"/>
      <c r="AF4634" s="37"/>
    </row>
    <row r="4635" spans="1:32" x14ac:dyDescent="0.25">
      <c r="A4635" s="37"/>
      <c r="B4635" s="37"/>
      <c r="C4635" s="37"/>
      <c r="F4635" s="38"/>
      <c r="G4635" s="38"/>
      <c r="H4635" s="38"/>
      <c r="I4635" s="37"/>
      <c r="J4635" s="38"/>
      <c r="K4635" s="38"/>
      <c r="L4635" s="42"/>
      <c r="M4635" s="42"/>
      <c r="N4635" s="42"/>
      <c r="O4635" s="42"/>
      <c r="R4635" s="37"/>
      <c r="S4635" s="37"/>
      <c r="T4635" s="91"/>
      <c r="U4635" s="91"/>
      <c r="V4635" s="41"/>
      <c r="W4635" s="37"/>
      <c r="X4635" s="37"/>
      <c r="Y4635" s="43"/>
      <c r="Z4635" s="37"/>
      <c r="AA4635" s="37"/>
      <c r="AD4635" s="37"/>
      <c r="AE4635" s="37"/>
      <c r="AF4635" s="37"/>
    </row>
    <row r="4636" spans="1:32" x14ac:dyDescent="0.25">
      <c r="A4636" s="37"/>
      <c r="B4636" s="37"/>
      <c r="C4636" s="37"/>
      <c r="F4636" s="38"/>
      <c r="G4636" s="38"/>
      <c r="H4636" s="38"/>
      <c r="I4636" s="37"/>
      <c r="J4636" s="38"/>
      <c r="K4636" s="38"/>
      <c r="L4636" s="42"/>
      <c r="M4636" s="42"/>
      <c r="N4636" s="42"/>
      <c r="O4636" s="42"/>
      <c r="R4636" s="37"/>
      <c r="S4636" s="37"/>
      <c r="T4636" s="91"/>
      <c r="U4636" s="91"/>
      <c r="V4636" s="41"/>
      <c r="W4636" s="37"/>
      <c r="X4636" s="37"/>
      <c r="Y4636" s="43"/>
      <c r="Z4636" s="37"/>
      <c r="AA4636" s="37"/>
      <c r="AD4636" s="37"/>
      <c r="AE4636" s="37"/>
      <c r="AF4636" s="37"/>
    </row>
    <row r="4637" spans="1:32" x14ac:dyDescent="0.25">
      <c r="A4637" s="37"/>
      <c r="B4637" s="37"/>
      <c r="C4637" s="37"/>
      <c r="F4637" s="38"/>
      <c r="G4637" s="38"/>
      <c r="H4637" s="38"/>
      <c r="I4637" s="37"/>
      <c r="J4637" s="38"/>
      <c r="K4637" s="38"/>
      <c r="L4637" s="42"/>
      <c r="M4637" s="42"/>
      <c r="N4637" s="42"/>
      <c r="O4637" s="42"/>
      <c r="R4637" s="37"/>
      <c r="S4637" s="37"/>
      <c r="T4637" s="91"/>
      <c r="U4637" s="91"/>
      <c r="V4637" s="41"/>
      <c r="W4637" s="37"/>
      <c r="X4637" s="37"/>
      <c r="Y4637" s="43"/>
      <c r="Z4637" s="37"/>
      <c r="AA4637" s="37"/>
      <c r="AD4637" s="37"/>
      <c r="AE4637" s="37"/>
      <c r="AF4637" s="37"/>
    </row>
    <row r="4638" spans="1:32" x14ac:dyDescent="0.25">
      <c r="A4638" s="37"/>
      <c r="B4638" s="37"/>
      <c r="C4638" s="37"/>
      <c r="F4638" s="38"/>
      <c r="G4638" s="38"/>
      <c r="H4638" s="38"/>
      <c r="I4638" s="37"/>
      <c r="J4638" s="38"/>
      <c r="K4638" s="38"/>
      <c r="L4638" s="42"/>
      <c r="M4638" s="42"/>
      <c r="N4638" s="42"/>
      <c r="O4638" s="42"/>
      <c r="R4638" s="37"/>
      <c r="S4638" s="37"/>
      <c r="T4638" s="91"/>
      <c r="U4638" s="91"/>
      <c r="V4638" s="41"/>
      <c r="W4638" s="37"/>
      <c r="X4638" s="37"/>
      <c r="Y4638" s="43"/>
      <c r="Z4638" s="37"/>
      <c r="AA4638" s="37"/>
      <c r="AD4638" s="37"/>
      <c r="AE4638" s="37"/>
      <c r="AF4638" s="37"/>
    </row>
    <row r="4639" spans="1:32" x14ac:dyDescent="0.25">
      <c r="A4639" s="37"/>
      <c r="B4639" s="37"/>
      <c r="C4639" s="37"/>
      <c r="F4639" s="38"/>
      <c r="G4639" s="38"/>
      <c r="H4639" s="38"/>
      <c r="I4639" s="37"/>
      <c r="J4639" s="38"/>
      <c r="K4639" s="38"/>
      <c r="L4639" s="42"/>
      <c r="M4639" s="42"/>
      <c r="N4639" s="42"/>
      <c r="O4639" s="42"/>
      <c r="R4639" s="37"/>
      <c r="S4639" s="37"/>
      <c r="T4639" s="91"/>
      <c r="U4639" s="91"/>
      <c r="V4639" s="41"/>
      <c r="W4639" s="37"/>
      <c r="X4639" s="37"/>
      <c r="Y4639" s="43"/>
      <c r="Z4639" s="37"/>
      <c r="AA4639" s="37"/>
      <c r="AD4639" s="37"/>
      <c r="AE4639" s="37"/>
      <c r="AF4639" s="37"/>
    </row>
    <row r="4640" spans="1:32" x14ac:dyDescent="0.25">
      <c r="A4640" s="37"/>
      <c r="B4640" s="37"/>
      <c r="C4640" s="37"/>
      <c r="F4640" s="38"/>
      <c r="G4640" s="38"/>
      <c r="H4640" s="38"/>
      <c r="I4640" s="37"/>
      <c r="J4640" s="38"/>
      <c r="K4640" s="38"/>
      <c r="L4640" s="42"/>
      <c r="M4640" s="42"/>
      <c r="N4640" s="42"/>
      <c r="O4640" s="42"/>
      <c r="R4640" s="37"/>
      <c r="S4640" s="37"/>
      <c r="T4640" s="91"/>
      <c r="U4640" s="91"/>
      <c r="V4640" s="41"/>
      <c r="W4640" s="37"/>
      <c r="X4640" s="37"/>
      <c r="Y4640" s="43"/>
      <c r="Z4640" s="37"/>
      <c r="AA4640" s="37"/>
      <c r="AD4640" s="37"/>
      <c r="AE4640" s="37"/>
      <c r="AF4640" s="37"/>
    </row>
    <row r="4641" spans="1:32" x14ac:dyDescent="0.25">
      <c r="A4641" s="37"/>
      <c r="B4641" s="37"/>
      <c r="C4641" s="37"/>
      <c r="F4641" s="38"/>
      <c r="G4641" s="38"/>
      <c r="H4641" s="38"/>
      <c r="I4641" s="37"/>
      <c r="J4641" s="38"/>
      <c r="K4641" s="38"/>
      <c r="L4641" s="42"/>
      <c r="M4641" s="42"/>
      <c r="N4641" s="42"/>
      <c r="O4641" s="42"/>
      <c r="R4641" s="37"/>
      <c r="S4641" s="37"/>
      <c r="T4641" s="91"/>
      <c r="U4641" s="91"/>
      <c r="V4641" s="41"/>
      <c r="W4641" s="37"/>
      <c r="X4641" s="37"/>
      <c r="Y4641" s="43"/>
      <c r="Z4641" s="37"/>
      <c r="AA4641" s="37"/>
      <c r="AD4641" s="37"/>
      <c r="AE4641" s="37"/>
      <c r="AF4641" s="37"/>
    </row>
    <row r="4642" spans="1:32" x14ac:dyDescent="0.25">
      <c r="A4642" s="37"/>
      <c r="B4642" s="37"/>
      <c r="C4642" s="37"/>
      <c r="F4642" s="38"/>
      <c r="G4642" s="38"/>
      <c r="H4642" s="38"/>
      <c r="I4642" s="37"/>
      <c r="J4642" s="38"/>
      <c r="K4642" s="38"/>
      <c r="L4642" s="42"/>
      <c r="M4642" s="42"/>
      <c r="N4642" s="42"/>
      <c r="O4642" s="42"/>
      <c r="R4642" s="37"/>
      <c r="S4642" s="37"/>
      <c r="T4642" s="91"/>
      <c r="U4642" s="91"/>
      <c r="V4642" s="41"/>
      <c r="W4642" s="37"/>
      <c r="X4642" s="37"/>
      <c r="Y4642" s="43"/>
      <c r="Z4642" s="37"/>
      <c r="AA4642" s="37"/>
      <c r="AD4642" s="37"/>
      <c r="AE4642" s="37"/>
      <c r="AF4642" s="37"/>
    </row>
    <row r="4643" spans="1:32" x14ac:dyDescent="0.25">
      <c r="A4643" s="37"/>
      <c r="B4643" s="37"/>
      <c r="C4643" s="37"/>
      <c r="F4643" s="38"/>
      <c r="G4643" s="38"/>
      <c r="H4643" s="38"/>
      <c r="I4643" s="37"/>
      <c r="J4643" s="38"/>
      <c r="K4643" s="38"/>
      <c r="L4643" s="42"/>
      <c r="M4643" s="42"/>
      <c r="N4643" s="42"/>
      <c r="O4643" s="42"/>
      <c r="R4643" s="37"/>
      <c r="S4643" s="37"/>
      <c r="T4643" s="91"/>
      <c r="U4643" s="91"/>
      <c r="V4643" s="41"/>
      <c r="W4643" s="37"/>
      <c r="X4643" s="37"/>
      <c r="Y4643" s="43"/>
      <c r="Z4643" s="37"/>
      <c r="AA4643" s="37"/>
      <c r="AD4643" s="37"/>
      <c r="AE4643" s="37"/>
      <c r="AF4643" s="37"/>
    </row>
    <row r="4644" spans="1:32" x14ac:dyDescent="0.25">
      <c r="A4644" s="37"/>
      <c r="B4644" s="37"/>
      <c r="C4644" s="37"/>
      <c r="F4644" s="38"/>
      <c r="G4644" s="38"/>
      <c r="H4644" s="38"/>
      <c r="I4644" s="37"/>
      <c r="J4644" s="38"/>
      <c r="K4644" s="38"/>
      <c r="L4644" s="42"/>
      <c r="M4644" s="42"/>
      <c r="N4644" s="42"/>
      <c r="O4644" s="42"/>
      <c r="R4644" s="37"/>
      <c r="S4644" s="37"/>
      <c r="T4644" s="91"/>
      <c r="U4644" s="91"/>
      <c r="V4644" s="41"/>
      <c r="W4644" s="37"/>
      <c r="X4644" s="37"/>
      <c r="Y4644" s="43"/>
      <c r="Z4644" s="37"/>
      <c r="AA4644" s="37"/>
      <c r="AD4644" s="37"/>
      <c r="AE4644" s="37"/>
      <c r="AF4644" s="37"/>
    </row>
    <row r="4645" spans="1:32" x14ac:dyDescent="0.25">
      <c r="A4645" s="37"/>
      <c r="B4645" s="37"/>
      <c r="C4645" s="37"/>
      <c r="F4645" s="38"/>
      <c r="G4645" s="38"/>
      <c r="H4645" s="38"/>
      <c r="I4645" s="37"/>
      <c r="J4645" s="38"/>
      <c r="K4645" s="38"/>
      <c r="L4645" s="42"/>
      <c r="M4645" s="42"/>
      <c r="N4645" s="42"/>
      <c r="O4645" s="42"/>
      <c r="R4645" s="37"/>
      <c r="S4645" s="37"/>
      <c r="T4645" s="91"/>
      <c r="U4645" s="91"/>
      <c r="V4645" s="41"/>
      <c r="W4645" s="37"/>
      <c r="X4645" s="37"/>
      <c r="Y4645" s="43"/>
      <c r="Z4645" s="37"/>
      <c r="AA4645" s="37"/>
      <c r="AD4645" s="37"/>
      <c r="AE4645" s="37"/>
      <c r="AF4645" s="37"/>
    </row>
    <row r="4646" spans="1:32" x14ac:dyDescent="0.25">
      <c r="A4646" s="37"/>
      <c r="B4646" s="37"/>
      <c r="C4646" s="37"/>
      <c r="F4646" s="38"/>
      <c r="G4646" s="38"/>
      <c r="H4646" s="38"/>
      <c r="I4646" s="37"/>
      <c r="J4646" s="38"/>
      <c r="K4646" s="38"/>
      <c r="L4646" s="42"/>
      <c r="M4646" s="42"/>
      <c r="N4646" s="42"/>
      <c r="O4646" s="42"/>
      <c r="R4646" s="37"/>
      <c r="S4646" s="37"/>
      <c r="T4646" s="91"/>
      <c r="U4646" s="91"/>
      <c r="V4646" s="41"/>
      <c r="W4646" s="37"/>
      <c r="X4646" s="37"/>
      <c r="Y4646" s="43"/>
      <c r="Z4646" s="37"/>
      <c r="AA4646" s="37"/>
      <c r="AD4646" s="37"/>
      <c r="AE4646" s="37"/>
      <c r="AF4646" s="37"/>
    </row>
    <row r="4647" spans="1:32" x14ac:dyDescent="0.25">
      <c r="A4647" s="37"/>
      <c r="B4647" s="37"/>
      <c r="C4647" s="37"/>
      <c r="F4647" s="38"/>
      <c r="G4647" s="38"/>
      <c r="H4647" s="38"/>
      <c r="I4647" s="37"/>
      <c r="J4647" s="38"/>
      <c r="K4647" s="38"/>
      <c r="L4647" s="42"/>
      <c r="M4647" s="42"/>
      <c r="N4647" s="42"/>
      <c r="O4647" s="42"/>
      <c r="R4647" s="37"/>
      <c r="S4647" s="37"/>
      <c r="T4647" s="91"/>
      <c r="U4647" s="91"/>
      <c r="V4647" s="41"/>
      <c r="W4647" s="37"/>
      <c r="X4647" s="37"/>
      <c r="Y4647" s="43"/>
      <c r="Z4647" s="37"/>
      <c r="AA4647" s="37"/>
      <c r="AD4647" s="37"/>
      <c r="AE4647" s="37"/>
      <c r="AF4647" s="37"/>
    </row>
    <row r="4648" spans="1:32" x14ac:dyDescent="0.25">
      <c r="A4648" s="37"/>
      <c r="B4648" s="37"/>
      <c r="C4648" s="37"/>
      <c r="F4648" s="38"/>
      <c r="G4648" s="38"/>
      <c r="H4648" s="38"/>
      <c r="I4648" s="37"/>
      <c r="J4648" s="38"/>
      <c r="K4648" s="38"/>
      <c r="L4648" s="42"/>
      <c r="M4648" s="42"/>
      <c r="N4648" s="42"/>
      <c r="O4648" s="42"/>
      <c r="R4648" s="37"/>
      <c r="S4648" s="37"/>
      <c r="T4648" s="91"/>
      <c r="U4648" s="91"/>
      <c r="V4648" s="41"/>
      <c r="W4648" s="37"/>
      <c r="X4648" s="37"/>
      <c r="Y4648" s="43"/>
      <c r="Z4648" s="37"/>
      <c r="AA4648" s="37"/>
      <c r="AD4648" s="37"/>
      <c r="AE4648" s="37"/>
      <c r="AF4648" s="37"/>
    </row>
    <row r="4649" spans="1:32" x14ac:dyDescent="0.25">
      <c r="A4649" s="37"/>
      <c r="B4649" s="37"/>
      <c r="C4649" s="37"/>
      <c r="F4649" s="38"/>
      <c r="G4649" s="38"/>
      <c r="H4649" s="38"/>
      <c r="I4649" s="37"/>
      <c r="J4649" s="38"/>
      <c r="K4649" s="38"/>
      <c r="L4649" s="42"/>
      <c r="M4649" s="42"/>
      <c r="N4649" s="42"/>
      <c r="O4649" s="42"/>
      <c r="R4649" s="37"/>
      <c r="S4649" s="37"/>
      <c r="T4649" s="91"/>
      <c r="U4649" s="91"/>
      <c r="V4649" s="41"/>
      <c r="W4649" s="37"/>
      <c r="X4649" s="37"/>
      <c r="Y4649" s="43"/>
      <c r="Z4649" s="37"/>
      <c r="AA4649" s="37"/>
      <c r="AD4649" s="37"/>
      <c r="AE4649" s="37"/>
      <c r="AF4649" s="37"/>
    </row>
    <row r="4650" spans="1:32" x14ac:dyDescent="0.25">
      <c r="A4650" s="37"/>
      <c r="B4650" s="37"/>
      <c r="C4650" s="37"/>
      <c r="F4650" s="38"/>
      <c r="G4650" s="38"/>
      <c r="H4650" s="38"/>
      <c r="I4650" s="37"/>
      <c r="J4650" s="38"/>
      <c r="K4650" s="38"/>
      <c r="L4650" s="42"/>
      <c r="M4650" s="42"/>
      <c r="N4650" s="42"/>
      <c r="O4650" s="42"/>
      <c r="R4650" s="37"/>
      <c r="S4650" s="37"/>
      <c r="T4650" s="91"/>
      <c r="U4650" s="91"/>
      <c r="V4650" s="41"/>
      <c r="W4650" s="37"/>
      <c r="X4650" s="37"/>
      <c r="Y4650" s="43"/>
      <c r="Z4650" s="37"/>
      <c r="AA4650" s="37"/>
      <c r="AD4650" s="37"/>
      <c r="AE4650" s="37"/>
      <c r="AF4650" s="37"/>
    </row>
    <row r="4651" spans="1:32" x14ac:dyDescent="0.25">
      <c r="A4651" s="37"/>
      <c r="B4651" s="37"/>
      <c r="C4651" s="37"/>
      <c r="F4651" s="38"/>
      <c r="G4651" s="38"/>
      <c r="H4651" s="38"/>
      <c r="I4651" s="37"/>
      <c r="J4651" s="38"/>
      <c r="K4651" s="38"/>
      <c r="L4651" s="42"/>
      <c r="M4651" s="42"/>
      <c r="N4651" s="42"/>
      <c r="O4651" s="42"/>
      <c r="R4651" s="37"/>
      <c r="S4651" s="37"/>
      <c r="T4651" s="91"/>
      <c r="U4651" s="91"/>
      <c r="V4651" s="41"/>
      <c r="W4651" s="37"/>
      <c r="X4651" s="37"/>
      <c r="Y4651" s="43"/>
      <c r="Z4651" s="37"/>
      <c r="AA4651" s="37"/>
      <c r="AD4651" s="37"/>
      <c r="AE4651" s="37"/>
      <c r="AF4651" s="37"/>
    </row>
    <row r="4652" spans="1:32" x14ac:dyDescent="0.25">
      <c r="A4652" s="37"/>
      <c r="B4652" s="37"/>
      <c r="C4652" s="37"/>
      <c r="F4652" s="38"/>
      <c r="G4652" s="38"/>
      <c r="H4652" s="38"/>
      <c r="I4652" s="37"/>
      <c r="J4652" s="38"/>
      <c r="K4652" s="38"/>
      <c r="L4652" s="42"/>
      <c r="M4652" s="42"/>
      <c r="N4652" s="42"/>
      <c r="O4652" s="42"/>
      <c r="R4652" s="37"/>
      <c r="S4652" s="37"/>
      <c r="T4652" s="91"/>
      <c r="U4652" s="91"/>
      <c r="V4652" s="41"/>
      <c r="W4652" s="37"/>
      <c r="X4652" s="37"/>
      <c r="Y4652" s="43"/>
      <c r="Z4652" s="37"/>
      <c r="AA4652" s="37"/>
      <c r="AD4652" s="37"/>
      <c r="AE4652" s="37"/>
      <c r="AF4652" s="37"/>
    </row>
    <row r="4653" spans="1:32" x14ac:dyDescent="0.25">
      <c r="A4653" s="37"/>
      <c r="B4653" s="37"/>
      <c r="C4653" s="37"/>
      <c r="F4653" s="38"/>
      <c r="G4653" s="38"/>
      <c r="H4653" s="38"/>
      <c r="I4653" s="37"/>
      <c r="J4653" s="38"/>
      <c r="K4653" s="38"/>
      <c r="L4653" s="42"/>
      <c r="M4653" s="42"/>
      <c r="N4653" s="42"/>
      <c r="O4653" s="42"/>
      <c r="R4653" s="37"/>
      <c r="S4653" s="37"/>
      <c r="T4653" s="91"/>
      <c r="U4653" s="91"/>
      <c r="V4653" s="41"/>
      <c r="W4653" s="37"/>
      <c r="X4653" s="37"/>
      <c r="Y4653" s="43"/>
      <c r="Z4653" s="37"/>
      <c r="AA4653" s="37"/>
      <c r="AD4653" s="37"/>
      <c r="AE4653" s="37"/>
      <c r="AF4653" s="37"/>
    </row>
    <row r="4654" spans="1:32" x14ac:dyDescent="0.25">
      <c r="A4654" s="37"/>
      <c r="B4654" s="37"/>
      <c r="C4654" s="37"/>
      <c r="F4654" s="38"/>
      <c r="G4654" s="38"/>
      <c r="H4654" s="38"/>
      <c r="I4654" s="37"/>
      <c r="J4654" s="38"/>
      <c r="K4654" s="38"/>
      <c r="L4654" s="42"/>
      <c r="M4654" s="42"/>
      <c r="N4654" s="42"/>
      <c r="O4654" s="42"/>
      <c r="R4654" s="37"/>
      <c r="S4654" s="37"/>
      <c r="T4654" s="91"/>
      <c r="U4654" s="91"/>
      <c r="V4654" s="41"/>
      <c r="W4654" s="37"/>
      <c r="X4654" s="37"/>
      <c r="Y4654" s="43"/>
      <c r="Z4654" s="37"/>
      <c r="AA4654" s="37"/>
      <c r="AD4654" s="37"/>
      <c r="AE4654" s="37"/>
      <c r="AF4654" s="37"/>
    </row>
    <row r="4655" spans="1:32" x14ac:dyDescent="0.25">
      <c r="A4655" s="37"/>
      <c r="B4655" s="37"/>
      <c r="C4655" s="37"/>
      <c r="F4655" s="38"/>
      <c r="G4655" s="38"/>
      <c r="H4655" s="38"/>
      <c r="I4655" s="37"/>
      <c r="J4655" s="38"/>
      <c r="K4655" s="38"/>
      <c r="L4655" s="42"/>
      <c r="M4655" s="42"/>
      <c r="N4655" s="42"/>
      <c r="O4655" s="42"/>
      <c r="R4655" s="37"/>
      <c r="S4655" s="37"/>
      <c r="T4655" s="91"/>
      <c r="U4655" s="91"/>
      <c r="V4655" s="41"/>
      <c r="W4655" s="37"/>
      <c r="X4655" s="37"/>
      <c r="Y4655" s="43"/>
      <c r="Z4655" s="37"/>
      <c r="AA4655" s="37"/>
      <c r="AD4655" s="37"/>
      <c r="AE4655" s="37"/>
      <c r="AF4655" s="37"/>
    </row>
    <row r="4656" spans="1:32" x14ac:dyDescent="0.25">
      <c r="A4656" s="37"/>
      <c r="B4656" s="37"/>
      <c r="C4656" s="37"/>
      <c r="F4656" s="38"/>
      <c r="G4656" s="38"/>
      <c r="H4656" s="38"/>
      <c r="I4656" s="37"/>
      <c r="J4656" s="38"/>
      <c r="K4656" s="38"/>
      <c r="L4656" s="42"/>
      <c r="M4656" s="42"/>
      <c r="N4656" s="42"/>
      <c r="O4656" s="42"/>
      <c r="R4656" s="37"/>
      <c r="S4656" s="37"/>
      <c r="T4656" s="91"/>
      <c r="U4656" s="91"/>
      <c r="V4656" s="41"/>
      <c r="W4656" s="37"/>
      <c r="X4656" s="37"/>
      <c r="Y4656" s="43"/>
      <c r="Z4656" s="37"/>
      <c r="AA4656" s="37"/>
      <c r="AD4656" s="37"/>
      <c r="AE4656" s="37"/>
      <c r="AF4656" s="37"/>
    </row>
    <row r="4657" spans="1:32" x14ac:dyDescent="0.25">
      <c r="A4657" s="37"/>
      <c r="B4657" s="37"/>
      <c r="C4657" s="37"/>
      <c r="F4657" s="38"/>
      <c r="G4657" s="38"/>
      <c r="H4657" s="38"/>
      <c r="I4657" s="37"/>
      <c r="J4657" s="38"/>
      <c r="K4657" s="38"/>
      <c r="L4657" s="42"/>
      <c r="M4657" s="42"/>
      <c r="N4657" s="42"/>
      <c r="O4657" s="42"/>
      <c r="R4657" s="37"/>
      <c r="S4657" s="37"/>
      <c r="T4657" s="91"/>
      <c r="U4657" s="91"/>
      <c r="V4657" s="41"/>
      <c r="W4657" s="37"/>
      <c r="X4657" s="37"/>
      <c r="Y4657" s="43"/>
      <c r="Z4657" s="37"/>
      <c r="AA4657" s="37"/>
      <c r="AD4657" s="37"/>
      <c r="AE4657" s="37"/>
      <c r="AF4657" s="37"/>
    </row>
    <row r="4658" spans="1:32" x14ac:dyDescent="0.25">
      <c r="A4658" s="37"/>
      <c r="B4658" s="37"/>
      <c r="C4658" s="37"/>
      <c r="F4658" s="38"/>
      <c r="G4658" s="38"/>
      <c r="H4658" s="38"/>
      <c r="I4658" s="37"/>
      <c r="J4658" s="38"/>
      <c r="K4658" s="38"/>
      <c r="L4658" s="42"/>
      <c r="M4658" s="42"/>
      <c r="N4658" s="42"/>
      <c r="O4658" s="42"/>
      <c r="R4658" s="37"/>
      <c r="S4658" s="37"/>
      <c r="T4658" s="91"/>
      <c r="U4658" s="91"/>
      <c r="V4658" s="41"/>
      <c r="W4658" s="37"/>
      <c r="X4658" s="37"/>
      <c r="Y4658" s="43"/>
      <c r="Z4658" s="37"/>
      <c r="AA4658" s="37"/>
      <c r="AD4658" s="37"/>
      <c r="AE4658" s="37"/>
      <c r="AF4658" s="37"/>
    </row>
    <row r="4659" spans="1:32" x14ac:dyDescent="0.25">
      <c r="A4659" s="37"/>
      <c r="B4659" s="37"/>
      <c r="C4659" s="37"/>
      <c r="F4659" s="38"/>
      <c r="G4659" s="38"/>
      <c r="H4659" s="38"/>
      <c r="I4659" s="37"/>
      <c r="J4659" s="38"/>
      <c r="K4659" s="38"/>
      <c r="L4659" s="42"/>
      <c r="M4659" s="42"/>
      <c r="N4659" s="42"/>
      <c r="O4659" s="42"/>
      <c r="R4659" s="37"/>
      <c r="S4659" s="37"/>
      <c r="T4659" s="91"/>
      <c r="U4659" s="91"/>
      <c r="V4659" s="41"/>
      <c r="W4659" s="37"/>
      <c r="X4659" s="37"/>
      <c r="Y4659" s="43"/>
      <c r="Z4659" s="37"/>
      <c r="AA4659" s="37"/>
      <c r="AD4659" s="37"/>
      <c r="AE4659" s="37"/>
      <c r="AF4659" s="37"/>
    </row>
    <row r="4660" spans="1:32" x14ac:dyDescent="0.25">
      <c r="A4660" s="37"/>
      <c r="B4660" s="37"/>
      <c r="C4660" s="37"/>
      <c r="F4660" s="38"/>
      <c r="G4660" s="38"/>
      <c r="H4660" s="38"/>
      <c r="I4660" s="37"/>
      <c r="J4660" s="38"/>
      <c r="K4660" s="38"/>
      <c r="L4660" s="42"/>
      <c r="M4660" s="42"/>
      <c r="N4660" s="42"/>
      <c r="O4660" s="42"/>
      <c r="R4660" s="37"/>
      <c r="S4660" s="37"/>
      <c r="T4660" s="91"/>
      <c r="U4660" s="91"/>
      <c r="V4660" s="41"/>
      <c r="W4660" s="37"/>
      <c r="X4660" s="37"/>
      <c r="Y4660" s="43"/>
      <c r="Z4660" s="37"/>
      <c r="AA4660" s="37"/>
      <c r="AD4660" s="37"/>
      <c r="AE4660" s="37"/>
      <c r="AF4660" s="37"/>
    </row>
    <row r="4661" spans="1:32" x14ac:dyDescent="0.25">
      <c r="A4661" s="37"/>
      <c r="B4661" s="37"/>
      <c r="C4661" s="37"/>
      <c r="F4661" s="38"/>
      <c r="G4661" s="38"/>
      <c r="H4661" s="38"/>
      <c r="I4661" s="37"/>
      <c r="J4661" s="38"/>
      <c r="K4661" s="38"/>
      <c r="L4661" s="42"/>
      <c r="M4661" s="42"/>
      <c r="N4661" s="42"/>
      <c r="O4661" s="42"/>
      <c r="R4661" s="37"/>
      <c r="S4661" s="37"/>
      <c r="T4661" s="91"/>
      <c r="U4661" s="91"/>
      <c r="V4661" s="41"/>
      <c r="W4661" s="37"/>
      <c r="X4661" s="37"/>
      <c r="Y4661" s="43"/>
      <c r="Z4661" s="37"/>
      <c r="AA4661" s="37"/>
      <c r="AD4661" s="37"/>
      <c r="AE4661" s="37"/>
      <c r="AF4661" s="37"/>
    </row>
    <row r="4662" spans="1:32" x14ac:dyDescent="0.25">
      <c r="A4662" s="37"/>
      <c r="B4662" s="37"/>
      <c r="C4662" s="37"/>
      <c r="F4662" s="38"/>
      <c r="G4662" s="38"/>
      <c r="H4662" s="38"/>
      <c r="I4662" s="37"/>
      <c r="J4662" s="38"/>
      <c r="K4662" s="38"/>
      <c r="L4662" s="42"/>
      <c r="M4662" s="42"/>
      <c r="N4662" s="42"/>
      <c r="O4662" s="42"/>
      <c r="R4662" s="37"/>
      <c r="S4662" s="37"/>
      <c r="T4662" s="91"/>
      <c r="U4662" s="91"/>
      <c r="V4662" s="41"/>
      <c r="W4662" s="37"/>
      <c r="X4662" s="37"/>
      <c r="Y4662" s="43"/>
      <c r="Z4662" s="37"/>
      <c r="AA4662" s="37"/>
      <c r="AD4662" s="37"/>
      <c r="AE4662" s="37"/>
      <c r="AF4662" s="37"/>
    </row>
    <row r="4663" spans="1:32" x14ac:dyDescent="0.25">
      <c r="A4663" s="37"/>
      <c r="B4663" s="37"/>
      <c r="C4663" s="37"/>
      <c r="F4663" s="38"/>
      <c r="G4663" s="38"/>
      <c r="H4663" s="38"/>
      <c r="I4663" s="37"/>
      <c r="J4663" s="38"/>
      <c r="K4663" s="38"/>
      <c r="L4663" s="42"/>
      <c r="M4663" s="42"/>
      <c r="N4663" s="42"/>
      <c r="O4663" s="42"/>
      <c r="R4663" s="37"/>
      <c r="S4663" s="37"/>
      <c r="T4663" s="91"/>
      <c r="U4663" s="91"/>
      <c r="V4663" s="41"/>
      <c r="W4663" s="37"/>
      <c r="X4663" s="37"/>
      <c r="Y4663" s="43"/>
      <c r="Z4663" s="37"/>
      <c r="AA4663" s="37"/>
      <c r="AD4663" s="37"/>
      <c r="AE4663" s="37"/>
      <c r="AF4663" s="37"/>
    </row>
    <row r="4664" spans="1:32" x14ac:dyDescent="0.25">
      <c r="A4664" s="37"/>
      <c r="B4664" s="37"/>
      <c r="C4664" s="37"/>
      <c r="F4664" s="38"/>
      <c r="G4664" s="38"/>
      <c r="H4664" s="38"/>
      <c r="I4664" s="37"/>
      <c r="J4664" s="38"/>
      <c r="K4664" s="38"/>
      <c r="L4664" s="42"/>
      <c r="M4664" s="42"/>
      <c r="N4664" s="42"/>
      <c r="O4664" s="42"/>
      <c r="R4664" s="37"/>
      <c r="S4664" s="37"/>
      <c r="T4664" s="91"/>
      <c r="U4664" s="91"/>
      <c r="V4664" s="41"/>
      <c r="W4664" s="37"/>
      <c r="X4664" s="37"/>
      <c r="Y4664" s="43"/>
      <c r="Z4664" s="37"/>
      <c r="AA4664" s="37"/>
      <c r="AD4664" s="37"/>
      <c r="AE4664" s="37"/>
      <c r="AF4664" s="37"/>
    </row>
    <row r="4665" spans="1:32" x14ac:dyDescent="0.25">
      <c r="A4665" s="37"/>
      <c r="B4665" s="37"/>
      <c r="C4665" s="37"/>
      <c r="F4665" s="38"/>
      <c r="G4665" s="38"/>
      <c r="H4665" s="38"/>
      <c r="I4665" s="37"/>
      <c r="J4665" s="38"/>
      <c r="K4665" s="38"/>
      <c r="L4665" s="42"/>
      <c r="M4665" s="42"/>
      <c r="N4665" s="42"/>
      <c r="O4665" s="42"/>
      <c r="R4665" s="37"/>
      <c r="S4665" s="37"/>
      <c r="T4665" s="91"/>
      <c r="U4665" s="91"/>
      <c r="V4665" s="41"/>
      <c r="W4665" s="37"/>
      <c r="X4665" s="37"/>
      <c r="Y4665" s="43"/>
      <c r="Z4665" s="37"/>
      <c r="AA4665" s="37"/>
      <c r="AD4665" s="37"/>
      <c r="AE4665" s="37"/>
      <c r="AF4665" s="37"/>
    </row>
    <row r="4666" spans="1:32" x14ac:dyDescent="0.25">
      <c r="A4666" s="37"/>
      <c r="B4666" s="37"/>
      <c r="C4666" s="37"/>
      <c r="F4666" s="38"/>
      <c r="G4666" s="38"/>
      <c r="H4666" s="38"/>
      <c r="I4666" s="37"/>
      <c r="J4666" s="38"/>
      <c r="K4666" s="38"/>
      <c r="L4666" s="42"/>
      <c r="M4666" s="42"/>
      <c r="N4666" s="42"/>
      <c r="O4666" s="42"/>
      <c r="R4666" s="37"/>
      <c r="S4666" s="37"/>
      <c r="T4666" s="91"/>
      <c r="U4666" s="91"/>
      <c r="V4666" s="41"/>
      <c r="W4666" s="37"/>
      <c r="X4666" s="37"/>
      <c r="Y4666" s="43"/>
      <c r="Z4666" s="37"/>
      <c r="AA4666" s="37"/>
      <c r="AD4666" s="37"/>
      <c r="AE4666" s="37"/>
      <c r="AF4666" s="37"/>
    </row>
    <row r="4667" spans="1:32" x14ac:dyDescent="0.25">
      <c r="A4667" s="37"/>
      <c r="B4667" s="37"/>
      <c r="C4667" s="37"/>
      <c r="F4667" s="38"/>
      <c r="G4667" s="38"/>
      <c r="H4667" s="38"/>
      <c r="I4667" s="37"/>
      <c r="J4667" s="38"/>
      <c r="K4667" s="38"/>
      <c r="L4667" s="42"/>
      <c r="M4667" s="42"/>
      <c r="N4667" s="42"/>
      <c r="O4667" s="42"/>
      <c r="R4667" s="37"/>
      <c r="S4667" s="37"/>
      <c r="T4667" s="91"/>
      <c r="U4667" s="91"/>
      <c r="V4667" s="41"/>
      <c r="W4667" s="37"/>
      <c r="X4667" s="37"/>
      <c r="Y4667" s="43"/>
      <c r="Z4667" s="37"/>
      <c r="AA4667" s="37"/>
      <c r="AD4667" s="37"/>
      <c r="AE4667" s="37"/>
      <c r="AF4667" s="37"/>
    </row>
    <row r="4668" spans="1:32" x14ac:dyDescent="0.25">
      <c r="A4668" s="37"/>
      <c r="B4668" s="37"/>
      <c r="C4668" s="37"/>
      <c r="F4668" s="38"/>
      <c r="G4668" s="38"/>
      <c r="H4668" s="38"/>
      <c r="I4668" s="37"/>
      <c r="J4668" s="38"/>
      <c r="K4668" s="38"/>
      <c r="L4668" s="42"/>
      <c r="M4668" s="42"/>
      <c r="N4668" s="42"/>
      <c r="O4668" s="42"/>
      <c r="R4668" s="37"/>
      <c r="S4668" s="37"/>
      <c r="T4668" s="91"/>
      <c r="U4668" s="91"/>
      <c r="V4668" s="41"/>
      <c r="W4668" s="37"/>
      <c r="X4668" s="37"/>
      <c r="Y4668" s="43"/>
      <c r="Z4668" s="37"/>
      <c r="AA4668" s="37"/>
      <c r="AD4668" s="37"/>
      <c r="AE4668" s="37"/>
      <c r="AF4668" s="37"/>
    </row>
    <row r="4669" spans="1:32" x14ac:dyDescent="0.25">
      <c r="A4669" s="37"/>
      <c r="B4669" s="37"/>
      <c r="C4669" s="37"/>
      <c r="F4669" s="38"/>
      <c r="G4669" s="38"/>
      <c r="H4669" s="38"/>
      <c r="I4669" s="37"/>
      <c r="J4669" s="38"/>
      <c r="K4669" s="38"/>
      <c r="L4669" s="42"/>
      <c r="M4669" s="42"/>
      <c r="N4669" s="42"/>
      <c r="O4669" s="42"/>
      <c r="R4669" s="37"/>
      <c r="S4669" s="37"/>
      <c r="T4669" s="91"/>
      <c r="U4669" s="91"/>
      <c r="V4669" s="41"/>
      <c r="W4669" s="37"/>
      <c r="X4669" s="37"/>
      <c r="Y4669" s="43"/>
      <c r="Z4669" s="37"/>
      <c r="AA4669" s="37"/>
      <c r="AD4669" s="37"/>
      <c r="AE4669" s="37"/>
      <c r="AF4669" s="37"/>
    </row>
    <row r="4670" spans="1:32" x14ac:dyDescent="0.25">
      <c r="A4670" s="37"/>
      <c r="B4670" s="37"/>
      <c r="C4670" s="37"/>
      <c r="F4670" s="38"/>
      <c r="G4670" s="38"/>
      <c r="H4670" s="38"/>
      <c r="I4670" s="37"/>
      <c r="J4670" s="38"/>
      <c r="K4670" s="38"/>
      <c r="L4670" s="42"/>
      <c r="M4670" s="42"/>
      <c r="N4670" s="42"/>
      <c r="O4670" s="42"/>
      <c r="R4670" s="37"/>
      <c r="S4670" s="37"/>
      <c r="T4670" s="91"/>
      <c r="U4670" s="91"/>
      <c r="V4670" s="41"/>
      <c r="W4670" s="37"/>
      <c r="X4670" s="37"/>
      <c r="Y4670" s="43"/>
      <c r="Z4670" s="37"/>
      <c r="AA4670" s="37"/>
      <c r="AD4670" s="37"/>
      <c r="AE4670" s="37"/>
      <c r="AF4670" s="37"/>
    </row>
    <row r="4671" spans="1:32" x14ac:dyDescent="0.25">
      <c r="A4671" s="37"/>
      <c r="B4671" s="37"/>
      <c r="C4671" s="37"/>
      <c r="F4671" s="38"/>
      <c r="G4671" s="38"/>
      <c r="H4671" s="38"/>
      <c r="I4671" s="37"/>
      <c r="J4671" s="38"/>
      <c r="K4671" s="38"/>
      <c r="L4671" s="42"/>
      <c r="M4671" s="42"/>
      <c r="N4671" s="42"/>
      <c r="O4671" s="42"/>
      <c r="R4671" s="37"/>
      <c r="S4671" s="37"/>
      <c r="T4671" s="91"/>
      <c r="U4671" s="91"/>
      <c r="V4671" s="41"/>
      <c r="W4671" s="37"/>
      <c r="X4671" s="37"/>
      <c r="Y4671" s="43"/>
      <c r="Z4671" s="37"/>
      <c r="AA4671" s="37"/>
      <c r="AD4671" s="37"/>
      <c r="AE4671" s="37"/>
      <c r="AF4671" s="37"/>
    </row>
    <row r="4672" spans="1:32" x14ac:dyDescent="0.25">
      <c r="A4672" s="37"/>
      <c r="B4672" s="37"/>
      <c r="C4672" s="37"/>
      <c r="F4672" s="38"/>
      <c r="G4672" s="38"/>
      <c r="H4672" s="38"/>
      <c r="I4672" s="37"/>
      <c r="J4672" s="38"/>
      <c r="K4672" s="38"/>
      <c r="L4672" s="42"/>
      <c r="M4672" s="42"/>
      <c r="N4672" s="42"/>
      <c r="O4672" s="42"/>
      <c r="R4672" s="37"/>
      <c r="S4672" s="37"/>
      <c r="T4672" s="91"/>
      <c r="U4672" s="91"/>
      <c r="V4672" s="41"/>
      <c r="W4672" s="37"/>
      <c r="X4672" s="37"/>
      <c r="Y4672" s="43"/>
      <c r="Z4672" s="37"/>
      <c r="AA4672" s="37"/>
      <c r="AD4672" s="37"/>
      <c r="AE4672" s="37"/>
      <c r="AF4672" s="37"/>
    </row>
    <row r="4673" spans="1:32" x14ac:dyDescent="0.25">
      <c r="A4673" s="37"/>
      <c r="B4673" s="37"/>
      <c r="C4673" s="37"/>
      <c r="F4673" s="38"/>
      <c r="G4673" s="38"/>
      <c r="H4673" s="38"/>
      <c r="I4673" s="37"/>
      <c r="J4673" s="38"/>
      <c r="K4673" s="38"/>
      <c r="L4673" s="42"/>
      <c r="M4673" s="42"/>
      <c r="N4673" s="42"/>
      <c r="O4673" s="42"/>
      <c r="R4673" s="37"/>
      <c r="S4673" s="37"/>
      <c r="T4673" s="91"/>
      <c r="U4673" s="91"/>
      <c r="V4673" s="41"/>
      <c r="W4673" s="37"/>
      <c r="X4673" s="37"/>
      <c r="Y4673" s="43"/>
      <c r="Z4673" s="37"/>
      <c r="AA4673" s="37"/>
      <c r="AD4673" s="37"/>
      <c r="AE4673" s="37"/>
      <c r="AF4673" s="37"/>
    </row>
    <row r="4674" spans="1:32" x14ac:dyDescent="0.25">
      <c r="A4674" s="37"/>
      <c r="B4674" s="37"/>
      <c r="C4674" s="37"/>
      <c r="F4674" s="38"/>
      <c r="G4674" s="38"/>
      <c r="H4674" s="38"/>
      <c r="I4674" s="37"/>
      <c r="J4674" s="38"/>
      <c r="K4674" s="38"/>
      <c r="L4674" s="42"/>
      <c r="M4674" s="42"/>
      <c r="N4674" s="42"/>
      <c r="O4674" s="42"/>
      <c r="R4674" s="37"/>
      <c r="S4674" s="37"/>
      <c r="T4674" s="91"/>
      <c r="U4674" s="91"/>
      <c r="V4674" s="41"/>
      <c r="W4674" s="37"/>
      <c r="X4674" s="37"/>
      <c r="Y4674" s="43"/>
      <c r="Z4674" s="37"/>
      <c r="AA4674" s="37"/>
      <c r="AD4674" s="37"/>
      <c r="AE4674" s="37"/>
      <c r="AF4674" s="37"/>
    </row>
    <row r="4675" spans="1:32" x14ac:dyDescent="0.25">
      <c r="A4675" s="37"/>
      <c r="B4675" s="37"/>
      <c r="C4675" s="37"/>
      <c r="F4675" s="38"/>
      <c r="G4675" s="38"/>
      <c r="H4675" s="38"/>
      <c r="I4675" s="37"/>
      <c r="J4675" s="38"/>
      <c r="K4675" s="38"/>
      <c r="L4675" s="42"/>
      <c r="M4675" s="42"/>
      <c r="N4675" s="42"/>
      <c r="O4675" s="42"/>
      <c r="R4675" s="37"/>
      <c r="S4675" s="37"/>
      <c r="T4675" s="91"/>
      <c r="U4675" s="91"/>
      <c r="V4675" s="41"/>
      <c r="W4675" s="37"/>
      <c r="X4675" s="37"/>
      <c r="Y4675" s="43"/>
      <c r="Z4675" s="37"/>
      <c r="AA4675" s="37"/>
      <c r="AD4675" s="37"/>
      <c r="AE4675" s="37"/>
      <c r="AF4675" s="37"/>
    </row>
    <row r="4676" spans="1:32" x14ac:dyDescent="0.25">
      <c r="A4676" s="37"/>
      <c r="B4676" s="37"/>
      <c r="C4676" s="37"/>
      <c r="F4676" s="38"/>
      <c r="G4676" s="38"/>
      <c r="H4676" s="38"/>
      <c r="I4676" s="37"/>
      <c r="J4676" s="38"/>
      <c r="K4676" s="38"/>
      <c r="L4676" s="42"/>
      <c r="M4676" s="42"/>
      <c r="N4676" s="42"/>
      <c r="O4676" s="42"/>
      <c r="R4676" s="37"/>
      <c r="S4676" s="37"/>
      <c r="T4676" s="91"/>
      <c r="U4676" s="91"/>
      <c r="V4676" s="41"/>
      <c r="W4676" s="37"/>
      <c r="X4676" s="37"/>
      <c r="Y4676" s="43"/>
      <c r="Z4676" s="37"/>
      <c r="AA4676" s="37"/>
      <c r="AD4676" s="37"/>
      <c r="AE4676" s="37"/>
      <c r="AF4676" s="37"/>
    </row>
    <row r="4677" spans="1:32" x14ac:dyDescent="0.25">
      <c r="A4677" s="37"/>
      <c r="B4677" s="37"/>
      <c r="C4677" s="37"/>
      <c r="F4677" s="38"/>
      <c r="G4677" s="38"/>
      <c r="H4677" s="38"/>
      <c r="I4677" s="37"/>
      <c r="J4677" s="38"/>
      <c r="K4677" s="38"/>
      <c r="L4677" s="42"/>
      <c r="M4677" s="42"/>
      <c r="N4677" s="42"/>
      <c r="O4677" s="42"/>
      <c r="R4677" s="37"/>
      <c r="S4677" s="37"/>
      <c r="T4677" s="91"/>
      <c r="U4677" s="91"/>
      <c r="V4677" s="41"/>
      <c r="W4677" s="37"/>
      <c r="X4677" s="37"/>
      <c r="Y4677" s="43"/>
      <c r="Z4677" s="37"/>
      <c r="AA4677" s="37"/>
      <c r="AD4677" s="37"/>
      <c r="AE4677" s="37"/>
      <c r="AF4677" s="37"/>
    </row>
    <row r="4678" spans="1:32" x14ac:dyDescent="0.25">
      <c r="A4678" s="37"/>
      <c r="B4678" s="37"/>
      <c r="C4678" s="37"/>
      <c r="F4678" s="38"/>
      <c r="G4678" s="38"/>
      <c r="H4678" s="38"/>
      <c r="I4678" s="37"/>
      <c r="J4678" s="38"/>
      <c r="K4678" s="38"/>
      <c r="L4678" s="42"/>
      <c r="M4678" s="42"/>
      <c r="N4678" s="42"/>
      <c r="O4678" s="42"/>
      <c r="R4678" s="37"/>
      <c r="S4678" s="37"/>
      <c r="T4678" s="91"/>
      <c r="U4678" s="91"/>
      <c r="V4678" s="41"/>
      <c r="W4678" s="37"/>
      <c r="X4678" s="37"/>
      <c r="Y4678" s="43"/>
      <c r="Z4678" s="37"/>
      <c r="AA4678" s="37"/>
      <c r="AD4678" s="37"/>
      <c r="AE4678" s="37"/>
      <c r="AF4678" s="37"/>
    </row>
    <row r="4679" spans="1:32" x14ac:dyDescent="0.25">
      <c r="A4679" s="37"/>
      <c r="B4679" s="37"/>
      <c r="C4679" s="37"/>
      <c r="F4679" s="38"/>
      <c r="G4679" s="38"/>
      <c r="H4679" s="38"/>
      <c r="I4679" s="37"/>
      <c r="J4679" s="38"/>
      <c r="K4679" s="38"/>
      <c r="L4679" s="42"/>
      <c r="M4679" s="42"/>
      <c r="N4679" s="42"/>
      <c r="O4679" s="42"/>
      <c r="R4679" s="37"/>
      <c r="S4679" s="37"/>
      <c r="T4679" s="91"/>
      <c r="U4679" s="91"/>
      <c r="V4679" s="41"/>
      <c r="W4679" s="37"/>
      <c r="X4679" s="37"/>
      <c r="Y4679" s="43"/>
      <c r="Z4679" s="37"/>
      <c r="AA4679" s="37"/>
      <c r="AD4679" s="37"/>
      <c r="AE4679" s="37"/>
      <c r="AF4679" s="37"/>
    </row>
    <row r="4680" spans="1:32" x14ac:dyDescent="0.25">
      <c r="A4680" s="37"/>
      <c r="B4680" s="37"/>
      <c r="C4680" s="37"/>
      <c r="F4680" s="38"/>
      <c r="G4680" s="38"/>
      <c r="H4680" s="38"/>
      <c r="I4680" s="37"/>
      <c r="J4680" s="38"/>
      <c r="K4680" s="38"/>
      <c r="L4680" s="42"/>
      <c r="M4680" s="42"/>
      <c r="N4680" s="42"/>
      <c r="O4680" s="42"/>
      <c r="R4680" s="37"/>
      <c r="S4680" s="37"/>
      <c r="T4680" s="91"/>
      <c r="U4680" s="91"/>
      <c r="V4680" s="41"/>
      <c r="W4680" s="37"/>
      <c r="X4680" s="37"/>
      <c r="Y4680" s="43"/>
      <c r="Z4680" s="37"/>
      <c r="AA4680" s="37"/>
      <c r="AD4680" s="37"/>
      <c r="AE4680" s="37"/>
      <c r="AF4680" s="37"/>
    </row>
    <row r="4681" spans="1:32" x14ac:dyDescent="0.25">
      <c r="A4681" s="37"/>
      <c r="B4681" s="37"/>
      <c r="C4681" s="37"/>
      <c r="F4681" s="38"/>
      <c r="G4681" s="38"/>
      <c r="H4681" s="38"/>
      <c r="I4681" s="37"/>
      <c r="J4681" s="38"/>
      <c r="K4681" s="38"/>
      <c r="L4681" s="42"/>
      <c r="M4681" s="42"/>
      <c r="N4681" s="42"/>
      <c r="O4681" s="42"/>
      <c r="R4681" s="37"/>
      <c r="S4681" s="37"/>
      <c r="T4681" s="91"/>
      <c r="U4681" s="91"/>
      <c r="V4681" s="41"/>
      <c r="W4681" s="37"/>
      <c r="X4681" s="37"/>
      <c r="Y4681" s="43"/>
      <c r="Z4681" s="37"/>
      <c r="AA4681" s="37"/>
      <c r="AD4681" s="37"/>
      <c r="AE4681" s="37"/>
      <c r="AF4681" s="37"/>
    </row>
    <row r="4682" spans="1:32" x14ac:dyDescent="0.25">
      <c r="A4682" s="37"/>
      <c r="B4682" s="37"/>
      <c r="C4682" s="37"/>
      <c r="F4682" s="38"/>
      <c r="G4682" s="38"/>
      <c r="H4682" s="38"/>
      <c r="I4682" s="37"/>
      <c r="J4682" s="38"/>
      <c r="K4682" s="38"/>
      <c r="L4682" s="42"/>
      <c r="M4682" s="42"/>
      <c r="N4682" s="42"/>
      <c r="O4682" s="42"/>
      <c r="R4682" s="37"/>
      <c r="S4682" s="37"/>
      <c r="T4682" s="91"/>
      <c r="U4682" s="91"/>
      <c r="V4682" s="41"/>
      <c r="W4682" s="37"/>
      <c r="X4682" s="37"/>
      <c r="Y4682" s="43"/>
      <c r="Z4682" s="37"/>
      <c r="AA4682" s="37"/>
      <c r="AD4682" s="37"/>
      <c r="AE4682" s="37"/>
      <c r="AF4682" s="37"/>
    </row>
    <row r="4683" spans="1:32" x14ac:dyDescent="0.25">
      <c r="A4683" s="37"/>
      <c r="B4683" s="37"/>
      <c r="C4683" s="37"/>
      <c r="F4683" s="38"/>
      <c r="G4683" s="38"/>
      <c r="H4683" s="38"/>
      <c r="I4683" s="37"/>
      <c r="J4683" s="38"/>
      <c r="K4683" s="38"/>
      <c r="L4683" s="42"/>
      <c r="M4683" s="42"/>
      <c r="N4683" s="42"/>
      <c r="O4683" s="42"/>
      <c r="R4683" s="37"/>
      <c r="S4683" s="37"/>
      <c r="T4683" s="91"/>
      <c r="U4683" s="91"/>
      <c r="V4683" s="41"/>
      <c r="W4683" s="37"/>
      <c r="X4683" s="37"/>
      <c r="Y4683" s="43"/>
      <c r="Z4683" s="37"/>
      <c r="AA4683" s="37"/>
      <c r="AD4683" s="37"/>
      <c r="AE4683" s="37"/>
      <c r="AF4683" s="37"/>
    </row>
    <row r="4684" spans="1:32" x14ac:dyDescent="0.25">
      <c r="A4684" s="37"/>
      <c r="B4684" s="37"/>
      <c r="C4684" s="37"/>
      <c r="F4684" s="38"/>
      <c r="G4684" s="38"/>
      <c r="H4684" s="38"/>
      <c r="I4684" s="37"/>
      <c r="J4684" s="38"/>
      <c r="K4684" s="38"/>
      <c r="L4684" s="42"/>
      <c r="M4684" s="42"/>
      <c r="N4684" s="42"/>
      <c r="O4684" s="42"/>
      <c r="R4684" s="37"/>
      <c r="S4684" s="37"/>
      <c r="T4684" s="91"/>
      <c r="U4684" s="91"/>
      <c r="V4684" s="41"/>
      <c r="W4684" s="37"/>
      <c r="X4684" s="37"/>
      <c r="Y4684" s="43"/>
      <c r="Z4684" s="37"/>
      <c r="AA4684" s="37"/>
      <c r="AD4684" s="37"/>
      <c r="AE4684" s="37"/>
      <c r="AF4684" s="37"/>
    </row>
    <row r="4685" spans="1:32" x14ac:dyDescent="0.25">
      <c r="A4685" s="37"/>
      <c r="B4685" s="37"/>
      <c r="C4685" s="37"/>
      <c r="F4685" s="38"/>
      <c r="G4685" s="38"/>
      <c r="H4685" s="38"/>
      <c r="I4685" s="37"/>
      <c r="J4685" s="38"/>
      <c r="K4685" s="38"/>
      <c r="L4685" s="42"/>
      <c r="M4685" s="42"/>
      <c r="N4685" s="42"/>
      <c r="O4685" s="42"/>
      <c r="R4685" s="37"/>
      <c r="S4685" s="37"/>
      <c r="T4685" s="91"/>
      <c r="U4685" s="91"/>
      <c r="V4685" s="41"/>
      <c r="W4685" s="37"/>
      <c r="X4685" s="37"/>
      <c r="Y4685" s="43"/>
      <c r="Z4685" s="37"/>
      <c r="AA4685" s="37"/>
      <c r="AD4685" s="37"/>
      <c r="AE4685" s="37"/>
      <c r="AF4685" s="37"/>
    </row>
    <row r="4686" spans="1:32" x14ac:dyDescent="0.25">
      <c r="A4686" s="37"/>
      <c r="B4686" s="37"/>
      <c r="C4686" s="37"/>
      <c r="F4686" s="38"/>
      <c r="G4686" s="38"/>
      <c r="H4686" s="38"/>
      <c r="I4686" s="37"/>
      <c r="J4686" s="38"/>
      <c r="K4686" s="38"/>
      <c r="L4686" s="42"/>
      <c r="M4686" s="42"/>
      <c r="N4686" s="42"/>
      <c r="O4686" s="42"/>
      <c r="R4686" s="37"/>
      <c r="S4686" s="37"/>
      <c r="T4686" s="91"/>
      <c r="U4686" s="91"/>
      <c r="V4686" s="41"/>
      <c r="W4686" s="37"/>
      <c r="X4686" s="37"/>
      <c r="Y4686" s="43"/>
      <c r="Z4686" s="37"/>
      <c r="AA4686" s="37"/>
      <c r="AD4686" s="37"/>
      <c r="AE4686" s="37"/>
      <c r="AF4686" s="37"/>
    </row>
    <row r="4687" spans="1:32" x14ac:dyDescent="0.25">
      <c r="A4687" s="37"/>
      <c r="B4687" s="37"/>
      <c r="C4687" s="37"/>
      <c r="F4687" s="38"/>
      <c r="G4687" s="38"/>
      <c r="H4687" s="38"/>
      <c r="I4687" s="37"/>
      <c r="J4687" s="38"/>
      <c r="K4687" s="38"/>
      <c r="L4687" s="42"/>
      <c r="M4687" s="42"/>
      <c r="N4687" s="42"/>
      <c r="O4687" s="42"/>
      <c r="R4687" s="37"/>
      <c r="S4687" s="37"/>
      <c r="T4687" s="91"/>
      <c r="U4687" s="91"/>
      <c r="V4687" s="41"/>
      <c r="W4687" s="37"/>
      <c r="X4687" s="37"/>
      <c r="Y4687" s="43"/>
      <c r="Z4687" s="37"/>
      <c r="AA4687" s="37"/>
      <c r="AD4687" s="37"/>
      <c r="AE4687" s="37"/>
      <c r="AF4687" s="37"/>
    </row>
    <row r="4688" spans="1:32" x14ac:dyDescent="0.25">
      <c r="A4688" s="37"/>
      <c r="B4688" s="37"/>
      <c r="C4688" s="37"/>
      <c r="F4688" s="38"/>
      <c r="G4688" s="38"/>
      <c r="H4688" s="38"/>
      <c r="I4688" s="37"/>
      <c r="J4688" s="38"/>
      <c r="K4688" s="38"/>
      <c r="L4688" s="42"/>
      <c r="M4688" s="42"/>
      <c r="N4688" s="42"/>
      <c r="O4688" s="42"/>
      <c r="R4688" s="37"/>
      <c r="S4688" s="37"/>
      <c r="T4688" s="91"/>
      <c r="U4688" s="91"/>
      <c r="V4688" s="41"/>
      <c r="W4688" s="37"/>
      <c r="X4688" s="37"/>
      <c r="Y4688" s="43"/>
      <c r="Z4688" s="37"/>
      <c r="AA4688" s="37"/>
      <c r="AD4688" s="37"/>
      <c r="AE4688" s="37"/>
      <c r="AF4688" s="37"/>
    </row>
    <row r="4689" spans="1:32" x14ac:dyDescent="0.25">
      <c r="A4689" s="37"/>
      <c r="B4689" s="37"/>
      <c r="C4689" s="37"/>
      <c r="F4689" s="38"/>
      <c r="G4689" s="38"/>
      <c r="H4689" s="38"/>
      <c r="I4689" s="37"/>
      <c r="J4689" s="38"/>
      <c r="K4689" s="38"/>
      <c r="L4689" s="42"/>
      <c r="M4689" s="42"/>
      <c r="N4689" s="42"/>
      <c r="O4689" s="42"/>
      <c r="R4689" s="37"/>
      <c r="S4689" s="37"/>
      <c r="T4689" s="91"/>
      <c r="U4689" s="91"/>
      <c r="V4689" s="41"/>
      <c r="W4689" s="37"/>
      <c r="X4689" s="37"/>
      <c r="Y4689" s="43"/>
      <c r="Z4689" s="37"/>
      <c r="AA4689" s="37"/>
      <c r="AD4689" s="37"/>
      <c r="AE4689" s="37"/>
      <c r="AF4689" s="37"/>
    </row>
    <row r="4690" spans="1:32" x14ac:dyDescent="0.25">
      <c r="A4690" s="37"/>
      <c r="B4690" s="37"/>
      <c r="C4690" s="37"/>
      <c r="F4690" s="38"/>
      <c r="G4690" s="38"/>
      <c r="H4690" s="38"/>
      <c r="I4690" s="37"/>
      <c r="J4690" s="38"/>
      <c r="K4690" s="38"/>
      <c r="L4690" s="42"/>
      <c r="M4690" s="42"/>
      <c r="N4690" s="42"/>
      <c r="O4690" s="42"/>
      <c r="R4690" s="37"/>
      <c r="S4690" s="37"/>
      <c r="T4690" s="91"/>
      <c r="U4690" s="91"/>
      <c r="V4690" s="41"/>
      <c r="W4690" s="37"/>
      <c r="X4690" s="37"/>
      <c r="Y4690" s="43"/>
      <c r="Z4690" s="37"/>
      <c r="AA4690" s="37"/>
      <c r="AD4690" s="37"/>
      <c r="AE4690" s="37"/>
      <c r="AF4690" s="37"/>
    </row>
    <row r="4691" spans="1:32" x14ac:dyDescent="0.25">
      <c r="A4691" s="37"/>
      <c r="B4691" s="37"/>
      <c r="C4691" s="37"/>
      <c r="F4691" s="38"/>
      <c r="G4691" s="38"/>
      <c r="H4691" s="38"/>
      <c r="I4691" s="37"/>
      <c r="J4691" s="38"/>
      <c r="K4691" s="38"/>
      <c r="L4691" s="42"/>
      <c r="M4691" s="42"/>
      <c r="N4691" s="42"/>
      <c r="O4691" s="42"/>
      <c r="R4691" s="37"/>
      <c r="S4691" s="37"/>
      <c r="T4691" s="91"/>
      <c r="U4691" s="91"/>
      <c r="V4691" s="41"/>
      <c r="W4691" s="37"/>
      <c r="X4691" s="37"/>
      <c r="Y4691" s="43"/>
      <c r="Z4691" s="37"/>
      <c r="AA4691" s="37"/>
      <c r="AD4691" s="37"/>
      <c r="AE4691" s="37"/>
      <c r="AF4691" s="37"/>
    </row>
    <row r="4692" spans="1:32" x14ac:dyDescent="0.25">
      <c r="A4692" s="37"/>
      <c r="B4692" s="37"/>
      <c r="C4692" s="37"/>
      <c r="F4692" s="38"/>
      <c r="G4692" s="38"/>
      <c r="H4692" s="38"/>
      <c r="I4692" s="37"/>
      <c r="J4692" s="38"/>
      <c r="K4692" s="38"/>
      <c r="L4692" s="42"/>
      <c r="M4692" s="42"/>
      <c r="N4692" s="42"/>
      <c r="O4692" s="42"/>
      <c r="R4692" s="37"/>
      <c r="S4692" s="37"/>
      <c r="T4692" s="91"/>
      <c r="U4692" s="91"/>
      <c r="V4692" s="41"/>
      <c r="W4692" s="37"/>
      <c r="X4692" s="37"/>
      <c r="Y4692" s="43"/>
      <c r="Z4692" s="37"/>
      <c r="AA4692" s="37"/>
      <c r="AD4692" s="37"/>
      <c r="AE4692" s="37"/>
      <c r="AF4692" s="37"/>
    </row>
    <row r="4693" spans="1:32" x14ac:dyDescent="0.25">
      <c r="A4693" s="37"/>
      <c r="B4693" s="37"/>
      <c r="C4693" s="37"/>
      <c r="F4693" s="38"/>
      <c r="G4693" s="38"/>
      <c r="H4693" s="38"/>
      <c r="I4693" s="37"/>
      <c r="J4693" s="38"/>
      <c r="K4693" s="38"/>
      <c r="L4693" s="42"/>
      <c r="M4693" s="42"/>
      <c r="N4693" s="42"/>
      <c r="O4693" s="42"/>
      <c r="R4693" s="37"/>
      <c r="S4693" s="37"/>
      <c r="T4693" s="91"/>
      <c r="U4693" s="91"/>
      <c r="V4693" s="41"/>
      <c r="W4693" s="37"/>
      <c r="X4693" s="37"/>
      <c r="Y4693" s="43"/>
      <c r="Z4693" s="37"/>
      <c r="AA4693" s="37"/>
      <c r="AD4693" s="37"/>
      <c r="AE4693" s="37"/>
      <c r="AF4693" s="37"/>
    </row>
    <row r="4694" spans="1:32" x14ac:dyDescent="0.25">
      <c r="A4694" s="37"/>
      <c r="B4694" s="37"/>
      <c r="C4694" s="37"/>
      <c r="F4694" s="38"/>
      <c r="G4694" s="38"/>
      <c r="H4694" s="38"/>
      <c r="I4694" s="37"/>
      <c r="J4694" s="38"/>
      <c r="K4694" s="38"/>
      <c r="L4694" s="42"/>
      <c r="M4694" s="42"/>
      <c r="N4694" s="42"/>
      <c r="O4694" s="42"/>
      <c r="R4694" s="37"/>
      <c r="S4694" s="37"/>
      <c r="T4694" s="91"/>
      <c r="U4694" s="91"/>
      <c r="V4694" s="41"/>
      <c r="W4694" s="37"/>
      <c r="X4694" s="37"/>
      <c r="Y4694" s="43"/>
      <c r="Z4694" s="37"/>
      <c r="AA4694" s="37"/>
      <c r="AD4694" s="37"/>
      <c r="AE4694" s="37"/>
      <c r="AF4694" s="37"/>
    </row>
    <row r="4695" spans="1:32" x14ac:dyDescent="0.25">
      <c r="A4695" s="37"/>
      <c r="B4695" s="37"/>
      <c r="C4695" s="37"/>
      <c r="F4695" s="38"/>
      <c r="G4695" s="38"/>
      <c r="H4695" s="38"/>
      <c r="I4695" s="37"/>
      <c r="J4695" s="38"/>
      <c r="K4695" s="38"/>
      <c r="L4695" s="42"/>
      <c r="M4695" s="42"/>
      <c r="N4695" s="42"/>
      <c r="O4695" s="42"/>
      <c r="R4695" s="37"/>
      <c r="S4695" s="37"/>
      <c r="T4695" s="91"/>
      <c r="U4695" s="91"/>
      <c r="V4695" s="41"/>
      <c r="W4695" s="37"/>
      <c r="X4695" s="37"/>
      <c r="Y4695" s="43"/>
      <c r="Z4695" s="37"/>
      <c r="AA4695" s="37"/>
      <c r="AD4695" s="37"/>
      <c r="AE4695" s="37"/>
      <c r="AF4695" s="37"/>
    </row>
    <row r="4696" spans="1:32" x14ac:dyDescent="0.25">
      <c r="A4696" s="37"/>
      <c r="B4696" s="37"/>
      <c r="C4696" s="37"/>
      <c r="F4696" s="38"/>
      <c r="G4696" s="38"/>
      <c r="H4696" s="38"/>
      <c r="I4696" s="37"/>
      <c r="J4696" s="38"/>
      <c r="K4696" s="38"/>
      <c r="L4696" s="42"/>
      <c r="M4696" s="42"/>
      <c r="N4696" s="42"/>
      <c r="O4696" s="42"/>
      <c r="R4696" s="37"/>
      <c r="S4696" s="37"/>
      <c r="T4696" s="91"/>
      <c r="U4696" s="91"/>
      <c r="V4696" s="41"/>
      <c r="W4696" s="37"/>
      <c r="X4696" s="37"/>
      <c r="Y4696" s="43"/>
      <c r="Z4696" s="37"/>
      <c r="AA4696" s="37"/>
      <c r="AD4696" s="37"/>
      <c r="AE4696" s="37"/>
      <c r="AF4696" s="37"/>
    </row>
    <row r="4697" spans="1:32" x14ac:dyDescent="0.25">
      <c r="A4697" s="37"/>
      <c r="B4697" s="37"/>
      <c r="C4697" s="37"/>
      <c r="F4697" s="38"/>
      <c r="G4697" s="38"/>
      <c r="H4697" s="38"/>
      <c r="I4697" s="37"/>
      <c r="J4697" s="38"/>
      <c r="K4697" s="38"/>
      <c r="L4697" s="42"/>
      <c r="M4697" s="42"/>
      <c r="N4697" s="42"/>
      <c r="O4697" s="42"/>
      <c r="R4697" s="37"/>
      <c r="S4697" s="37"/>
      <c r="T4697" s="91"/>
      <c r="U4697" s="91"/>
      <c r="V4697" s="41"/>
      <c r="W4697" s="37"/>
      <c r="X4697" s="37"/>
      <c r="Y4697" s="43"/>
      <c r="Z4697" s="37"/>
      <c r="AA4697" s="37"/>
      <c r="AD4697" s="37"/>
      <c r="AE4697" s="37"/>
      <c r="AF4697" s="37"/>
    </row>
    <row r="4698" spans="1:32" x14ac:dyDescent="0.25">
      <c r="A4698" s="37"/>
      <c r="B4698" s="37"/>
      <c r="C4698" s="37"/>
      <c r="F4698" s="38"/>
      <c r="G4698" s="38"/>
      <c r="H4698" s="38"/>
      <c r="I4698" s="37"/>
      <c r="J4698" s="38"/>
      <c r="K4698" s="38"/>
      <c r="L4698" s="42"/>
      <c r="M4698" s="42"/>
      <c r="N4698" s="42"/>
      <c r="O4698" s="42"/>
      <c r="R4698" s="37"/>
      <c r="S4698" s="37"/>
      <c r="T4698" s="91"/>
      <c r="U4698" s="91"/>
      <c r="V4698" s="41"/>
      <c r="W4698" s="37"/>
      <c r="X4698" s="37"/>
      <c r="Y4698" s="43"/>
      <c r="Z4698" s="37"/>
      <c r="AA4698" s="37"/>
      <c r="AD4698" s="37"/>
      <c r="AE4698" s="37"/>
      <c r="AF4698" s="37"/>
    </row>
    <row r="4699" spans="1:32" x14ac:dyDescent="0.25">
      <c r="A4699" s="37"/>
      <c r="B4699" s="37"/>
      <c r="C4699" s="37"/>
      <c r="F4699" s="38"/>
      <c r="G4699" s="38"/>
      <c r="H4699" s="38"/>
      <c r="I4699" s="37"/>
      <c r="J4699" s="38"/>
      <c r="K4699" s="38"/>
      <c r="L4699" s="42"/>
      <c r="M4699" s="42"/>
      <c r="N4699" s="42"/>
      <c r="O4699" s="42"/>
      <c r="R4699" s="37"/>
      <c r="S4699" s="37"/>
      <c r="T4699" s="91"/>
      <c r="U4699" s="91"/>
      <c r="V4699" s="41"/>
      <c r="W4699" s="37"/>
      <c r="X4699" s="37"/>
      <c r="Y4699" s="43"/>
      <c r="Z4699" s="37"/>
      <c r="AA4699" s="37"/>
      <c r="AD4699" s="37"/>
      <c r="AE4699" s="37"/>
      <c r="AF4699" s="37"/>
    </row>
    <row r="4700" spans="1:32" x14ac:dyDescent="0.25">
      <c r="A4700" s="37"/>
      <c r="B4700" s="37"/>
      <c r="C4700" s="37"/>
      <c r="F4700" s="38"/>
      <c r="G4700" s="38"/>
      <c r="H4700" s="38"/>
      <c r="I4700" s="37"/>
      <c r="J4700" s="38"/>
      <c r="K4700" s="38"/>
      <c r="L4700" s="42"/>
      <c r="M4700" s="42"/>
      <c r="N4700" s="42"/>
      <c r="O4700" s="42"/>
      <c r="R4700" s="37"/>
      <c r="S4700" s="37"/>
      <c r="T4700" s="91"/>
      <c r="U4700" s="91"/>
      <c r="V4700" s="41"/>
      <c r="W4700" s="37"/>
      <c r="X4700" s="37"/>
      <c r="Y4700" s="43"/>
      <c r="Z4700" s="37"/>
      <c r="AA4700" s="37"/>
      <c r="AD4700" s="37"/>
      <c r="AE4700" s="37"/>
      <c r="AF4700" s="37"/>
    </row>
    <row r="4701" spans="1:32" x14ac:dyDescent="0.25">
      <c r="A4701" s="37"/>
      <c r="B4701" s="37"/>
      <c r="C4701" s="37"/>
      <c r="F4701" s="38"/>
      <c r="G4701" s="38"/>
      <c r="H4701" s="38"/>
      <c r="I4701" s="37"/>
      <c r="J4701" s="38"/>
      <c r="K4701" s="38"/>
      <c r="L4701" s="42"/>
      <c r="M4701" s="42"/>
      <c r="N4701" s="42"/>
      <c r="O4701" s="42"/>
      <c r="R4701" s="37"/>
      <c r="S4701" s="37"/>
      <c r="T4701" s="91"/>
      <c r="U4701" s="91"/>
      <c r="V4701" s="41"/>
      <c r="W4701" s="37"/>
      <c r="X4701" s="37"/>
      <c r="Y4701" s="43"/>
      <c r="Z4701" s="37"/>
      <c r="AA4701" s="37"/>
      <c r="AD4701" s="37"/>
      <c r="AE4701" s="37"/>
      <c r="AF4701" s="37"/>
    </row>
    <row r="4702" spans="1:32" x14ac:dyDescent="0.25">
      <c r="A4702" s="37"/>
      <c r="B4702" s="37"/>
      <c r="C4702" s="37"/>
      <c r="F4702" s="38"/>
      <c r="G4702" s="38"/>
      <c r="H4702" s="38"/>
      <c r="I4702" s="37"/>
      <c r="J4702" s="38"/>
      <c r="K4702" s="38"/>
      <c r="L4702" s="42"/>
      <c r="M4702" s="42"/>
      <c r="N4702" s="42"/>
      <c r="O4702" s="42"/>
      <c r="R4702" s="37"/>
      <c r="S4702" s="37"/>
      <c r="T4702" s="91"/>
      <c r="U4702" s="91"/>
      <c r="V4702" s="41"/>
      <c r="W4702" s="37"/>
      <c r="X4702" s="37"/>
      <c r="Y4702" s="43"/>
      <c r="Z4702" s="37"/>
      <c r="AA4702" s="37"/>
      <c r="AD4702" s="37"/>
      <c r="AE4702" s="37"/>
      <c r="AF4702" s="37"/>
    </row>
    <row r="4703" spans="1:32" x14ac:dyDescent="0.25">
      <c r="A4703" s="37"/>
      <c r="B4703" s="37"/>
      <c r="C4703" s="37"/>
      <c r="F4703" s="38"/>
      <c r="G4703" s="38"/>
      <c r="H4703" s="38"/>
      <c r="I4703" s="37"/>
      <c r="J4703" s="38"/>
      <c r="K4703" s="38"/>
      <c r="L4703" s="42"/>
      <c r="M4703" s="42"/>
      <c r="N4703" s="42"/>
      <c r="O4703" s="42"/>
      <c r="R4703" s="37"/>
      <c r="S4703" s="37"/>
      <c r="T4703" s="91"/>
      <c r="U4703" s="91"/>
      <c r="V4703" s="41"/>
      <c r="W4703" s="37"/>
      <c r="X4703" s="37"/>
      <c r="Y4703" s="43"/>
      <c r="Z4703" s="37"/>
      <c r="AA4703" s="37"/>
      <c r="AD4703" s="37"/>
      <c r="AE4703" s="37"/>
      <c r="AF4703" s="37"/>
    </row>
    <row r="4704" spans="1:32" x14ac:dyDescent="0.25">
      <c r="A4704" s="37"/>
      <c r="B4704" s="37"/>
      <c r="C4704" s="37"/>
      <c r="F4704" s="38"/>
      <c r="G4704" s="38"/>
      <c r="H4704" s="38"/>
      <c r="I4704" s="37"/>
      <c r="J4704" s="38"/>
      <c r="K4704" s="38"/>
      <c r="L4704" s="42"/>
      <c r="M4704" s="42"/>
      <c r="N4704" s="42"/>
      <c r="O4704" s="42"/>
      <c r="R4704" s="37"/>
      <c r="S4704" s="37"/>
      <c r="T4704" s="91"/>
      <c r="U4704" s="91"/>
      <c r="V4704" s="41"/>
      <c r="W4704" s="37"/>
      <c r="X4704" s="37"/>
      <c r="Y4704" s="43"/>
      <c r="Z4704" s="37"/>
      <c r="AA4704" s="37"/>
      <c r="AD4704" s="37"/>
      <c r="AE4704" s="37"/>
      <c r="AF4704" s="37"/>
    </row>
    <row r="4705" spans="1:32" x14ac:dyDescent="0.25">
      <c r="A4705" s="37"/>
      <c r="B4705" s="37"/>
      <c r="C4705" s="37"/>
      <c r="F4705" s="38"/>
      <c r="G4705" s="38"/>
      <c r="H4705" s="38"/>
      <c r="I4705" s="37"/>
      <c r="J4705" s="38"/>
      <c r="K4705" s="38"/>
      <c r="L4705" s="42"/>
      <c r="M4705" s="42"/>
      <c r="N4705" s="42"/>
      <c r="O4705" s="42"/>
      <c r="R4705" s="37"/>
      <c r="S4705" s="37"/>
      <c r="T4705" s="91"/>
      <c r="U4705" s="91"/>
      <c r="V4705" s="41"/>
      <c r="W4705" s="37"/>
      <c r="X4705" s="37"/>
      <c r="Y4705" s="43"/>
      <c r="Z4705" s="37"/>
      <c r="AA4705" s="37"/>
      <c r="AD4705" s="37"/>
      <c r="AE4705" s="37"/>
      <c r="AF4705" s="37"/>
    </row>
    <row r="4706" spans="1:32" x14ac:dyDescent="0.25">
      <c r="A4706" s="37"/>
      <c r="B4706" s="37"/>
      <c r="C4706" s="37"/>
      <c r="F4706" s="38"/>
      <c r="G4706" s="38"/>
      <c r="H4706" s="38"/>
      <c r="I4706" s="37"/>
      <c r="J4706" s="38"/>
      <c r="K4706" s="38"/>
      <c r="L4706" s="42"/>
      <c r="M4706" s="42"/>
      <c r="N4706" s="42"/>
      <c r="O4706" s="42"/>
      <c r="R4706" s="37"/>
      <c r="S4706" s="37"/>
      <c r="T4706" s="91"/>
      <c r="U4706" s="91"/>
      <c r="V4706" s="41"/>
      <c r="W4706" s="37"/>
      <c r="X4706" s="37"/>
      <c r="Y4706" s="43"/>
      <c r="Z4706" s="37"/>
      <c r="AA4706" s="37"/>
      <c r="AD4706" s="37"/>
      <c r="AE4706" s="37"/>
      <c r="AF4706" s="37"/>
    </row>
    <row r="4707" spans="1:32" x14ac:dyDescent="0.25">
      <c r="A4707" s="37"/>
      <c r="B4707" s="37"/>
      <c r="C4707" s="37"/>
      <c r="F4707" s="38"/>
      <c r="G4707" s="38"/>
      <c r="H4707" s="38"/>
      <c r="I4707" s="37"/>
      <c r="J4707" s="38"/>
      <c r="K4707" s="38"/>
      <c r="L4707" s="42"/>
      <c r="M4707" s="42"/>
      <c r="N4707" s="42"/>
      <c r="O4707" s="42"/>
      <c r="R4707" s="37"/>
      <c r="S4707" s="37"/>
      <c r="T4707" s="91"/>
      <c r="U4707" s="91"/>
      <c r="V4707" s="41"/>
      <c r="W4707" s="37"/>
      <c r="X4707" s="37"/>
      <c r="Y4707" s="43"/>
      <c r="Z4707" s="37"/>
      <c r="AA4707" s="37"/>
      <c r="AD4707" s="37"/>
      <c r="AE4707" s="37"/>
      <c r="AF4707" s="37"/>
    </row>
    <row r="4708" spans="1:32" x14ac:dyDescent="0.25">
      <c r="A4708" s="37"/>
      <c r="B4708" s="37"/>
      <c r="C4708" s="37"/>
      <c r="F4708" s="38"/>
      <c r="G4708" s="38"/>
      <c r="H4708" s="38"/>
      <c r="I4708" s="37"/>
      <c r="J4708" s="38"/>
      <c r="K4708" s="38"/>
      <c r="L4708" s="42"/>
      <c r="M4708" s="42"/>
      <c r="N4708" s="42"/>
      <c r="O4708" s="42"/>
      <c r="R4708" s="37"/>
      <c r="S4708" s="37"/>
      <c r="T4708" s="91"/>
      <c r="U4708" s="91"/>
      <c r="V4708" s="41"/>
      <c r="W4708" s="37"/>
      <c r="X4708" s="37"/>
      <c r="Y4708" s="43"/>
      <c r="Z4708" s="37"/>
      <c r="AA4708" s="37"/>
      <c r="AD4708" s="37"/>
      <c r="AE4708" s="37"/>
      <c r="AF4708" s="37"/>
    </row>
    <row r="4709" spans="1:32" x14ac:dyDescent="0.25">
      <c r="A4709" s="37"/>
      <c r="B4709" s="37"/>
      <c r="C4709" s="37"/>
      <c r="F4709" s="38"/>
      <c r="G4709" s="38"/>
      <c r="H4709" s="38"/>
      <c r="I4709" s="37"/>
      <c r="J4709" s="38"/>
      <c r="K4709" s="38"/>
      <c r="L4709" s="42"/>
      <c r="M4709" s="42"/>
      <c r="N4709" s="42"/>
      <c r="O4709" s="42"/>
      <c r="R4709" s="37"/>
      <c r="S4709" s="37"/>
      <c r="T4709" s="91"/>
      <c r="U4709" s="91"/>
      <c r="V4709" s="41"/>
      <c r="W4709" s="37"/>
      <c r="X4709" s="37"/>
      <c r="Y4709" s="43"/>
      <c r="Z4709" s="37"/>
      <c r="AA4709" s="37"/>
      <c r="AD4709" s="37"/>
      <c r="AE4709" s="37"/>
      <c r="AF4709" s="37"/>
    </row>
    <row r="4710" spans="1:32" x14ac:dyDescent="0.25">
      <c r="A4710" s="37"/>
      <c r="B4710" s="37"/>
      <c r="C4710" s="37"/>
      <c r="F4710" s="38"/>
      <c r="G4710" s="38"/>
      <c r="H4710" s="38"/>
      <c r="I4710" s="37"/>
      <c r="J4710" s="38"/>
      <c r="K4710" s="38"/>
      <c r="L4710" s="42"/>
      <c r="M4710" s="42"/>
      <c r="N4710" s="42"/>
      <c r="O4710" s="42"/>
      <c r="R4710" s="37"/>
      <c r="S4710" s="37"/>
      <c r="T4710" s="91"/>
      <c r="U4710" s="91"/>
      <c r="V4710" s="41"/>
      <c r="W4710" s="37"/>
      <c r="X4710" s="37"/>
      <c r="Y4710" s="43"/>
      <c r="Z4710" s="37"/>
      <c r="AA4710" s="37"/>
      <c r="AD4710" s="37"/>
      <c r="AE4710" s="37"/>
      <c r="AF4710" s="37"/>
    </row>
    <row r="4711" spans="1:32" x14ac:dyDescent="0.25">
      <c r="A4711" s="37"/>
      <c r="B4711" s="37"/>
      <c r="C4711" s="37"/>
      <c r="F4711" s="38"/>
      <c r="G4711" s="38"/>
      <c r="H4711" s="38"/>
      <c r="I4711" s="37"/>
      <c r="J4711" s="38"/>
      <c r="K4711" s="38"/>
      <c r="L4711" s="42"/>
      <c r="M4711" s="42"/>
      <c r="N4711" s="42"/>
      <c r="O4711" s="42"/>
      <c r="R4711" s="37"/>
      <c r="S4711" s="37"/>
      <c r="T4711" s="91"/>
      <c r="U4711" s="91"/>
      <c r="V4711" s="41"/>
      <c r="W4711" s="37"/>
      <c r="X4711" s="37"/>
      <c r="Y4711" s="43"/>
      <c r="Z4711" s="37"/>
      <c r="AA4711" s="37"/>
      <c r="AD4711" s="37"/>
      <c r="AE4711" s="37"/>
      <c r="AF4711" s="37"/>
    </row>
    <row r="4712" spans="1:32" x14ac:dyDescent="0.25">
      <c r="A4712" s="37"/>
      <c r="B4712" s="37"/>
      <c r="C4712" s="37"/>
      <c r="F4712" s="38"/>
      <c r="G4712" s="38"/>
      <c r="H4712" s="38"/>
      <c r="I4712" s="37"/>
      <c r="J4712" s="38"/>
      <c r="K4712" s="38"/>
      <c r="L4712" s="42"/>
      <c r="M4712" s="42"/>
      <c r="N4712" s="42"/>
      <c r="O4712" s="42"/>
      <c r="R4712" s="37"/>
      <c r="S4712" s="37"/>
      <c r="T4712" s="91"/>
      <c r="U4712" s="91"/>
      <c r="V4712" s="41"/>
      <c r="W4712" s="37"/>
      <c r="X4712" s="37"/>
      <c r="Y4712" s="43"/>
      <c r="Z4712" s="37"/>
      <c r="AA4712" s="37"/>
      <c r="AD4712" s="37"/>
      <c r="AE4712" s="37"/>
      <c r="AF4712" s="37"/>
    </row>
    <row r="4713" spans="1:32" x14ac:dyDescent="0.25">
      <c r="A4713" s="37"/>
      <c r="B4713" s="37"/>
      <c r="C4713" s="37"/>
      <c r="F4713" s="38"/>
      <c r="G4713" s="38"/>
      <c r="H4713" s="38"/>
      <c r="I4713" s="37"/>
      <c r="J4713" s="38"/>
      <c r="K4713" s="38"/>
      <c r="L4713" s="42"/>
      <c r="M4713" s="42"/>
      <c r="N4713" s="42"/>
      <c r="O4713" s="42"/>
      <c r="R4713" s="37"/>
      <c r="S4713" s="37"/>
      <c r="T4713" s="91"/>
      <c r="U4713" s="91"/>
      <c r="V4713" s="41"/>
      <c r="W4713" s="37"/>
      <c r="X4713" s="37"/>
      <c r="Y4713" s="43"/>
      <c r="Z4713" s="37"/>
      <c r="AA4713" s="37"/>
      <c r="AD4713" s="37"/>
      <c r="AE4713" s="37"/>
      <c r="AF4713" s="37"/>
    </row>
    <row r="4714" spans="1:32" x14ac:dyDescent="0.25">
      <c r="A4714" s="37"/>
      <c r="B4714" s="37"/>
      <c r="C4714" s="37"/>
      <c r="F4714" s="38"/>
      <c r="G4714" s="38"/>
      <c r="H4714" s="38"/>
      <c r="I4714" s="37"/>
      <c r="J4714" s="38"/>
      <c r="K4714" s="38"/>
      <c r="L4714" s="42"/>
      <c r="M4714" s="42"/>
      <c r="N4714" s="42"/>
      <c r="O4714" s="42"/>
      <c r="R4714" s="37"/>
      <c r="S4714" s="37"/>
      <c r="T4714" s="91"/>
      <c r="U4714" s="91"/>
      <c r="V4714" s="41"/>
      <c r="W4714" s="37"/>
      <c r="X4714" s="37"/>
      <c r="Y4714" s="43"/>
      <c r="Z4714" s="37"/>
      <c r="AA4714" s="37"/>
      <c r="AD4714" s="37"/>
      <c r="AE4714" s="37"/>
      <c r="AF4714" s="37"/>
    </row>
    <row r="4715" spans="1:32" x14ac:dyDescent="0.25">
      <c r="A4715" s="37"/>
      <c r="B4715" s="37"/>
      <c r="C4715" s="37"/>
      <c r="F4715" s="38"/>
      <c r="G4715" s="38"/>
      <c r="H4715" s="38"/>
      <c r="I4715" s="37"/>
      <c r="J4715" s="38"/>
      <c r="K4715" s="38"/>
      <c r="L4715" s="42"/>
      <c r="M4715" s="42"/>
      <c r="N4715" s="42"/>
      <c r="O4715" s="42"/>
      <c r="R4715" s="37"/>
      <c r="S4715" s="37"/>
      <c r="T4715" s="91"/>
      <c r="U4715" s="91"/>
      <c r="V4715" s="41"/>
      <c r="W4715" s="37"/>
      <c r="X4715" s="37"/>
      <c r="Y4715" s="43"/>
      <c r="Z4715" s="37"/>
      <c r="AA4715" s="37"/>
      <c r="AD4715" s="37"/>
      <c r="AE4715" s="37"/>
      <c r="AF4715" s="37"/>
    </row>
    <row r="4716" spans="1:32" x14ac:dyDescent="0.25">
      <c r="A4716" s="37"/>
      <c r="B4716" s="37"/>
      <c r="C4716" s="37"/>
      <c r="F4716" s="38"/>
      <c r="G4716" s="38"/>
      <c r="H4716" s="38"/>
      <c r="I4716" s="37"/>
      <c r="J4716" s="38"/>
      <c r="K4716" s="38"/>
      <c r="L4716" s="42"/>
      <c r="M4716" s="42"/>
      <c r="N4716" s="42"/>
      <c r="O4716" s="42"/>
      <c r="R4716" s="37"/>
      <c r="S4716" s="37"/>
      <c r="T4716" s="91"/>
      <c r="U4716" s="91"/>
      <c r="V4716" s="41"/>
      <c r="W4716" s="37"/>
      <c r="X4716" s="37"/>
      <c r="Y4716" s="43"/>
      <c r="Z4716" s="37"/>
      <c r="AA4716" s="37"/>
      <c r="AD4716" s="37"/>
      <c r="AE4716" s="37"/>
      <c r="AF4716" s="37"/>
    </row>
    <row r="4717" spans="1:32" x14ac:dyDescent="0.25">
      <c r="A4717" s="37"/>
      <c r="B4717" s="37"/>
      <c r="C4717" s="37"/>
      <c r="F4717" s="38"/>
      <c r="G4717" s="38"/>
      <c r="H4717" s="38"/>
      <c r="I4717" s="37"/>
      <c r="J4717" s="38"/>
      <c r="K4717" s="38"/>
      <c r="L4717" s="42"/>
      <c r="M4717" s="42"/>
      <c r="N4717" s="42"/>
      <c r="O4717" s="42"/>
      <c r="R4717" s="37"/>
      <c r="S4717" s="37"/>
      <c r="T4717" s="91"/>
      <c r="U4717" s="91"/>
      <c r="V4717" s="41"/>
      <c r="W4717" s="37"/>
      <c r="X4717" s="37"/>
      <c r="Y4717" s="43"/>
      <c r="Z4717" s="37"/>
      <c r="AA4717" s="37"/>
      <c r="AD4717" s="37"/>
      <c r="AE4717" s="37"/>
      <c r="AF4717" s="37"/>
    </row>
    <row r="4718" spans="1:32" x14ac:dyDescent="0.25">
      <c r="A4718" s="37"/>
      <c r="B4718" s="37"/>
      <c r="C4718" s="37"/>
      <c r="F4718" s="38"/>
      <c r="G4718" s="38"/>
      <c r="H4718" s="38"/>
      <c r="I4718" s="37"/>
      <c r="J4718" s="38"/>
      <c r="K4718" s="38"/>
      <c r="L4718" s="42"/>
      <c r="M4718" s="42"/>
      <c r="N4718" s="42"/>
      <c r="O4718" s="42"/>
      <c r="R4718" s="37"/>
      <c r="S4718" s="37"/>
      <c r="T4718" s="91"/>
      <c r="U4718" s="91"/>
      <c r="V4718" s="41"/>
      <c r="W4718" s="37"/>
      <c r="X4718" s="37"/>
      <c r="Y4718" s="43"/>
      <c r="Z4718" s="37"/>
      <c r="AA4718" s="37"/>
      <c r="AD4718" s="37"/>
      <c r="AE4718" s="37"/>
      <c r="AF4718" s="37"/>
    </row>
    <row r="4719" spans="1:32" x14ac:dyDescent="0.25">
      <c r="A4719" s="37"/>
      <c r="B4719" s="37"/>
      <c r="C4719" s="37"/>
      <c r="F4719" s="38"/>
      <c r="G4719" s="38"/>
      <c r="H4719" s="38"/>
      <c r="I4719" s="37"/>
      <c r="J4719" s="38"/>
      <c r="K4719" s="38"/>
      <c r="L4719" s="42"/>
      <c r="M4719" s="42"/>
      <c r="N4719" s="42"/>
      <c r="O4719" s="42"/>
      <c r="R4719" s="37"/>
      <c r="S4719" s="37"/>
      <c r="T4719" s="91"/>
      <c r="U4719" s="91"/>
      <c r="V4719" s="41"/>
      <c r="W4719" s="37"/>
      <c r="X4719" s="37"/>
      <c r="Y4719" s="43"/>
      <c r="Z4719" s="37"/>
      <c r="AA4719" s="37"/>
      <c r="AD4719" s="37"/>
      <c r="AE4719" s="37"/>
      <c r="AF4719" s="37"/>
    </row>
    <row r="4720" spans="1:32" x14ac:dyDescent="0.25">
      <c r="A4720" s="37"/>
      <c r="B4720" s="37"/>
      <c r="C4720" s="37"/>
      <c r="F4720" s="38"/>
      <c r="G4720" s="38"/>
      <c r="H4720" s="38"/>
      <c r="I4720" s="37"/>
      <c r="J4720" s="38"/>
      <c r="K4720" s="38"/>
      <c r="L4720" s="42"/>
      <c r="M4720" s="42"/>
      <c r="N4720" s="42"/>
      <c r="O4720" s="42"/>
      <c r="R4720" s="37"/>
      <c r="S4720" s="37"/>
      <c r="T4720" s="91"/>
      <c r="U4720" s="91"/>
      <c r="V4720" s="41"/>
      <c r="W4720" s="37"/>
      <c r="X4720" s="37"/>
      <c r="Y4720" s="43"/>
      <c r="Z4720" s="37"/>
      <c r="AA4720" s="37"/>
      <c r="AD4720" s="37"/>
      <c r="AE4720" s="37"/>
      <c r="AF4720" s="37"/>
    </row>
    <row r="4721" spans="1:32" x14ac:dyDescent="0.25">
      <c r="A4721" s="37"/>
      <c r="B4721" s="37"/>
      <c r="C4721" s="37"/>
      <c r="F4721" s="38"/>
      <c r="G4721" s="38"/>
      <c r="H4721" s="38"/>
      <c r="I4721" s="37"/>
      <c r="J4721" s="38"/>
      <c r="K4721" s="38"/>
      <c r="L4721" s="42"/>
      <c r="M4721" s="42"/>
      <c r="N4721" s="42"/>
      <c r="O4721" s="42"/>
      <c r="R4721" s="37"/>
      <c r="S4721" s="37"/>
      <c r="T4721" s="91"/>
      <c r="U4721" s="91"/>
      <c r="V4721" s="41"/>
      <c r="W4721" s="37"/>
      <c r="X4721" s="37"/>
      <c r="Y4721" s="43"/>
      <c r="Z4721" s="37"/>
      <c r="AA4721" s="37"/>
      <c r="AD4721" s="37"/>
      <c r="AE4721" s="37"/>
      <c r="AF4721" s="37"/>
    </row>
    <row r="4722" spans="1:32" x14ac:dyDescent="0.25">
      <c r="A4722" s="37"/>
      <c r="B4722" s="37"/>
      <c r="C4722" s="37"/>
      <c r="F4722" s="38"/>
      <c r="G4722" s="38"/>
      <c r="H4722" s="38"/>
      <c r="I4722" s="37"/>
      <c r="J4722" s="38"/>
      <c r="K4722" s="38"/>
      <c r="L4722" s="42"/>
      <c r="M4722" s="42"/>
      <c r="N4722" s="42"/>
      <c r="O4722" s="42"/>
      <c r="R4722" s="37"/>
      <c r="S4722" s="37"/>
      <c r="T4722" s="91"/>
      <c r="U4722" s="91"/>
      <c r="V4722" s="41"/>
      <c r="W4722" s="37"/>
      <c r="X4722" s="37"/>
      <c r="Y4722" s="43"/>
      <c r="Z4722" s="37"/>
      <c r="AA4722" s="37"/>
      <c r="AD4722" s="37"/>
      <c r="AE4722" s="37"/>
      <c r="AF4722" s="37"/>
    </row>
    <row r="4723" spans="1:32" x14ac:dyDescent="0.25">
      <c r="A4723" s="37"/>
      <c r="B4723" s="37"/>
      <c r="C4723" s="37"/>
      <c r="F4723" s="38"/>
      <c r="G4723" s="38"/>
      <c r="H4723" s="38"/>
      <c r="I4723" s="37"/>
      <c r="J4723" s="38"/>
      <c r="K4723" s="38"/>
      <c r="L4723" s="42"/>
      <c r="M4723" s="42"/>
      <c r="N4723" s="42"/>
      <c r="O4723" s="42"/>
      <c r="R4723" s="37"/>
      <c r="S4723" s="37"/>
      <c r="T4723" s="91"/>
      <c r="U4723" s="91"/>
      <c r="V4723" s="41"/>
      <c r="W4723" s="37"/>
      <c r="X4723" s="37"/>
      <c r="Y4723" s="43"/>
      <c r="Z4723" s="37"/>
      <c r="AA4723" s="37"/>
      <c r="AD4723" s="37"/>
      <c r="AE4723" s="37"/>
      <c r="AF4723" s="37"/>
    </row>
    <row r="4724" spans="1:32" x14ac:dyDescent="0.25">
      <c r="A4724" s="37"/>
      <c r="B4724" s="37"/>
      <c r="C4724" s="37"/>
      <c r="F4724" s="38"/>
      <c r="G4724" s="38"/>
      <c r="H4724" s="38"/>
      <c r="I4724" s="37"/>
      <c r="J4724" s="38"/>
      <c r="K4724" s="38"/>
      <c r="L4724" s="42"/>
      <c r="M4724" s="42"/>
      <c r="N4724" s="42"/>
      <c r="O4724" s="42"/>
      <c r="R4724" s="37"/>
      <c r="S4724" s="37"/>
      <c r="T4724" s="91"/>
      <c r="U4724" s="91"/>
      <c r="V4724" s="41"/>
      <c r="W4724" s="37"/>
      <c r="X4724" s="37"/>
      <c r="Y4724" s="43"/>
      <c r="Z4724" s="37"/>
      <c r="AA4724" s="37"/>
      <c r="AD4724" s="37"/>
      <c r="AE4724" s="37"/>
      <c r="AF4724" s="37"/>
    </row>
    <row r="4725" spans="1:32" x14ac:dyDescent="0.25">
      <c r="A4725" s="37"/>
      <c r="B4725" s="37"/>
      <c r="C4725" s="37"/>
      <c r="F4725" s="38"/>
      <c r="G4725" s="38"/>
      <c r="H4725" s="38"/>
      <c r="I4725" s="37"/>
      <c r="J4725" s="38"/>
      <c r="K4725" s="38"/>
      <c r="L4725" s="42"/>
      <c r="M4725" s="42"/>
      <c r="N4725" s="42"/>
      <c r="O4725" s="42"/>
      <c r="R4725" s="37"/>
      <c r="S4725" s="37"/>
      <c r="T4725" s="91"/>
      <c r="U4725" s="91"/>
      <c r="V4725" s="41"/>
      <c r="W4725" s="37"/>
      <c r="X4725" s="37"/>
      <c r="Y4725" s="43"/>
      <c r="Z4725" s="37"/>
      <c r="AA4725" s="37"/>
      <c r="AD4725" s="37"/>
      <c r="AE4725" s="37"/>
      <c r="AF4725" s="37"/>
    </row>
    <row r="4726" spans="1:32" x14ac:dyDescent="0.25">
      <c r="A4726" s="37"/>
      <c r="B4726" s="37"/>
      <c r="C4726" s="37"/>
      <c r="F4726" s="38"/>
      <c r="G4726" s="38"/>
      <c r="H4726" s="38"/>
      <c r="I4726" s="37"/>
      <c r="J4726" s="38"/>
      <c r="K4726" s="38"/>
      <c r="L4726" s="42"/>
      <c r="M4726" s="42"/>
      <c r="N4726" s="42"/>
      <c r="O4726" s="42"/>
      <c r="R4726" s="37"/>
      <c r="S4726" s="37"/>
      <c r="T4726" s="91"/>
      <c r="U4726" s="91"/>
      <c r="V4726" s="41"/>
      <c r="W4726" s="37"/>
      <c r="X4726" s="37"/>
      <c r="Y4726" s="43"/>
      <c r="Z4726" s="37"/>
      <c r="AA4726" s="37"/>
      <c r="AD4726" s="37"/>
      <c r="AE4726" s="37"/>
      <c r="AF4726" s="37"/>
    </row>
    <row r="4727" spans="1:32" x14ac:dyDescent="0.25">
      <c r="A4727" s="37"/>
      <c r="B4727" s="37"/>
      <c r="C4727" s="37"/>
      <c r="F4727" s="38"/>
      <c r="G4727" s="38"/>
      <c r="H4727" s="38"/>
      <c r="I4727" s="37"/>
      <c r="J4727" s="38"/>
      <c r="K4727" s="38"/>
      <c r="L4727" s="42"/>
      <c r="M4727" s="42"/>
      <c r="N4727" s="42"/>
      <c r="O4727" s="42"/>
      <c r="R4727" s="37"/>
      <c r="S4727" s="37"/>
      <c r="T4727" s="91"/>
      <c r="U4727" s="91"/>
      <c r="V4727" s="41"/>
      <c r="W4727" s="37"/>
      <c r="X4727" s="37"/>
      <c r="Y4727" s="43"/>
      <c r="Z4727" s="37"/>
      <c r="AA4727" s="37"/>
      <c r="AD4727" s="37"/>
      <c r="AE4727" s="37"/>
      <c r="AF4727" s="37"/>
    </row>
    <row r="4728" spans="1:32" x14ac:dyDescent="0.25">
      <c r="A4728" s="37"/>
      <c r="B4728" s="37"/>
      <c r="C4728" s="37"/>
      <c r="F4728" s="38"/>
      <c r="G4728" s="38"/>
      <c r="H4728" s="38"/>
      <c r="I4728" s="37"/>
      <c r="J4728" s="38"/>
      <c r="K4728" s="38"/>
      <c r="L4728" s="42"/>
      <c r="M4728" s="42"/>
      <c r="N4728" s="42"/>
      <c r="O4728" s="42"/>
      <c r="R4728" s="37"/>
      <c r="S4728" s="37"/>
      <c r="T4728" s="91"/>
      <c r="U4728" s="91"/>
      <c r="V4728" s="41"/>
      <c r="W4728" s="37"/>
      <c r="X4728" s="37"/>
      <c r="Y4728" s="43"/>
      <c r="Z4728" s="37"/>
      <c r="AA4728" s="37"/>
      <c r="AD4728" s="37"/>
      <c r="AE4728" s="37"/>
      <c r="AF4728" s="37"/>
    </row>
    <row r="4729" spans="1:32" x14ac:dyDescent="0.25">
      <c r="A4729" s="37"/>
      <c r="B4729" s="37"/>
      <c r="C4729" s="37"/>
      <c r="F4729" s="38"/>
      <c r="G4729" s="38"/>
      <c r="H4729" s="38"/>
      <c r="I4729" s="37"/>
      <c r="J4729" s="38"/>
      <c r="K4729" s="38"/>
      <c r="L4729" s="42"/>
      <c r="M4729" s="42"/>
      <c r="N4729" s="42"/>
      <c r="O4729" s="42"/>
      <c r="R4729" s="37"/>
      <c r="S4729" s="37"/>
      <c r="T4729" s="91"/>
      <c r="U4729" s="91"/>
      <c r="V4729" s="41"/>
      <c r="W4729" s="37"/>
      <c r="X4729" s="37"/>
      <c r="Y4729" s="43"/>
      <c r="Z4729" s="37"/>
      <c r="AA4729" s="37"/>
      <c r="AD4729" s="37"/>
      <c r="AE4729" s="37"/>
      <c r="AF4729" s="37"/>
    </row>
    <row r="4730" spans="1:32" x14ac:dyDescent="0.25">
      <c r="A4730" s="37"/>
      <c r="B4730" s="37"/>
      <c r="C4730" s="37"/>
      <c r="F4730" s="38"/>
      <c r="G4730" s="38"/>
      <c r="H4730" s="38"/>
      <c r="I4730" s="37"/>
      <c r="J4730" s="38"/>
      <c r="K4730" s="38"/>
      <c r="L4730" s="42"/>
      <c r="M4730" s="42"/>
      <c r="N4730" s="42"/>
      <c r="O4730" s="42"/>
      <c r="R4730" s="37"/>
      <c r="S4730" s="37"/>
      <c r="T4730" s="91"/>
      <c r="U4730" s="91"/>
      <c r="V4730" s="41"/>
      <c r="W4730" s="37"/>
      <c r="X4730" s="37"/>
      <c r="Y4730" s="43"/>
      <c r="Z4730" s="37"/>
      <c r="AA4730" s="37"/>
      <c r="AD4730" s="37"/>
      <c r="AE4730" s="37"/>
      <c r="AF4730" s="37"/>
    </row>
    <row r="4731" spans="1:32" x14ac:dyDescent="0.25">
      <c r="A4731" s="37"/>
      <c r="B4731" s="37"/>
      <c r="C4731" s="37"/>
      <c r="F4731" s="38"/>
      <c r="G4731" s="38"/>
      <c r="H4731" s="38"/>
      <c r="I4731" s="37"/>
      <c r="J4731" s="38"/>
      <c r="K4731" s="38"/>
      <c r="L4731" s="42"/>
      <c r="M4731" s="42"/>
      <c r="N4731" s="42"/>
      <c r="O4731" s="42"/>
      <c r="R4731" s="37"/>
      <c r="S4731" s="37"/>
      <c r="T4731" s="91"/>
      <c r="U4731" s="91"/>
      <c r="V4731" s="41"/>
      <c r="W4731" s="37"/>
      <c r="X4731" s="37"/>
      <c r="Y4731" s="43"/>
      <c r="Z4731" s="37"/>
      <c r="AA4731" s="37"/>
      <c r="AD4731" s="37"/>
      <c r="AE4731" s="37"/>
      <c r="AF4731" s="37"/>
    </row>
    <row r="4732" spans="1:32" x14ac:dyDescent="0.25">
      <c r="A4732" s="37"/>
      <c r="B4732" s="37"/>
      <c r="C4732" s="37"/>
      <c r="F4732" s="38"/>
      <c r="G4732" s="38"/>
      <c r="H4732" s="38"/>
      <c r="I4732" s="37"/>
      <c r="J4732" s="38"/>
      <c r="K4732" s="38"/>
      <c r="L4732" s="42"/>
      <c r="M4732" s="42"/>
      <c r="N4732" s="42"/>
      <c r="O4732" s="42"/>
      <c r="R4732" s="37"/>
      <c r="S4732" s="37"/>
      <c r="T4732" s="91"/>
      <c r="U4732" s="91"/>
      <c r="V4732" s="41"/>
      <c r="W4732" s="37"/>
      <c r="X4732" s="37"/>
      <c r="Y4732" s="43"/>
      <c r="Z4732" s="37"/>
      <c r="AA4732" s="37"/>
      <c r="AD4732" s="37"/>
      <c r="AE4732" s="37"/>
      <c r="AF4732" s="37"/>
    </row>
    <row r="4733" spans="1:32" x14ac:dyDescent="0.25">
      <c r="A4733" s="37"/>
      <c r="B4733" s="37"/>
      <c r="C4733" s="37"/>
      <c r="F4733" s="38"/>
      <c r="G4733" s="38"/>
      <c r="H4733" s="38"/>
      <c r="I4733" s="37"/>
      <c r="J4733" s="38"/>
      <c r="K4733" s="38"/>
      <c r="L4733" s="42"/>
      <c r="M4733" s="42"/>
      <c r="N4733" s="42"/>
      <c r="O4733" s="42"/>
      <c r="R4733" s="37"/>
      <c r="S4733" s="37"/>
      <c r="T4733" s="91"/>
      <c r="U4733" s="91"/>
      <c r="V4733" s="41"/>
      <c r="W4733" s="37"/>
      <c r="X4733" s="37"/>
      <c r="Y4733" s="43"/>
      <c r="Z4733" s="37"/>
      <c r="AA4733" s="37"/>
      <c r="AD4733" s="37"/>
      <c r="AE4733" s="37"/>
      <c r="AF4733" s="37"/>
    </row>
    <row r="4734" spans="1:32" x14ac:dyDescent="0.25">
      <c r="A4734" s="37"/>
      <c r="B4734" s="37"/>
      <c r="C4734" s="37"/>
      <c r="F4734" s="38"/>
      <c r="G4734" s="38"/>
      <c r="H4734" s="38"/>
      <c r="I4734" s="37"/>
      <c r="J4734" s="38"/>
      <c r="K4734" s="38"/>
      <c r="L4734" s="42"/>
      <c r="M4734" s="42"/>
      <c r="N4734" s="42"/>
      <c r="O4734" s="42"/>
      <c r="R4734" s="37"/>
      <c r="S4734" s="37"/>
      <c r="T4734" s="91"/>
      <c r="U4734" s="91"/>
      <c r="V4734" s="41"/>
      <c r="W4734" s="37"/>
      <c r="X4734" s="37"/>
      <c r="Y4734" s="43"/>
      <c r="Z4734" s="37"/>
      <c r="AA4734" s="37"/>
      <c r="AD4734" s="37"/>
      <c r="AE4734" s="37"/>
      <c r="AF4734" s="37"/>
    </row>
    <row r="4735" spans="1:32" x14ac:dyDescent="0.25">
      <c r="A4735" s="37"/>
      <c r="B4735" s="37"/>
      <c r="C4735" s="37"/>
      <c r="F4735" s="38"/>
      <c r="G4735" s="38"/>
      <c r="H4735" s="38"/>
      <c r="I4735" s="37"/>
      <c r="J4735" s="38"/>
      <c r="K4735" s="38"/>
      <c r="L4735" s="42"/>
      <c r="M4735" s="42"/>
      <c r="N4735" s="42"/>
      <c r="O4735" s="42"/>
      <c r="R4735" s="37"/>
      <c r="S4735" s="37"/>
      <c r="T4735" s="91"/>
      <c r="U4735" s="91"/>
      <c r="V4735" s="41"/>
      <c r="W4735" s="37"/>
      <c r="X4735" s="37"/>
      <c r="Y4735" s="43"/>
      <c r="Z4735" s="37"/>
      <c r="AA4735" s="37"/>
      <c r="AD4735" s="37"/>
      <c r="AE4735" s="37"/>
      <c r="AF4735" s="37"/>
    </row>
    <row r="4736" spans="1:32" x14ac:dyDescent="0.25">
      <c r="A4736" s="37"/>
      <c r="B4736" s="37"/>
      <c r="C4736" s="37"/>
      <c r="F4736" s="38"/>
      <c r="G4736" s="38"/>
      <c r="H4736" s="38"/>
      <c r="I4736" s="37"/>
      <c r="J4736" s="38"/>
      <c r="K4736" s="38"/>
      <c r="L4736" s="42"/>
      <c r="M4736" s="42"/>
      <c r="N4736" s="42"/>
      <c r="O4736" s="42"/>
      <c r="R4736" s="37"/>
      <c r="S4736" s="37"/>
      <c r="T4736" s="91"/>
      <c r="U4736" s="91"/>
      <c r="V4736" s="41"/>
      <c r="W4736" s="37"/>
      <c r="X4736" s="37"/>
      <c r="Y4736" s="43"/>
      <c r="Z4736" s="37"/>
      <c r="AA4736" s="37"/>
      <c r="AD4736" s="37"/>
      <c r="AE4736" s="37"/>
      <c r="AF4736" s="37"/>
    </row>
    <row r="4737" spans="1:32" x14ac:dyDescent="0.25">
      <c r="A4737" s="37"/>
      <c r="B4737" s="37"/>
      <c r="C4737" s="37"/>
      <c r="F4737" s="38"/>
      <c r="G4737" s="38"/>
      <c r="H4737" s="38"/>
      <c r="I4737" s="37"/>
      <c r="J4737" s="38"/>
      <c r="K4737" s="38"/>
      <c r="L4737" s="42"/>
      <c r="M4737" s="42"/>
      <c r="N4737" s="42"/>
      <c r="O4737" s="42"/>
      <c r="R4737" s="37"/>
      <c r="S4737" s="37"/>
      <c r="T4737" s="91"/>
      <c r="U4737" s="91"/>
      <c r="V4737" s="41"/>
      <c r="W4737" s="37"/>
      <c r="X4737" s="37"/>
      <c r="Y4737" s="43"/>
      <c r="Z4737" s="37"/>
      <c r="AA4737" s="37"/>
      <c r="AD4737" s="37"/>
      <c r="AE4737" s="37"/>
      <c r="AF4737" s="37"/>
    </row>
    <row r="4738" spans="1:32" x14ac:dyDescent="0.25">
      <c r="A4738" s="37"/>
      <c r="B4738" s="37"/>
      <c r="C4738" s="37"/>
      <c r="F4738" s="38"/>
      <c r="G4738" s="38"/>
      <c r="H4738" s="38"/>
      <c r="I4738" s="37"/>
      <c r="J4738" s="38"/>
      <c r="K4738" s="38"/>
      <c r="L4738" s="42"/>
      <c r="M4738" s="42"/>
      <c r="N4738" s="42"/>
      <c r="O4738" s="42"/>
      <c r="R4738" s="37"/>
      <c r="S4738" s="37"/>
      <c r="T4738" s="91"/>
      <c r="U4738" s="91"/>
      <c r="V4738" s="41"/>
      <c r="W4738" s="37"/>
      <c r="X4738" s="37"/>
      <c r="Y4738" s="43"/>
      <c r="Z4738" s="37"/>
      <c r="AA4738" s="37"/>
      <c r="AD4738" s="37"/>
      <c r="AE4738" s="37"/>
      <c r="AF4738" s="37"/>
    </row>
    <row r="4739" spans="1:32" x14ac:dyDescent="0.25">
      <c r="A4739" s="37"/>
      <c r="B4739" s="37"/>
      <c r="C4739" s="37"/>
      <c r="F4739" s="38"/>
      <c r="G4739" s="38"/>
      <c r="H4739" s="38"/>
      <c r="I4739" s="37"/>
      <c r="J4739" s="38"/>
      <c r="K4739" s="38"/>
      <c r="L4739" s="42"/>
      <c r="M4739" s="42"/>
      <c r="N4739" s="42"/>
      <c r="O4739" s="42"/>
      <c r="R4739" s="37"/>
      <c r="S4739" s="37"/>
      <c r="T4739" s="91"/>
      <c r="U4739" s="91"/>
      <c r="V4739" s="41"/>
      <c r="W4739" s="37"/>
      <c r="X4739" s="37"/>
      <c r="Y4739" s="43"/>
      <c r="Z4739" s="37"/>
      <c r="AA4739" s="37"/>
      <c r="AD4739" s="37"/>
      <c r="AE4739" s="37"/>
      <c r="AF4739" s="37"/>
    </row>
    <row r="4740" spans="1:32" x14ac:dyDescent="0.25">
      <c r="A4740" s="37"/>
      <c r="B4740" s="37"/>
      <c r="C4740" s="37"/>
      <c r="F4740" s="38"/>
      <c r="G4740" s="38"/>
      <c r="H4740" s="38"/>
      <c r="I4740" s="37"/>
      <c r="J4740" s="38"/>
      <c r="K4740" s="38"/>
      <c r="L4740" s="42"/>
      <c r="M4740" s="42"/>
      <c r="N4740" s="42"/>
      <c r="O4740" s="42"/>
      <c r="R4740" s="37"/>
      <c r="S4740" s="37"/>
      <c r="T4740" s="91"/>
      <c r="U4740" s="91"/>
      <c r="V4740" s="41"/>
      <c r="W4740" s="37"/>
      <c r="X4740" s="37"/>
      <c r="Y4740" s="43"/>
      <c r="Z4740" s="37"/>
      <c r="AA4740" s="37"/>
      <c r="AD4740" s="37"/>
      <c r="AE4740" s="37"/>
      <c r="AF4740" s="37"/>
    </row>
    <row r="4741" spans="1:32" x14ac:dyDescent="0.25">
      <c r="A4741" s="37"/>
      <c r="B4741" s="37"/>
      <c r="C4741" s="37"/>
      <c r="F4741" s="38"/>
      <c r="G4741" s="38"/>
      <c r="H4741" s="38"/>
      <c r="I4741" s="37"/>
      <c r="J4741" s="38"/>
      <c r="K4741" s="38"/>
      <c r="L4741" s="42"/>
      <c r="M4741" s="42"/>
      <c r="N4741" s="42"/>
      <c r="O4741" s="42"/>
      <c r="R4741" s="37"/>
      <c r="S4741" s="37"/>
      <c r="T4741" s="91"/>
      <c r="U4741" s="91"/>
      <c r="V4741" s="41"/>
      <c r="W4741" s="37"/>
      <c r="X4741" s="37"/>
      <c r="Y4741" s="43"/>
      <c r="Z4741" s="37"/>
      <c r="AA4741" s="37"/>
      <c r="AD4741" s="37"/>
      <c r="AE4741" s="37"/>
      <c r="AF4741" s="37"/>
    </row>
    <row r="4742" spans="1:32" x14ac:dyDescent="0.25">
      <c r="A4742" s="37"/>
      <c r="B4742" s="37"/>
      <c r="C4742" s="37"/>
      <c r="F4742" s="38"/>
      <c r="G4742" s="38"/>
      <c r="H4742" s="38"/>
      <c r="I4742" s="37"/>
      <c r="J4742" s="38"/>
      <c r="K4742" s="38"/>
      <c r="L4742" s="42"/>
      <c r="M4742" s="42"/>
      <c r="N4742" s="42"/>
      <c r="O4742" s="42"/>
      <c r="R4742" s="37"/>
      <c r="S4742" s="37"/>
      <c r="T4742" s="91"/>
      <c r="U4742" s="91"/>
      <c r="V4742" s="41"/>
      <c r="W4742" s="37"/>
      <c r="X4742" s="37"/>
      <c r="Y4742" s="43"/>
      <c r="Z4742" s="37"/>
      <c r="AA4742" s="37"/>
      <c r="AD4742" s="37"/>
      <c r="AE4742" s="37"/>
      <c r="AF4742" s="37"/>
    </row>
    <row r="4743" spans="1:32" x14ac:dyDescent="0.25">
      <c r="A4743" s="37"/>
      <c r="B4743" s="37"/>
      <c r="C4743" s="37"/>
      <c r="F4743" s="38"/>
      <c r="G4743" s="38"/>
      <c r="H4743" s="38"/>
      <c r="I4743" s="37"/>
      <c r="J4743" s="38"/>
      <c r="K4743" s="38"/>
      <c r="L4743" s="42"/>
      <c r="M4743" s="42"/>
      <c r="N4743" s="42"/>
      <c r="O4743" s="42"/>
      <c r="R4743" s="37"/>
      <c r="S4743" s="37"/>
      <c r="T4743" s="91"/>
      <c r="U4743" s="91"/>
      <c r="V4743" s="41"/>
      <c r="W4743" s="37"/>
      <c r="X4743" s="37"/>
      <c r="Y4743" s="43"/>
      <c r="Z4743" s="37"/>
      <c r="AA4743" s="37"/>
      <c r="AD4743" s="37"/>
      <c r="AE4743" s="37"/>
      <c r="AF4743" s="37"/>
    </row>
    <row r="4744" spans="1:32" x14ac:dyDescent="0.25">
      <c r="A4744" s="37"/>
      <c r="B4744" s="37"/>
      <c r="C4744" s="37"/>
      <c r="F4744" s="38"/>
      <c r="G4744" s="38"/>
      <c r="H4744" s="38"/>
      <c r="I4744" s="37"/>
      <c r="J4744" s="38"/>
      <c r="K4744" s="38"/>
      <c r="L4744" s="42"/>
      <c r="M4744" s="42"/>
      <c r="N4744" s="42"/>
      <c r="O4744" s="42"/>
      <c r="R4744" s="37"/>
      <c r="S4744" s="37"/>
      <c r="T4744" s="91"/>
      <c r="U4744" s="91"/>
      <c r="V4744" s="41"/>
      <c r="W4744" s="37"/>
      <c r="X4744" s="37"/>
      <c r="Y4744" s="43"/>
      <c r="Z4744" s="37"/>
      <c r="AA4744" s="37"/>
      <c r="AD4744" s="37"/>
      <c r="AE4744" s="37"/>
      <c r="AF4744" s="37"/>
    </row>
    <row r="4745" spans="1:32" x14ac:dyDescent="0.25">
      <c r="A4745" s="37"/>
      <c r="B4745" s="37"/>
      <c r="C4745" s="37"/>
      <c r="F4745" s="38"/>
      <c r="G4745" s="38"/>
      <c r="H4745" s="38"/>
      <c r="I4745" s="37"/>
      <c r="J4745" s="38"/>
      <c r="K4745" s="38"/>
      <c r="L4745" s="42"/>
      <c r="M4745" s="42"/>
      <c r="N4745" s="42"/>
      <c r="O4745" s="42"/>
      <c r="R4745" s="37"/>
      <c r="S4745" s="37"/>
      <c r="T4745" s="91"/>
      <c r="U4745" s="91"/>
      <c r="V4745" s="41"/>
      <c r="W4745" s="37"/>
      <c r="X4745" s="37"/>
      <c r="Y4745" s="43"/>
      <c r="Z4745" s="37"/>
      <c r="AA4745" s="37"/>
      <c r="AD4745" s="37"/>
      <c r="AE4745" s="37"/>
      <c r="AF4745" s="37"/>
    </row>
    <row r="4746" spans="1:32" x14ac:dyDescent="0.25">
      <c r="A4746" s="37"/>
      <c r="B4746" s="37"/>
      <c r="C4746" s="37"/>
      <c r="F4746" s="38"/>
      <c r="G4746" s="38"/>
      <c r="H4746" s="38"/>
      <c r="I4746" s="37"/>
      <c r="J4746" s="38"/>
      <c r="K4746" s="38"/>
      <c r="L4746" s="42"/>
      <c r="M4746" s="42"/>
      <c r="N4746" s="42"/>
      <c r="O4746" s="42"/>
      <c r="R4746" s="37"/>
      <c r="S4746" s="37"/>
      <c r="T4746" s="91"/>
      <c r="U4746" s="91"/>
      <c r="V4746" s="41"/>
      <c r="W4746" s="37"/>
      <c r="X4746" s="37"/>
      <c r="Y4746" s="43"/>
      <c r="Z4746" s="37"/>
      <c r="AA4746" s="37"/>
      <c r="AD4746" s="37"/>
      <c r="AE4746" s="37"/>
      <c r="AF4746" s="37"/>
    </row>
    <row r="4747" spans="1:32" x14ac:dyDescent="0.25">
      <c r="A4747" s="37"/>
      <c r="B4747" s="37"/>
      <c r="C4747" s="37"/>
      <c r="F4747" s="38"/>
      <c r="G4747" s="38"/>
      <c r="H4747" s="38"/>
      <c r="I4747" s="37"/>
      <c r="J4747" s="38"/>
      <c r="K4747" s="38"/>
      <c r="L4747" s="42"/>
      <c r="M4747" s="42"/>
      <c r="N4747" s="42"/>
      <c r="O4747" s="42"/>
      <c r="R4747" s="37"/>
      <c r="S4747" s="37"/>
      <c r="T4747" s="91"/>
      <c r="U4747" s="91"/>
      <c r="V4747" s="41"/>
      <c r="W4747" s="37"/>
      <c r="X4747" s="37"/>
      <c r="Y4747" s="43"/>
      <c r="Z4747" s="37"/>
      <c r="AA4747" s="37"/>
      <c r="AD4747" s="37"/>
      <c r="AE4747" s="37"/>
      <c r="AF4747" s="37"/>
    </row>
    <row r="4748" spans="1:32" x14ac:dyDescent="0.25">
      <c r="A4748" s="37"/>
      <c r="B4748" s="37"/>
      <c r="C4748" s="37"/>
      <c r="F4748" s="38"/>
      <c r="G4748" s="38"/>
      <c r="H4748" s="38"/>
      <c r="I4748" s="37"/>
      <c r="J4748" s="38"/>
      <c r="K4748" s="38"/>
      <c r="L4748" s="42"/>
      <c r="M4748" s="42"/>
      <c r="N4748" s="42"/>
      <c r="O4748" s="42"/>
      <c r="R4748" s="37"/>
      <c r="S4748" s="37"/>
      <c r="T4748" s="91"/>
      <c r="U4748" s="91"/>
      <c r="V4748" s="41"/>
      <c r="W4748" s="37"/>
      <c r="X4748" s="37"/>
      <c r="Y4748" s="43"/>
      <c r="Z4748" s="37"/>
      <c r="AA4748" s="37"/>
      <c r="AD4748" s="37"/>
      <c r="AE4748" s="37"/>
      <c r="AF4748" s="37"/>
    </row>
    <row r="4749" spans="1:32" x14ac:dyDescent="0.25">
      <c r="A4749" s="37"/>
      <c r="B4749" s="37"/>
      <c r="C4749" s="37"/>
      <c r="F4749" s="38"/>
      <c r="G4749" s="38"/>
      <c r="H4749" s="38"/>
      <c r="I4749" s="37"/>
      <c r="J4749" s="38"/>
      <c r="K4749" s="38"/>
      <c r="L4749" s="42"/>
      <c r="M4749" s="42"/>
      <c r="N4749" s="42"/>
      <c r="O4749" s="42"/>
      <c r="R4749" s="37"/>
      <c r="S4749" s="37"/>
      <c r="T4749" s="91"/>
      <c r="U4749" s="91"/>
      <c r="V4749" s="41"/>
      <c r="W4749" s="37"/>
      <c r="X4749" s="37"/>
      <c r="Y4749" s="43"/>
      <c r="Z4749" s="37"/>
      <c r="AA4749" s="37"/>
      <c r="AD4749" s="37"/>
      <c r="AE4749" s="37"/>
      <c r="AF4749" s="37"/>
    </row>
    <row r="4750" spans="1:32" x14ac:dyDescent="0.25">
      <c r="A4750" s="37"/>
      <c r="B4750" s="37"/>
      <c r="C4750" s="37"/>
      <c r="F4750" s="38"/>
      <c r="G4750" s="38"/>
      <c r="H4750" s="38"/>
      <c r="I4750" s="37"/>
      <c r="J4750" s="38"/>
      <c r="K4750" s="38"/>
      <c r="L4750" s="42"/>
      <c r="M4750" s="42"/>
      <c r="N4750" s="42"/>
      <c r="O4750" s="42"/>
      <c r="R4750" s="37"/>
      <c r="S4750" s="37"/>
      <c r="T4750" s="91"/>
      <c r="U4750" s="91"/>
      <c r="V4750" s="41"/>
      <c r="W4750" s="37"/>
      <c r="X4750" s="37"/>
      <c r="Y4750" s="43"/>
      <c r="Z4750" s="37"/>
      <c r="AA4750" s="37"/>
      <c r="AD4750" s="37"/>
      <c r="AE4750" s="37"/>
      <c r="AF4750" s="37"/>
    </row>
    <row r="4751" spans="1:32" x14ac:dyDescent="0.25">
      <c r="A4751" s="37"/>
      <c r="B4751" s="37"/>
      <c r="C4751" s="37"/>
      <c r="F4751" s="38"/>
      <c r="G4751" s="38"/>
      <c r="H4751" s="38"/>
      <c r="I4751" s="37"/>
      <c r="J4751" s="38"/>
      <c r="K4751" s="38"/>
      <c r="L4751" s="42"/>
      <c r="M4751" s="42"/>
      <c r="N4751" s="42"/>
      <c r="O4751" s="42"/>
      <c r="R4751" s="37"/>
      <c r="S4751" s="37"/>
      <c r="T4751" s="91"/>
      <c r="U4751" s="91"/>
      <c r="V4751" s="41"/>
      <c r="W4751" s="37"/>
      <c r="X4751" s="37"/>
      <c r="Y4751" s="43"/>
      <c r="Z4751" s="37"/>
      <c r="AA4751" s="37"/>
      <c r="AD4751" s="37"/>
      <c r="AE4751" s="37"/>
      <c r="AF4751" s="37"/>
    </row>
    <row r="4752" spans="1:32" x14ac:dyDescent="0.25">
      <c r="A4752" s="37"/>
      <c r="B4752" s="37"/>
      <c r="C4752" s="37"/>
      <c r="F4752" s="38"/>
      <c r="G4752" s="38"/>
      <c r="H4752" s="38"/>
      <c r="I4752" s="37"/>
      <c r="J4752" s="38"/>
      <c r="K4752" s="38"/>
      <c r="L4752" s="42"/>
      <c r="M4752" s="42"/>
      <c r="N4752" s="42"/>
      <c r="O4752" s="42"/>
      <c r="R4752" s="37"/>
      <c r="S4752" s="37"/>
      <c r="T4752" s="91"/>
      <c r="U4752" s="91"/>
      <c r="V4752" s="41"/>
      <c r="W4752" s="37"/>
      <c r="X4752" s="37"/>
      <c r="Y4752" s="43"/>
      <c r="Z4752" s="37"/>
      <c r="AA4752" s="37"/>
      <c r="AD4752" s="37"/>
      <c r="AE4752" s="37"/>
      <c r="AF4752" s="37"/>
    </row>
    <row r="4753" spans="1:32" x14ac:dyDescent="0.25">
      <c r="A4753" s="37"/>
      <c r="B4753" s="37"/>
      <c r="C4753" s="37"/>
      <c r="F4753" s="38"/>
      <c r="G4753" s="38"/>
      <c r="H4753" s="38"/>
      <c r="I4753" s="37"/>
      <c r="J4753" s="38"/>
      <c r="K4753" s="38"/>
      <c r="L4753" s="42"/>
      <c r="M4753" s="42"/>
      <c r="N4753" s="42"/>
      <c r="O4753" s="42"/>
      <c r="R4753" s="37"/>
      <c r="S4753" s="37"/>
      <c r="T4753" s="91"/>
      <c r="U4753" s="91"/>
      <c r="V4753" s="41"/>
      <c r="W4753" s="37"/>
      <c r="X4753" s="37"/>
      <c r="Y4753" s="43"/>
      <c r="Z4753" s="37"/>
      <c r="AA4753" s="37"/>
      <c r="AD4753" s="37"/>
      <c r="AE4753" s="37"/>
      <c r="AF4753" s="37"/>
    </row>
    <row r="4754" spans="1:32" x14ac:dyDescent="0.25">
      <c r="A4754" s="37"/>
      <c r="B4754" s="37"/>
      <c r="C4754" s="37"/>
      <c r="F4754" s="38"/>
      <c r="G4754" s="38"/>
      <c r="H4754" s="38"/>
      <c r="I4754" s="37"/>
      <c r="J4754" s="38"/>
      <c r="K4754" s="38"/>
      <c r="L4754" s="42"/>
      <c r="M4754" s="42"/>
      <c r="N4754" s="42"/>
      <c r="O4754" s="42"/>
      <c r="R4754" s="37"/>
      <c r="S4754" s="37"/>
      <c r="T4754" s="91"/>
      <c r="U4754" s="91"/>
      <c r="V4754" s="41"/>
      <c r="W4754" s="37"/>
      <c r="X4754" s="37"/>
      <c r="Y4754" s="43"/>
      <c r="Z4754" s="37"/>
      <c r="AA4754" s="37"/>
      <c r="AD4754" s="37"/>
      <c r="AE4754" s="37"/>
      <c r="AF4754" s="37"/>
    </row>
    <row r="4755" spans="1:32" x14ac:dyDescent="0.25">
      <c r="A4755" s="37"/>
      <c r="B4755" s="37"/>
      <c r="C4755" s="37"/>
      <c r="F4755" s="38"/>
      <c r="G4755" s="38"/>
      <c r="H4755" s="38"/>
      <c r="I4755" s="37"/>
      <c r="J4755" s="38"/>
      <c r="K4755" s="38"/>
      <c r="L4755" s="42"/>
      <c r="M4755" s="42"/>
      <c r="N4755" s="42"/>
      <c r="O4755" s="42"/>
      <c r="R4755" s="37"/>
      <c r="S4755" s="37"/>
      <c r="T4755" s="91"/>
      <c r="U4755" s="91"/>
      <c r="V4755" s="41"/>
      <c r="W4755" s="37"/>
      <c r="X4755" s="37"/>
      <c r="Y4755" s="43"/>
      <c r="Z4755" s="37"/>
      <c r="AA4755" s="37"/>
      <c r="AD4755" s="37"/>
      <c r="AE4755" s="37"/>
      <c r="AF4755" s="37"/>
    </row>
    <row r="4756" spans="1:32" x14ac:dyDescent="0.25">
      <c r="A4756" s="37"/>
      <c r="B4756" s="37"/>
      <c r="C4756" s="37"/>
      <c r="F4756" s="38"/>
      <c r="G4756" s="38"/>
      <c r="H4756" s="38"/>
      <c r="I4756" s="37"/>
      <c r="J4756" s="38"/>
      <c r="K4756" s="38"/>
      <c r="L4756" s="42"/>
      <c r="M4756" s="42"/>
      <c r="N4756" s="42"/>
      <c r="O4756" s="42"/>
      <c r="R4756" s="37"/>
      <c r="S4756" s="37"/>
      <c r="T4756" s="91"/>
      <c r="U4756" s="91"/>
      <c r="V4756" s="41"/>
      <c r="W4756" s="37"/>
      <c r="X4756" s="37"/>
      <c r="Y4756" s="43"/>
      <c r="Z4756" s="37"/>
      <c r="AA4756" s="37"/>
      <c r="AD4756" s="37"/>
      <c r="AE4756" s="37"/>
      <c r="AF4756" s="37"/>
    </row>
    <row r="4757" spans="1:32" x14ac:dyDescent="0.25">
      <c r="A4757" s="37"/>
      <c r="B4757" s="37"/>
      <c r="C4757" s="37"/>
      <c r="F4757" s="38"/>
      <c r="G4757" s="38"/>
      <c r="H4757" s="38"/>
      <c r="I4757" s="37"/>
      <c r="J4757" s="38"/>
      <c r="K4757" s="38"/>
      <c r="L4757" s="42"/>
      <c r="M4757" s="42"/>
      <c r="N4757" s="42"/>
      <c r="O4757" s="42"/>
      <c r="R4757" s="37"/>
      <c r="S4757" s="37"/>
      <c r="T4757" s="91"/>
      <c r="U4757" s="91"/>
      <c r="V4757" s="41"/>
      <c r="W4757" s="37"/>
      <c r="X4757" s="37"/>
      <c r="Y4757" s="43"/>
      <c r="Z4757" s="37"/>
      <c r="AA4757" s="37"/>
      <c r="AD4757" s="37"/>
      <c r="AE4757" s="37"/>
      <c r="AF4757" s="37"/>
    </row>
    <row r="4758" spans="1:32" x14ac:dyDescent="0.25">
      <c r="A4758" s="37"/>
      <c r="B4758" s="37"/>
      <c r="C4758" s="37"/>
      <c r="F4758" s="38"/>
      <c r="G4758" s="38"/>
      <c r="H4758" s="38"/>
      <c r="I4758" s="37"/>
      <c r="J4758" s="38"/>
      <c r="K4758" s="38"/>
      <c r="L4758" s="42"/>
      <c r="M4758" s="42"/>
      <c r="N4758" s="42"/>
      <c r="O4758" s="42"/>
      <c r="R4758" s="37"/>
      <c r="S4758" s="37"/>
      <c r="T4758" s="91"/>
      <c r="U4758" s="91"/>
      <c r="V4758" s="41"/>
      <c r="W4758" s="37"/>
      <c r="X4758" s="37"/>
      <c r="Y4758" s="43"/>
      <c r="Z4758" s="37"/>
      <c r="AA4758" s="37"/>
      <c r="AD4758" s="37"/>
      <c r="AE4758" s="37"/>
      <c r="AF4758" s="37"/>
    </row>
    <row r="4759" spans="1:32" x14ac:dyDescent="0.25">
      <c r="A4759" s="37"/>
      <c r="B4759" s="37"/>
      <c r="C4759" s="37"/>
      <c r="F4759" s="38"/>
      <c r="G4759" s="38"/>
      <c r="H4759" s="38"/>
      <c r="I4759" s="37"/>
      <c r="J4759" s="38"/>
      <c r="K4759" s="38"/>
      <c r="L4759" s="42"/>
      <c r="M4759" s="42"/>
      <c r="N4759" s="42"/>
      <c r="O4759" s="42"/>
      <c r="R4759" s="37"/>
      <c r="S4759" s="37"/>
      <c r="T4759" s="91"/>
      <c r="U4759" s="91"/>
      <c r="V4759" s="41"/>
      <c r="W4759" s="37"/>
      <c r="X4759" s="37"/>
      <c r="Y4759" s="43"/>
      <c r="Z4759" s="37"/>
      <c r="AA4759" s="37"/>
      <c r="AD4759" s="37"/>
      <c r="AE4759" s="37"/>
      <c r="AF4759" s="37"/>
    </row>
    <row r="4760" spans="1:32" x14ac:dyDescent="0.25">
      <c r="A4760" s="37"/>
      <c r="B4760" s="37"/>
      <c r="C4760" s="37"/>
      <c r="F4760" s="38"/>
      <c r="G4760" s="38"/>
      <c r="H4760" s="38"/>
      <c r="I4760" s="37"/>
      <c r="J4760" s="38"/>
      <c r="K4760" s="38"/>
      <c r="L4760" s="42"/>
      <c r="M4760" s="42"/>
      <c r="N4760" s="42"/>
      <c r="O4760" s="42"/>
      <c r="R4760" s="37"/>
      <c r="S4760" s="37"/>
      <c r="T4760" s="91"/>
      <c r="U4760" s="91"/>
      <c r="V4760" s="41"/>
      <c r="W4760" s="37"/>
      <c r="X4760" s="37"/>
      <c r="Y4760" s="43"/>
      <c r="Z4760" s="37"/>
      <c r="AA4760" s="37"/>
      <c r="AD4760" s="37"/>
      <c r="AE4760" s="37"/>
      <c r="AF4760" s="37"/>
    </row>
    <row r="4761" spans="1:32" x14ac:dyDescent="0.25">
      <c r="A4761" s="37"/>
      <c r="B4761" s="37"/>
      <c r="C4761" s="37"/>
      <c r="F4761" s="38"/>
      <c r="G4761" s="38"/>
      <c r="H4761" s="38"/>
      <c r="I4761" s="37"/>
      <c r="J4761" s="38"/>
      <c r="K4761" s="38"/>
      <c r="L4761" s="42"/>
      <c r="M4761" s="42"/>
      <c r="N4761" s="42"/>
      <c r="O4761" s="42"/>
      <c r="R4761" s="37"/>
      <c r="S4761" s="37"/>
      <c r="T4761" s="91"/>
      <c r="U4761" s="91"/>
      <c r="V4761" s="41"/>
      <c r="W4761" s="37"/>
      <c r="X4761" s="37"/>
      <c r="Y4761" s="43"/>
      <c r="Z4761" s="37"/>
      <c r="AA4761" s="37"/>
      <c r="AD4761" s="37"/>
      <c r="AE4761" s="37"/>
      <c r="AF4761" s="37"/>
    </row>
    <row r="4762" spans="1:32" x14ac:dyDescent="0.25">
      <c r="A4762" s="37"/>
      <c r="B4762" s="37"/>
      <c r="C4762" s="37"/>
      <c r="F4762" s="38"/>
      <c r="G4762" s="38"/>
      <c r="H4762" s="38"/>
      <c r="I4762" s="37"/>
      <c r="J4762" s="38"/>
      <c r="K4762" s="38"/>
      <c r="L4762" s="42"/>
      <c r="M4762" s="42"/>
      <c r="N4762" s="42"/>
      <c r="O4762" s="42"/>
      <c r="R4762" s="37"/>
      <c r="S4762" s="37"/>
      <c r="T4762" s="91"/>
      <c r="U4762" s="91"/>
      <c r="V4762" s="41"/>
      <c r="W4762" s="37"/>
      <c r="X4762" s="37"/>
      <c r="Y4762" s="43"/>
      <c r="Z4762" s="37"/>
      <c r="AA4762" s="37"/>
      <c r="AD4762" s="37"/>
      <c r="AE4762" s="37"/>
      <c r="AF4762" s="37"/>
    </row>
    <row r="4763" spans="1:32" x14ac:dyDescent="0.25">
      <c r="A4763" s="37"/>
      <c r="B4763" s="37"/>
      <c r="C4763" s="37"/>
      <c r="F4763" s="38"/>
      <c r="G4763" s="38"/>
      <c r="H4763" s="38"/>
      <c r="I4763" s="37"/>
      <c r="J4763" s="38"/>
      <c r="K4763" s="38"/>
      <c r="L4763" s="42"/>
      <c r="M4763" s="42"/>
      <c r="N4763" s="42"/>
      <c r="O4763" s="42"/>
      <c r="R4763" s="37"/>
      <c r="S4763" s="37"/>
      <c r="T4763" s="91"/>
      <c r="U4763" s="91"/>
      <c r="V4763" s="41"/>
      <c r="W4763" s="37"/>
      <c r="X4763" s="37"/>
      <c r="Y4763" s="43"/>
      <c r="Z4763" s="37"/>
      <c r="AA4763" s="37"/>
      <c r="AD4763" s="37"/>
      <c r="AE4763" s="37"/>
      <c r="AF4763" s="37"/>
    </row>
    <row r="4764" spans="1:32" x14ac:dyDescent="0.25">
      <c r="A4764" s="37"/>
      <c r="B4764" s="37"/>
      <c r="C4764" s="37"/>
      <c r="F4764" s="38"/>
      <c r="G4764" s="38"/>
      <c r="H4764" s="38"/>
      <c r="I4764" s="37"/>
      <c r="J4764" s="38"/>
      <c r="K4764" s="38"/>
      <c r="L4764" s="42"/>
      <c r="M4764" s="42"/>
      <c r="N4764" s="42"/>
      <c r="O4764" s="42"/>
      <c r="R4764" s="37"/>
      <c r="S4764" s="37"/>
      <c r="T4764" s="91"/>
      <c r="U4764" s="91"/>
      <c r="V4764" s="41"/>
      <c r="W4764" s="37"/>
      <c r="X4764" s="37"/>
      <c r="Y4764" s="43"/>
      <c r="Z4764" s="37"/>
      <c r="AA4764" s="37"/>
      <c r="AD4764" s="37"/>
      <c r="AE4764" s="37"/>
      <c r="AF4764" s="37"/>
    </row>
    <row r="4765" spans="1:32" x14ac:dyDescent="0.25">
      <c r="A4765" s="37"/>
      <c r="B4765" s="37"/>
      <c r="C4765" s="37"/>
      <c r="F4765" s="38"/>
      <c r="G4765" s="38"/>
      <c r="H4765" s="38"/>
      <c r="I4765" s="37"/>
      <c r="J4765" s="38"/>
      <c r="K4765" s="38"/>
      <c r="L4765" s="42"/>
      <c r="M4765" s="42"/>
      <c r="N4765" s="42"/>
      <c r="O4765" s="42"/>
      <c r="R4765" s="37"/>
      <c r="S4765" s="37"/>
      <c r="T4765" s="91"/>
      <c r="U4765" s="91"/>
      <c r="V4765" s="41"/>
      <c r="W4765" s="37"/>
      <c r="X4765" s="37"/>
      <c r="Y4765" s="43"/>
      <c r="Z4765" s="37"/>
      <c r="AA4765" s="37"/>
      <c r="AD4765" s="37"/>
      <c r="AE4765" s="37"/>
      <c r="AF4765" s="37"/>
    </row>
    <row r="4766" spans="1:32" x14ac:dyDescent="0.25">
      <c r="A4766" s="37"/>
      <c r="B4766" s="37"/>
      <c r="C4766" s="37"/>
      <c r="F4766" s="38"/>
      <c r="G4766" s="38"/>
      <c r="H4766" s="38"/>
      <c r="I4766" s="37"/>
      <c r="J4766" s="38"/>
      <c r="K4766" s="38"/>
      <c r="L4766" s="42"/>
      <c r="M4766" s="42"/>
      <c r="N4766" s="42"/>
      <c r="O4766" s="42"/>
      <c r="R4766" s="37"/>
      <c r="S4766" s="37"/>
      <c r="T4766" s="91"/>
      <c r="U4766" s="91"/>
      <c r="V4766" s="41"/>
      <c r="W4766" s="37"/>
      <c r="X4766" s="37"/>
      <c r="Y4766" s="43"/>
      <c r="Z4766" s="37"/>
      <c r="AA4766" s="37"/>
      <c r="AD4766" s="37"/>
      <c r="AE4766" s="37"/>
      <c r="AF4766" s="37"/>
    </row>
    <row r="4767" spans="1:32" x14ac:dyDescent="0.25">
      <c r="A4767" s="37"/>
      <c r="B4767" s="37"/>
      <c r="C4767" s="37"/>
      <c r="F4767" s="38"/>
      <c r="G4767" s="38"/>
      <c r="H4767" s="38"/>
      <c r="I4767" s="37"/>
      <c r="J4767" s="38"/>
      <c r="K4767" s="38"/>
      <c r="L4767" s="42"/>
      <c r="M4767" s="42"/>
      <c r="N4767" s="42"/>
      <c r="O4767" s="42"/>
      <c r="R4767" s="37"/>
      <c r="S4767" s="37"/>
      <c r="T4767" s="91"/>
      <c r="U4767" s="91"/>
      <c r="V4767" s="41"/>
      <c r="W4767" s="37"/>
      <c r="X4767" s="37"/>
      <c r="Y4767" s="43"/>
      <c r="Z4767" s="37"/>
      <c r="AA4767" s="37"/>
      <c r="AD4767" s="37"/>
      <c r="AE4767" s="37"/>
      <c r="AF4767" s="37"/>
    </row>
    <row r="4768" spans="1:32" x14ac:dyDescent="0.25">
      <c r="A4768" s="37"/>
      <c r="B4768" s="37"/>
      <c r="C4768" s="37"/>
      <c r="F4768" s="38"/>
      <c r="G4768" s="38"/>
      <c r="H4768" s="38"/>
      <c r="I4768" s="37"/>
      <c r="J4768" s="38"/>
      <c r="K4768" s="38"/>
      <c r="L4768" s="42"/>
      <c r="M4768" s="42"/>
      <c r="N4768" s="42"/>
      <c r="O4768" s="42"/>
      <c r="R4768" s="37"/>
      <c r="S4768" s="37"/>
      <c r="T4768" s="91"/>
      <c r="U4768" s="91"/>
      <c r="V4768" s="41"/>
      <c r="W4768" s="37"/>
      <c r="X4768" s="37"/>
      <c r="Y4768" s="43"/>
      <c r="Z4768" s="37"/>
      <c r="AA4768" s="37"/>
      <c r="AD4768" s="37"/>
      <c r="AE4768" s="37"/>
      <c r="AF4768" s="37"/>
    </row>
    <row r="4769" spans="1:32" x14ac:dyDescent="0.25">
      <c r="A4769" s="37"/>
      <c r="B4769" s="37"/>
      <c r="C4769" s="37"/>
      <c r="F4769" s="38"/>
      <c r="G4769" s="38"/>
      <c r="H4769" s="38"/>
      <c r="I4769" s="37"/>
      <c r="J4769" s="38"/>
      <c r="K4769" s="38"/>
      <c r="L4769" s="42"/>
      <c r="M4769" s="42"/>
      <c r="N4769" s="42"/>
      <c r="O4769" s="42"/>
      <c r="R4769" s="37"/>
      <c r="S4769" s="37"/>
      <c r="T4769" s="91"/>
      <c r="U4769" s="91"/>
      <c r="V4769" s="41"/>
      <c r="W4769" s="37"/>
      <c r="X4769" s="37"/>
      <c r="Y4769" s="43"/>
      <c r="Z4769" s="37"/>
      <c r="AA4769" s="37"/>
      <c r="AD4769" s="37"/>
      <c r="AE4769" s="37"/>
      <c r="AF4769" s="37"/>
    </row>
    <row r="4770" spans="1:32" x14ac:dyDescent="0.25">
      <c r="A4770" s="37"/>
      <c r="B4770" s="37"/>
      <c r="C4770" s="37"/>
      <c r="F4770" s="38"/>
      <c r="G4770" s="38"/>
      <c r="H4770" s="38"/>
      <c r="I4770" s="37"/>
      <c r="J4770" s="38"/>
      <c r="K4770" s="38"/>
      <c r="L4770" s="42"/>
      <c r="M4770" s="42"/>
      <c r="N4770" s="42"/>
      <c r="O4770" s="42"/>
      <c r="R4770" s="37"/>
      <c r="S4770" s="37"/>
      <c r="T4770" s="91"/>
      <c r="U4770" s="91"/>
      <c r="V4770" s="41"/>
      <c r="W4770" s="37"/>
      <c r="X4770" s="37"/>
      <c r="Y4770" s="43"/>
      <c r="Z4770" s="37"/>
      <c r="AA4770" s="37"/>
      <c r="AD4770" s="37"/>
      <c r="AE4770" s="37"/>
      <c r="AF4770" s="37"/>
    </row>
    <row r="4771" spans="1:32" x14ac:dyDescent="0.25">
      <c r="A4771" s="37"/>
      <c r="B4771" s="37"/>
      <c r="C4771" s="37"/>
      <c r="F4771" s="38"/>
      <c r="G4771" s="38"/>
      <c r="H4771" s="38"/>
      <c r="I4771" s="37"/>
      <c r="J4771" s="38"/>
      <c r="K4771" s="38"/>
      <c r="L4771" s="42"/>
      <c r="M4771" s="42"/>
      <c r="N4771" s="42"/>
      <c r="O4771" s="42"/>
      <c r="R4771" s="37"/>
      <c r="S4771" s="37"/>
      <c r="T4771" s="91"/>
      <c r="U4771" s="91"/>
      <c r="V4771" s="41"/>
      <c r="W4771" s="37"/>
      <c r="X4771" s="37"/>
      <c r="Y4771" s="43"/>
      <c r="Z4771" s="37"/>
      <c r="AA4771" s="37"/>
      <c r="AD4771" s="37"/>
      <c r="AE4771" s="37"/>
      <c r="AF4771" s="37"/>
    </row>
    <row r="4772" spans="1:32" x14ac:dyDescent="0.25">
      <c r="A4772" s="37"/>
      <c r="B4772" s="37"/>
      <c r="C4772" s="37"/>
      <c r="F4772" s="38"/>
      <c r="G4772" s="38"/>
      <c r="H4772" s="38"/>
      <c r="I4772" s="37"/>
      <c r="J4772" s="38"/>
      <c r="K4772" s="38"/>
      <c r="L4772" s="42"/>
      <c r="M4772" s="42"/>
      <c r="N4772" s="42"/>
      <c r="O4772" s="42"/>
      <c r="R4772" s="37"/>
      <c r="S4772" s="37"/>
      <c r="T4772" s="91"/>
      <c r="U4772" s="91"/>
      <c r="V4772" s="41"/>
      <c r="W4772" s="37"/>
      <c r="X4772" s="37"/>
      <c r="Y4772" s="43"/>
      <c r="Z4772" s="37"/>
      <c r="AA4772" s="37"/>
      <c r="AD4772" s="37"/>
      <c r="AE4772" s="37"/>
      <c r="AF4772" s="37"/>
    </row>
    <row r="4773" spans="1:32" x14ac:dyDescent="0.25">
      <c r="A4773" s="37"/>
      <c r="B4773" s="37"/>
      <c r="C4773" s="37"/>
      <c r="F4773" s="38"/>
      <c r="G4773" s="38"/>
      <c r="H4773" s="38"/>
      <c r="I4773" s="37"/>
      <c r="J4773" s="38"/>
      <c r="K4773" s="38"/>
      <c r="L4773" s="42"/>
      <c r="M4773" s="42"/>
      <c r="N4773" s="42"/>
      <c r="O4773" s="42"/>
      <c r="R4773" s="37"/>
      <c r="S4773" s="37"/>
      <c r="T4773" s="91"/>
      <c r="U4773" s="91"/>
      <c r="V4773" s="41"/>
      <c r="W4773" s="37"/>
      <c r="X4773" s="37"/>
      <c r="Y4773" s="43"/>
      <c r="Z4773" s="37"/>
      <c r="AA4773" s="37"/>
      <c r="AD4773" s="37"/>
      <c r="AE4773" s="37"/>
      <c r="AF4773" s="37"/>
    </row>
    <row r="4774" spans="1:32" x14ac:dyDescent="0.25">
      <c r="A4774" s="37"/>
      <c r="B4774" s="37"/>
      <c r="C4774" s="37"/>
      <c r="F4774" s="38"/>
      <c r="G4774" s="38"/>
      <c r="H4774" s="38"/>
      <c r="I4774" s="37"/>
      <c r="J4774" s="38"/>
      <c r="K4774" s="38"/>
      <c r="L4774" s="42"/>
      <c r="M4774" s="42"/>
      <c r="N4774" s="42"/>
      <c r="O4774" s="42"/>
      <c r="R4774" s="37"/>
      <c r="S4774" s="37"/>
      <c r="T4774" s="91"/>
      <c r="U4774" s="91"/>
      <c r="V4774" s="41"/>
      <c r="W4774" s="37"/>
      <c r="X4774" s="37"/>
      <c r="Y4774" s="43"/>
      <c r="Z4774" s="37"/>
      <c r="AA4774" s="37"/>
      <c r="AD4774" s="37"/>
      <c r="AE4774" s="37"/>
      <c r="AF4774" s="37"/>
    </row>
    <row r="4775" spans="1:32" x14ac:dyDescent="0.25">
      <c r="A4775" s="37"/>
      <c r="B4775" s="37"/>
      <c r="C4775" s="37"/>
      <c r="F4775" s="38"/>
      <c r="G4775" s="38"/>
      <c r="H4775" s="38"/>
      <c r="I4775" s="37"/>
      <c r="J4775" s="38"/>
      <c r="K4775" s="38"/>
      <c r="L4775" s="42"/>
      <c r="M4775" s="42"/>
      <c r="N4775" s="42"/>
      <c r="O4775" s="42"/>
      <c r="R4775" s="37"/>
      <c r="S4775" s="37"/>
      <c r="T4775" s="91"/>
      <c r="U4775" s="91"/>
      <c r="V4775" s="41"/>
      <c r="W4775" s="37"/>
      <c r="X4775" s="37"/>
      <c r="Y4775" s="43"/>
      <c r="Z4775" s="37"/>
      <c r="AA4775" s="37"/>
      <c r="AD4775" s="37"/>
      <c r="AE4775" s="37"/>
      <c r="AF4775" s="37"/>
    </row>
    <row r="4776" spans="1:32" x14ac:dyDescent="0.25">
      <c r="A4776" s="37"/>
      <c r="B4776" s="37"/>
      <c r="C4776" s="37"/>
      <c r="F4776" s="38"/>
      <c r="G4776" s="38"/>
      <c r="H4776" s="38"/>
      <c r="I4776" s="37"/>
      <c r="J4776" s="38"/>
      <c r="K4776" s="38"/>
      <c r="L4776" s="42"/>
      <c r="M4776" s="42"/>
      <c r="N4776" s="42"/>
      <c r="O4776" s="42"/>
      <c r="R4776" s="37"/>
      <c r="S4776" s="37"/>
      <c r="T4776" s="91"/>
      <c r="U4776" s="91"/>
      <c r="V4776" s="41"/>
      <c r="W4776" s="37"/>
      <c r="X4776" s="37"/>
      <c r="Y4776" s="43"/>
      <c r="Z4776" s="37"/>
      <c r="AA4776" s="37"/>
      <c r="AD4776" s="37"/>
      <c r="AE4776" s="37"/>
      <c r="AF4776" s="37"/>
    </row>
    <row r="4777" spans="1:32" x14ac:dyDescent="0.25">
      <c r="A4777" s="37"/>
      <c r="B4777" s="37"/>
      <c r="C4777" s="37"/>
      <c r="F4777" s="38"/>
      <c r="G4777" s="38"/>
      <c r="H4777" s="38"/>
      <c r="I4777" s="37"/>
      <c r="J4777" s="38"/>
      <c r="K4777" s="38"/>
      <c r="L4777" s="42"/>
      <c r="M4777" s="42"/>
      <c r="N4777" s="42"/>
      <c r="O4777" s="42"/>
      <c r="R4777" s="37"/>
      <c r="S4777" s="37"/>
      <c r="T4777" s="91"/>
      <c r="U4777" s="91"/>
      <c r="V4777" s="41"/>
      <c r="W4777" s="37"/>
      <c r="X4777" s="37"/>
      <c r="Y4777" s="43"/>
      <c r="Z4777" s="37"/>
      <c r="AA4777" s="37"/>
      <c r="AD4777" s="37"/>
      <c r="AE4777" s="37"/>
      <c r="AF4777" s="37"/>
    </row>
    <row r="4778" spans="1:32" x14ac:dyDescent="0.25">
      <c r="A4778" s="37"/>
      <c r="B4778" s="37"/>
      <c r="C4778" s="37"/>
      <c r="F4778" s="38"/>
      <c r="G4778" s="38"/>
      <c r="H4778" s="38"/>
      <c r="I4778" s="37"/>
      <c r="J4778" s="38"/>
      <c r="K4778" s="38"/>
      <c r="L4778" s="42"/>
      <c r="M4778" s="42"/>
      <c r="N4778" s="42"/>
      <c r="O4778" s="42"/>
      <c r="R4778" s="37"/>
      <c r="S4778" s="37"/>
      <c r="T4778" s="91"/>
      <c r="U4778" s="91"/>
      <c r="V4778" s="41"/>
      <c r="W4778" s="37"/>
      <c r="X4778" s="37"/>
      <c r="Y4778" s="43"/>
      <c r="Z4778" s="37"/>
      <c r="AA4778" s="37"/>
      <c r="AD4778" s="37"/>
      <c r="AE4778" s="37"/>
      <c r="AF4778" s="37"/>
    </row>
    <row r="4779" spans="1:32" x14ac:dyDescent="0.25">
      <c r="A4779" s="37"/>
      <c r="B4779" s="37"/>
      <c r="C4779" s="37"/>
      <c r="F4779" s="38"/>
      <c r="G4779" s="38"/>
      <c r="H4779" s="38"/>
      <c r="I4779" s="37"/>
      <c r="J4779" s="38"/>
      <c r="K4779" s="38"/>
      <c r="L4779" s="42"/>
      <c r="M4779" s="42"/>
      <c r="N4779" s="42"/>
      <c r="O4779" s="42"/>
      <c r="R4779" s="37"/>
      <c r="S4779" s="37"/>
      <c r="T4779" s="91"/>
      <c r="U4779" s="91"/>
      <c r="V4779" s="41"/>
      <c r="W4779" s="37"/>
      <c r="X4779" s="37"/>
      <c r="Y4779" s="43"/>
      <c r="Z4779" s="37"/>
      <c r="AA4779" s="37"/>
      <c r="AD4779" s="37"/>
      <c r="AE4779" s="37"/>
      <c r="AF4779" s="37"/>
    </row>
    <row r="4780" spans="1:32" x14ac:dyDescent="0.25">
      <c r="A4780" s="37"/>
      <c r="B4780" s="37"/>
      <c r="C4780" s="37"/>
      <c r="F4780" s="38"/>
      <c r="G4780" s="38"/>
      <c r="H4780" s="38"/>
      <c r="I4780" s="37"/>
      <c r="J4780" s="38"/>
      <c r="K4780" s="38"/>
      <c r="L4780" s="42"/>
      <c r="M4780" s="42"/>
      <c r="N4780" s="42"/>
      <c r="O4780" s="42"/>
      <c r="R4780" s="37"/>
      <c r="S4780" s="37"/>
      <c r="T4780" s="91"/>
      <c r="U4780" s="91"/>
      <c r="V4780" s="41"/>
      <c r="W4780" s="37"/>
      <c r="X4780" s="37"/>
      <c r="Y4780" s="43"/>
      <c r="Z4780" s="37"/>
      <c r="AA4780" s="37"/>
      <c r="AD4780" s="37"/>
      <c r="AE4780" s="37"/>
      <c r="AF4780" s="37"/>
    </row>
    <row r="4781" spans="1:32" x14ac:dyDescent="0.25">
      <c r="A4781" s="37"/>
      <c r="B4781" s="37"/>
      <c r="C4781" s="37"/>
      <c r="F4781" s="38"/>
      <c r="G4781" s="38"/>
      <c r="H4781" s="38"/>
      <c r="I4781" s="37"/>
      <c r="J4781" s="38"/>
      <c r="K4781" s="38"/>
      <c r="L4781" s="42"/>
      <c r="M4781" s="42"/>
      <c r="N4781" s="42"/>
      <c r="O4781" s="42"/>
      <c r="R4781" s="37"/>
      <c r="S4781" s="37"/>
      <c r="T4781" s="91"/>
      <c r="U4781" s="91"/>
      <c r="V4781" s="41"/>
      <c r="W4781" s="37"/>
      <c r="X4781" s="37"/>
      <c r="Y4781" s="43"/>
      <c r="Z4781" s="37"/>
      <c r="AA4781" s="37"/>
      <c r="AD4781" s="37"/>
      <c r="AE4781" s="37"/>
      <c r="AF4781" s="37"/>
    </row>
    <row r="4782" spans="1:32" x14ac:dyDescent="0.25">
      <c r="A4782" s="37"/>
      <c r="B4782" s="37"/>
      <c r="C4782" s="37"/>
      <c r="F4782" s="38"/>
      <c r="G4782" s="38"/>
      <c r="H4782" s="38"/>
      <c r="I4782" s="37"/>
      <c r="J4782" s="38"/>
      <c r="K4782" s="38"/>
      <c r="L4782" s="42"/>
      <c r="M4782" s="42"/>
      <c r="N4782" s="42"/>
      <c r="O4782" s="42"/>
      <c r="R4782" s="37"/>
      <c r="S4782" s="37"/>
      <c r="T4782" s="91"/>
      <c r="U4782" s="91"/>
      <c r="V4782" s="41"/>
      <c r="W4782" s="37"/>
      <c r="X4782" s="37"/>
      <c r="Y4782" s="43"/>
      <c r="Z4782" s="37"/>
      <c r="AA4782" s="37"/>
      <c r="AD4782" s="37"/>
      <c r="AE4782" s="37"/>
      <c r="AF4782" s="37"/>
    </row>
    <row r="4783" spans="1:32" x14ac:dyDescent="0.25">
      <c r="A4783" s="37"/>
      <c r="B4783" s="37"/>
      <c r="C4783" s="37"/>
      <c r="F4783" s="38"/>
      <c r="G4783" s="38"/>
      <c r="H4783" s="38"/>
      <c r="I4783" s="37"/>
      <c r="J4783" s="38"/>
      <c r="K4783" s="38"/>
      <c r="L4783" s="42"/>
      <c r="M4783" s="42"/>
      <c r="N4783" s="42"/>
      <c r="O4783" s="42"/>
      <c r="R4783" s="37"/>
      <c r="S4783" s="37"/>
      <c r="T4783" s="91"/>
      <c r="U4783" s="91"/>
      <c r="V4783" s="41"/>
      <c r="W4783" s="37"/>
      <c r="X4783" s="37"/>
      <c r="Y4783" s="43"/>
      <c r="Z4783" s="37"/>
      <c r="AA4783" s="37"/>
      <c r="AD4783" s="37"/>
      <c r="AE4783" s="37"/>
      <c r="AF4783" s="37"/>
    </row>
    <row r="4784" spans="1:32" x14ac:dyDescent="0.25">
      <c r="A4784" s="37"/>
      <c r="B4784" s="37"/>
      <c r="C4784" s="37"/>
      <c r="F4784" s="38"/>
      <c r="G4784" s="38"/>
      <c r="H4784" s="38"/>
      <c r="I4784" s="37"/>
      <c r="J4784" s="38"/>
      <c r="K4784" s="38"/>
      <c r="L4784" s="42"/>
      <c r="M4784" s="42"/>
      <c r="N4784" s="42"/>
      <c r="O4784" s="42"/>
      <c r="R4784" s="37"/>
      <c r="S4784" s="37"/>
      <c r="T4784" s="91"/>
      <c r="U4784" s="91"/>
      <c r="V4784" s="41"/>
      <c r="W4784" s="37"/>
      <c r="X4784" s="37"/>
      <c r="Y4784" s="43"/>
      <c r="Z4784" s="37"/>
      <c r="AA4784" s="37"/>
      <c r="AD4784" s="37"/>
      <c r="AE4784" s="37"/>
      <c r="AF4784" s="37"/>
    </row>
    <row r="4785" spans="1:32" x14ac:dyDescent="0.25">
      <c r="A4785" s="37"/>
      <c r="B4785" s="37"/>
      <c r="C4785" s="37"/>
      <c r="F4785" s="38"/>
      <c r="G4785" s="38"/>
      <c r="H4785" s="38"/>
      <c r="I4785" s="37"/>
      <c r="J4785" s="38"/>
      <c r="K4785" s="38"/>
      <c r="L4785" s="42"/>
      <c r="M4785" s="42"/>
      <c r="N4785" s="42"/>
      <c r="O4785" s="42"/>
      <c r="R4785" s="37"/>
      <c r="S4785" s="37"/>
      <c r="T4785" s="91"/>
      <c r="U4785" s="91"/>
      <c r="V4785" s="41"/>
      <c r="W4785" s="37"/>
      <c r="X4785" s="37"/>
      <c r="Y4785" s="43"/>
      <c r="Z4785" s="37"/>
      <c r="AA4785" s="37"/>
      <c r="AD4785" s="37"/>
      <c r="AE4785" s="37"/>
      <c r="AF4785" s="37"/>
    </row>
    <row r="4786" spans="1:32" x14ac:dyDescent="0.25">
      <c r="A4786" s="37"/>
      <c r="B4786" s="37"/>
      <c r="C4786" s="37"/>
      <c r="F4786" s="38"/>
      <c r="G4786" s="38"/>
      <c r="H4786" s="38"/>
      <c r="I4786" s="37"/>
      <c r="J4786" s="38"/>
      <c r="K4786" s="38"/>
      <c r="L4786" s="42"/>
      <c r="M4786" s="42"/>
      <c r="N4786" s="42"/>
      <c r="O4786" s="42"/>
      <c r="R4786" s="37"/>
      <c r="S4786" s="37"/>
      <c r="T4786" s="91"/>
      <c r="U4786" s="91"/>
      <c r="V4786" s="41"/>
      <c r="W4786" s="37"/>
      <c r="X4786" s="37"/>
      <c r="Y4786" s="43"/>
      <c r="Z4786" s="37"/>
      <c r="AA4786" s="37"/>
      <c r="AD4786" s="37"/>
      <c r="AE4786" s="37"/>
      <c r="AF4786" s="37"/>
    </row>
    <row r="4787" spans="1:32" x14ac:dyDescent="0.25">
      <c r="A4787" s="37"/>
      <c r="B4787" s="37"/>
      <c r="C4787" s="37"/>
      <c r="F4787" s="38"/>
      <c r="G4787" s="38"/>
      <c r="H4787" s="38"/>
      <c r="I4787" s="37"/>
      <c r="J4787" s="38"/>
      <c r="K4787" s="38"/>
      <c r="L4787" s="42"/>
      <c r="M4787" s="42"/>
      <c r="N4787" s="42"/>
      <c r="O4787" s="42"/>
      <c r="R4787" s="37"/>
      <c r="S4787" s="37"/>
      <c r="T4787" s="91"/>
      <c r="U4787" s="91"/>
      <c r="V4787" s="41"/>
      <c r="W4787" s="37"/>
      <c r="X4787" s="37"/>
      <c r="Y4787" s="43"/>
      <c r="Z4787" s="37"/>
      <c r="AA4787" s="37"/>
      <c r="AD4787" s="37"/>
      <c r="AE4787" s="37"/>
      <c r="AF4787" s="37"/>
    </row>
    <row r="4788" spans="1:32" x14ac:dyDescent="0.25">
      <c r="A4788" s="37"/>
      <c r="B4788" s="37"/>
      <c r="C4788" s="37"/>
      <c r="F4788" s="38"/>
      <c r="G4788" s="38"/>
      <c r="H4788" s="38"/>
      <c r="I4788" s="37"/>
      <c r="J4788" s="38"/>
      <c r="K4788" s="38"/>
      <c r="L4788" s="42"/>
      <c r="M4788" s="42"/>
      <c r="N4788" s="42"/>
      <c r="O4788" s="42"/>
      <c r="R4788" s="37"/>
      <c r="S4788" s="37"/>
      <c r="T4788" s="91"/>
      <c r="U4788" s="91"/>
      <c r="V4788" s="41"/>
      <c r="W4788" s="37"/>
      <c r="X4788" s="37"/>
      <c r="Y4788" s="43"/>
      <c r="Z4788" s="37"/>
      <c r="AA4788" s="37"/>
      <c r="AD4788" s="37"/>
      <c r="AE4788" s="37"/>
      <c r="AF4788" s="37"/>
    </row>
    <row r="4789" spans="1:32" x14ac:dyDescent="0.25">
      <c r="A4789" s="37"/>
      <c r="B4789" s="37"/>
      <c r="C4789" s="37"/>
      <c r="F4789" s="38"/>
      <c r="G4789" s="38"/>
      <c r="H4789" s="38"/>
      <c r="I4789" s="37"/>
      <c r="J4789" s="38"/>
      <c r="K4789" s="38"/>
      <c r="L4789" s="42"/>
      <c r="M4789" s="42"/>
      <c r="N4789" s="42"/>
      <c r="O4789" s="42"/>
      <c r="R4789" s="37"/>
      <c r="S4789" s="37"/>
      <c r="T4789" s="91"/>
      <c r="U4789" s="91"/>
      <c r="V4789" s="41"/>
      <c r="W4789" s="37"/>
      <c r="X4789" s="37"/>
      <c r="Y4789" s="43"/>
      <c r="Z4789" s="37"/>
      <c r="AA4789" s="37"/>
      <c r="AD4789" s="37"/>
      <c r="AE4789" s="37"/>
      <c r="AF4789" s="37"/>
    </row>
    <row r="4790" spans="1:32" x14ac:dyDescent="0.25">
      <c r="A4790" s="37"/>
      <c r="B4790" s="37"/>
      <c r="C4790" s="37"/>
      <c r="F4790" s="38"/>
      <c r="G4790" s="38"/>
      <c r="H4790" s="38"/>
      <c r="I4790" s="37"/>
      <c r="J4790" s="38"/>
      <c r="K4790" s="38"/>
      <c r="L4790" s="42"/>
      <c r="M4790" s="42"/>
      <c r="N4790" s="42"/>
      <c r="O4790" s="42"/>
      <c r="R4790" s="37"/>
      <c r="S4790" s="37"/>
      <c r="T4790" s="91"/>
      <c r="U4790" s="91"/>
      <c r="V4790" s="41"/>
      <c r="W4790" s="37"/>
      <c r="X4790" s="37"/>
      <c r="Y4790" s="43"/>
      <c r="Z4790" s="37"/>
      <c r="AA4790" s="37"/>
      <c r="AD4790" s="37"/>
      <c r="AE4790" s="37"/>
      <c r="AF4790" s="37"/>
    </row>
    <row r="4791" spans="1:32" x14ac:dyDescent="0.25">
      <c r="A4791" s="37"/>
      <c r="B4791" s="37"/>
      <c r="C4791" s="37"/>
      <c r="F4791" s="38"/>
      <c r="G4791" s="38"/>
      <c r="H4791" s="38"/>
      <c r="I4791" s="37"/>
      <c r="J4791" s="38"/>
      <c r="K4791" s="38"/>
      <c r="L4791" s="42"/>
      <c r="M4791" s="42"/>
      <c r="N4791" s="42"/>
      <c r="O4791" s="42"/>
      <c r="R4791" s="37"/>
      <c r="S4791" s="37"/>
      <c r="T4791" s="91"/>
      <c r="U4791" s="91"/>
      <c r="V4791" s="41"/>
      <c r="W4791" s="37"/>
      <c r="X4791" s="37"/>
      <c r="Y4791" s="43"/>
      <c r="Z4791" s="37"/>
      <c r="AA4791" s="37"/>
      <c r="AD4791" s="37"/>
      <c r="AE4791" s="37"/>
      <c r="AF4791" s="37"/>
    </row>
    <row r="4792" spans="1:32" x14ac:dyDescent="0.25">
      <c r="A4792" s="37"/>
      <c r="B4792" s="37"/>
      <c r="C4792" s="37"/>
      <c r="F4792" s="38"/>
      <c r="G4792" s="38"/>
      <c r="H4792" s="38"/>
      <c r="I4792" s="37"/>
      <c r="J4792" s="38"/>
      <c r="K4792" s="38"/>
      <c r="L4792" s="42"/>
      <c r="M4792" s="42"/>
      <c r="N4792" s="42"/>
      <c r="O4792" s="42"/>
      <c r="R4792" s="37"/>
      <c r="S4792" s="37"/>
      <c r="T4792" s="91"/>
      <c r="U4792" s="91"/>
      <c r="V4792" s="41"/>
      <c r="W4792" s="37"/>
      <c r="X4792" s="37"/>
      <c r="Y4792" s="43"/>
      <c r="Z4792" s="37"/>
      <c r="AA4792" s="37"/>
      <c r="AD4792" s="37"/>
      <c r="AE4792" s="37"/>
      <c r="AF4792" s="37"/>
    </row>
    <row r="4793" spans="1:32" x14ac:dyDescent="0.25">
      <c r="A4793" s="37"/>
      <c r="B4793" s="37"/>
      <c r="C4793" s="37"/>
      <c r="F4793" s="38"/>
      <c r="G4793" s="38"/>
      <c r="H4793" s="38"/>
      <c r="I4793" s="37"/>
      <c r="J4793" s="38"/>
      <c r="K4793" s="38"/>
      <c r="L4793" s="42"/>
      <c r="M4793" s="42"/>
      <c r="N4793" s="42"/>
      <c r="O4793" s="42"/>
      <c r="R4793" s="37"/>
      <c r="S4793" s="37"/>
      <c r="T4793" s="91"/>
      <c r="U4793" s="91"/>
      <c r="V4793" s="41"/>
      <c r="W4793" s="37"/>
      <c r="X4793" s="37"/>
      <c r="Y4793" s="43"/>
      <c r="Z4793" s="37"/>
      <c r="AA4793" s="37"/>
      <c r="AD4793" s="37"/>
      <c r="AE4793" s="37"/>
      <c r="AF4793" s="37"/>
    </row>
    <row r="4794" spans="1:32" x14ac:dyDescent="0.25">
      <c r="A4794" s="37"/>
      <c r="B4794" s="37"/>
      <c r="C4794" s="37"/>
      <c r="F4794" s="38"/>
      <c r="G4794" s="38"/>
      <c r="H4794" s="38"/>
      <c r="I4794" s="37"/>
      <c r="J4794" s="38"/>
      <c r="K4794" s="38"/>
      <c r="L4794" s="42"/>
      <c r="M4794" s="42"/>
      <c r="N4794" s="42"/>
      <c r="O4794" s="42"/>
      <c r="R4794" s="37"/>
      <c r="S4794" s="37"/>
      <c r="T4794" s="91"/>
      <c r="U4794" s="91"/>
      <c r="V4794" s="41"/>
      <c r="W4794" s="37"/>
      <c r="X4794" s="37"/>
      <c r="Y4794" s="43"/>
      <c r="Z4794" s="37"/>
      <c r="AA4794" s="37"/>
      <c r="AD4794" s="37"/>
      <c r="AE4794" s="37"/>
      <c r="AF4794" s="37"/>
    </row>
    <row r="4795" spans="1:32" x14ac:dyDescent="0.25">
      <c r="A4795" s="37"/>
      <c r="B4795" s="37"/>
      <c r="C4795" s="37"/>
      <c r="F4795" s="38"/>
      <c r="G4795" s="38"/>
      <c r="H4795" s="38"/>
      <c r="I4795" s="37"/>
      <c r="J4795" s="38"/>
      <c r="K4795" s="38"/>
      <c r="L4795" s="42"/>
      <c r="M4795" s="42"/>
      <c r="N4795" s="42"/>
      <c r="O4795" s="42"/>
      <c r="R4795" s="37"/>
      <c r="S4795" s="37"/>
      <c r="T4795" s="91"/>
      <c r="U4795" s="91"/>
      <c r="V4795" s="41"/>
      <c r="W4795" s="37"/>
      <c r="X4795" s="37"/>
      <c r="Y4795" s="43"/>
      <c r="Z4795" s="37"/>
      <c r="AA4795" s="37"/>
      <c r="AD4795" s="37"/>
      <c r="AE4795" s="37"/>
      <c r="AF4795" s="37"/>
    </row>
    <row r="4796" spans="1:32" x14ac:dyDescent="0.25">
      <c r="A4796" s="37"/>
      <c r="B4796" s="37"/>
      <c r="C4796" s="37"/>
      <c r="F4796" s="38"/>
      <c r="G4796" s="38"/>
      <c r="H4796" s="38"/>
      <c r="I4796" s="37"/>
      <c r="J4796" s="38"/>
      <c r="K4796" s="38"/>
      <c r="L4796" s="42"/>
      <c r="M4796" s="42"/>
      <c r="N4796" s="42"/>
      <c r="O4796" s="42"/>
      <c r="R4796" s="37"/>
      <c r="S4796" s="37"/>
      <c r="T4796" s="91"/>
      <c r="U4796" s="91"/>
      <c r="V4796" s="41"/>
      <c r="W4796" s="37"/>
      <c r="X4796" s="37"/>
      <c r="Y4796" s="43"/>
      <c r="Z4796" s="37"/>
      <c r="AA4796" s="37"/>
      <c r="AD4796" s="37"/>
      <c r="AE4796" s="37"/>
      <c r="AF4796" s="37"/>
    </row>
    <row r="4797" spans="1:32" x14ac:dyDescent="0.25">
      <c r="A4797" s="37"/>
      <c r="B4797" s="37"/>
      <c r="C4797" s="37"/>
      <c r="F4797" s="38"/>
      <c r="G4797" s="38"/>
      <c r="H4797" s="38"/>
      <c r="I4797" s="37"/>
      <c r="J4797" s="38"/>
      <c r="K4797" s="38"/>
      <c r="L4797" s="42"/>
      <c r="M4797" s="42"/>
      <c r="N4797" s="42"/>
      <c r="O4797" s="42"/>
      <c r="R4797" s="37"/>
      <c r="S4797" s="37"/>
      <c r="T4797" s="91"/>
      <c r="U4797" s="91"/>
      <c r="V4797" s="41"/>
      <c r="W4797" s="37"/>
      <c r="X4797" s="37"/>
      <c r="Y4797" s="43"/>
      <c r="Z4797" s="37"/>
      <c r="AA4797" s="37"/>
      <c r="AD4797" s="37"/>
      <c r="AE4797" s="37"/>
      <c r="AF4797" s="37"/>
    </row>
    <row r="4798" spans="1:32" x14ac:dyDescent="0.25">
      <c r="A4798" s="37"/>
      <c r="B4798" s="37"/>
      <c r="C4798" s="37"/>
      <c r="F4798" s="38"/>
      <c r="G4798" s="38"/>
      <c r="H4798" s="38"/>
      <c r="I4798" s="37"/>
      <c r="J4798" s="38"/>
      <c r="K4798" s="38"/>
      <c r="L4798" s="42"/>
      <c r="M4798" s="42"/>
      <c r="N4798" s="42"/>
      <c r="O4798" s="42"/>
      <c r="R4798" s="37"/>
      <c r="S4798" s="37"/>
      <c r="T4798" s="91"/>
      <c r="U4798" s="91"/>
      <c r="V4798" s="41"/>
      <c r="W4798" s="37"/>
      <c r="X4798" s="37"/>
      <c r="Y4798" s="43"/>
      <c r="Z4798" s="37"/>
      <c r="AA4798" s="37"/>
      <c r="AD4798" s="37"/>
      <c r="AE4798" s="37"/>
      <c r="AF4798" s="37"/>
    </row>
    <row r="4799" spans="1:32" x14ac:dyDescent="0.25">
      <c r="A4799" s="37"/>
      <c r="B4799" s="37"/>
      <c r="C4799" s="37"/>
      <c r="F4799" s="38"/>
      <c r="G4799" s="38"/>
      <c r="H4799" s="38"/>
      <c r="I4799" s="37"/>
      <c r="J4799" s="38"/>
      <c r="K4799" s="38"/>
      <c r="L4799" s="42"/>
      <c r="M4799" s="42"/>
      <c r="N4799" s="42"/>
      <c r="O4799" s="42"/>
      <c r="R4799" s="37"/>
      <c r="S4799" s="37"/>
      <c r="T4799" s="91"/>
      <c r="U4799" s="91"/>
      <c r="V4799" s="41"/>
      <c r="W4799" s="37"/>
      <c r="X4799" s="37"/>
      <c r="Y4799" s="43"/>
      <c r="Z4799" s="37"/>
      <c r="AA4799" s="37"/>
      <c r="AD4799" s="37"/>
      <c r="AE4799" s="37"/>
      <c r="AF4799" s="37"/>
    </row>
    <row r="4800" spans="1:32" x14ac:dyDescent="0.25">
      <c r="A4800" s="37"/>
      <c r="B4800" s="37"/>
      <c r="C4800" s="37"/>
      <c r="F4800" s="38"/>
      <c r="G4800" s="38"/>
      <c r="H4800" s="38"/>
      <c r="I4800" s="37"/>
      <c r="J4800" s="38"/>
      <c r="K4800" s="38"/>
      <c r="L4800" s="42"/>
      <c r="M4800" s="42"/>
      <c r="N4800" s="42"/>
      <c r="O4800" s="42"/>
      <c r="R4800" s="37"/>
      <c r="S4800" s="37"/>
      <c r="T4800" s="91"/>
      <c r="U4800" s="91"/>
      <c r="V4800" s="41"/>
      <c r="W4800" s="37"/>
      <c r="X4800" s="37"/>
      <c r="Y4800" s="43"/>
      <c r="Z4800" s="37"/>
      <c r="AA4800" s="37"/>
      <c r="AD4800" s="37"/>
      <c r="AE4800" s="37"/>
      <c r="AF4800" s="37"/>
    </row>
    <row r="4801" spans="1:32" x14ac:dyDescent="0.25">
      <c r="A4801" s="37"/>
      <c r="B4801" s="37"/>
      <c r="C4801" s="37"/>
      <c r="F4801" s="38"/>
      <c r="G4801" s="38"/>
      <c r="H4801" s="38"/>
      <c r="I4801" s="37"/>
      <c r="J4801" s="38"/>
      <c r="K4801" s="38"/>
      <c r="L4801" s="42"/>
      <c r="M4801" s="42"/>
      <c r="N4801" s="42"/>
      <c r="O4801" s="42"/>
      <c r="R4801" s="37"/>
      <c r="S4801" s="37"/>
      <c r="T4801" s="91"/>
      <c r="U4801" s="91"/>
      <c r="V4801" s="41"/>
      <c r="W4801" s="37"/>
      <c r="X4801" s="37"/>
      <c r="Y4801" s="43"/>
      <c r="Z4801" s="37"/>
      <c r="AA4801" s="37"/>
      <c r="AD4801" s="37"/>
      <c r="AE4801" s="37"/>
      <c r="AF4801" s="37"/>
    </row>
    <row r="4802" spans="1:32" x14ac:dyDescent="0.25">
      <c r="A4802" s="37"/>
      <c r="B4802" s="37"/>
      <c r="C4802" s="37"/>
      <c r="F4802" s="38"/>
      <c r="G4802" s="38"/>
      <c r="H4802" s="38"/>
      <c r="I4802" s="37"/>
      <c r="J4802" s="38"/>
      <c r="K4802" s="38"/>
      <c r="L4802" s="42"/>
      <c r="M4802" s="42"/>
      <c r="N4802" s="42"/>
      <c r="O4802" s="42"/>
      <c r="R4802" s="37"/>
      <c r="S4802" s="37"/>
      <c r="T4802" s="91"/>
      <c r="U4802" s="91"/>
      <c r="V4802" s="41"/>
      <c r="W4802" s="37"/>
      <c r="X4802" s="37"/>
      <c r="Y4802" s="43"/>
      <c r="Z4802" s="37"/>
      <c r="AA4802" s="37"/>
      <c r="AD4802" s="37"/>
      <c r="AE4802" s="37"/>
      <c r="AF4802" s="37"/>
    </row>
    <row r="4803" spans="1:32" x14ac:dyDescent="0.25">
      <c r="A4803" s="37"/>
      <c r="B4803" s="37"/>
      <c r="C4803" s="37"/>
      <c r="F4803" s="38"/>
      <c r="G4803" s="38"/>
      <c r="H4803" s="38"/>
      <c r="I4803" s="37"/>
      <c r="J4803" s="38"/>
      <c r="K4803" s="38"/>
      <c r="L4803" s="42"/>
      <c r="M4803" s="42"/>
      <c r="N4803" s="42"/>
      <c r="O4803" s="42"/>
      <c r="R4803" s="37"/>
      <c r="S4803" s="37"/>
      <c r="T4803" s="91"/>
      <c r="U4803" s="91"/>
      <c r="V4803" s="41"/>
      <c r="W4803" s="37"/>
      <c r="X4803" s="37"/>
      <c r="Y4803" s="43"/>
      <c r="Z4803" s="37"/>
      <c r="AA4803" s="37"/>
      <c r="AD4803" s="37"/>
      <c r="AE4803" s="37"/>
      <c r="AF4803" s="37"/>
    </row>
    <row r="4804" spans="1:32" x14ac:dyDescent="0.25">
      <c r="A4804" s="37"/>
      <c r="B4804" s="37"/>
      <c r="C4804" s="37"/>
      <c r="F4804" s="38"/>
      <c r="G4804" s="38"/>
      <c r="H4804" s="38"/>
      <c r="I4804" s="37"/>
      <c r="J4804" s="38"/>
      <c r="K4804" s="38"/>
      <c r="L4804" s="42"/>
      <c r="M4804" s="42"/>
      <c r="N4804" s="42"/>
      <c r="O4804" s="42"/>
      <c r="R4804" s="37"/>
      <c r="S4804" s="37"/>
      <c r="T4804" s="91"/>
      <c r="U4804" s="91"/>
      <c r="V4804" s="41"/>
      <c r="W4804" s="37"/>
      <c r="X4804" s="37"/>
      <c r="Y4804" s="43"/>
      <c r="Z4804" s="37"/>
      <c r="AA4804" s="37"/>
      <c r="AD4804" s="37"/>
      <c r="AE4804" s="37"/>
      <c r="AF4804" s="37"/>
    </row>
    <row r="4805" spans="1:32" x14ac:dyDescent="0.25">
      <c r="A4805" s="37"/>
      <c r="B4805" s="37"/>
      <c r="C4805" s="37"/>
      <c r="F4805" s="38"/>
      <c r="G4805" s="38"/>
      <c r="H4805" s="38"/>
      <c r="I4805" s="37"/>
      <c r="J4805" s="38"/>
      <c r="K4805" s="38"/>
      <c r="L4805" s="42"/>
      <c r="M4805" s="42"/>
      <c r="N4805" s="42"/>
      <c r="O4805" s="42"/>
      <c r="R4805" s="37"/>
      <c r="S4805" s="37"/>
      <c r="T4805" s="91"/>
      <c r="U4805" s="91"/>
      <c r="V4805" s="41"/>
      <c r="W4805" s="37"/>
      <c r="X4805" s="37"/>
      <c r="Y4805" s="43"/>
      <c r="Z4805" s="37"/>
      <c r="AA4805" s="37"/>
      <c r="AD4805" s="37"/>
      <c r="AE4805" s="37"/>
      <c r="AF4805" s="37"/>
    </row>
    <row r="4806" spans="1:32" x14ac:dyDescent="0.25">
      <c r="A4806" s="37"/>
      <c r="B4806" s="37"/>
      <c r="C4806" s="37"/>
      <c r="F4806" s="38"/>
      <c r="G4806" s="38"/>
      <c r="H4806" s="38"/>
      <c r="I4806" s="37"/>
      <c r="J4806" s="38"/>
      <c r="K4806" s="38"/>
      <c r="L4806" s="42"/>
      <c r="M4806" s="42"/>
      <c r="N4806" s="42"/>
      <c r="O4806" s="42"/>
      <c r="R4806" s="37"/>
      <c r="S4806" s="37"/>
      <c r="T4806" s="91"/>
      <c r="U4806" s="91"/>
      <c r="V4806" s="41"/>
      <c r="W4806" s="37"/>
      <c r="X4806" s="37"/>
      <c r="Y4806" s="43"/>
      <c r="Z4806" s="37"/>
      <c r="AA4806" s="37"/>
      <c r="AD4806" s="37"/>
      <c r="AE4806" s="37"/>
      <c r="AF4806" s="37"/>
    </row>
    <row r="4807" spans="1:32" x14ac:dyDescent="0.25">
      <c r="A4807" s="37"/>
      <c r="B4807" s="37"/>
      <c r="C4807" s="37"/>
      <c r="F4807" s="38"/>
      <c r="G4807" s="38"/>
      <c r="H4807" s="38"/>
      <c r="I4807" s="37"/>
      <c r="J4807" s="38"/>
      <c r="K4807" s="38"/>
      <c r="L4807" s="42"/>
      <c r="M4807" s="42"/>
      <c r="N4807" s="42"/>
      <c r="O4807" s="42"/>
      <c r="R4807" s="37"/>
      <c r="S4807" s="37"/>
      <c r="T4807" s="91"/>
      <c r="U4807" s="91"/>
      <c r="V4807" s="41"/>
      <c r="W4807" s="37"/>
      <c r="X4807" s="37"/>
      <c r="Y4807" s="43"/>
      <c r="Z4807" s="37"/>
      <c r="AA4807" s="37"/>
      <c r="AD4807" s="37"/>
      <c r="AE4807" s="37"/>
      <c r="AF4807" s="37"/>
    </row>
    <row r="4808" spans="1:32" x14ac:dyDescent="0.25">
      <c r="A4808" s="37"/>
      <c r="B4808" s="37"/>
      <c r="C4808" s="37"/>
      <c r="F4808" s="38"/>
      <c r="G4808" s="38"/>
      <c r="H4808" s="38"/>
      <c r="I4808" s="37"/>
      <c r="J4808" s="38"/>
      <c r="K4808" s="38"/>
      <c r="L4808" s="42"/>
      <c r="M4808" s="42"/>
      <c r="N4808" s="42"/>
      <c r="O4808" s="42"/>
      <c r="R4808" s="37"/>
      <c r="S4808" s="37"/>
      <c r="T4808" s="91"/>
      <c r="U4808" s="91"/>
      <c r="V4808" s="41"/>
      <c r="W4808" s="37"/>
      <c r="X4808" s="37"/>
      <c r="Y4808" s="43"/>
      <c r="Z4808" s="37"/>
      <c r="AA4808" s="37"/>
      <c r="AD4808" s="37"/>
      <c r="AE4808" s="37"/>
      <c r="AF4808" s="37"/>
    </row>
    <row r="4809" spans="1:32" x14ac:dyDescent="0.25">
      <c r="A4809" s="37"/>
      <c r="B4809" s="37"/>
      <c r="C4809" s="37"/>
      <c r="F4809" s="38"/>
      <c r="G4809" s="38"/>
      <c r="H4809" s="38"/>
      <c r="I4809" s="37"/>
      <c r="J4809" s="38"/>
      <c r="K4809" s="38"/>
      <c r="L4809" s="42"/>
      <c r="M4809" s="42"/>
      <c r="N4809" s="42"/>
      <c r="O4809" s="42"/>
      <c r="R4809" s="37"/>
      <c r="S4809" s="37"/>
      <c r="T4809" s="91"/>
      <c r="U4809" s="91"/>
      <c r="V4809" s="41"/>
      <c r="W4809" s="37"/>
      <c r="X4809" s="37"/>
      <c r="Y4809" s="43"/>
      <c r="Z4809" s="37"/>
      <c r="AA4809" s="37"/>
      <c r="AD4809" s="37"/>
      <c r="AE4809" s="37"/>
      <c r="AF4809" s="37"/>
    </row>
    <row r="4810" spans="1:32" x14ac:dyDescent="0.25">
      <c r="A4810" s="37"/>
      <c r="B4810" s="37"/>
      <c r="C4810" s="37"/>
      <c r="F4810" s="38"/>
      <c r="G4810" s="38"/>
      <c r="H4810" s="38"/>
      <c r="I4810" s="37"/>
      <c r="J4810" s="38"/>
      <c r="K4810" s="38"/>
      <c r="L4810" s="42"/>
      <c r="M4810" s="42"/>
      <c r="N4810" s="42"/>
      <c r="O4810" s="42"/>
      <c r="R4810" s="37"/>
      <c r="S4810" s="37"/>
      <c r="T4810" s="91"/>
      <c r="U4810" s="91"/>
      <c r="V4810" s="41"/>
      <c r="W4810" s="37"/>
      <c r="X4810" s="37"/>
      <c r="Y4810" s="43"/>
      <c r="Z4810" s="37"/>
      <c r="AA4810" s="37"/>
      <c r="AD4810" s="37"/>
      <c r="AE4810" s="37"/>
      <c r="AF4810" s="37"/>
    </row>
    <row r="4811" spans="1:32" x14ac:dyDescent="0.25">
      <c r="A4811" s="37"/>
      <c r="B4811" s="37"/>
      <c r="C4811" s="37"/>
      <c r="F4811" s="38"/>
      <c r="G4811" s="38"/>
      <c r="H4811" s="38"/>
      <c r="I4811" s="37"/>
      <c r="J4811" s="38"/>
      <c r="K4811" s="38"/>
      <c r="L4811" s="42"/>
      <c r="M4811" s="42"/>
      <c r="N4811" s="42"/>
      <c r="O4811" s="42"/>
      <c r="R4811" s="37"/>
      <c r="S4811" s="37"/>
      <c r="T4811" s="91"/>
      <c r="U4811" s="91"/>
      <c r="V4811" s="41"/>
      <c r="W4811" s="37"/>
      <c r="X4811" s="37"/>
      <c r="Y4811" s="43"/>
      <c r="Z4811" s="37"/>
      <c r="AA4811" s="37"/>
      <c r="AD4811" s="37"/>
      <c r="AE4811" s="37"/>
      <c r="AF4811" s="37"/>
    </row>
    <row r="4812" spans="1:32" x14ac:dyDescent="0.25">
      <c r="A4812" s="37"/>
      <c r="B4812" s="37"/>
      <c r="C4812" s="37"/>
      <c r="F4812" s="38"/>
      <c r="G4812" s="38"/>
      <c r="H4812" s="38"/>
      <c r="I4812" s="37"/>
      <c r="J4812" s="38"/>
      <c r="K4812" s="38"/>
      <c r="L4812" s="42"/>
      <c r="M4812" s="42"/>
      <c r="N4812" s="42"/>
      <c r="O4812" s="42"/>
      <c r="R4812" s="37"/>
      <c r="S4812" s="37"/>
      <c r="T4812" s="91"/>
      <c r="U4812" s="91"/>
      <c r="V4812" s="41"/>
      <c r="W4812" s="37"/>
      <c r="X4812" s="37"/>
      <c r="Y4812" s="43"/>
      <c r="Z4812" s="37"/>
      <c r="AA4812" s="37"/>
      <c r="AD4812" s="37"/>
      <c r="AE4812" s="37"/>
      <c r="AF4812" s="37"/>
    </row>
    <row r="4813" spans="1:32" x14ac:dyDescent="0.25">
      <c r="A4813" s="37"/>
      <c r="B4813" s="37"/>
      <c r="C4813" s="37"/>
      <c r="F4813" s="38"/>
      <c r="G4813" s="38"/>
      <c r="H4813" s="38"/>
      <c r="I4813" s="37"/>
      <c r="J4813" s="38"/>
      <c r="K4813" s="38"/>
      <c r="L4813" s="42"/>
      <c r="M4813" s="42"/>
      <c r="N4813" s="42"/>
      <c r="O4813" s="42"/>
      <c r="R4813" s="37"/>
      <c r="S4813" s="37"/>
      <c r="T4813" s="91"/>
      <c r="U4813" s="91"/>
      <c r="V4813" s="41"/>
      <c r="W4813" s="37"/>
      <c r="X4813" s="37"/>
      <c r="Y4813" s="43"/>
      <c r="Z4813" s="37"/>
      <c r="AA4813" s="37"/>
      <c r="AD4813" s="37"/>
      <c r="AE4813" s="37"/>
      <c r="AF4813" s="37"/>
    </row>
    <row r="4814" spans="1:32" x14ac:dyDescent="0.25">
      <c r="A4814" s="37"/>
      <c r="B4814" s="37"/>
      <c r="C4814" s="37"/>
      <c r="F4814" s="38"/>
      <c r="G4814" s="38"/>
      <c r="H4814" s="38"/>
      <c r="I4814" s="37"/>
      <c r="J4814" s="38"/>
      <c r="K4814" s="38"/>
      <c r="L4814" s="42"/>
      <c r="M4814" s="42"/>
      <c r="N4814" s="42"/>
      <c r="O4814" s="42"/>
      <c r="R4814" s="37"/>
      <c r="S4814" s="37"/>
      <c r="T4814" s="91"/>
      <c r="U4814" s="91"/>
      <c r="V4814" s="41"/>
      <c r="W4814" s="37"/>
      <c r="X4814" s="37"/>
      <c r="Y4814" s="43"/>
      <c r="Z4814" s="37"/>
      <c r="AA4814" s="37"/>
      <c r="AD4814" s="37"/>
      <c r="AE4814" s="37"/>
      <c r="AF4814" s="37"/>
    </row>
    <row r="4815" spans="1:32" x14ac:dyDescent="0.25">
      <c r="A4815" s="37"/>
      <c r="B4815" s="37"/>
      <c r="C4815" s="37"/>
      <c r="F4815" s="38"/>
      <c r="G4815" s="38"/>
      <c r="H4815" s="38"/>
      <c r="I4815" s="37"/>
      <c r="J4815" s="38"/>
      <c r="K4815" s="38"/>
      <c r="L4815" s="42"/>
      <c r="M4815" s="42"/>
      <c r="N4815" s="42"/>
      <c r="O4815" s="42"/>
      <c r="R4815" s="37"/>
      <c r="S4815" s="37"/>
      <c r="T4815" s="91"/>
      <c r="U4815" s="91"/>
      <c r="V4815" s="41"/>
      <c r="W4815" s="37"/>
      <c r="X4815" s="37"/>
      <c r="Y4815" s="43"/>
      <c r="Z4815" s="37"/>
      <c r="AA4815" s="37"/>
      <c r="AD4815" s="37"/>
      <c r="AE4815" s="37"/>
      <c r="AF4815" s="37"/>
    </row>
    <row r="4816" spans="1:32" x14ac:dyDescent="0.25">
      <c r="A4816" s="37"/>
      <c r="B4816" s="37"/>
      <c r="C4816" s="37"/>
      <c r="F4816" s="38"/>
      <c r="G4816" s="38"/>
      <c r="H4816" s="38"/>
      <c r="I4816" s="37"/>
      <c r="J4816" s="38"/>
      <c r="K4816" s="38"/>
      <c r="L4816" s="42"/>
      <c r="M4816" s="42"/>
      <c r="N4816" s="42"/>
      <c r="O4816" s="42"/>
      <c r="R4816" s="37"/>
      <c r="S4816" s="37"/>
      <c r="T4816" s="91"/>
      <c r="U4816" s="91"/>
      <c r="V4816" s="41"/>
      <c r="W4816" s="37"/>
      <c r="X4816" s="37"/>
      <c r="Y4816" s="43"/>
      <c r="Z4816" s="37"/>
      <c r="AA4816" s="37"/>
      <c r="AD4816" s="37"/>
      <c r="AE4816" s="37"/>
      <c r="AF4816" s="37"/>
    </row>
    <row r="4817" spans="1:32" x14ac:dyDescent="0.25">
      <c r="A4817" s="37"/>
      <c r="B4817" s="37"/>
      <c r="C4817" s="37"/>
      <c r="F4817" s="38"/>
      <c r="G4817" s="38"/>
      <c r="H4817" s="38"/>
      <c r="I4817" s="37"/>
      <c r="J4817" s="38"/>
      <c r="K4817" s="38"/>
      <c r="L4817" s="42"/>
      <c r="M4817" s="42"/>
      <c r="N4817" s="42"/>
      <c r="O4817" s="42"/>
      <c r="R4817" s="37"/>
      <c r="S4817" s="37"/>
      <c r="T4817" s="91"/>
      <c r="U4817" s="91"/>
      <c r="V4817" s="41"/>
      <c r="W4817" s="37"/>
      <c r="X4817" s="37"/>
      <c r="Y4817" s="43"/>
      <c r="Z4817" s="37"/>
      <c r="AA4817" s="37"/>
      <c r="AD4817" s="37"/>
      <c r="AE4817" s="37"/>
      <c r="AF4817" s="37"/>
    </row>
    <row r="4818" spans="1:32" x14ac:dyDescent="0.25">
      <c r="A4818" s="37"/>
      <c r="B4818" s="37"/>
      <c r="C4818" s="37"/>
      <c r="F4818" s="38"/>
      <c r="G4818" s="38"/>
      <c r="H4818" s="38"/>
      <c r="I4818" s="37"/>
      <c r="J4818" s="38"/>
      <c r="K4818" s="38"/>
      <c r="L4818" s="42"/>
      <c r="M4818" s="42"/>
      <c r="N4818" s="42"/>
      <c r="O4818" s="42"/>
      <c r="R4818" s="37"/>
      <c r="S4818" s="37"/>
      <c r="T4818" s="91"/>
      <c r="U4818" s="91"/>
      <c r="V4818" s="41"/>
      <c r="W4818" s="37"/>
      <c r="X4818" s="37"/>
      <c r="Y4818" s="43"/>
      <c r="Z4818" s="37"/>
      <c r="AA4818" s="37"/>
      <c r="AD4818" s="37"/>
      <c r="AE4818" s="37"/>
      <c r="AF4818" s="37"/>
    </row>
    <row r="4819" spans="1:32" x14ac:dyDescent="0.25">
      <c r="A4819" s="37"/>
      <c r="B4819" s="37"/>
      <c r="C4819" s="37"/>
      <c r="F4819" s="38"/>
      <c r="G4819" s="38"/>
      <c r="H4819" s="38"/>
      <c r="I4819" s="37"/>
      <c r="J4819" s="38"/>
      <c r="K4819" s="38"/>
      <c r="L4819" s="42"/>
      <c r="M4819" s="42"/>
      <c r="N4819" s="42"/>
      <c r="O4819" s="42"/>
      <c r="R4819" s="37"/>
      <c r="S4819" s="37"/>
      <c r="T4819" s="91"/>
      <c r="U4819" s="91"/>
      <c r="V4819" s="41"/>
      <c r="W4819" s="37"/>
      <c r="X4819" s="37"/>
      <c r="Y4819" s="43"/>
      <c r="Z4819" s="37"/>
      <c r="AA4819" s="37"/>
      <c r="AD4819" s="37"/>
      <c r="AE4819" s="37"/>
      <c r="AF4819" s="37"/>
    </row>
    <row r="4820" spans="1:32" x14ac:dyDescent="0.25">
      <c r="A4820" s="37"/>
      <c r="B4820" s="37"/>
      <c r="C4820" s="37"/>
      <c r="F4820" s="38"/>
      <c r="G4820" s="38"/>
      <c r="H4820" s="38"/>
      <c r="I4820" s="37"/>
      <c r="J4820" s="38"/>
      <c r="K4820" s="38"/>
      <c r="L4820" s="42"/>
      <c r="M4820" s="42"/>
      <c r="N4820" s="42"/>
      <c r="O4820" s="42"/>
      <c r="R4820" s="37"/>
      <c r="S4820" s="37"/>
      <c r="T4820" s="91"/>
      <c r="U4820" s="91"/>
      <c r="V4820" s="41"/>
      <c r="W4820" s="37"/>
      <c r="X4820" s="37"/>
      <c r="Y4820" s="43"/>
      <c r="Z4820" s="37"/>
      <c r="AA4820" s="37"/>
      <c r="AD4820" s="37"/>
      <c r="AE4820" s="37"/>
      <c r="AF4820" s="37"/>
    </row>
    <row r="4821" spans="1:32" x14ac:dyDescent="0.25">
      <c r="A4821" s="37"/>
      <c r="B4821" s="37"/>
      <c r="C4821" s="37"/>
      <c r="F4821" s="38"/>
      <c r="G4821" s="38"/>
      <c r="H4821" s="38"/>
      <c r="I4821" s="37"/>
      <c r="J4821" s="38"/>
      <c r="K4821" s="38"/>
      <c r="L4821" s="42"/>
      <c r="M4821" s="42"/>
      <c r="N4821" s="42"/>
      <c r="O4821" s="42"/>
      <c r="R4821" s="37"/>
      <c r="S4821" s="37"/>
      <c r="T4821" s="91"/>
      <c r="U4821" s="91"/>
      <c r="V4821" s="41"/>
      <c r="W4821" s="37"/>
      <c r="X4821" s="37"/>
      <c r="Y4821" s="43"/>
      <c r="Z4821" s="37"/>
      <c r="AA4821" s="37"/>
      <c r="AD4821" s="37"/>
      <c r="AE4821" s="37"/>
      <c r="AF4821" s="37"/>
    </row>
    <row r="4822" spans="1:32" x14ac:dyDescent="0.25">
      <c r="A4822" s="37"/>
      <c r="B4822" s="37"/>
      <c r="C4822" s="37"/>
      <c r="F4822" s="38"/>
      <c r="G4822" s="38"/>
      <c r="H4822" s="38"/>
      <c r="I4822" s="37"/>
      <c r="J4822" s="38"/>
      <c r="K4822" s="38"/>
      <c r="L4822" s="42"/>
      <c r="M4822" s="42"/>
      <c r="N4822" s="42"/>
      <c r="O4822" s="42"/>
      <c r="R4822" s="37"/>
      <c r="S4822" s="37"/>
      <c r="T4822" s="91"/>
      <c r="U4822" s="91"/>
      <c r="V4822" s="41"/>
      <c r="W4822" s="37"/>
      <c r="X4822" s="37"/>
      <c r="Y4822" s="43"/>
      <c r="Z4822" s="37"/>
      <c r="AA4822" s="37"/>
      <c r="AD4822" s="37"/>
      <c r="AE4822" s="37"/>
      <c r="AF4822" s="37"/>
    </row>
    <row r="4823" spans="1:32" x14ac:dyDescent="0.25">
      <c r="A4823" s="37"/>
      <c r="B4823" s="37"/>
      <c r="C4823" s="37"/>
      <c r="F4823" s="38"/>
      <c r="G4823" s="38"/>
      <c r="H4823" s="38"/>
      <c r="I4823" s="37"/>
      <c r="J4823" s="38"/>
      <c r="K4823" s="38"/>
      <c r="L4823" s="42"/>
      <c r="M4823" s="42"/>
      <c r="N4823" s="42"/>
      <c r="O4823" s="42"/>
      <c r="R4823" s="37"/>
      <c r="S4823" s="37"/>
      <c r="T4823" s="91"/>
      <c r="U4823" s="91"/>
      <c r="V4823" s="41"/>
      <c r="W4823" s="37"/>
      <c r="X4823" s="37"/>
      <c r="Y4823" s="43"/>
      <c r="Z4823" s="37"/>
      <c r="AA4823" s="37"/>
      <c r="AD4823" s="37"/>
      <c r="AE4823" s="37"/>
      <c r="AF4823" s="37"/>
    </row>
    <row r="4824" spans="1:32" x14ac:dyDescent="0.25">
      <c r="A4824" s="37"/>
      <c r="B4824" s="37"/>
      <c r="C4824" s="37"/>
      <c r="F4824" s="38"/>
      <c r="G4824" s="38"/>
      <c r="H4824" s="38"/>
      <c r="I4824" s="37"/>
      <c r="J4824" s="38"/>
      <c r="K4824" s="38"/>
      <c r="L4824" s="42"/>
      <c r="M4824" s="42"/>
      <c r="N4824" s="42"/>
      <c r="O4824" s="42"/>
      <c r="R4824" s="37"/>
      <c r="S4824" s="37"/>
      <c r="T4824" s="91"/>
      <c r="U4824" s="91"/>
      <c r="V4824" s="41"/>
      <c r="W4824" s="37"/>
      <c r="X4824" s="37"/>
      <c r="Y4824" s="43"/>
      <c r="Z4824" s="37"/>
      <c r="AA4824" s="37"/>
      <c r="AD4824" s="37"/>
      <c r="AE4824" s="37"/>
      <c r="AF4824" s="37"/>
    </row>
    <row r="4825" spans="1:32" x14ac:dyDescent="0.25">
      <c r="A4825" s="37"/>
      <c r="B4825" s="37"/>
      <c r="C4825" s="37"/>
      <c r="F4825" s="38"/>
      <c r="G4825" s="38"/>
      <c r="H4825" s="38"/>
      <c r="I4825" s="37"/>
      <c r="J4825" s="38"/>
      <c r="K4825" s="38"/>
      <c r="L4825" s="42"/>
      <c r="M4825" s="42"/>
      <c r="N4825" s="42"/>
      <c r="O4825" s="42"/>
      <c r="R4825" s="37"/>
      <c r="S4825" s="37"/>
      <c r="T4825" s="91"/>
      <c r="U4825" s="91"/>
      <c r="V4825" s="41"/>
      <c r="W4825" s="37"/>
      <c r="X4825" s="37"/>
      <c r="Y4825" s="43"/>
      <c r="Z4825" s="37"/>
      <c r="AA4825" s="37"/>
      <c r="AD4825" s="37"/>
      <c r="AE4825" s="37"/>
      <c r="AF4825" s="37"/>
    </row>
    <row r="4826" spans="1:32" x14ac:dyDescent="0.25">
      <c r="A4826" s="37"/>
      <c r="B4826" s="37"/>
      <c r="C4826" s="37"/>
      <c r="F4826" s="38"/>
      <c r="G4826" s="38"/>
      <c r="H4826" s="38"/>
      <c r="I4826" s="37"/>
      <c r="J4826" s="38"/>
      <c r="K4826" s="38"/>
      <c r="L4826" s="42"/>
      <c r="M4826" s="42"/>
      <c r="N4826" s="42"/>
      <c r="O4826" s="42"/>
      <c r="R4826" s="37"/>
      <c r="S4826" s="37"/>
      <c r="T4826" s="91"/>
      <c r="U4826" s="91"/>
      <c r="V4826" s="41"/>
      <c r="W4826" s="37"/>
      <c r="X4826" s="37"/>
      <c r="Y4826" s="43"/>
      <c r="Z4826" s="37"/>
      <c r="AA4826" s="37"/>
      <c r="AD4826" s="37"/>
      <c r="AE4826" s="37"/>
      <c r="AF4826" s="37"/>
    </row>
    <row r="4827" spans="1:32" x14ac:dyDescent="0.25">
      <c r="A4827" s="37"/>
      <c r="B4827" s="37"/>
      <c r="C4827" s="37"/>
      <c r="F4827" s="38"/>
      <c r="G4827" s="38"/>
      <c r="H4827" s="38"/>
      <c r="I4827" s="37"/>
      <c r="J4827" s="38"/>
      <c r="K4827" s="38"/>
      <c r="L4827" s="42"/>
      <c r="M4827" s="42"/>
      <c r="N4827" s="42"/>
      <c r="O4827" s="42"/>
      <c r="R4827" s="37"/>
      <c r="S4827" s="37"/>
      <c r="T4827" s="91"/>
      <c r="U4827" s="91"/>
      <c r="V4827" s="41"/>
      <c r="W4827" s="37"/>
      <c r="X4827" s="37"/>
      <c r="Y4827" s="43"/>
      <c r="Z4827" s="37"/>
      <c r="AA4827" s="37"/>
      <c r="AD4827" s="37"/>
      <c r="AE4827" s="37"/>
      <c r="AF4827" s="37"/>
    </row>
    <row r="4828" spans="1:32" x14ac:dyDescent="0.25">
      <c r="A4828" s="37"/>
      <c r="B4828" s="37"/>
      <c r="C4828" s="37"/>
      <c r="F4828" s="38"/>
      <c r="G4828" s="38"/>
      <c r="H4828" s="38"/>
      <c r="I4828" s="37"/>
      <c r="J4828" s="38"/>
      <c r="K4828" s="38"/>
      <c r="L4828" s="42"/>
      <c r="M4828" s="42"/>
      <c r="N4828" s="42"/>
      <c r="O4828" s="42"/>
      <c r="R4828" s="37"/>
      <c r="S4828" s="37"/>
      <c r="T4828" s="91"/>
      <c r="U4828" s="91"/>
      <c r="V4828" s="41"/>
      <c r="W4828" s="37"/>
      <c r="X4828" s="37"/>
      <c r="Y4828" s="43"/>
      <c r="Z4828" s="37"/>
      <c r="AA4828" s="37"/>
      <c r="AD4828" s="37"/>
      <c r="AE4828" s="37"/>
      <c r="AF4828" s="37"/>
    </row>
    <row r="4829" spans="1:32" x14ac:dyDescent="0.25">
      <c r="A4829" s="37"/>
      <c r="B4829" s="37"/>
      <c r="C4829" s="37"/>
      <c r="F4829" s="38"/>
      <c r="G4829" s="38"/>
      <c r="H4829" s="38"/>
      <c r="I4829" s="37"/>
      <c r="J4829" s="38"/>
      <c r="K4829" s="38"/>
      <c r="L4829" s="42"/>
      <c r="M4829" s="42"/>
      <c r="N4829" s="42"/>
      <c r="O4829" s="42"/>
      <c r="R4829" s="37"/>
      <c r="S4829" s="37"/>
      <c r="T4829" s="91"/>
      <c r="U4829" s="91"/>
      <c r="V4829" s="41"/>
      <c r="W4829" s="37"/>
      <c r="X4829" s="37"/>
      <c r="Y4829" s="43"/>
      <c r="Z4829" s="37"/>
      <c r="AA4829" s="37"/>
      <c r="AD4829" s="37"/>
      <c r="AE4829" s="37"/>
      <c r="AF4829" s="37"/>
    </row>
    <row r="4830" spans="1:32" x14ac:dyDescent="0.25">
      <c r="A4830" s="37"/>
      <c r="B4830" s="37"/>
      <c r="C4830" s="37"/>
      <c r="F4830" s="38"/>
      <c r="G4830" s="38"/>
      <c r="H4830" s="38"/>
      <c r="I4830" s="37"/>
      <c r="J4830" s="38"/>
      <c r="K4830" s="38"/>
      <c r="L4830" s="42"/>
      <c r="M4830" s="42"/>
      <c r="N4830" s="42"/>
      <c r="O4830" s="42"/>
      <c r="R4830" s="37"/>
      <c r="S4830" s="37"/>
      <c r="T4830" s="91"/>
      <c r="U4830" s="91"/>
      <c r="V4830" s="41"/>
      <c r="W4830" s="37"/>
      <c r="X4830" s="37"/>
      <c r="Y4830" s="43"/>
      <c r="Z4830" s="37"/>
      <c r="AA4830" s="37"/>
      <c r="AD4830" s="37"/>
      <c r="AE4830" s="37"/>
      <c r="AF4830" s="37"/>
    </row>
    <row r="4831" spans="1:32" x14ac:dyDescent="0.25">
      <c r="A4831" s="37"/>
      <c r="B4831" s="37"/>
      <c r="C4831" s="37"/>
      <c r="F4831" s="38"/>
      <c r="G4831" s="38"/>
      <c r="H4831" s="38"/>
      <c r="I4831" s="37"/>
      <c r="J4831" s="38"/>
      <c r="K4831" s="38"/>
      <c r="L4831" s="42"/>
      <c r="M4831" s="42"/>
      <c r="N4831" s="42"/>
      <c r="O4831" s="42"/>
      <c r="R4831" s="37"/>
      <c r="S4831" s="37"/>
      <c r="T4831" s="91"/>
      <c r="U4831" s="91"/>
      <c r="V4831" s="41"/>
      <c r="W4831" s="37"/>
      <c r="X4831" s="37"/>
      <c r="Y4831" s="43"/>
      <c r="Z4831" s="37"/>
      <c r="AA4831" s="37"/>
      <c r="AD4831" s="37"/>
      <c r="AE4831" s="37"/>
      <c r="AF4831" s="37"/>
    </row>
    <row r="4832" spans="1:32" x14ac:dyDescent="0.25">
      <c r="A4832" s="37"/>
      <c r="B4832" s="37"/>
      <c r="C4832" s="37"/>
      <c r="F4832" s="38"/>
      <c r="G4832" s="38"/>
      <c r="H4832" s="38"/>
      <c r="I4832" s="37"/>
      <c r="J4832" s="38"/>
      <c r="K4832" s="38"/>
      <c r="L4832" s="42"/>
      <c r="M4832" s="42"/>
      <c r="N4832" s="42"/>
      <c r="O4832" s="42"/>
      <c r="R4832" s="37"/>
      <c r="S4832" s="37"/>
      <c r="T4832" s="91"/>
      <c r="U4832" s="91"/>
      <c r="V4832" s="41"/>
      <c r="W4832" s="37"/>
      <c r="X4832" s="37"/>
      <c r="Y4832" s="43"/>
      <c r="Z4832" s="37"/>
      <c r="AA4832" s="37"/>
      <c r="AD4832" s="37"/>
      <c r="AE4832" s="37"/>
      <c r="AF4832" s="37"/>
    </row>
    <row r="4833" spans="1:32" x14ac:dyDescent="0.25">
      <c r="A4833" s="37"/>
      <c r="B4833" s="37"/>
      <c r="C4833" s="37"/>
      <c r="F4833" s="38"/>
      <c r="G4833" s="38"/>
      <c r="H4833" s="38"/>
      <c r="I4833" s="37"/>
      <c r="J4833" s="38"/>
      <c r="K4833" s="38"/>
      <c r="L4833" s="42"/>
      <c r="M4833" s="42"/>
      <c r="N4833" s="42"/>
      <c r="O4833" s="42"/>
      <c r="R4833" s="37"/>
      <c r="S4833" s="37"/>
      <c r="T4833" s="91"/>
      <c r="U4833" s="91"/>
      <c r="V4833" s="41"/>
      <c r="W4833" s="37"/>
      <c r="X4833" s="37"/>
      <c r="Y4833" s="43"/>
      <c r="Z4833" s="37"/>
      <c r="AA4833" s="37"/>
      <c r="AD4833" s="37"/>
      <c r="AE4833" s="37"/>
      <c r="AF4833" s="37"/>
    </row>
    <row r="4834" spans="1:32" x14ac:dyDescent="0.25">
      <c r="A4834" s="37"/>
      <c r="B4834" s="37"/>
      <c r="C4834" s="37"/>
      <c r="F4834" s="38"/>
      <c r="G4834" s="38"/>
      <c r="H4834" s="38"/>
      <c r="I4834" s="37"/>
      <c r="J4834" s="38"/>
      <c r="K4834" s="38"/>
      <c r="L4834" s="42"/>
      <c r="M4834" s="42"/>
      <c r="N4834" s="42"/>
      <c r="O4834" s="42"/>
      <c r="R4834" s="37"/>
      <c r="S4834" s="37"/>
      <c r="T4834" s="91"/>
      <c r="U4834" s="91"/>
      <c r="V4834" s="41"/>
      <c r="W4834" s="37"/>
      <c r="X4834" s="37"/>
      <c r="Y4834" s="43"/>
      <c r="Z4834" s="37"/>
      <c r="AA4834" s="37"/>
      <c r="AD4834" s="37"/>
      <c r="AE4834" s="37"/>
      <c r="AF4834" s="37"/>
    </row>
    <row r="4835" spans="1:32" x14ac:dyDescent="0.25">
      <c r="A4835" s="37"/>
      <c r="B4835" s="37"/>
      <c r="C4835" s="37"/>
      <c r="F4835" s="38"/>
      <c r="G4835" s="38"/>
      <c r="H4835" s="38"/>
      <c r="I4835" s="37"/>
      <c r="J4835" s="38"/>
      <c r="K4835" s="38"/>
      <c r="L4835" s="42"/>
      <c r="M4835" s="42"/>
      <c r="N4835" s="42"/>
      <c r="O4835" s="42"/>
      <c r="R4835" s="37"/>
      <c r="S4835" s="37"/>
      <c r="T4835" s="91"/>
      <c r="U4835" s="91"/>
      <c r="V4835" s="41"/>
      <c r="W4835" s="37"/>
      <c r="X4835" s="37"/>
      <c r="Y4835" s="43"/>
      <c r="Z4835" s="37"/>
      <c r="AA4835" s="37"/>
      <c r="AD4835" s="37"/>
      <c r="AE4835" s="37"/>
      <c r="AF4835" s="37"/>
    </row>
    <row r="4836" spans="1:32" x14ac:dyDescent="0.25">
      <c r="A4836" s="37"/>
      <c r="B4836" s="37"/>
      <c r="C4836" s="37"/>
      <c r="F4836" s="38"/>
      <c r="G4836" s="38"/>
      <c r="H4836" s="38"/>
      <c r="I4836" s="37"/>
      <c r="J4836" s="38"/>
      <c r="K4836" s="38"/>
      <c r="L4836" s="42"/>
      <c r="M4836" s="42"/>
      <c r="N4836" s="42"/>
      <c r="O4836" s="42"/>
      <c r="R4836" s="37"/>
      <c r="S4836" s="37"/>
      <c r="T4836" s="91"/>
      <c r="U4836" s="91"/>
      <c r="V4836" s="41"/>
      <c r="W4836" s="37"/>
      <c r="X4836" s="37"/>
      <c r="Y4836" s="43"/>
      <c r="Z4836" s="37"/>
      <c r="AA4836" s="37"/>
      <c r="AD4836" s="37"/>
      <c r="AE4836" s="37"/>
      <c r="AF4836" s="37"/>
    </row>
    <row r="4837" spans="1:32" x14ac:dyDescent="0.25">
      <c r="A4837" s="37"/>
      <c r="B4837" s="37"/>
      <c r="C4837" s="37"/>
      <c r="F4837" s="38"/>
      <c r="G4837" s="38"/>
      <c r="H4837" s="38"/>
      <c r="I4837" s="37"/>
      <c r="J4837" s="38"/>
      <c r="K4837" s="38"/>
      <c r="L4837" s="42"/>
      <c r="M4837" s="42"/>
      <c r="N4837" s="42"/>
      <c r="O4837" s="42"/>
      <c r="R4837" s="37"/>
      <c r="S4837" s="37"/>
      <c r="T4837" s="91"/>
      <c r="U4837" s="91"/>
      <c r="V4837" s="41"/>
      <c r="W4837" s="37"/>
      <c r="X4837" s="37"/>
      <c r="Y4837" s="43"/>
      <c r="Z4837" s="37"/>
      <c r="AA4837" s="37"/>
      <c r="AD4837" s="37"/>
      <c r="AE4837" s="37"/>
      <c r="AF4837" s="37"/>
    </row>
    <row r="4838" spans="1:32" x14ac:dyDescent="0.25">
      <c r="A4838" s="37"/>
      <c r="B4838" s="37"/>
      <c r="C4838" s="37"/>
      <c r="F4838" s="38"/>
      <c r="G4838" s="38"/>
      <c r="H4838" s="38"/>
      <c r="I4838" s="37"/>
      <c r="J4838" s="38"/>
      <c r="K4838" s="38"/>
      <c r="L4838" s="42"/>
      <c r="M4838" s="42"/>
      <c r="N4838" s="42"/>
      <c r="O4838" s="42"/>
      <c r="R4838" s="37"/>
      <c r="S4838" s="37"/>
      <c r="T4838" s="91"/>
      <c r="U4838" s="91"/>
      <c r="V4838" s="41"/>
      <c r="W4838" s="37"/>
      <c r="X4838" s="37"/>
      <c r="Y4838" s="43"/>
      <c r="Z4838" s="37"/>
      <c r="AA4838" s="37"/>
      <c r="AD4838" s="37"/>
      <c r="AE4838" s="37"/>
      <c r="AF4838" s="37"/>
    </row>
    <row r="4839" spans="1:32" x14ac:dyDescent="0.25">
      <c r="A4839" s="37"/>
      <c r="B4839" s="37"/>
      <c r="C4839" s="37"/>
      <c r="F4839" s="38"/>
      <c r="G4839" s="38"/>
      <c r="H4839" s="38"/>
      <c r="I4839" s="37"/>
      <c r="J4839" s="38"/>
      <c r="K4839" s="38"/>
      <c r="L4839" s="42"/>
      <c r="M4839" s="42"/>
      <c r="N4839" s="42"/>
      <c r="O4839" s="42"/>
      <c r="R4839" s="37"/>
      <c r="S4839" s="37"/>
      <c r="T4839" s="91"/>
      <c r="U4839" s="91"/>
      <c r="V4839" s="41"/>
      <c r="W4839" s="37"/>
      <c r="X4839" s="37"/>
      <c r="Y4839" s="43"/>
      <c r="Z4839" s="37"/>
      <c r="AA4839" s="37"/>
      <c r="AD4839" s="37"/>
      <c r="AE4839" s="37"/>
      <c r="AF4839" s="37"/>
    </row>
    <row r="4840" spans="1:32" x14ac:dyDescent="0.25">
      <c r="A4840" s="37"/>
      <c r="B4840" s="37"/>
      <c r="C4840" s="37"/>
      <c r="F4840" s="38"/>
      <c r="G4840" s="38"/>
      <c r="H4840" s="38"/>
      <c r="I4840" s="37"/>
      <c r="J4840" s="38"/>
      <c r="K4840" s="38"/>
      <c r="L4840" s="42"/>
      <c r="M4840" s="42"/>
      <c r="N4840" s="42"/>
      <c r="O4840" s="42"/>
      <c r="R4840" s="37"/>
      <c r="S4840" s="37"/>
      <c r="T4840" s="91"/>
      <c r="U4840" s="91"/>
      <c r="V4840" s="41"/>
      <c r="W4840" s="37"/>
      <c r="X4840" s="37"/>
      <c r="Y4840" s="43"/>
      <c r="Z4840" s="37"/>
      <c r="AA4840" s="37"/>
      <c r="AD4840" s="37"/>
      <c r="AE4840" s="37"/>
      <c r="AF4840" s="37"/>
    </row>
    <row r="4841" spans="1:32" x14ac:dyDescent="0.25">
      <c r="A4841" s="37"/>
      <c r="B4841" s="37"/>
      <c r="C4841" s="37"/>
      <c r="F4841" s="38"/>
      <c r="G4841" s="38"/>
      <c r="H4841" s="38"/>
      <c r="I4841" s="37"/>
      <c r="J4841" s="38"/>
      <c r="K4841" s="38"/>
      <c r="L4841" s="42"/>
      <c r="M4841" s="42"/>
      <c r="N4841" s="42"/>
      <c r="O4841" s="42"/>
      <c r="R4841" s="37"/>
      <c r="S4841" s="37"/>
      <c r="T4841" s="91"/>
      <c r="U4841" s="91"/>
      <c r="V4841" s="41"/>
      <c r="W4841" s="37"/>
      <c r="X4841" s="37"/>
      <c r="Y4841" s="43"/>
      <c r="Z4841" s="37"/>
      <c r="AA4841" s="37"/>
      <c r="AD4841" s="37"/>
      <c r="AE4841" s="37"/>
      <c r="AF4841" s="37"/>
    </row>
    <row r="4842" spans="1:32" x14ac:dyDescent="0.25">
      <c r="A4842" s="37"/>
      <c r="B4842" s="37"/>
      <c r="C4842" s="37"/>
      <c r="F4842" s="38"/>
      <c r="G4842" s="38"/>
      <c r="H4842" s="38"/>
      <c r="I4842" s="37"/>
      <c r="J4842" s="38"/>
      <c r="K4842" s="38"/>
      <c r="L4842" s="42"/>
      <c r="M4842" s="42"/>
      <c r="N4842" s="42"/>
      <c r="O4842" s="42"/>
      <c r="R4842" s="37"/>
      <c r="S4842" s="37"/>
      <c r="T4842" s="91"/>
      <c r="U4842" s="91"/>
      <c r="V4842" s="41"/>
      <c r="W4842" s="37"/>
      <c r="X4842" s="37"/>
      <c r="Y4842" s="43"/>
      <c r="Z4842" s="37"/>
      <c r="AA4842" s="37"/>
      <c r="AD4842" s="37"/>
      <c r="AE4842" s="37"/>
      <c r="AF4842" s="37"/>
    </row>
    <row r="4843" spans="1:32" x14ac:dyDescent="0.25">
      <c r="A4843" s="37"/>
      <c r="B4843" s="37"/>
      <c r="C4843" s="37"/>
      <c r="F4843" s="38"/>
      <c r="G4843" s="38"/>
      <c r="H4843" s="38"/>
      <c r="I4843" s="37"/>
      <c r="J4843" s="38"/>
      <c r="K4843" s="38"/>
      <c r="L4843" s="42"/>
      <c r="M4843" s="42"/>
      <c r="N4843" s="42"/>
      <c r="O4843" s="42"/>
      <c r="R4843" s="37"/>
      <c r="S4843" s="37"/>
      <c r="T4843" s="91"/>
      <c r="U4843" s="91"/>
      <c r="V4843" s="41"/>
      <c r="W4843" s="37"/>
      <c r="X4843" s="37"/>
      <c r="Y4843" s="43"/>
      <c r="Z4843" s="37"/>
      <c r="AA4843" s="37"/>
      <c r="AD4843" s="37"/>
      <c r="AE4843" s="37"/>
      <c r="AF4843" s="37"/>
    </row>
    <row r="4844" spans="1:32" x14ac:dyDescent="0.25">
      <c r="A4844" s="37"/>
      <c r="B4844" s="37"/>
      <c r="C4844" s="37"/>
      <c r="F4844" s="38"/>
      <c r="G4844" s="38"/>
      <c r="H4844" s="38"/>
      <c r="I4844" s="37"/>
      <c r="J4844" s="38"/>
      <c r="K4844" s="38"/>
      <c r="L4844" s="42"/>
      <c r="M4844" s="42"/>
      <c r="N4844" s="42"/>
      <c r="O4844" s="42"/>
      <c r="R4844" s="37"/>
      <c r="S4844" s="37"/>
      <c r="T4844" s="91"/>
      <c r="U4844" s="91"/>
      <c r="V4844" s="41"/>
      <c r="W4844" s="37"/>
      <c r="X4844" s="37"/>
      <c r="Y4844" s="43"/>
      <c r="Z4844" s="37"/>
      <c r="AA4844" s="37"/>
      <c r="AD4844" s="37"/>
      <c r="AE4844" s="37"/>
      <c r="AF4844" s="37"/>
    </row>
    <row r="4845" spans="1:32" x14ac:dyDescent="0.25">
      <c r="A4845" s="37"/>
      <c r="B4845" s="37"/>
      <c r="C4845" s="37"/>
      <c r="F4845" s="38"/>
      <c r="G4845" s="38"/>
      <c r="H4845" s="38"/>
      <c r="I4845" s="37"/>
      <c r="J4845" s="38"/>
      <c r="K4845" s="38"/>
      <c r="L4845" s="42"/>
      <c r="M4845" s="42"/>
      <c r="N4845" s="42"/>
      <c r="O4845" s="42"/>
      <c r="R4845" s="37"/>
      <c r="S4845" s="37"/>
      <c r="T4845" s="91"/>
      <c r="U4845" s="91"/>
      <c r="V4845" s="41"/>
      <c r="W4845" s="37"/>
      <c r="X4845" s="37"/>
      <c r="Y4845" s="43"/>
      <c r="Z4845" s="37"/>
      <c r="AA4845" s="37"/>
      <c r="AD4845" s="37"/>
      <c r="AE4845" s="37"/>
      <c r="AF4845" s="37"/>
    </row>
    <row r="4846" spans="1:32" x14ac:dyDescent="0.25">
      <c r="A4846" s="37"/>
      <c r="B4846" s="37"/>
      <c r="C4846" s="37"/>
      <c r="F4846" s="38"/>
      <c r="G4846" s="38"/>
      <c r="H4846" s="38"/>
      <c r="I4846" s="37"/>
      <c r="J4846" s="38"/>
      <c r="K4846" s="38"/>
      <c r="L4846" s="42"/>
      <c r="M4846" s="42"/>
      <c r="N4846" s="42"/>
      <c r="O4846" s="42"/>
      <c r="R4846" s="37"/>
      <c r="S4846" s="37"/>
      <c r="T4846" s="91"/>
      <c r="U4846" s="91"/>
      <c r="V4846" s="41"/>
      <c r="W4846" s="37"/>
      <c r="X4846" s="37"/>
      <c r="Y4846" s="43"/>
      <c r="Z4846" s="37"/>
      <c r="AA4846" s="37"/>
      <c r="AD4846" s="37"/>
      <c r="AE4846" s="37"/>
      <c r="AF4846" s="37"/>
    </row>
    <row r="4847" spans="1:32" x14ac:dyDescent="0.25">
      <c r="A4847" s="37"/>
      <c r="B4847" s="37"/>
      <c r="C4847" s="37"/>
      <c r="F4847" s="38"/>
      <c r="G4847" s="38"/>
      <c r="H4847" s="38"/>
      <c r="I4847" s="37"/>
      <c r="J4847" s="38"/>
      <c r="K4847" s="38"/>
      <c r="L4847" s="42"/>
      <c r="M4847" s="42"/>
      <c r="N4847" s="42"/>
      <c r="O4847" s="42"/>
      <c r="R4847" s="37"/>
      <c r="S4847" s="37"/>
      <c r="T4847" s="91"/>
      <c r="U4847" s="91"/>
      <c r="V4847" s="41"/>
      <c r="W4847" s="37"/>
      <c r="X4847" s="37"/>
      <c r="Y4847" s="43"/>
      <c r="Z4847" s="37"/>
      <c r="AA4847" s="37"/>
      <c r="AD4847" s="37"/>
      <c r="AE4847" s="37"/>
      <c r="AF4847" s="37"/>
    </row>
    <row r="4848" spans="1:32" x14ac:dyDescent="0.25">
      <c r="A4848" s="37"/>
      <c r="B4848" s="37"/>
      <c r="C4848" s="37"/>
      <c r="F4848" s="38"/>
      <c r="G4848" s="38"/>
      <c r="H4848" s="38"/>
      <c r="I4848" s="37"/>
      <c r="J4848" s="38"/>
      <c r="K4848" s="38"/>
      <c r="L4848" s="42"/>
      <c r="M4848" s="42"/>
      <c r="N4848" s="42"/>
      <c r="O4848" s="42"/>
      <c r="R4848" s="37"/>
      <c r="S4848" s="37"/>
      <c r="T4848" s="91"/>
      <c r="U4848" s="91"/>
      <c r="V4848" s="41"/>
      <c r="W4848" s="37"/>
      <c r="X4848" s="37"/>
      <c r="Y4848" s="43"/>
      <c r="Z4848" s="37"/>
      <c r="AA4848" s="37"/>
      <c r="AD4848" s="37"/>
      <c r="AE4848" s="37"/>
      <c r="AF4848" s="37"/>
    </row>
    <row r="4849" spans="1:32" x14ac:dyDescent="0.25">
      <c r="A4849" s="37"/>
      <c r="B4849" s="37"/>
      <c r="C4849" s="37"/>
      <c r="F4849" s="38"/>
      <c r="G4849" s="38"/>
      <c r="H4849" s="38"/>
      <c r="I4849" s="37"/>
      <c r="J4849" s="38"/>
      <c r="K4849" s="38"/>
      <c r="L4849" s="42"/>
      <c r="M4849" s="42"/>
      <c r="N4849" s="42"/>
      <c r="O4849" s="42"/>
      <c r="R4849" s="37"/>
      <c r="S4849" s="37"/>
      <c r="T4849" s="91"/>
      <c r="U4849" s="91"/>
      <c r="V4849" s="41"/>
      <c r="W4849" s="37"/>
      <c r="X4849" s="37"/>
      <c r="Y4849" s="43"/>
      <c r="Z4849" s="37"/>
      <c r="AA4849" s="37"/>
      <c r="AD4849" s="37"/>
      <c r="AE4849" s="37"/>
      <c r="AF4849" s="37"/>
    </row>
    <row r="4850" spans="1:32" x14ac:dyDescent="0.25">
      <c r="A4850" s="37"/>
      <c r="B4850" s="37"/>
      <c r="C4850" s="37"/>
      <c r="F4850" s="38"/>
      <c r="G4850" s="38"/>
      <c r="H4850" s="38"/>
      <c r="I4850" s="37"/>
      <c r="J4850" s="38"/>
      <c r="K4850" s="38"/>
      <c r="L4850" s="42"/>
      <c r="M4850" s="42"/>
      <c r="N4850" s="42"/>
      <c r="O4850" s="42"/>
      <c r="R4850" s="37"/>
      <c r="S4850" s="37"/>
      <c r="T4850" s="91"/>
      <c r="U4850" s="91"/>
      <c r="V4850" s="41"/>
      <c r="W4850" s="37"/>
      <c r="X4850" s="37"/>
      <c r="Y4850" s="43"/>
      <c r="Z4850" s="37"/>
      <c r="AA4850" s="37"/>
      <c r="AD4850" s="37"/>
      <c r="AE4850" s="37"/>
      <c r="AF4850" s="37"/>
    </row>
    <row r="4851" spans="1:32" x14ac:dyDescent="0.25">
      <c r="A4851" s="37"/>
      <c r="B4851" s="37"/>
      <c r="C4851" s="37"/>
      <c r="F4851" s="38"/>
      <c r="G4851" s="38"/>
      <c r="H4851" s="38"/>
      <c r="I4851" s="37"/>
      <c r="J4851" s="38"/>
      <c r="K4851" s="38"/>
      <c r="L4851" s="42"/>
      <c r="M4851" s="42"/>
      <c r="N4851" s="42"/>
      <c r="O4851" s="42"/>
      <c r="R4851" s="37"/>
      <c r="S4851" s="37"/>
      <c r="T4851" s="91"/>
      <c r="U4851" s="91"/>
      <c r="V4851" s="41"/>
      <c r="W4851" s="37"/>
      <c r="X4851" s="37"/>
      <c r="Y4851" s="43"/>
      <c r="Z4851" s="37"/>
      <c r="AA4851" s="37"/>
      <c r="AD4851" s="37"/>
      <c r="AE4851" s="37"/>
      <c r="AF4851" s="37"/>
    </row>
    <row r="4852" spans="1:32" x14ac:dyDescent="0.25">
      <c r="A4852" s="37"/>
      <c r="B4852" s="37"/>
      <c r="C4852" s="37"/>
      <c r="F4852" s="38"/>
      <c r="G4852" s="38"/>
      <c r="H4852" s="38"/>
      <c r="I4852" s="37"/>
      <c r="J4852" s="38"/>
      <c r="K4852" s="38"/>
      <c r="L4852" s="42"/>
      <c r="M4852" s="42"/>
      <c r="N4852" s="42"/>
      <c r="O4852" s="42"/>
      <c r="R4852" s="37"/>
      <c r="S4852" s="37"/>
      <c r="T4852" s="91"/>
      <c r="U4852" s="91"/>
      <c r="V4852" s="41"/>
      <c r="W4852" s="37"/>
      <c r="X4852" s="37"/>
      <c r="Y4852" s="43"/>
      <c r="Z4852" s="37"/>
      <c r="AA4852" s="37"/>
      <c r="AD4852" s="37"/>
      <c r="AE4852" s="37"/>
      <c r="AF4852" s="37"/>
    </row>
    <row r="4853" spans="1:32" x14ac:dyDescent="0.25">
      <c r="A4853" s="37"/>
      <c r="B4853" s="37"/>
      <c r="C4853" s="37"/>
      <c r="F4853" s="38"/>
      <c r="G4853" s="38"/>
      <c r="H4853" s="38"/>
      <c r="I4853" s="37"/>
      <c r="J4853" s="38"/>
      <c r="K4853" s="38"/>
      <c r="L4853" s="42"/>
      <c r="M4853" s="42"/>
      <c r="N4853" s="42"/>
      <c r="O4853" s="42"/>
      <c r="R4853" s="37"/>
      <c r="S4853" s="37"/>
      <c r="T4853" s="91"/>
      <c r="U4853" s="91"/>
      <c r="V4853" s="41"/>
      <c r="W4853" s="37"/>
      <c r="X4853" s="37"/>
      <c r="Y4853" s="43"/>
      <c r="Z4853" s="37"/>
      <c r="AA4853" s="37"/>
      <c r="AD4853" s="37"/>
      <c r="AE4853" s="37"/>
      <c r="AF4853" s="37"/>
    </row>
    <row r="4854" spans="1:32" x14ac:dyDescent="0.25">
      <c r="A4854" s="37"/>
      <c r="B4854" s="37"/>
      <c r="C4854" s="37"/>
      <c r="F4854" s="38"/>
      <c r="G4854" s="38"/>
      <c r="H4854" s="38"/>
      <c r="I4854" s="37"/>
      <c r="J4854" s="38"/>
      <c r="K4854" s="38"/>
      <c r="L4854" s="42"/>
      <c r="M4854" s="42"/>
      <c r="N4854" s="42"/>
      <c r="O4854" s="42"/>
      <c r="R4854" s="37"/>
      <c r="S4854" s="37"/>
      <c r="T4854" s="91"/>
      <c r="U4854" s="91"/>
      <c r="V4854" s="41"/>
      <c r="W4854" s="37"/>
      <c r="X4854" s="37"/>
      <c r="Y4854" s="43"/>
      <c r="Z4854" s="37"/>
      <c r="AA4854" s="37"/>
      <c r="AD4854" s="37"/>
      <c r="AE4854" s="37"/>
      <c r="AF4854" s="37"/>
    </row>
    <row r="4855" spans="1:32" x14ac:dyDescent="0.25">
      <c r="A4855" s="37"/>
      <c r="B4855" s="37"/>
      <c r="C4855" s="37"/>
      <c r="F4855" s="38"/>
      <c r="G4855" s="38"/>
      <c r="H4855" s="38"/>
      <c r="I4855" s="37"/>
      <c r="J4855" s="38"/>
      <c r="K4855" s="38"/>
      <c r="L4855" s="42"/>
      <c r="M4855" s="42"/>
      <c r="N4855" s="42"/>
      <c r="O4855" s="42"/>
      <c r="R4855" s="37"/>
      <c r="S4855" s="37"/>
      <c r="T4855" s="91"/>
      <c r="U4855" s="91"/>
      <c r="V4855" s="41"/>
      <c r="W4855" s="37"/>
      <c r="X4855" s="37"/>
      <c r="Y4855" s="43"/>
      <c r="Z4855" s="37"/>
      <c r="AA4855" s="37"/>
      <c r="AD4855" s="37"/>
      <c r="AE4855" s="37"/>
      <c r="AF4855" s="37"/>
    </row>
    <row r="4856" spans="1:32" x14ac:dyDescent="0.25">
      <c r="A4856" s="37"/>
      <c r="B4856" s="37"/>
      <c r="C4856" s="37"/>
      <c r="F4856" s="38"/>
      <c r="G4856" s="38"/>
      <c r="H4856" s="38"/>
      <c r="I4856" s="37"/>
      <c r="J4856" s="38"/>
      <c r="K4856" s="38"/>
      <c r="L4856" s="42"/>
      <c r="M4856" s="42"/>
      <c r="N4856" s="42"/>
      <c r="O4856" s="42"/>
      <c r="R4856" s="37"/>
      <c r="S4856" s="37"/>
      <c r="T4856" s="91"/>
      <c r="U4856" s="91"/>
      <c r="V4856" s="41"/>
      <c r="W4856" s="37"/>
      <c r="X4856" s="37"/>
      <c r="Y4856" s="43"/>
      <c r="Z4856" s="37"/>
      <c r="AA4856" s="37"/>
      <c r="AD4856" s="37"/>
      <c r="AE4856" s="37"/>
      <c r="AF4856" s="37"/>
    </row>
    <row r="4857" spans="1:32" x14ac:dyDescent="0.25">
      <c r="A4857" s="37"/>
      <c r="B4857" s="37"/>
      <c r="C4857" s="37"/>
      <c r="F4857" s="38"/>
      <c r="G4857" s="38"/>
      <c r="H4857" s="38"/>
      <c r="I4857" s="37"/>
      <c r="J4857" s="38"/>
      <c r="K4857" s="38"/>
      <c r="L4857" s="42"/>
      <c r="M4857" s="42"/>
      <c r="N4857" s="42"/>
      <c r="O4857" s="42"/>
      <c r="R4857" s="37"/>
      <c r="S4857" s="37"/>
      <c r="T4857" s="91"/>
      <c r="U4857" s="91"/>
      <c r="V4857" s="41"/>
      <c r="W4857" s="37"/>
      <c r="X4857" s="37"/>
      <c r="Y4857" s="43"/>
      <c r="Z4857" s="37"/>
      <c r="AA4857" s="37"/>
      <c r="AD4857" s="37"/>
      <c r="AE4857" s="37"/>
      <c r="AF4857" s="37"/>
    </row>
    <row r="4858" spans="1:32" x14ac:dyDescent="0.25">
      <c r="A4858" s="37"/>
      <c r="B4858" s="37"/>
      <c r="C4858" s="37"/>
      <c r="F4858" s="38"/>
      <c r="G4858" s="38"/>
      <c r="H4858" s="38"/>
      <c r="I4858" s="37"/>
      <c r="J4858" s="38"/>
      <c r="K4858" s="38"/>
      <c r="L4858" s="42"/>
      <c r="M4858" s="42"/>
      <c r="N4858" s="42"/>
      <c r="O4858" s="42"/>
      <c r="R4858" s="37"/>
      <c r="S4858" s="37"/>
      <c r="T4858" s="91"/>
      <c r="U4858" s="91"/>
      <c r="V4858" s="41"/>
      <c r="W4858" s="37"/>
      <c r="X4858" s="37"/>
      <c r="Y4858" s="43"/>
      <c r="Z4858" s="37"/>
      <c r="AA4858" s="37"/>
      <c r="AD4858" s="37"/>
      <c r="AE4858" s="37"/>
      <c r="AF4858" s="37"/>
    </row>
    <row r="4859" spans="1:32" x14ac:dyDescent="0.25">
      <c r="A4859" s="37"/>
      <c r="B4859" s="37"/>
      <c r="C4859" s="37"/>
      <c r="F4859" s="38"/>
      <c r="G4859" s="38"/>
      <c r="H4859" s="38"/>
      <c r="I4859" s="37"/>
      <c r="J4859" s="38"/>
      <c r="K4859" s="38"/>
      <c r="L4859" s="42"/>
      <c r="M4859" s="42"/>
      <c r="N4859" s="42"/>
      <c r="O4859" s="42"/>
      <c r="R4859" s="37"/>
      <c r="S4859" s="37"/>
      <c r="T4859" s="91"/>
      <c r="U4859" s="91"/>
      <c r="V4859" s="41"/>
      <c r="W4859" s="37"/>
      <c r="X4859" s="37"/>
      <c r="Y4859" s="43"/>
      <c r="Z4859" s="37"/>
      <c r="AA4859" s="37"/>
      <c r="AD4859" s="37"/>
      <c r="AE4859" s="37"/>
      <c r="AF4859" s="37"/>
    </row>
    <row r="4860" spans="1:32" x14ac:dyDescent="0.25">
      <c r="A4860" s="37"/>
      <c r="B4860" s="37"/>
      <c r="C4860" s="37"/>
      <c r="F4860" s="38"/>
      <c r="G4860" s="38"/>
      <c r="H4860" s="38"/>
      <c r="I4860" s="37"/>
      <c r="J4860" s="38"/>
      <c r="K4860" s="38"/>
      <c r="L4860" s="42"/>
      <c r="M4860" s="42"/>
      <c r="N4860" s="42"/>
      <c r="O4860" s="42"/>
      <c r="R4860" s="37"/>
      <c r="S4860" s="37"/>
      <c r="T4860" s="91"/>
      <c r="U4860" s="91"/>
      <c r="V4860" s="41"/>
      <c r="W4860" s="37"/>
      <c r="X4860" s="37"/>
      <c r="Y4860" s="43"/>
      <c r="Z4860" s="37"/>
      <c r="AA4860" s="37"/>
      <c r="AD4860" s="37"/>
      <c r="AE4860" s="37"/>
      <c r="AF4860" s="37"/>
    </row>
    <row r="4861" spans="1:32" x14ac:dyDescent="0.25">
      <c r="A4861" s="37"/>
      <c r="B4861" s="37"/>
      <c r="C4861" s="37"/>
      <c r="F4861" s="38"/>
      <c r="G4861" s="38"/>
      <c r="H4861" s="38"/>
      <c r="I4861" s="37"/>
      <c r="J4861" s="38"/>
      <c r="K4861" s="38"/>
      <c r="L4861" s="42"/>
      <c r="M4861" s="42"/>
      <c r="N4861" s="42"/>
      <c r="O4861" s="42"/>
      <c r="R4861" s="37"/>
      <c r="S4861" s="37"/>
      <c r="T4861" s="91"/>
      <c r="U4861" s="91"/>
      <c r="V4861" s="41"/>
      <c r="W4861" s="37"/>
      <c r="X4861" s="37"/>
      <c r="Y4861" s="43"/>
      <c r="Z4861" s="37"/>
      <c r="AA4861" s="37"/>
      <c r="AD4861" s="37"/>
      <c r="AE4861" s="37"/>
      <c r="AF4861" s="37"/>
    </row>
    <row r="4862" spans="1:32" x14ac:dyDescent="0.25">
      <c r="A4862" s="37"/>
      <c r="B4862" s="37"/>
      <c r="C4862" s="37"/>
      <c r="F4862" s="38"/>
      <c r="G4862" s="38"/>
      <c r="H4862" s="38"/>
      <c r="I4862" s="37"/>
      <c r="J4862" s="38"/>
      <c r="K4862" s="38"/>
      <c r="L4862" s="42"/>
      <c r="M4862" s="42"/>
      <c r="N4862" s="42"/>
      <c r="O4862" s="42"/>
      <c r="R4862" s="37"/>
      <c r="S4862" s="37"/>
      <c r="T4862" s="91"/>
      <c r="U4862" s="91"/>
      <c r="V4862" s="41"/>
      <c r="W4862" s="37"/>
      <c r="X4862" s="37"/>
      <c r="Y4862" s="43"/>
      <c r="Z4862" s="37"/>
      <c r="AA4862" s="37"/>
      <c r="AD4862" s="37"/>
      <c r="AE4862" s="37"/>
      <c r="AF4862" s="37"/>
    </row>
    <row r="4863" spans="1:32" x14ac:dyDescent="0.25">
      <c r="A4863" s="37"/>
      <c r="B4863" s="37"/>
      <c r="C4863" s="37"/>
      <c r="F4863" s="38"/>
      <c r="G4863" s="38"/>
      <c r="H4863" s="38"/>
      <c r="I4863" s="37"/>
      <c r="J4863" s="38"/>
      <c r="K4863" s="38"/>
      <c r="L4863" s="42"/>
      <c r="M4863" s="42"/>
      <c r="N4863" s="42"/>
      <c r="O4863" s="42"/>
      <c r="R4863" s="37"/>
      <c r="S4863" s="37"/>
      <c r="T4863" s="91"/>
      <c r="U4863" s="91"/>
      <c r="V4863" s="41"/>
      <c r="W4863" s="37"/>
      <c r="X4863" s="37"/>
      <c r="Y4863" s="43"/>
      <c r="Z4863" s="37"/>
      <c r="AA4863" s="37"/>
      <c r="AD4863" s="37"/>
      <c r="AE4863" s="37"/>
      <c r="AF4863" s="37"/>
    </row>
    <row r="4864" spans="1:32" x14ac:dyDescent="0.25">
      <c r="A4864" s="37"/>
      <c r="B4864" s="37"/>
      <c r="C4864" s="37"/>
      <c r="F4864" s="38"/>
      <c r="G4864" s="38"/>
      <c r="H4864" s="38"/>
      <c r="I4864" s="37"/>
      <c r="J4864" s="38"/>
      <c r="K4864" s="38"/>
      <c r="L4864" s="42"/>
      <c r="M4864" s="42"/>
      <c r="N4864" s="42"/>
      <c r="O4864" s="42"/>
      <c r="R4864" s="37"/>
      <c r="S4864" s="37"/>
      <c r="T4864" s="91"/>
      <c r="U4864" s="91"/>
      <c r="V4864" s="41"/>
      <c r="W4864" s="37"/>
      <c r="X4864" s="37"/>
      <c r="Y4864" s="43"/>
      <c r="Z4864" s="37"/>
      <c r="AA4864" s="37"/>
      <c r="AD4864" s="37"/>
      <c r="AE4864" s="37"/>
      <c r="AF4864" s="37"/>
    </row>
    <row r="4865" spans="1:32" x14ac:dyDescent="0.25">
      <c r="A4865" s="37"/>
      <c r="B4865" s="37"/>
      <c r="C4865" s="37"/>
      <c r="F4865" s="38"/>
      <c r="G4865" s="38"/>
      <c r="H4865" s="38"/>
      <c r="I4865" s="37"/>
      <c r="J4865" s="38"/>
      <c r="K4865" s="38"/>
      <c r="L4865" s="42"/>
      <c r="M4865" s="42"/>
      <c r="N4865" s="42"/>
      <c r="O4865" s="42"/>
      <c r="R4865" s="37"/>
      <c r="S4865" s="37"/>
      <c r="T4865" s="91"/>
      <c r="U4865" s="91"/>
      <c r="V4865" s="41"/>
      <c r="W4865" s="37"/>
      <c r="X4865" s="37"/>
      <c r="Y4865" s="43"/>
      <c r="Z4865" s="37"/>
      <c r="AA4865" s="37"/>
      <c r="AD4865" s="37"/>
      <c r="AE4865" s="37"/>
      <c r="AF4865" s="37"/>
    </row>
    <row r="4866" spans="1:32" x14ac:dyDescent="0.25">
      <c r="A4866" s="37"/>
      <c r="B4866" s="37"/>
      <c r="C4866" s="37"/>
      <c r="F4866" s="38"/>
      <c r="G4866" s="38"/>
      <c r="H4866" s="38"/>
      <c r="I4866" s="37"/>
      <c r="J4866" s="38"/>
      <c r="K4866" s="38"/>
      <c r="L4866" s="42"/>
      <c r="M4866" s="42"/>
      <c r="N4866" s="42"/>
      <c r="O4866" s="42"/>
      <c r="R4866" s="37"/>
      <c r="S4866" s="37"/>
      <c r="T4866" s="91"/>
      <c r="U4866" s="91"/>
      <c r="V4866" s="41"/>
      <c r="W4866" s="37"/>
      <c r="X4866" s="37"/>
      <c r="Y4866" s="43"/>
      <c r="Z4866" s="37"/>
      <c r="AA4866" s="37"/>
      <c r="AD4866" s="37"/>
      <c r="AE4866" s="37"/>
      <c r="AF4866" s="37"/>
    </row>
    <row r="4867" spans="1:32" x14ac:dyDescent="0.25">
      <c r="A4867" s="37"/>
      <c r="B4867" s="37"/>
      <c r="C4867" s="37"/>
      <c r="F4867" s="38"/>
      <c r="G4867" s="38"/>
      <c r="H4867" s="38"/>
      <c r="I4867" s="37"/>
      <c r="J4867" s="38"/>
      <c r="K4867" s="38"/>
      <c r="L4867" s="42"/>
      <c r="M4867" s="42"/>
      <c r="N4867" s="42"/>
      <c r="O4867" s="42"/>
      <c r="R4867" s="37"/>
      <c r="S4867" s="37"/>
      <c r="T4867" s="91"/>
      <c r="U4867" s="91"/>
      <c r="V4867" s="41"/>
      <c r="W4867" s="37"/>
      <c r="X4867" s="37"/>
      <c r="Y4867" s="43"/>
      <c r="Z4867" s="37"/>
      <c r="AA4867" s="37"/>
      <c r="AD4867" s="37"/>
      <c r="AE4867" s="37"/>
      <c r="AF4867" s="37"/>
    </row>
    <row r="4868" spans="1:32" x14ac:dyDescent="0.25">
      <c r="A4868" s="37"/>
      <c r="B4868" s="37"/>
      <c r="C4868" s="37"/>
      <c r="F4868" s="38"/>
      <c r="G4868" s="38"/>
      <c r="H4868" s="38"/>
      <c r="I4868" s="37"/>
      <c r="J4868" s="38"/>
      <c r="K4868" s="38"/>
      <c r="L4868" s="42"/>
      <c r="M4868" s="42"/>
      <c r="N4868" s="42"/>
      <c r="O4868" s="42"/>
      <c r="R4868" s="37"/>
      <c r="S4868" s="37"/>
      <c r="T4868" s="91"/>
      <c r="U4868" s="91"/>
      <c r="V4868" s="41"/>
      <c r="W4868" s="37"/>
      <c r="X4868" s="37"/>
      <c r="Y4868" s="43"/>
      <c r="Z4868" s="37"/>
      <c r="AA4868" s="37"/>
      <c r="AD4868" s="37"/>
      <c r="AE4868" s="37"/>
      <c r="AF4868" s="37"/>
    </row>
    <row r="4869" spans="1:32" x14ac:dyDescent="0.25">
      <c r="A4869" s="37"/>
      <c r="B4869" s="37"/>
      <c r="C4869" s="37"/>
      <c r="F4869" s="38"/>
      <c r="G4869" s="38"/>
      <c r="H4869" s="38"/>
      <c r="I4869" s="37"/>
      <c r="J4869" s="38"/>
      <c r="K4869" s="38"/>
      <c r="L4869" s="42"/>
      <c r="M4869" s="42"/>
      <c r="N4869" s="42"/>
      <c r="O4869" s="42"/>
      <c r="R4869" s="37"/>
      <c r="S4869" s="37"/>
      <c r="T4869" s="91"/>
      <c r="U4869" s="91"/>
      <c r="V4869" s="41"/>
      <c r="W4869" s="37"/>
      <c r="X4869" s="37"/>
      <c r="Y4869" s="43"/>
      <c r="Z4869" s="37"/>
      <c r="AA4869" s="37"/>
      <c r="AD4869" s="37"/>
      <c r="AE4869" s="37"/>
      <c r="AF4869" s="37"/>
    </row>
    <row r="4870" spans="1:32" x14ac:dyDescent="0.25">
      <c r="A4870" s="37"/>
      <c r="B4870" s="37"/>
      <c r="C4870" s="37"/>
      <c r="F4870" s="38"/>
      <c r="G4870" s="38"/>
      <c r="H4870" s="38"/>
      <c r="I4870" s="37"/>
      <c r="J4870" s="38"/>
      <c r="K4870" s="38"/>
      <c r="L4870" s="42"/>
      <c r="M4870" s="42"/>
      <c r="N4870" s="42"/>
      <c r="O4870" s="42"/>
      <c r="R4870" s="37"/>
      <c r="S4870" s="37"/>
      <c r="T4870" s="91"/>
      <c r="U4870" s="91"/>
      <c r="V4870" s="41"/>
      <c r="W4870" s="37"/>
      <c r="X4870" s="37"/>
      <c r="Y4870" s="43"/>
      <c r="Z4870" s="37"/>
      <c r="AA4870" s="37"/>
      <c r="AD4870" s="37"/>
      <c r="AE4870" s="37"/>
      <c r="AF4870" s="37"/>
    </row>
    <row r="4871" spans="1:32" x14ac:dyDescent="0.25">
      <c r="A4871" s="37"/>
      <c r="B4871" s="37"/>
      <c r="C4871" s="37"/>
      <c r="F4871" s="38"/>
      <c r="G4871" s="38"/>
      <c r="H4871" s="38"/>
      <c r="I4871" s="37"/>
      <c r="J4871" s="38"/>
      <c r="K4871" s="38"/>
      <c r="L4871" s="42"/>
      <c r="M4871" s="42"/>
      <c r="N4871" s="42"/>
      <c r="O4871" s="42"/>
      <c r="R4871" s="37"/>
      <c r="S4871" s="37"/>
      <c r="T4871" s="91"/>
      <c r="U4871" s="91"/>
      <c r="V4871" s="41"/>
      <c r="W4871" s="37"/>
      <c r="X4871" s="37"/>
      <c r="Y4871" s="43"/>
      <c r="Z4871" s="37"/>
      <c r="AA4871" s="37"/>
      <c r="AD4871" s="37"/>
      <c r="AE4871" s="37"/>
      <c r="AF4871" s="37"/>
    </row>
    <row r="4872" spans="1:32" x14ac:dyDescent="0.25">
      <c r="A4872" s="37"/>
      <c r="B4872" s="37"/>
      <c r="C4872" s="37"/>
      <c r="F4872" s="38"/>
      <c r="G4872" s="38"/>
      <c r="H4872" s="38"/>
      <c r="I4872" s="37"/>
      <c r="J4872" s="38"/>
      <c r="K4872" s="38"/>
      <c r="L4872" s="42"/>
      <c r="M4872" s="42"/>
      <c r="N4872" s="42"/>
      <c r="O4872" s="42"/>
      <c r="R4872" s="37"/>
      <c r="S4872" s="37"/>
      <c r="T4872" s="91"/>
      <c r="U4872" s="91"/>
      <c r="V4872" s="41"/>
      <c r="W4872" s="37"/>
      <c r="X4872" s="37"/>
      <c r="Y4872" s="43"/>
      <c r="Z4872" s="37"/>
      <c r="AA4872" s="37"/>
      <c r="AD4872" s="37"/>
      <c r="AE4872" s="37"/>
      <c r="AF4872" s="37"/>
    </row>
    <row r="4873" spans="1:32" x14ac:dyDescent="0.25">
      <c r="A4873" s="37"/>
      <c r="B4873" s="37"/>
      <c r="C4873" s="37"/>
      <c r="F4873" s="38"/>
      <c r="G4873" s="38"/>
      <c r="H4873" s="38"/>
      <c r="I4873" s="37"/>
      <c r="J4873" s="38"/>
      <c r="K4873" s="38"/>
      <c r="L4873" s="42"/>
      <c r="M4873" s="42"/>
      <c r="N4873" s="42"/>
      <c r="O4873" s="42"/>
      <c r="R4873" s="37"/>
      <c r="S4873" s="37"/>
      <c r="T4873" s="91"/>
      <c r="U4873" s="91"/>
      <c r="V4873" s="41"/>
      <c r="W4873" s="37"/>
      <c r="X4873" s="37"/>
      <c r="Y4873" s="43"/>
      <c r="Z4873" s="37"/>
      <c r="AA4873" s="37"/>
      <c r="AD4873" s="37"/>
      <c r="AE4873" s="37"/>
      <c r="AF4873" s="37"/>
    </row>
    <row r="4874" spans="1:32" x14ac:dyDescent="0.25">
      <c r="A4874" s="37"/>
      <c r="B4874" s="37"/>
      <c r="C4874" s="37"/>
      <c r="F4874" s="38"/>
      <c r="G4874" s="38"/>
      <c r="H4874" s="38"/>
      <c r="I4874" s="37"/>
      <c r="J4874" s="38"/>
      <c r="K4874" s="38"/>
      <c r="L4874" s="42"/>
      <c r="M4874" s="42"/>
      <c r="N4874" s="42"/>
      <c r="O4874" s="42"/>
      <c r="R4874" s="37"/>
      <c r="S4874" s="37"/>
      <c r="T4874" s="91"/>
      <c r="U4874" s="91"/>
      <c r="V4874" s="41"/>
      <c r="W4874" s="37"/>
      <c r="X4874" s="37"/>
      <c r="Y4874" s="43"/>
      <c r="Z4874" s="37"/>
      <c r="AA4874" s="37"/>
      <c r="AD4874" s="37"/>
      <c r="AE4874" s="37"/>
      <c r="AF4874" s="37"/>
    </row>
    <row r="4875" spans="1:32" x14ac:dyDescent="0.25">
      <c r="A4875" s="37"/>
      <c r="B4875" s="37"/>
      <c r="C4875" s="37"/>
      <c r="F4875" s="38"/>
      <c r="G4875" s="38"/>
      <c r="H4875" s="38"/>
      <c r="I4875" s="37"/>
      <c r="J4875" s="38"/>
      <c r="K4875" s="38"/>
      <c r="L4875" s="42"/>
      <c r="M4875" s="42"/>
      <c r="N4875" s="42"/>
      <c r="O4875" s="42"/>
      <c r="R4875" s="37"/>
      <c r="S4875" s="37"/>
      <c r="T4875" s="91"/>
      <c r="U4875" s="91"/>
      <c r="V4875" s="41"/>
      <c r="W4875" s="37"/>
      <c r="X4875" s="37"/>
      <c r="Y4875" s="43"/>
      <c r="Z4875" s="37"/>
      <c r="AA4875" s="37"/>
      <c r="AD4875" s="37"/>
      <c r="AE4875" s="37"/>
      <c r="AF4875" s="37"/>
    </row>
    <row r="4876" spans="1:32" x14ac:dyDescent="0.25">
      <c r="A4876" s="37"/>
      <c r="B4876" s="37"/>
      <c r="C4876" s="37"/>
      <c r="F4876" s="38"/>
      <c r="G4876" s="38"/>
      <c r="H4876" s="38"/>
      <c r="I4876" s="37"/>
      <c r="J4876" s="38"/>
      <c r="K4876" s="38"/>
      <c r="L4876" s="42"/>
      <c r="M4876" s="42"/>
      <c r="N4876" s="42"/>
      <c r="O4876" s="42"/>
      <c r="R4876" s="37"/>
      <c r="S4876" s="37"/>
      <c r="T4876" s="91"/>
      <c r="U4876" s="91"/>
      <c r="V4876" s="41"/>
      <c r="W4876" s="37"/>
      <c r="X4876" s="37"/>
      <c r="Y4876" s="43"/>
      <c r="Z4876" s="37"/>
      <c r="AA4876" s="37"/>
      <c r="AD4876" s="37"/>
      <c r="AE4876" s="37"/>
      <c r="AF4876" s="37"/>
    </row>
    <row r="4877" spans="1:32" x14ac:dyDescent="0.25">
      <c r="A4877" s="37"/>
      <c r="B4877" s="37"/>
      <c r="C4877" s="37"/>
      <c r="F4877" s="38"/>
      <c r="G4877" s="38"/>
      <c r="H4877" s="38"/>
      <c r="I4877" s="37"/>
      <c r="J4877" s="38"/>
      <c r="K4877" s="38"/>
      <c r="L4877" s="42"/>
      <c r="M4877" s="42"/>
      <c r="N4877" s="42"/>
      <c r="O4877" s="42"/>
      <c r="R4877" s="37"/>
      <c r="S4877" s="37"/>
      <c r="T4877" s="91"/>
      <c r="U4877" s="91"/>
      <c r="V4877" s="41"/>
      <c r="W4877" s="37"/>
      <c r="X4877" s="37"/>
      <c r="Y4877" s="43"/>
      <c r="Z4877" s="37"/>
      <c r="AA4877" s="37"/>
      <c r="AD4877" s="37"/>
      <c r="AE4877" s="37"/>
      <c r="AF4877" s="37"/>
    </row>
    <row r="4878" spans="1:32" x14ac:dyDescent="0.25">
      <c r="A4878" s="37"/>
      <c r="B4878" s="37"/>
      <c r="C4878" s="37"/>
      <c r="F4878" s="38"/>
      <c r="G4878" s="38"/>
      <c r="H4878" s="38"/>
      <c r="I4878" s="37"/>
      <c r="J4878" s="38"/>
      <c r="K4878" s="38"/>
      <c r="L4878" s="42"/>
      <c r="M4878" s="42"/>
      <c r="N4878" s="42"/>
      <c r="O4878" s="42"/>
      <c r="R4878" s="37"/>
      <c r="S4878" s="37"/>
      <c r="T4878" s="91"/>
      <c r="U4878" s="91"/>
      <c r="V4878" s="41"/>
      <c r="W4878" s="37"/>
      <c r="X4878" s="37"/>
      <c r="Y4878" s="43"/>
      <c r="Z4878" s="37"/>
      <c r="AA4878" s="37"/>
      <c r="AD4878" s="37"/>
      <c r="AE4878" s="37"/>
      <c r="AF4878" s="37"/>
    </row>
    <row r="4879" spans="1:32" x14ac:dyDescent="0.25">
      <c r="A4879" s="37"/>
      <c r="B4879" s="37"/>
      <c r="C4879" s="37"/>
      <c r="F4879" s="38"/>
      <c r="G4879" s="38"/>
      <c r="H4879" s="38"/>
      <c r="I4879" s="37"/>
      <c r="J4879" s="38"/>
      <c r="K4879" s="38"/>
      <c r="L4879" s="42"/>
      <c r="M4879" s="42"/>
      <c r="N4879" s="42"/>
      <c r="O4879" s="42"/>
      <c r="R4879" s="37"/>
      <c r="S4879" s="37"/>
      <c r="T4879" s="91"/>
      <c r="U4879" s="91"/>
      <c r="V4879" s="41"/>
      <c r="W4879" s="37"/>
      <c r="X4879" s="37"/>
      <c r="Y4879" s="43"/>
      <c r="Z4879" s="37"/>
      <c r="AA4879" s="37"/>
      <c r="AD4879" s="37"/>
      <c r="AE4879" s="37"/>
      <c r="AF4879" s="37"/>
    </row>
    <row r="4880" spans="1:32" x14ac:dyDescent="0.25">
      <c r="A4880" s="37"/>
      <c r="B4880" s="37"/>
      <c r="C4880" s="37"/>
      <c r="F4880" s="38"/>
      <c r="G4880" s="38"/>
      <c r="H4880" s="38"/>
      <c r="I4880" s="37"/>
      <c r="J4880" s="38"/>
      <c r="K4880" s="38"/>
      <c r="L4880" s="42"/>
      <c r="M4880" s="42"/>
      <c r="N4880" s="42"/>
      <c r="O4880" s="42"/>
      <c r="R4880" s="37"/>
      <c r="S4880" s="37"/>
      <c r="T4880" s="91"/>
      <c r="U4880" s="91"/>
      <c r="V4880" s="41"/>
      <c r="W4880" s="37"/>
      <c r="X4880" s="37"/>
      <c r="Y4880" s="43"/>
      <c r="Z4880" s="37"/>
      <c r="AA4880" s="37"/>
      <c r="AD4880" s="37"/>
      <c r="AE4880" s="37"/>
      <c r="AF4880" s="37"/>
    </row>
    <row r="4881" spans="1:32" x14ac:dyDescent="0.25">
      <c r="A4881" s="37"/>
      <c r="B4881" s="37"/>
      <c r="C4881" s="37"/>
      <c r="F4881" s="38"/>
      <c r="G4881" s="38"/>
      <c r="H4881" s="38"/>
      <c r="I4881" s="37"/>
      <c r="J4881" s="38"/>
      <c r="K4881" s="38"/>
      <c r="L4881" s="42"/>
      <c r="M4881" s="42"/>
      <c r="N4881" s="42"/>
      <c r="O4881" s="42"/>
      <c r="R4881" s="37"/>
      <c r="S4881" s="37"/>
      <c r="T4881" s="91"/>
      <c r="U4881" s="91"/>
      <c r="V4881" s="41"/>
      <c r="W4881" s="37"/>
      <c r="X4881" s="37"/>
      <c r="Y4881" s="43"/>
      <c r="Z4881" s="37"/>
      <c r="AA4881" s="37"/>
      <c r="AD4881" s="37"/>
      <c r="AE4881" s="37"/>
      <c r="AF4881" s="37"/>
    </row>
    <row r="4882" spans="1:32" x14ac:dyDescent="0.25">
      <c r="A4882" s="37"/>
      <c r="B4882" s="37"/>
      <c r="C4882" s="37"/>
      <c r="F4882" s="38"/>
      <c r="G4882" s="38"/>
      <c r="H4882" s="38"/>
      <c r="I4882" s="37"/>
      <c r="J4882" s="38"/>
      <c r="K4882" s="38"/>
      <c r="L4882" s="42"/>
      <c r="M4882" s="42"/>
      <c r="N4882" s="42"/>
      <c r="O4882" s="42"/>
      <c r="R4882" s="37"/>
      <c r="S4882" s="37"/>
      <c r="T4882" s="91"/>
      <c r="U4882" s="91"/>
      <c r="V4882" s="41"/>
      <c r="W4882" s="37"/>
      <c r="X4882" s="37"/>
      <c r="Y4882" s="43"/>
      <c r="Z4882" s="37"/>
      <c r="AA4882" s="37"/>
      <c r="AD4882" s="37"/>
      <c r="AE4882" s="37"/>
      <c r="AF4882" s="37"/>
    </row>
    <row r="4883" spans="1:32" x14ac:dyDescent="0.25">
      <c r="A4883" s="37"/>
      <c r="B4883" s="37"/>
      <c r="C4883" s="37"/>
      <c r="F4883" s="38"/>
      <c r="G4883" s="38"/>
      <c r="H4883" s="38"/>
      <c r="I4883" s="37"/>
      <c r="J4883" s="38"/>
      <c r="K4883" s="38"/>
      <c r="L4883" s="42"/>
      <c r="M4883" s="42"/>
      <c r="N4883" s="42"/>
      <c r="O4883" s="42"/>
      <c r="R4883" s="37"/>
      <c r="S4883" s="37"/>
      <c r="T4883" s="91"/>
      <c r="U4883" s="91"/>
      <c r="V4883" s="41"/>
      <c r="W4883" s="37"/>
      <c r="X4883" s="37"/>
      <c r="Y4883" s="43"/>
      <c r="Z4883" s="37"/>
      <c r="AA4883" s="37"/>
      <c r="AD4883" s="37"/>
      <c r="AE4883" s="37"/>
      <c r="AF4883" s="37"/>
    </row>
    <row r="4884" spans="1:32" x14ac:dyDescent="0.25">
      <c r="A4884" s="37"/>
      <c r="B4884" s="37"/>
      <c r="C4884" s="37"/>
      <c r="F4884" s="38"/>
      <c r="G4884" s="38"/>
      <c r="H4884" s="38"/>
      <c r="I4884" s="37"/>
      <c r="J4884" s="38"/>
      <c r="K4884" s="38"/>
      <c r="L4884" s="42"/>
      <c r="M4884" s="42"/>
      <c r="N4884" s="42"/>
      <c r="O4884" s="42"/>
      <c r="R4884" s="37"/>
      <c r="S4884" s="37"/>
      <c r="T4884" s="91"/>
      <c r="U4884" s="91"/>
      <c r="V4884" s="41"/>
      <c r="W4884" s="37"/>
      <c r="X4884" s="37"/>
      <c r="Y4884" s="43"/>
      <c r="Z4884" s="37"/>
      <c r="AA4884" s="37"/>
      <c r="AD4884" s="37"/>
      <c r="AE4884" s="37"/>
      <c r="AF4884" s="37"/>
    </row>
    <row r="4885" spans="1:32" x14ac:dyDescent="0.25">
      <c r="A4885" s="37"/>
      <c r="B4885" s="37"/>
      <c r="C4885" s="37"/>
      <c r="F4885" s="38"/>
      <c r="G4885" s="38"/>
      <c r="H4885" s="38"/>
      <c r="I4885" s="37"/>
      <c r="J4885" s="38"/>
      <c r="K4885" s="38"/>
      <c r="L4885" s="42"/>
      <c r="M4885" s="42"/>
      <c r="N4885" s="42"/>
      <c r="O4885" s="42"/>
      <c r="R4885" s="37"/>
      <c r="S4885" s="37"/>
      <c r="T4885" s="91"/>
      <c r="U4885" s="91"/>
      <c r="V4885" s="41"/>
      <c r="W4885" s="37"/>
      <c r="X4885" s="37"/>
      <c r="Y4885" s="43"/>
      <c r="Z4885" s="37"/>
      <c r="AA4885" s="37"/>
      <c r="AD4885" s="37"/>
      <c r="AE4885" s="37"/>
      <c r="AF4885" s="37"/>
    </row>
    <row r="4886" spans="1:32" x14ac:dyDescent="0.25">
      <c r="A4886" s="37"/>
      <c r="B4886" s="37"/>
      <c r="C4886" s="37"/>
      <c r="F4886" s="38"/>
      <c r="G4886" s="38"/>
      <c r="H4886" s="38"/>
      <c r="I4886" s="37"/>
      <c r="J4886" s="38"/>
      <c r="K4886" s="38"/>
      <c r="L4886" s="42"/>
      <c r="M4886" s="42"/>
      <c r="N4886" s="42"/>
      <c r="O4886" s="42"/>
      <c r="R4886" s="37"/>
      <c r="S4886" s="37"/>
      <c r="T4886" s="91"/>
      <c r="U4886" s="91"/>
      <c r="V4886" s="41"/>
      <c r="W4886" s="37"/>
      <c r="X4886" s="37"/>
      <c r="Y4886" s="43"/>
      <c r="Z4886" s="37"/>
      <c r="AA4886" s="37"/>
      <c r="AD4886" s="37"/>
      <c r="AE4886" s="37"/>
      <c r="AF4886" s="37"/>
    </row>
    <row r="4887" spans="1:32" x14ac:dyDescent="0.25">
      <c r="A4887" s="37"/>
      <c r="B4887" s="37"/>
      <c r="C4887" s="37"/>
      <c r="F4887" s="38"/>
      <c r="G4887" s="38"/>
      <c r="H4887" s="38"/>
      <c r="I4887" s="37"/>
      <c r="J4887" s="38"/>
      <c r="K4887" s="38"/>
      <c r="L4887" s="42"/>
      <c r="M4887" s="42"/>
      <c r="N4887" s="42"/>
      <c r="O4887" s="42"/>
      <c r="R4887" s="37"/>
      <c r="S4887" s="37"/>
      <c r="T4887" s="91"/>
      <c r="U4887" s="91"/>
      <c r="V4887" s="41"/>
      <c r="W4887" s="37"/>
      <c r="X4887" s="37"/>
      <c r="Y4887" s="43"/>
      <c r="Z4887" s="37"/>
      <c r="AA4887" s="37"/>
      <c r="AD4887" s="37"/>
      <c r="AE4887" s="37"/>
      <c r="AF4887" s="37"/>
    </row>
    <row r="4888" spans="1:32" x14ac:dyDescent="0.25">
      <c r="A4888" s="37"/>
      <c r="B4888" s="37"/>
      <c r="C4888" s="37"/>
      <c r="F4888" s="38"/>
      <c r="G4888" s="38"/>
      <c r="H4888" s="38"/>
      <c r="I4888" s="37"/>
      <c r="J4888" s="38"/>
      <c r="K4888" s="38"/>
      <c r="L4888" s="42"/>
      <c r="M4888" s="42"/>
      <c r="N4888" s="42"/>
      <c r="O4888" s="42"/>
      <c r="R4888" s="37"/>
      <c r="S4888" s="37"/>
      <c r="T4888" s="91"/>
      <c r="U4888" s="91"/>
      <c r="V4888" s="41"/>
      <c r="W4888" s="37"/>
      <c r="X4888" s="37"/>
      <c r="Y4888" s="43"/>
      <c r="Z4888" s="37"/>
      <c r="AA4888" s="37"/>
      <c r="AD4888" s="37"/>
      <c r="AE4888" s="37"/>
      <c r="AF4888" s="37"/>
    </row>
    <row r="4889" spans="1:32" x14ac:dyDescent="0.25">
      <c r="A4889" s="37"/>
      <c r="B4889" s="37"/>
      <c r="C4889" s="37"/>
      <c r="F4889" s="38"/>
      <c r="G4889" s="38"/>
      <c r="H4889" s="38"/>
      <c r="I4889" s="37"/>
      <c r="J4889" s="38"/>
      <c r="K4889" s="38"/>
      <c r="L4889" s="42"/>
      <c r="M4889" s="42"/>
      <c r="N4889" s="42"/>
      <c r="O4889" s="42"/>
      <c r="R4889" s="37"/>
      <c r="S4889" s="37"/>
      <c r="T4889" s="91"/>
      <c r="U4889" s="91"/>
      <c r="V4889" s="41"/>
      <c r="W4889" s="37"/>
      <c r="X4889" s="37"/>
      <c r="Y4889" s="43"/>
      <c r="Z4889" s="37"/>
      <c r="AA4889" s="37"/>
      <c r="AD4889" s="37"/>
      <c r="AE4889" s="37"/>
      <c r="AF4889" s="37"/>
    </row>
    <row r="4890" spans="1:32" x14ac:dyDescent="0.25">
      <c r="A4890" s="37"/>
      <c r="B4890" s="37"/>
      <c r="C4890" s="37"/>
      <c r="F4890" s="38"/>
      <c r="G4890" s="38"/>
      <c r="H4890" s="38"/>
      <c r="I4890" s="37"/>
      <c r="J4890" s="38"/>
      <c r="K4890" s="38"/>
      <c r="L4890" s="42"/>
      <c r="M4890" s="42"/>
      <c r="N4890" s="42"/>
      <c r="O4890" s="42"/>
      <c r="R4890" s="37"/>
      <c r="S4890" s="37"/>
      <c r="T4890" s="91"/>
      <c r="U4890" s="91"/>
      <c r="V4890" s="41"/>
      <c r="W4890" s="37"/>
      <c r="X4890" s="37"/>
      <c r="Y4890" s="43"/>
      <c r="Z4890" s="37"/>
      <c r="AA4890" s="37"/>
      <c r="AD4890" s="37"/>
      <c r="AE4890" s="37"/>
      <c r="AF4890" s="37"/>
    </row>
    <row r="4891" spans="1:32" x14ac:dyDescent="0.25">
      <c r="A4891" s="37"/>
      <c r="B4891" s="37"/>
      <c r="C4891" s="37"/>
      <c r="F4891" s="38"/>
      <c r="G4891" s="38"/>
      <c r="H4891" s="38"/>
      <c r="I4891" s="37"/>
      <c r="J4891" s="38"/>
      <c r="K4891" s="38"/>
      <c r="L4891" s="42"/>
      <c r="M4891" s="42"/>
      <c r="N4891" s="42"/>
      <c r="O4891" s="42"/>
      <c r="R4891" s="37"/>
      <c r="S4891" s="37"/>
      <c r="T4891" s="91"/>
      <c r="U4891" s="91"/>
      <c r="V4891" s="41"/>
      <c r="W4891" s="37"/>
      <c r="X4891" s="37"/>
      <c r="Y4891" s="43"/>
      <c r="Z4891" s="37"/>
      <c r="AA4891" s="37"/>
      <c r="AD4891" s="37"/>
      <c r="AE4891" s="37"/>
      <c r="AF4891" s="37"/>
    </row>
    <row r="4892" spans="1:32" x14ac:dyDescent="0.25">
      <c r="A4892" s="37"/>
      <c r="B4892" s="37"/>
      <c r="C4892" s="37"/>
      <c r="F4892" s="38"/>
      <c r="G4892" s="38"/>
      <c r="H4892" s="38"/>
      <c r="I4892" s="37"/>
      <c r="J4892" s="38"/>
      <c r="K4892" s="38"/>
      <c r="L4892" s="42"/>
      <c r="M4892" s="42"/>
      <c r="N4892" s="42"/>
      <c r="O4892" s="42"/>
      <c r="R4892" s="37"/>
      <c r="S4892" s="37"/>
      <c r="T4892" s="91"/>
      <c r="U4892" s="91"/>
      <c r="V4892" s="41"/>
      <c r="W4892" s="37"/>
      <c r="X4892" s="37"/>
      <c r="Y4892" s="43"/>
      <c r="Z4892" s="37"/>
      <c r="AA4892" s="37"/>
      <c r="AD4892" s="37"/>
      <c r="AE4892" s="37"/>
      <c r="AF4892" s="37"/>
    </row>
    <row r="4893" spans="1:32" x14ac:dyDescent="0.25">
      <c r="A4893" s="37"/>
      <c r="B4893" s="37"/>
      <c r="C4893" s="37"/>
      <c r="F4893" s="38"/>
      <c r="G4893" s="38"/>
      <c r="H4893" s="38"/>
      <c r="I4893" s="37"/>
      <c r="J4893" s="38"/>
      <c r="K4893" s="38"/>
      <c r="L4893" s="42"/>
      <c r="M4893" s="42"/>
      <c r="N4893" s="42"/>
      <c r="O4893" s="42"/>
      <c r="R4893" s="37"/>
      <c r="S4893" s="37"/>
      <c r="T4893" s="91"/>
      <c r="U4893" s="91"/>
      <c r="V4893" s="41"/>
      <c r="W4893" s="37"/>
      <c r="X4893" s="37"/>
      <c r="Y4893" s="43"/>
      <c r="Z4893" s="37"/>
      <c r="AA4893" s="37"/>
      <c r="AD4893" s="37"/>
      <c r="AE4893" s="37"/>
      <c r="AF4893" s="37"/>
    </row>
    <row r="4894" spans="1:32" x14ac:dyDescent="0.25">
      <c r="A4894" s="37"/>
      <c r="B4894" s="37"/>
      <c r="C4894" s="37"/>
      <c r="F4894" s="38"/>
      <c r="G4894" s="38"/>
      <c r="H4894" s="38"/>
      <c r="I4894" s="37"/>
      <c r="J4894" s="38"/>
      <c r="K4894" s="38"/>
      <c r="L4894" s="42"/>
      <c r="M4894" s="42"/>
      <c r="N4894" s="42"/>
      <c r="O4894" s="42"/>
      <c r="R4894" s="37"/>
      <c r="S4894" s="37"/>
      <c r="T4894" s="91"/>
      <c r="U4894" s="91"/>
      <c r="V4894" s="41"/>
      <c r="W4894" s="37"/>
      <c r="X4894" s="37"/>
      <c r="Y4894" s="43"/>
      <c r="Z4894" s="37"/>
      <c r="AA4894" s="37"/>
      <c r="AD4894" s="37"/>
      <c r="AE4894" s="37"/>
      <c r="AF4894" s="37"/>
    </row>
    <row r="4895" spans="1:32" x14ac:dyDescent="0.25">
      <c r="A4895" s="37"/>
      <c r="B4895" s="37"/>
      <c r="C4895" s="37"/>
      <c r="F4895" s="38"/>
      <c r="G4895" s="38"/>
      <c r="H4895" s="38"/>
      <c r="I4895" s="37"/>
      <c r="J4895" s="38"/>
      <c r="K4895" s="38"/>
      <c r="L4895" s="42"/>
      <c r="M4895" s="42"/>
      <c r="N4895" s="42"/>
      <c r="O4895" s="42"/>
      <c r="R4895" s="37"/>
      <c r="S4895" s="37"/>
      <c r="T4895" s="91"/>
      <c r="U4895" s="91"/>
      <c r="V4895" s="41"/>
      <c r="W4895" s="37"/>
      <c r="X4895" s="37"/>
      <c r="Y4895" s="43"/>
      <c r="Z4895" s="37"/>
      <c r="AA4895" s="37"/>
      <c r="AD4895" s="37"/>
      <c r="AE4895" s="37"/>
      <c r="AF4895" s="37"/>
    </row>
    <row r="4896" spans="1:32" x14ac:dyDescent="0.25">
      <c r="A4896" s="37"/>
      <c r="B4896" s="37"/>
      <c r="C4896" s="37"/>
      <c r="F4896" s="38"/>
      <c r="G4896" s="38"/>
      <c r="H4896" s="38"/>
      <c r="I4896" s="37"/>
      <c r="J4896" s="38"/>
      <c r="K4896" s="38"/>
      <c r="L4896" s="42"/>
      <c r="M4896" s="42"/>
      <c r="N4896" s="42"/>
      <c r="O4896" s="42"/>
      <c r="R4896" s="37"/>
      <c r="S4896" s="37"/>
      <c r="T4896" s="91"/>
      <c r="U4896" s="91"/>
      <c r="V4896" s="41"/>
      <c r="W4896" s="37"/>
      <c r="X4896" s="37"/>
      <c r="Y4896" s="43"/>
      <c r="Z4896" s="37"/>
      <c r="AA4896" s="37"/>
      <c r="AD4896" s="37"/>
      <c r="AE4896" s="37"/>
      <c r="AF4896" s="37"/>
    </row>
    <row r="4897" spans="1:32" x14ac:dyDescent="0.25">
      <c r="A4897" s="37"/>
      <c r="B4897" s="37"/>
      <c r="C4897" s="37"/>
      <c r="F4897" s="38"/>
      <c r="G4897" s="38"/>
      <c r="H4897" s="38"/>
      <c r="I4897" s="37"/>
      <c r="J4897" s="38"/>
      <c r="K4897" s="38"/>
      <c r="L4897" s="42"/>
      <c r="M4897" s="42"/>
      <c r="N4897" s="42"/>
      <c r="O4897" s="42"/>
      <c r="R4897" s="37"/>
      <c r="S4897" s="37"/>
      <c r="T4897" s="91"/>
      <c r="U4897" s="91"/>
      <c r="V4897" s="41"/>
      <c r="W4897" s="37"/>
      <c r="X4897" s="37"/>
      <c r="Y4897" s="43"/>
      <c r="Z4897" s="37"/>
      <c r="AA4897" s="37"/>
      <c r="AD4897" s="37"/>
      <c r="AE4897" s="37"/>
      <c r="AF4897" s="37"/>
    </row>
    <row r="4898" spans="1:32" x14ac:dyDescent="0.25">
      <c r="A4898" s="37"/>
      <c r="B4898" s="37"/>
      <c r="C4898" s="37"/>
      <c r="F4898" s="38"/>
      <c r="G4898" s="38"/>
      <c r="H4898" s="38"/>
      <c r="I4898" s="37"/>
      <c r="J4898" s="38"/>
      <c r="K4898" s="38"/>
      <c r="L4898" s="42"/>
      <c r="M4898" s="42"/>
      <c r="N4898" s="42"/>
      <c r="O4898" s="42"/>
      <c r="R4898" s="37"/>
      <c r="S4898" s="37"/>
      <c r="T4898" s="91"/>
      <c r="U4898" s="91"/>
      <c r="V4898" s="41"/>
      <c r="W4898" s="37"/>
      <c r="X4898" s="37"/>
      <c r="Y4898" s="43"/>
      <c r="Z4898" s="37"/>
      <c r="AA4898" s="37"/>
      <c r="AD4898" s="37"/>
      <c r="AE4898" s="37"/>
      <c r="AF4898" s="37"/>
    </row>
    <row r="4899" spans="1:32" x14ac:dyDescent="0.25">
      <c r="A4899" s="37"/>
      <c r="B4899" s="37"/>
      <c r="C4899" s="37"/>
      <c r="F4899" s="38"/>
      <c r="G4899" s="38"/>
      <c r="H4899" s="38"/>
      <c r="I4899" s="37"/>
      <c r="J4899" s="38"/>
      <c r="K4899" s="38"/>
      <c r="L4899" s="42"/>
      <c r="M4899" s="42"/>
      <c r="N4899" s="42"/>
      <c r="O4899" s="42"/>
      <c r="R4899" s="37"/>
      <c r="S4899" s="37"/>
      <c r="T4899" s="91"/>
      <c r="U4899" s="91"/>
      <c r="V4899" s="41"/>
      <c r="W4899" s="37"/>
      <c r="X4899" s="37"/>
      <c r="Y4899" s="43"/>
      <c r="Z4899" s="37"/>
      <c r="AA4899" s="37"/>
      <c r="AD4899" s="37"/>
      <c r="AE4899" s="37"/>
      <c r="AF4899" s="37"/>
    </row>
    <row r="4900" spans="1:32" x14ac:dyDescent="0.25">
      <c r="A4900" s="37"/>
      <c r="B4900" s="37"/>
      <c r="C4900" s="37"/>
      <c r="F4900" s="38"/>
      <c r="G4900" s="38"/>
      <c r="H4900" s="38"/>
      <c r="I4900" s="37"/>
      <c r="J4900" s="38"/>
      <c r="K4900" s="38"/>
      <c r="L4900" s="42"/>
      <c r="M4900" s="42"/>
      <c r="N4900" s="42"/>
      <c r="O4900" s="42"/>
      <c r="R4900" s="37"/>
      <c r="S4900" s="37"/>
      <c r="T4900" s="91"/>
      <c r="U4900" s="91"/>
      <c r="V4900" s="41"/>
      <c r="W4900" s="37"/>
      <c r="X4900" s="37"/>
      <c r="Y4900" s="43"/>
      <c r="Z4900" s="37"/>
      <c r="AA4900" s="37"/>
      <c r="AD4900" s="37"/>
      <c r="AE4900" s="37"/>
      <c r="AF4900" s="37"/>
    </row>
    <row r="4901" spans="1:32" x14ac:dyDescent="0.25">
      <c r="A4901" s="37"/>
      <c r="B4901" s="37"/>
      <c r="C4901" s="37"/>
      <c r="F4901" s="38"/>
      <c r="G4901" s="38"/>
      <c r="H4901" s="38"/>
      <c r="I4901" s="37"/>
      <c r="J4901" s="38"/>
      <c r="K4901" s="38"/>
      <c r="L4901" s="42"/>
      <c r="M4901" s="42"/>
      <c r="N4901" s="42"/>
      <c r="O4901" s="42"/>
      <c r="R4901" s="37"/>
      <c r="S4901" s="37"/>
      <c r="T4901" s="91"/>
      <c r="U4901" s="91"/>
      <c r="V4901" s="41"/>
      <c r="W4901" s="37"/>
      <c r="X4901" s="37"/>
      <c r="Y4901" s="43"/>
      <c r="Z4901" s="37"/>
      <c r="AA4901" s="37"/>
      <c r="AD4901" s="37"/>
      <c r="AE4901" s="37"/>
      <c r="AF4901" s="37"/>
    </row>
    <row r="4902" spans="1:32" x14ac:dyDescent="0.25">
      <c r="A4902" s="37"/>
      <c r="B4902" s="37"/>
      <c r="C4902" s="37"/>
      <c r="F4902" s="38"/>
      <c r="G4902" s="38"/>
      <c r="H4902" s="38"/>
      <c r="I4902" s="37"/>
      <c r="J4902" s="38"/>
      <c r="K4902" s="38"/>
      <c r="L4902" s="42"/>
      <c r="M4902" s="42"/>
      <c r="N4902" s="42"/>
      <c r="O4902" s="42"/>
      <c r="R4902" s="37"/>
      <c r="S4902" s="37"/>
      <c r="T4902" s="91"/>
      <c r="U4902" s="91"/>
      <c r="V4902" s="41"/>
      <c r="W4902" s="37"/>
      <c r="X4902" s="37"/>
      <c r="Y4902" s="43"/>
      <c r="Z4902" s="37"/>
      <c r="AA4902" s="37"/>
      <c r="AD4902" s="37"/>
      <c r="AE4902" s="37"/>
      <c r="AF4902" s="37"/>
    </row>
    <row r="4903" spans="1:32" x14ac:dyDescent="0.25">
      <c r="A4903" s="37"/>
      <c r="B4903" s="37"/>
      <c r="C4903" s="37"/>
      <c r="F4903" s="38"/>
      <c r="G4903" s="38"/>
      <c r="H4903" s="38"/>
      <c r="I4903" s="37"/>
      <c r="J4903" s="38"/>
      <c r="K4903" s="38"/>
      <c r="L4903" s="42"/>
      <c r="M4903" s="42"/>
      <c r="N4903" s="42"/>
      <c r="O4903" s="42"/>
      <c r="R4903" s="37"/>
      <c r="S4903" s="37"/>
      <c r="T4903" s="91"/>
      <c r="U4903" s="91"/>
      <c r="V4903" s="41"/>
      <c r="W4903" s="37"/>
      <c r="X4903" s="37"/>
      <c r="Y4903" s="43"/>
      <c r="Z4903" s="37"/>
      <c r="AA4903" s="37"/>
      <c r="AD4903" s="37"/>
      <c r="AE4903" s="37"/>
      <c r="AF4903" s="37"/>
    </row>
    <row r="4904" spans="1:32" x14ac:dyDescent="0.25">
      <c r="A4904" s="37"/>
      <c r="B4904" s="37"/>
      <c r="C4904" s="37"/>
      <c r="F4904" s="38"/>
      <c r="G4904" s="38"/>
      <c r="H4904" s="38"/>
      <c r="I4904" s="37"/>
      <c r="J4904" s="38"/>
      <c r="K4904" s="38"/>
      <c r="L4904" s="42"/>
      <c r="M4904" s="42"/>
      <c r="N4904" s="42"/>
      <c r="O4904" s="42"/>
      <c r="R4904" s="37"/>
      <c r="S4904" s="37"/>
      <c r="T4904" s="91"/>
      <c r="U4904" s="91"/>
      <c r="V4904" s="41"/>
      <c r="W4904" s="37"/>
      <c r="X4904" s="37"/>
      <c r="Y4904" s="43"/>
      <c r="Z4904" s="37"/>
      <c r="AA4904" s="37"/>
      <c r="AD4904" s="37"/>
      <c r="AE4904" s="37"/>
      <c r="AF4904" s="37"/>
    </row>
    <row r="4905" spans="1:32" x14ac:dyDescent="0.25">
      <c r="A4905" s="37"/>
      <c r="B4905" s="37"/>
      <c r="C4905" s="37"/>
      <c r="F4905" s="38"/>
      <c r="G4905" s="38"/>
      <c r="H4905" s="38"/>
      <c r="I4905" s="37"/>
      <c r="J4905" s="38"/>
      <c r="K4905" s="38"/>
      <c r="L4905" s="42"/>
      <c r="M4905" s="42"/>
      <c r="N4905" s="42"/>
      <c r="O4905" s="42"/>
      <c r="R4905" s="37"/>
      <c r="S4905" s="37"/>
      <c r="T4905" s="91"/>
      <c r="U4905" s="91"/>
      <c r="V4905" s="41"/>
      <c r="W4905" s="37"/>
      <c r="X4905" s="37"/>
      <c r="Y4905" s="43"/>
      <c r="Z4905" s="37"/>
      <c r="AA4905" s="37"/>
      <c r="AD4905" s="37"/>
      <c r="AE4905" s="37"/>
      <c r="AF4905" s="37"/>
    </row>
    <row r="4906" spans="1:32" x14ac:dyDescent="0.25">
      <c r="A4906" s="37"/>
      <c r="B4906" s="37"/>
      <c r="C4906" s="37"/>
      <c r="F4906" s="38"/>
      <c r="G4906" s="38"/>
      <c r="H4906" s="38"/>
      <c r="I4906" s="37"/>
      <c r="J4906" s="38"/>
      <c r="K4906" s="38"/>
      <c r="L4906" s="42"/>
      <c r="M4906" s="42"/>
      <c r="N4906" s="42"/>
      <c r="O4906" s="42"/>
      <c r="R4906" s="37"/>
      <c r="S4906" s="37"/>
      <c r="T4906" s="91"/>
      <c r="U4906" s="91"/>
      <c r="V4906" s="41"/>
      <c r="W4906" s="37"/>
      <c r="X4906" s="37"/>
      <c r="Y4906" s="43"/>
      <c r="Z4906" s="37"/>
      <c r="AA4906" s="37"/>
      <c r="AD4906" s="37"/>
      <c r="AE4906" s="37"/>
      <c r="AF4906" s="37"/>
    </row>
    <row r="4907" spans="1:32" x14ac:dyDescent="0.25">
      <c r="A4907" s="37"/>
      <c r="B4907" s="37"/>
      <c r="C4907" s="37"/>
      <c r="F4907" s="38"/>
      <c r="G4907" s="38"/>
      <c r="H4907" s="38"/>
      <c r="I4907" s="37"/>
      <c r="J4907" s="38"/>
      <c r="K4907" s="38"/>
      <c r="L4907" s="42"/>
      <c r="M4907" s="42"/>
      <c r="N4907" s="42"/>
      <c r="O4907" s="42"/>
      <c r="R4907" s="37"/>
      <c r="S4907" s="37"/>
      <c r="T4907" s="91"/>
      <c r="U4907" s="91"/>
      <c r="V4907" s="41"/>
      <c r="W4907" s="37"/>
      <c r="X4907" s="37"/>
      <c r="Y4907" s="43"/>
      <c r="Z4907" s="37"/>
      <c r="AA4907" s="37"/>
      <c r="AD4907" s="37"/>
      <c r="AE4907" s="37"/>
      <c r="AF4907" s="37"/>
    </row>
    <row r="4908" spans="1:32" x14ac:dyDescent="0.25">
      <c r="A4908" s="37"/>
      <c r="B4908" s="37"/>
      <c r="C4908" s="37"/>
      <c r="F4908" s="38"/>
      <c r="G4908" s="38"/>
      <c r="H4908" s="38"/>
      <c r="I4908" s="37"/>
      <c r="J4908" s="38"/>
      <c r="K4908" s="38"/>
      <c r="L4908" s="42"/>
      <c r="M4908" s="42"/>
      <c r="N4908" s="42"/>
      <c r="O4908" s="42"/>
      <c r="R4908" s="37"/>
      <c r="S4908" s="37"/>
      <c r="T4908" s="91"/>
      <c r="U4908" s="91"/>
      <c r="V4908" s="41"/>
      <c r="W4908" s="37"/>
      <c r="X4908" s="37"/>
      <c r="Y4908" s="43"/>
      <c r="Z4908" s="37"/>
      <c r="AA4908" s="37"/>
      <c r="AD4908" s="37"/>
      <c r="AE4908" s="37"/>
      <c r="AF4908" s="37"/>
    </row>
    <row r="4909" spans="1:32" x14ac:dyDescent="0.25">
      <c r="A4909" s="37"/>
      <c r="B4909" s="37"/>
      <c r="C4909" s="37"/>
      <c r="F4909" s="38"/>
      <c r="G4909" s="38"/>
      <c r="H4909" s="38"/>
      <c r="I4909" s="37"/>
      <c r="J4909" s="38"/>
      <c r="K4909" s="38"/>
      <c r="L4909" s="42"/>
      <c r="M4909" s="42"/>
      <c r="N4909" s="42"/>
      <c r="O4909" s="42"/>
      <c r="R4909" s="37"/>
      <c r="S4909" s="37"/>
      <c r="T4909" s="91"/>
      <c r="U4909" s="91"/>
      <c r="V4909" s="41"/>
      <c r="W4909" s="37"/>
      <c r="X4909" s="37"/>
      <c r="Y4909" s="43"/>
      <c r="Z4909" s="37"/>
      <c r="AA4909" s="37"/>
      <c r="AD4909" s="37"/>
      <c r="AE4909" s="37"/>
      <c r="AF4909" s="37"/>
    </row>
    <row r="4910" spans="1:32" x14ac:dyDescent="0.25">
      <c r="A4910" s="37"/>
      <c r="B4910" s="37"/>
      <c r="C4910" s="37"/>
      <c r="F4910" s="38"/>
      <c r="G4910" s="38"/>
      <c r="H4910" s="38"/>
      <c r="I4910" s="37"/>
      <c r="J4910" s="38"/>
      <c r="K4910" s="38"/>
      <c r="L4910" s="42"/>
      <c r="M4910" s="42"/>
      <c r="N4910" s="42"/>
      <c r="O4910" s="42"/>
      <c r="R4910" s="37"/>
      <c r="S4910" s="37"/>
      <c r="T4910" s="91"/>
      <c r="U4910" s="91"/>
      <c r="V4910" s="41"/>
      <c r="W4910" s="37"/>
      <c r="X4910" s="37"/>
      <c r="Y4910" s="43"/>
      <c r="Z4910" s="37"/>
      <c r="AA4910" s="37"/>
      <c r="AD4910" s="37"/>
      <c r="AE4910" s="37"/>
      <c r="AF4910" s="37"/>
    </row>
    <row r="4911" spans="1:32" x14ac:dyDescent="0.25">
      <c r="A4911" s="37"/>
      <c r="B4911" s="37"/>
      <c r="C4911" s="37"/>
      <c r="F4911" s="38"/>
      <c r="G4911" s="38"/>
      <c r="H4911" s="38"/>
      <c r="I4911" s="37"/>
      <c r="J4911" s="38"/>
      <c r="K4911" s="38"/>
      <c r="L4911" s="42"/>
      <c r="M4911" s="42"/>
      <c r="N4911" s="42"/>
      <c r="O4911" s="42"/>
      <c r="R4911" s="37"/>
      <c r="S4911" s="37"/>
      <c r="T4911" s="91"/>
      <c r="U4911" s="91"/>
      <c r="V4911" s="41"/>
      <c r="W4911" s="37"/>
      <c r="X4911" s="37"/>
      <c r="Y4911" s="43"/>
      <c r="Z4911" s="37"/>
      <c r="AA4911" s="37"/>
      <c r="AD4911" s="37"/>
      <c r="AE4911" s="37"/>
      <c r="AF4911" s="37"/>
    </row>
    <row r="4912" spans="1:32" x14ac:dyDescent="0.25">
      <c r="A4912" s="37"/>
      <c r="B4912" s="37"/>
      <c r="C4912" s="37"/>
      <c r="F4912" s="38"/>
      <c r="G4912" s="38"/>
      <c r="H4912" s="38"/>
      <c r="I4912" s="37"/>
      <c r="J4912" s="38"/>
      <c r="K4912" s="38"/>
      <c r="L4912" s="42"/>
      <c r="M4912" s="42"/>
      <c r="N4912" s="42"/>
      <c r="O4912" s="42"/>
      <c r="R4912" s="37"/>
      <c r="S4912" s="37"/>
      <c r="T4912" s="91"/>
      <c r="U4912" s="91"/>
      <c r="V4912" s="41"/>
      <c r="W4912" s="37"/>
      <c r="X4912" s="37"/>
      <c r="Y4912" s="43"/>
      <c r="Z4912" s="37"/>
      <c r="AA4912" s="37"/>
      <c r="AD4912" s="37"/>
      <c r="AE4912" s="37"/>
      <c r="AF4912" s="37"/>
    </row>
    <row r="4913" spans="1:32" x14ac:dyDescent="0.25">
      <c r="A4913" s="37"/>
      <c r="B4913" s="37"/>
      <c r="C4913" s="37"/>
      <c r="F4913" s="38"/>
      <c r="G4913" s="38"/>
      <c r="H4913" s="38"/>
      <c r="I4913" s="37"/>
      <c r="J4913" s="38"/>
      <c r="K4913" s="38"/>
      <c r="L4913" s="42"/>
      <c r="M4913" s="42"/>
      <c r="N4913" s="42"/>
      <c r="O4913" s="42"/>
      <c r="R4913" s="37"/>
      <c r="S4913" s="37"/>
      <c r="T4913" s="91"/>
      <c r="U4913" s="91"/>
      <c r="V4913" s="41"/>
      <c r="W4913" s="37"/>
      <c r="X4913" s="37"/>
      <c r="Y4913" s="43"/>
      <c r="Z4913" s="37"/>
      <c r="AA4913" s="37"/>
      <c r="AD4913" s="37"/>
      <c r="AE4913" s="37"/>
      <c r="AF4913" s="37"/>
    </row>
    <row r="4914" spans="1:32" x14ac:dyDescent="0.25">
      <c r="A4914" s="37"/>
      <c r="B4914" s="37"/>
      <c r="C4914" s="37"/>
      <c r="F4914" s="38"/>
      <c r="G4914" s="38"/>
      <c r="H4914" s="38"/>
      <c r="I4914" s="37"/>
      <c r="J4914" s="38"/>
      <c r="K4914" s="38"/>
      <c r="L4914" s="42"/>
      <c r="M4914" s="42"/>
      <c r="N4914" s="42"/>
      <c r="O4914" s="42"/>
      <c r="R4914" s="37"/>
      <c r="S4914" s="37"/>
      <c r="T4914" s="91"/>
      <c r="U4914" s="91"/>
      <c r="V4914" s="41"/>
      <c r="W4914" s="37"/>
      <c r="X4914" s="37"/>
      <c r="Y4914" s="43"/>
      <c r="Z4914" s="37"/>
      <c r="AA4914" s="37"/>
      <c r="AD4914" s="37"/>
      <c r="AE4914" s="37"/>
      <c r="AF4914" s="37"/>
    </row>
    <row r="4915" spans="1:32" x14ac:dyDescent="0.25">
      <c r="A4915" s="37"/>
      <c r="B4915" s="37"/>
      <c r="C4915" s="37"/>
      <c r="F4915" s="38"/>
      <c r="G4915" s="38"/>
      <c r="H4915" s="38"/>
      <c r="I4915" s="37"/>
      <c r="J4915" s="38"/>
      <c r="K4915" s="38"/>
      <c r="L4915" s="42"/>
      <c r="M4915" s="42"/>
      <c r="N4915" s="42"/>
      <c r="O4915" s="42"/>
      <c r="R4915" s="37"/>
      <c r="S4915" s="37"/>
      <c r="T4915" s="91"/>
      <c r="U4915" s="91"/>
      <c r="V4915" s="41"/>
      <c r="W4915" s="37"/>
      <c r="X4915" s="37"/>
      <c r="Y4915" s="43"/>
      <c r="Z4915" s="37"/>
      <c r="AA4915" s="37"/>
      <c r="AD4915" s="37"/>
      <c r="AE4915" s="37"/>
      <c r="AF4915" s="37"/>
    </row>
    <row r="4916" spans="1:32" x14ac:dyDescent="0.25">
      <c r="A4916" s="37"/>
      <c r="B4916" s="37"/>
      <c r="C4916" s="37"/>
      <c r="F4916" s="38"/>
      <c r="G4916" s="38"/>
      <c r="H4916" s="38"/>
      <c r="I4916" s="37"/>
      <c r="J4916" s="38"/>
      <c r="K4916" s="38"/>
      <c r="L4916" s="42"/>
      <c r="M4916" s="42"/>
      <c r="N4916" s="42"/>
      <c r="O4916" s="42"/>
      <c r="R4916" s="37"/>
      <c r="S4916" s="37"/>
      <c r="T4916" s="91"/>
      <c r="U4916" s="91"/>
      <c r="V4916" s="41"/>
      <c r="W4916" s="37"/>
      <c r="X4916" s="37"/>
      <c r="Y4916" s="43"/>
      <c r="Z4916" s="37"/>
      <c r="AA4916" s="37"/>
      <c r="AD4916" s="37"/>
      <c r="AE4916" s="37"/>
      <c r="AF4916" s="37"/>
    </row>
    <row r="4917" spans="1:32" x14ac:dyDescent="0.25">
      <c r="A4917" s="37"/>
      <c r="B4917" s="37"/>
      <c r="C4917" s="37"/>
      <c r="F4917" s="38"/>
      <c r="G4917" s="38"/>
      <c r="H4917" s="38"/>
      <c r="I4917" s="37"/>
      <c r="J4917" s="38"/>
      <c r="K4917" s="38"/>
      <c r="L4917" s="42"/>
      <c r="M4917" s="42"/>
      <c r="N4917" s="42"/>
      <c r="O4917" s="42"/>
      <c r="R4917" s="37"/>
      <c r="S4917" s="37"/>
      <c r="T4917" s="91"/>
      <c r="U4917" s="91"/>
      <c r="V4917" s="41"/>
      <c r="W4917" s="37"/>
      <c r="X4917" s="37"/>
      <c r="Y4917" s="43"/>
      <c r="Z4917" s="37"/>
      <c r="AA4917" s="37"/>
      <c r="AD4917" s="37"/>
      <c r="AE4917" s="37"/>
      <c r="AF4917" s="37"/>
    </row>
    <row r="4918" spans="1:32" x14ac:dyDescent="0.25">
      <c r="A4918" s="37"/>
      <c r="B4918" s="37"/>
      <c r="C4918" s="37"/>
      <c r="F4918" s="38"/>
      <c r="G4918" s="38"/>
      <c r="H4918" s="38"/>
      <c r="I4918" s="37"/>
      <c r="J4918" s="38"/>
      <c r="K4918" s="38"/>
      <c r="L4918" s="42"/>
      <c r="M4918" s="42"/>
      <c r="N4918" s="42"/>
      <c r="O4918" s="42"/>
      <c r="R4918" s="37"/>
      <c r="S4918" s="37"/>
      <c r="T4918" s="91"/>
      <c r="U4918" s="91"/>
      <c r="V4918" s="41"/>
      <c r="W4918" s="37"/>
      <c r="X4918" s="37"/>
      <c r="Y4918" s="43"/>
      <c r="Z4918" s="37"/>
      <c r="AA4918" s="37"/>
      <c r="AD4918" s="37"/>
      <c r="AE4918" s="37"/>
      <c r="AF4918" s="37"/>
    </row>
    <row r="4919" spans="1:32" x14ac:dyDescent="0.25">
      <c r="A4919" s="37"/>
      <c r="B4919" s="37"/>
      <c r="C4919" s="37"/>
      <c r="F4919" s="38"/>
      <c r="G4919" s="38"/>
      <c r="H4919" s="38"/>
      <c r="I4919" s="37"/>
      <c r="J4919" s="38"/>
      <c r="K4919" s="38"/>
      <c r="L4919" s="42"/>
      <c r="M4919" s="42"/>
      <c r="N4919" s="42"/>
      <c r="O4919" s="42"/>
      <c r="R4919" s="37"/>
      <c r="S4919" s="37"/>
      <c r="T4919" s="91"/>
      <c r="U4919" s="91"/>
      <c r="V4919" s="41"/>
      <c r="W4919" s="37"/>
      <c r="X4919" s="37"/>
      <c r="Y4919" s="43"/>
      <c r="Z4919" s="37"/>
      <c r="AA4919" s="37"/>
      <c r="AD4919" s="37"/>
      <c r="AE4919" s="37"/>
      <c r="AF4919" s="37"/>
    </row>
    <row r="4920" spans="1:32" x14ac:dyDescent="0.25">
      <c r="A4920" s="37"/>
      <c r="B4920" s="37"/>
      <c r="C4920" s="37"/>
      <c r="F4920" s="38"/>
      <c r="G4920" s="38"/>
      <c r="H4920" s="38"/>
      <c r="I4920" s="37"/>
      <c r="J4920" s="38"/>
      <c r="K4920" s="38"/>
      <c r="L4920" s="42"/>
      <c r="M4920" s="42"/>
      <c r="N4920" s="42"/>
      <c r="O4920" s="42"/>
      <c r="R4920" s="37"/>
      <c r="S4920" s="37"/>
      <c r="T4920" s="91"/>
      <c r="U4920" s="91"/>
      <c r="V4920" s="41"/>
      <c r="W4920" s="37"/>
      <c r="X4920" s="37"/>
      <c r="Y4920" s="43"/>
      <c r="Z4920" s="37"/>
      <c r="AA4920" s="37"/>
      <c r="AD4920" s="37"/>
      <c r="AE4920" s="37"/>
      <c r="AF4920" s="37"/>
    </row>
    <row r="4921" spans="1:32" x14ac:dyDescent="0.25">
      <c r="A4921" s="37"/>
      <c r="B4921" s="37"/>
      <c r="C4921" s="37"/>
      <c r="F4921" s="38"/>
      <c r="G4921" s="38"/>
      <c r="H4921" s="38"/>
      <c r="I4921" s="37"/>
      <c r="J4921" s="38"/>
      <c r="K4921" s="38"/>
      <c r="L4921" s="42"/>
      <c r="M4921" s="42"/>
      <c r="N4921" s="42"/>
      <c r="O4921" s="42"/>
      <c r="R4921" s="37"/>
      <c r="S4921" s="37"/>
      <c r="T4921" s="91"/>
      <c r="U4921" s="91"/>
      <c r="V4921" s="41"/>
      <c r="W4921" s="37"/>
      <c r="X4921" s="37"/>
      <c r="Y4921" s="43"/>
      <c r="Z4921" s="37"/>
      <c r="AA4921" s="37"/>
      <c r="AD4921" s="37"/>
      <c r="AE4921" s="37"/>
      <c r="AF4921" s="37"/>
    </row>
    <row r="4922" spans="1:32" x14ac:dyDescent="0.25">
      <c r="A4922" s="37"/>
      <c r="B4922" s="37"/>
      <c r="C4922" s="37"/>
      <c r="F4922" s="38"/>
      <c r="G4922" s="38"/>
      <c r="H4922" s="38"/>
      <c r="I4922" s="37"/>
      <c r="J4922" s="38"/>
      <c r="K4922" s="38"/>
      <c r="L4922" s="42"/>
      <c r="M4922" s="42"/>
      <c r="N4922" s="42"/>
      <c r="O4922" s="42"/>
      <c r="R4922" s="37"/>
      <c r="S4922" s="37"/>
      <c r="T4922" s="91"/>
      <c r="U4922" s="91"/>
      <c r="V4922" s="41"/>
      <c r="W4922" s="37"/>
      <c r="X4922" s="37"/>
      <c r="Y4922" s="43"/>
      <c r="Z4922" s="37"/>
      <c r="AA4922" s="37"/>
      <c r="AD4922" s="37"/>
      <c r="AE4922" s="37"/>
      <c r="AF4922" s="37"/>
    </row>
    <row r="4923" spans="1:32" x14ac:dyDescent="0.25">
      <c r="A4923" s="37"/>
      <c r="B4923" s="37"/>
      <c r="C4923" s="37"/>
      <c r="F4923" s="38"/>
      <c r="G4923" s="38"/>
      <c r="H4923" s="38"/>
      <c r="I4923" s="37"/>
      <c r="J4923" s="38"/>
      <c r="K4923" s="38"/>
      <c r="L4923" s="42"/>
      <c r="M4923" s="42"/>
      <c r="N4923" s="42"/>
      <c r="O4923" s="42"/>
      <c r="R4923" s="37"/>
      <c r="S4923" s="37"/>
      <c r="T4923" s="91"/>
      <c r="U4923" s="91"/>
      <c r="V4923" s="41"/>
      <c r="W4923" s="37"/>
      <c r="X4923" s="37"/>
      <c r="Y4923" s="43"/>
      <c r="Z4923" s="37"/>
      <c r="AA4923" s="37"/>
      <c r="AD4923" s="37"/>
      <c r="AE4923" s="37"/>
      <c r="AF4923" s="37"/>
    </row>
    <row r="4924" spans="1:32" x14ac:dyDescent="0.25">
      <c r="A4924" s="37"/>
      <c r="B4924" s="37"/>
      <c r="C4924" s="37"/>
      <c r="F4924" s="38"/>
      <c r="G4924" s="38"/>
      <c r="H4924" s="38"/>
      <c r="I4924" s="37"/>
      <c r="J4924" s="38"/>
      <c r="K4924" s="38"/>
      <c r="L4924" s="42"/>
      <c r="M4924" s="42"/>
      <c r="N4924" s="42"/>
      <c r="O4924" s="42"/>
      <c r="R4924" s="37"/>
      <c r="S4924" s="37"/>
      <c r="T4924" s="91"/>
      <c r="U4924" s="91"/>
      <c r="V4924" s="41"/>
      <c r="W4924" s="37"/>
      <c r="X4924" s="37"/>
      <c r="Y4924" s="43"/>
      <c r="Z4924" s="37"/>
      <c r="AA4924" s="37"/>
      <c r="AD4924" s="37"/>
      <c r="AE4924" s="37"/>
      <c r="AF4924" s="37"/>
    </row>
    <row r="4925" spans="1:32" x14ac:dyDescent="0.25">
      <c r="A4925" s="37"/>
      <c r="B4925" s="37"/>
      <c r="C4925" s="37"/>
      <c r="F4925" s="38"/>
      <c r="G4925" s="38"/>
      <c r="H4925" s="38"/>
      <c r="I4925" s="37"/>
      <c r="J4925" s="38"/>
      <c r="K4925" s="38"/>
      <c r="L4925" s="42"/>
      <c r="M4925" s="42"/>
      <c r="N4925" s="42"/>
      <c r="O4925" s="42"/>
      <c r="R4925" s="37"/>
      <c r="S4925" s="37"/>
      <c r="T4925" s="91"/>
      <c r="U4925" s="91"/>
      <c r="V4925" s="41"/>
      <c r="W4925" s="37"/>
      <c r="X4925" s="37"/>
      <c r="Y4925" s="43"/>
      <c r="Z4925" s="37"/>
      <c r="AA4925" s="37"/>
      <c r="AD4925" s="37"/>
      <c r="AE4925" s="37"/>
      <c r="AF4925" s="37"/>
    </row>
    <row r="4926" spans="1:32" x14ac:dyDescent="0.25">
      <c r="A4926" s="37"/>
      <c r="B4926" s="37"/>
      <c r="C4926" s="37"/>
      <c r="F4926" s="38"/>
      <c r="G4926" s="38"/>
      <c r="H4926" s="38"/>
      <c r="I4926" s="37"/>
      <c r="J4926" s="38"/>
      <c r="K4926" s="38"/>
      <c r="L4926" s="42"/>
      <c r="M4926" s="42"/>
      <c r="N4926" s="42"/>
      <c r="O4926" s="42"/>
      <c r="R4926" s="37"/>
      <c r="S4926" s="37"/>
      <c r="T4926" s="91"/>
      <c r="U4926" s="91"/>
      <c r="V4926" s="41"/>
      <c r="W4926" s="37"/>
      <c r="X4926" s="37"/>
      <c r="Y4926" s="43"/>
      <c r="Z4926" s="37"/>
      <c r="AA4926" s="37"/>
      <c r="AD4926" s="37"/>
      <c r="AE4926" s="37"/>
      <c r="AF4926" s="37"/>
    </row>
    <row r="4927" spans="1:32" x14ac:dyDescent="0.25">
      <c r="A4927" s="37"/>
      <c r="B4927" s="37"/>
      <c r="C4927" s="37"/>
      <c r="F4927" s="38"/>
      <c r="G4927" s="38"/>
      <c r="H4927" s="38"/>
      <c r="I4927" s="37"/>
      <c r="J4927" s="38"/>
      <c r="K4927" s="38"/>
      <c r="L4927" s="42"/>
      <c r="M4927" s="42"/>
      <c r="N4927" s="42"/>
      <c r="O4927" s="42"/>
      <c r="R4927" s="37"/>
      <c r="S4927" s="37"/>
      <c r="T4927" s="91"/>
      <c r="U4927" s="91"/>
      <c r="V4927" s="41"/>
      <c r="W4927" s="37"/>
      <c r="X4927" s="37"/>
      <c r="Y4927" s="43"/>
      <c r="Z4927" s="37"/>
      <c r="AA4927" s="37"/>
      <c r="AD4927" s="37"/>
      <c r="AE4927" s="37"/>
      <c r="AF4927" s="37"/>
    </row>
    <row r="4928" spans="1:32" x14ac:dyDescent="0.25">
      <c r="A4928" s="37"/>
      <c r="B4928" s="37"/>
      <c r="C4928" s="37"/>
      <c r="F4928" s="38"/>
      <c r="G4928" s="38"/>
      <c r="H4928" s="38"/>
      <c r="I4928" s="37"/>
      <c r="J4928" s="38"/>
      <c r="K4928" s="38"/>
      <c r="L4928" s="42"/>
      <c r="M4928" s="42"/>
      <c r="N4928" s="42"/>
      <c r="O4928" s="42"/>
      <c r="R4928" s="37"/>
      <c r="S4928" s="37"/>
      <c r="T4928" s="91"/>
      <c r="U4928" s="91"/>
      <c r="V4928" s="41"/>
      <c r="W4928" s="37"/>
      <c r="X4928" s="37"/>
      <c r="Y4928" s="43"/>
      <c r="Z4928" s="37"/>
      <c r="AA4928" s="37"/>
      <c r="AD4928" s="37"/>
      <c r="AE4928" s="37"/>
      <c r="AF4928" s="37"/>
    </row>
    <row r="4929" spans="1:32" x14ac:dyDescent="0.25">
      <c r="A4929" s="37"/>
      <c r="B4929" s="37"/>
      <c r="C4929" s="37"/>
      <c r="F4929" s="38"/>
      <c r="G4929" s="38"/>
      <c r="H4929" s="38"/>
      <c r="I4929" s="37"/>
      <c r="J4929" s="38"/>
      <c r="K4929" s="38"/>
      <c r="L4929" s="42"/>
      <c r="M4929" s="42"/>
      <c r="N4929" s="42"/>
      <c r="O4929" s="42"/>
      <c r="R4929" s="37"/>
      <c r="S4929" s="37"/>
      <c r="T4929" s="91"/>
      <c r="U4929" s="91"/>
      <c r="V4929" s="41"/>
      <c r="W4929" s="37"/>
      <c r="X4929" s="37"/>
      <c r="Y4929" s="43"/>
      <c r="Z4929" s="37"/>
      <c r="AA4929" s="37"/>
      <c r="AD4929" s="37"/>
      <c r="AE4929" s="37"/>
      <c r="AF4929" s="37"/>
    </row>
    <row r="4930" spans="1:32" x14ac:dyDescent="0.25">
      <c r="A4930" s="37"/>
      <c r="B4930" s="37"/>
      <c r="C4930" s="37"/>
      <c r="F4930" s="38"/>
      <c r="G4930" s="38"/>
      <c r="H4930" s="38"/>
      <c r="I4930" s="37"/>
      <c r="J4930" s="38"/>
      <c r="K4930" s="38"/>
      <c r="L4930" s="42"/>
      <c r="M4930" s="42"/>
      <c r="N4930" s="42"/>
      <c r="O4930" s="42"/>
      <c r="R4930" s="37"/>
      <c r="S4930" s="37"/>
      <c r="T4930" s="91"/>
      <c r="U4930" s="91"/>
      <c r="V4930" s="41"/>
      <c r="W4930" s="37"/>
      <c r="X4930" s="37"/>
      <c r="Y4930" s="43"/>
      <c r="Z4930" s="37"/>
      <c r="AA4930" s="37"/>
      <c r="AD4930" s="37"/>
      <c r="AE4930" s="37"/>
      <c r="AF4930" s="37"/>
    </row>
    <row r="4931" spans="1:32" x14ac:dyDescent="0.25">
      <c r="A4931" s="37"/>
      <c r="B4931" s="37"/>
      <c r="C4931" s="37"/>
      <c r="F4931" s="38"/>
      <c r="G4931" s="38"/>
      <c r="H4931" s="38"/>
      <c r="I4931" s="37"/>
      <c r="J4931" s="38"/>
      <c r="K4931" s="38"/>
      <c r="L4931" s="42"/>
      <c r="M4931" s="42"/>
      <c r="N4931" s="42"/>
      <c r="O4931" s="42"/>
      <c r="R4931" s="37"/>
      <c r="S4931" s="37"/>
      <c r="T4931" s="91"/>
      <c r="U4931" s="91"/>
      <c r="V4931" s="41"/>
      <c r="W4931" s="37"/>
      <c r="X4931" s="37"/>
      <c r="Y4931" s="43"/>
      <c r="Z4931" s="37"/>
      <c r="AA4931" s="37"/>
      <c r="AD4931" s="37"/>
      <c r="AE4931" s="37"/>
      <c r="AF4931" s="37"/>
    </row>
    <row r="4932" spans="1:32" x14ac:dyDescent="0.25">
      <c r="A4932" s="37"/>
      <c r="B4932" s="37"/>
      <c r="C4932" s="37"/>
      <c r="F4932" s="38"/>
      <c r="G4932" s="38"/>
      <c r="H4932" s="38"/>
      <c r="I4932" s="37"/>
      <c r="J4932" s="38"/>
      <c r="K4932" s="38"/>
      <c r="L4932" s="42"/>
      <c r="M4932" s="42"/>
      <c r="N4932" s="42"/>
      <c r="O4932" s="42"/>
      <c r="R4932" s="37"/>
      <c r="S4932" s="37"/>
      <c r="T4932" s="91"/>
      <c r="U4932" s="91"/>
      <c r="V4932" s="41"/>
      <c r="W4932" s="37"/>
      <c r="X4932" s="37"/>
      <c r="Y4932" s="43"/>
      <c r="Z4932" s="37"/>
      <c r="AA4932" s="37"/>
      <c r="AD4932" s="37"/>
      <c r="AE4932" s="37"/>
      <c r="AF4932" s="37"/>
    </row>
    <row r="4933" spans="1:32" x14ac:dyDescent="0.25">
      <c r="A4933" s="37"/>
      <c r="B4933" s="37"/>
      <c r="C4933" s="37"/>
      <c r="F4933" s="38"/>
      <c r="G4933" s="38"/>
      <c r="H4933" s="38"/>
      <c r="I4933" s="37"/>
      <c r="J4933" s="38"/>
      <c r="K4933" s="38"/>
      <c r="L4933" s="42"/>
      <c r="M4933" s="42"/>
      <c r="N4933" s="42"/>
      <c r="O4933" s="42"/>
      <c r="R4933" s="37"/>
      <c r="S4933" s="37"/>
      <c r="T4933" s="91"/>
      <c r="U4933" s="91"/>
      <c r="V4933" s="41"/>
      <c r="W4933" s="37"/>
      <c r="X4933" s="37"/>
      <c r="Y4933" s="43"/>
      <c r="Z4933" s="37"/>
      <c r="AA4933" s="37"/>
      <c r="AD4933" s="37"/>
      <c r="AE4933" s="37"/>
      <c r="AF4933" s="37"/>
    </row>
    <row r="4934" spans="1:32" x14ac:dyDescent="0.25">
      <c r="A4934" s="37"/>
      <c r="B4934" s="37"/>
      <c r="C4934" s="37"/>
      <c r="F4934" s="38"/>
      <c r="G4934" s="38"/>
      <c r="H4934" s="38"/>
      <c r="I4934" s="37"/>
      <c r="J4934" s="38"/>
      <c r="K4934" s="38"/>
      <c r="L4934" s="42"/>
      <c r="M4934" s="42"/>
      <c r="N4934" s="42"/>
      <c r="O4934" s="42"/>
      <c r="R4934" s="37"/>
      <c r="S4934" s="37"/>
      <c r="T4934" s="91"/>
      <c r="U4934" s="91"/>
      <c r="V4934" s="41"/>
      <c r="W4934" s="37"/>
      <c r="X4934" s="37"/>
      <c r="Y4934" s="43"/>
      <c r="Z4934" s="37"/>
      <c r="AA4934" s="37"/>
      <c r="AD4934" s="37"/>
      <c r="AE4934" s="37"/>
      <c r="AF4934" s="37"/>
    </row>
    <row r="4935" spans="1:32" x14ac:dyDescent="0.25">
      <c r="A4935" s="37"/>
      <c r="B4935" s="37"/>
      <c r="C4935" s="37"/>
      <c r="F4935" s="38"/>
      <c r="G4935" s="38"/>
      <c r="H4935" s="38"/>
      <c r="I4935" s="37"/>
      <c r="J4935" s="38"/>
      <c r="K4935" s="38"/>
      <c r="L4935" s="42"/>
      <c r="M4935" s="42"/>
      <c r="N4935" s="42"/>
      <c r="O4935" s="42"/>
      <c r="R4935" s="37"/>
      <c r="S4935" s="37"/>
      <c r="T4935" s="91"/>
      <c r="U4935" s="91"/>
      <c r="V4935" s="41"/>
      <c r="W4935" s="37"/>
      <c r="X4935" s="37"/>
      <c r="Y4935" s="43"/>
      <c r="Z4935" s="37"/>
      <c r="AA4935" s="37"/>
      <c r="AD4935" s="37"/>
      <c r="AE4935" s="37"/>
      <c r="AF4935" s="37"/>
    </row>
    <row r="4936" spans="1:32" x14ac:dyDescent="0.25">
      <c r="A4936" s="37"/>
      <c r="B4936" s="37"/>
      <c r="C4936" s="37"/>
      <c r="F4936" s="38"/>
      <c r="G4936" s="38"/>
      <c r="H4936" s="38"/>
      <c r="I4936" s="37"/>
      <c r="J4936" s="38"/>
      <c r="K4936" s="38"/>
      <c r="L4936" s="42"/>
      <c r="M4936" s="42"/>
      <c r="N4936" s="42"/>
      <c r="O4936" s="42"/>
      <c r="R4936" s="37"/>
      <c r="S4936" s="37"/>
      <c r="T4936" s="91"/>
      <c r="U4936" s="91"/>
      <c r="V4936" s="41"/>
      <c r="W4936" s="37"/>
      <c r="X4936" s="37"/>
      <c r="Y4936" s="43"/>
      <c r="Z4936" s="37"/>
      <c r="AA4936" s="37"/>
      <c r="AD4936" s="37"/>
      <c r="AE4936" s="37"/>
      <c r="AF4936" s="37"/>
    </row>
    <row r="4937" spans="1:32" x14ac:dyDescent="0.25">
      <c r="A4937" s="37"/>
      <c r="B4937" s="37"/>
      <c r="C4937" s="37"/>
      <c r="F4937" s="38"/>
      <c r="G4937" s="38"/>
      <c r="H4937" s="38"/>
      <c r="I4937" s="37"/>
      <c r="J4937" s="38"/>
      <c r="K4937" s="38"/>
      <c r="L4937" s="42"/>
      <c r="M4937" s="42"/>
      <c r="N4937" s="42"/>
      <c r="O4937" s="42"/>
      <c r="R4937" s="37"/>
      <c r="S4937" s="37"/>
      <c r="T4937" s="91"/>
      <c r="U4937" s="91"/>
      <c r="V4937" s="41"/>
      <c r="W4937" s="37"/>
      <c r="X4937" s="37"/>
      <c r="Y4937" s="43"/>
      <c r="Z4937" s="37"/>
      <c r="AA4937" s="37"/>
      <c r="AD4937" s="37"/>
      <c r="AE4937" s="37"/>
      <c r="AF4937" s="37"/>
    </row>
    <row r="4938" spans="1:32" x14ac:dyDescent="0.25">
      <c r="A4938" s="37"/>
      <c r="B4938" s="37"/>
      <c r="C4938" s="37"/>
      <c r="F4938" s="38"/>
      <c r="G4938" s="38"/>
      <c r="H4938" s="38"/>
      <c r="I4938" s="37"/>
      <c r="J4938" s="38"/>
      <c r="K4938" s="38"/>
      <c r="L4938" s="42"/>
      <c r="M4938" s="42"/>
      <c r="N4938" s="42"/>
      <c r="O4938" s="42"/>
      <c r="R4938" s="37"/>
      <c r="S4938" s="37"/>
      <c r="T4938" s="91"/>
      <c r="U4938" s="91"/>
      <c r="V4938" s="41"/>
      <c r="W4938" s="37"/>
      <c r="X4938" s="37"/>
      <c r="Y4938" s="43"/>
      <c r="Z4938" s="37"/>
      <c r="AA4938" s="37"/>
      <c r="AD4938" s="37"/>
      <c r="AE4938" s="37"/>
      <c r="AF4938" s="37"/>
    </row>
    <row r="4939" spans="1:32" x14ac:dyDescent="0.25">
      <c r="A4939" s="37"/>
      <c r="B4939" s="37"/>
      <c r="C4939" s="37"/>
      <c r="F4939" s="38"/>
      <c r="G4939" s="38"/>
      <c r="H4939" s="38"/>
      <c r="I4939" s="37"/>
      <c r="J4939" s="38"/>
      <c r="K4939" s="38"/>
      <c r="L4939" s="42"/>
      <c r="M4939" s="42"/>
      <c r="N4939" s="42"/>
      <c r="O4939" s="42"/>
      <c r="R4939" s="37"/>
      <c r="S4939" s="37"/>
      <c r="T4939" s="91"/>
      <c r="U4939" s="91"/>
      <c r="V4939" s="41"/>
      <c r="W4939" s="37"/>
      <c r="X4939" s="37"/>
      <c r="Y4939" s="43"/>
      <c r="Z4939" s="37"/>
      <c r="AA4939" s="37"/>
      <c r="AD4939" s="37"/>
      <c r="AE4939" s="37"/>
      <c r="AF4939" s="37"/>
    </row>
    <row r="4940" spans="1:32" x14ac:dyDescent="0.25">
      <c r="A4940" s="37"/>
      <c r="B4940" s="37"/>
      <c r="C4940" s="37"/>
      <c r="F4940" s="38"/>
      <c r="G4940" s="38"/>
      <c r="H4940" s="38"/>
      <c r="I4940" s="37"/>
      <c r="J4940" s="38"/>
      <c r="K4940" s="38"/>
      <c r="L4940" s="42"/>
      <c r="M4940" s="42"/>
      <c r="N4940" s="42"/>
      <c r="O4940" s="42"/>
      <c r="R4940" s="37"/>
      <c r="S4940" s="37"/>
      <c r="T4940" s="91"/>
      <c r="U4940" s="91"/>
      <c r="V4940" s="41"/>
      <c r="W4940" s="37"/>
      <c r="X4940" s="37"/>
      <c r="Y4940" s="43"/>
      <c r="Z4940" s="37"/>
      <c r="AA4940" s="37"/>
      <c r="AD4940" s="37"/>
      <c r="AE4940" s="37"/>
      <c r="AF4940" s="37"/>
    </row>
    <row r="4941" spans="1:32" x14ac:dyDescent="0.25">
      <c r="A4941" s="37"/>
      <c r="B4941" s="37"/>
      <c r="C4941" s="37"/>
      <c r="F4941" s="38"/>
      <c r="G4941" s="38"/>
      <c r="H4941" s="38"/>
      <c r="I4941" s="37"/>
      <c r="J4941" s="38"/>
      <c r="K4941" s="38"/>
      <c r="L4941" s="42"/>
      <c r="M4941" s="42"/>
      <c r="N4941" s="42"/>
      <c r="O4941" s="42"/>
      <c r="R4941" s="37"/>
      <c r="S4941" s="37"/>
      <c r="T4941" s="91"/>
      <c r="U4941" s="91"/>
      <c r="V4941" s="41"/>
      <c r="W4941" s="37"/>
      <c r="X4941" s="37"/>
      <c r="Y4941" s="43"/>
      <c r="Z4941" s="37"/>
      <c r="AA4941" s="37"/>
      <c r="AD4941" s="37"/>
      <c r="AE4941" s="37"/>
      <c r="AF4941" s="37"/>
    </row>
    <row r="4942" spans="1:32" x14ac:dyDescent="0.25">
      <c r="A4942" s="37"/>
      <c r="B4942" s="37"/>
      <c r="C4942" s="37"/>
      <c r="F4942" s="38"/>
      <c r="G4942" s="38"/>
      <c r="H4942" s="38"/>
      <c r="I4942" s="37"/>
      <c r="J4942" s="38"/>
      <c r="K4942" s="38"/>
      <c r="L4942" s="42"/>
      <c r="M4942" s="42"/>
      <c r="N4942" s="42"/>
      <c r="O4942" s="42"/>
      <c r="R4942" s="37"/>
      <c r="S4942" s="37"/>
      <c r="T4942" s="91"/>
      <c r="U4942" s="91"/>
      <c r="V4942" s="41"/>
      <c r="W4942" s="37"/>
      <c r="X4942" s="37"/>
      <c r="Y4942" s="43"/>
      <c r="Z4942" s="37"/>
      <c r="AA4942" s="37"/>
      <c r="AD4942" s="37"/>
      <c r="AE4942" s="37"/>
      <c r="AF4942" s="37"/>
    </row>
    <row r="4943" spans="1:32" x14ac:dyDescent="0.25">
      <c r="A4943" s="37"/>
      <c r="B4943" s="37"/>
      <c r="C4943" s="37"/>
      <c r="F4943" s="38"/>
      <c r="G4943" s="38"/>
      <c r="H4943" s="38"/>
      <c r="I4943" s="37"/>
      <c r="J4943" s="38"/>
      <c r="K4943" s="38"/>
      <c r="L4943" s="42"/>
      <c r="M4943" s="42"/>
      <c r="N4943" s="42"/>
      <c r="O4943" s="42"/>
      <c r="R4943" s="37"/>
      <c r="S4943" s="37"/>
      <c r="T4943" s="91"/>
      <c r="U4943" s="91"/>
      <c r="V4943" s="41"/>
      <c r="W4943" s="37"/>
      <c r="X4943" s="37"/>
      <c r="Y4943" s="43"/>
      <c r="Z4943" s="37"/>
      <c r="AA4943" s="37"/>
      <c r="AD4943" s="37"/>
      <c r="AE4943" s="37"/>
      <c r="AF4943" s="37"/>
    </row>
    <row r="4944" spans="1:32" x14ac:dyDescent="0.25">
      <c r="A4944" s="37"/>
      <c r="B4944" s="37"/>
      <c r="C4944" s="37"/>
      <c r="F4944" s="38"/>
      <c r="G4944" s="38"/>
      <c r="H4944" s="38"/>
      <c r="I4944" s="37"/>
      <c r="J4944" s="38"/>
      <c r="K4944" s="38"/>
      <c r="L4944" s="42"/>
      <c r="M4944" s="42"/>
      <c r="N4944" s="42"/>
      <c r="O4944" s="42"/>
      <c r="R4944" s="37"/>
      <c r="S4944" s="37"/>
      <c r="T4944" s="91"/>
      <c r="U4944" s="91"/>
      <c r="V4944" s="41"/>
      <c r="W4944" s="37"/>
      <c r="X4944" s="37"/>
      <c r="Y4944" s="43"/>
      <c r="Z4944" s="37"/>
      <c r="AA4944" s="37"/>
      <c r="AD4944" s="37"/>
      <c r="AE4944" s="37"/>
      <c r="AF4944" s="37"/>
    </row>
    <row r="4945" spans="1:32" x14ac:dyDescent="0.25">
      <c r="A4945" s="37"/>
      <c r="B4945" s="37"/>
      <c r="C4945" s="37"/>
      <c r="F4945" s="38"/>
      <c r="G4945" s="38"/>
      <c r="H4945" s="38"/>
      <c r="I4945" s="37"/>
      <c r="J4945" s="38"/>
      <c r="K4945" s="38"/>
      <c r="L4945" s="42"/>
      <c r="M4945" s="42"/>
      <c r="N4945" s="42"/>
      <c r="O4945" s="42"/>
      <c r="R4945" s="37"/>
      <c r="S4945" s="37"/>
      <c r="T4945" s="91"/>
      <c r="U4945" s="91"/>
      <c r="V4945" s="41"/>
      <c r="W4945" s="37"/>
      <c r="X4945" s="37"/>
      <c r="Y4945" s="43"/>
      <c r="Z4945" s="37"/>
      <c r="AA4945" s="37"/>
      <c r="AD4945" s="37"/>
      <c r="AE4945" s="37"/>
      <c r="AF4945" s="37"/>
    </row>
    <row r="4946" spans="1:32" x14ac:dyDescent="0.25">
      <c r="A4946" s="37"/>
      <c r="B4946" s="37"/>
      <c r="C4946" s="37"/>
      <c r="F4946" s="38"/>
      <c r="G4946" s="38"/>
      <c r="H4946" s="38"/>
      <c r="I4946" s="37"/>
      <c r="J4946" s="38"/>
      <c r="K4946" s="38"/>
      <c r="L4946" s="42"/>
      <c r="M4946" s="42"/>
      <c r="N4946" s="42"/>
      <c r="O4946" s="42"/>
      <c r="R4946" s="37"/>
      <c r="S4946" s="37"/>
      <c r="T4946" s="91"/>
      <c r="U4946" s="91"/>
      <c r="V4946" s="41"/>
      <c r="W4946" s="37"/>
      <c r="X4946" s="37"/>
      <c r="Y4946" s="43"/>
      <c r="Z4946" s="37"/>
      <c r="AA4946" s="37"/>
      <c r="AD4946" s="37"/>
      <c r="AE4946" s="37"/>
      <c r="AF4946" s="37"/>
    </row>
    <row r="4947" spans="1:32" x14ac:dyDescent="0.25">
      <c r="A4947" s="37"/>
      <c r="B4947" s="37"/>
      <c r="C4947" s="37"/>
      <c r="F4947" s="38"/>
      <c r="G4947" s="38"/>
      <c r="H4947" s="38"/>
      <c r="I4947" s="37"/>
      <c r="J4947" s="38"/>
      <c r="K4947" s="38"/>
      <c r="L4947" s="42"/>
      <c r="M4947" s="42"/>
      <c r="N4947" s="42"/>
      <c r="O4947" s="42"/>
      <c r="R4947" s="37"/>
      <c r="S4947" s="37"/>
      <c r="T4947" s="91"/>
      <c r="U4947" s="91"/>
      <c r="V4947" s="41"/>
      <c r="W4947" s="37"/>
      <c r="X4947" s="37"/>
      <c r="Y4947" s="43"/>
      <c r="Z4947" s="37"/>
      <c r="AA4947" s="37"/>
      <c r="AD4947" s="37"/>
      <c r="AE4947" s="37"/>
      <c r="AF4947" s="37"/>
    </row>
    <row r="4948" spans="1:32" x14ac:dyDescent="0.25">
      <c r="A4948" s="37"/>
      <c r="B4948" s="37"/>
      <c r="C4948" s="37"/>
      <c r="F4948" s="38"/>
      <c r="G4948" s="38"/>
      <c r="H4948" s="38"/>
      <c r="I4948" s="37"/>
      <c r="J4948" s="38"/>
      <c r="K4948" s="38"/>
      <c r="L4948" s="42"/>
      <c r="M4948" s="42"/>
      <c r="N4948" s="42"/>
      <c r="O4948" s="42"/>
      <c r="R4948" s="37"/>
      <c r="S4948" s="37"/>
      <c r="T4948" s="91"/>
      <c r="U4948" s="91"/>
      <c r="V4948" s="41"/>
      <c r="W4948" s="37"/>
      <c r="X4948" s="37"/>
      <c r="Y4948" s="43"/>
      <c r="Z4948" s="37"/>
      <c r="AA4948" s="37"/>
      <c r="AD4948" s="37"/>
      <c r="AE4948" s="37"/>
      <c r="AF4948" s="37"/>
    </row>
    <row r="4949" spans="1:32" x14ac:dyDescent="0.25">
      <c r="A4949" s="37"/>
      <c r="B4949" s="37"/>
      <c r="C4949" s="37"/>
      <c r="F4949" s="38"/>
      <c r="G4949" s="38"/>
      <c r="H4949" s="38"/>
      <c r="I4949" s="37"/>
      <c r="J4949" s="38"/>
      <c r="K4949" s="38"/>
      <c r="L4949" s="42"/>
      <c r="M4949" s="42"/>
      <c r="N4949" s="42"/>
      <c r="O4949" s="42"/>
      <c r="R4949" s="37"/>
      <c r="S4949" s="37"/>
      <c r="T4949" s="91"/>
      <c r="U4949" s="91"/>
      <c r="V4949" s="41"/>
      <c r="W4949" s="37"/>
      <c r="X4949" s="37"/>
      <c r="Y4949" s="43"/>
      <c r="Z4949" s="37"/>
      <c r="AA4949" s="37"/>
      <c r="AD4949" s="37"/>
      <c r="AE4949" s="37"/>
      <c r="AF4949" s="37"/>
    </row>
    <row r="4950" spans="1:32" x14ac:dyDescent="0.25">
      <c r="A4950" s="37"/>
      <c r="B4950" s="37"/>
      <c r="C4950" s="37"/>
      <c r="F4950" s="38"/>
      <c r="G4950" s="38"/>
      <c r="H4950" s="38"/>
      <c r="I4950" s="37"/>
      <c r="J4950" s="38"/>
      <c r="K4950" s="38"/>
      <c r="L4950" s="42"/>
      <c r="M4950" s="42"/>
      <c r="N4950" s="42"/>
      <c r="O4950" s="42"/>
      <c r="R4950" s="37"/>
      <c r="S4950" s="37"/>
      <c r="T4950" s="91"/>
      <c r="U4950" s="91"/>
      <c r="V4950" s="41"/>
      <c r="W4950" s="37"/>
      <c r="X4950" s="37"/>
      <c r="Y4950" s="43"/>
      <c r="Z4950" s="37"/>
      <c r="AA4950" s="37"/>
      <c r="AD4950" s="37"/>
      <c r="AE4950" s="37"/>
      <c r="AF4950" s="37"/>
    </row>
    <row r="4951" spans="1:32" x14ac:dyDescent="0.25">
      <c r="A4951" s="37"/>
      <c r="B4951" s="37"/>
      <c r="C4951" s="37"/>
      <c r="F4951" s="38"/>
      <c r="G4951" s="38"/>
      <c r="H4951" s="38"/>
      <c r="I4951" s="37"/>
      <c r="J4951" s="38"/>
      <c r="K4951" s="38"/>
      <c r="L4951" s="42"/>
      <c r="M4951" s="42"/>
      <c r="N4951" s="42"/>
      <c r="O4951" s="42"/>
      <c r="R4951" s="37"/>
      <c r="S4951" s="37"/>
      <c r="T4951" s="91"/>
      <c r="U4951" s="91"/>
      <c r="V4951" s="41"/>
      <c r="W4951" s="37"/>
      <c r="X4951" s="37"/>
      <c r="Y4951" s="43"/>
      <c r="Z4951" s="37"/>
      <c r="AA4951" s="37"/>
      <c r="AD4951" s="37"/>
      <c r="AE4951" s="37"/>
      <c r="AF4951" s="37"/>
    </row>
    <row r="4952" spans="1:32" x14ac:dyDescent="0.25">
      <c r="A4952" s="37"/>
      <c r="B4952" s="37"/>
      <c r="C4952" s="37"/>
      <c r="F4952" s="38"/>
      <c r="G4952" s="38"/>
      <c r="H4952" s="38"/>
      <c r="I4952" s="37"/>
      <c r="J4952" s="38"/>
      <c r="K4952" s="38"/>
      <c r="L4952" s="42"/>
      <c r="M4952" s="42"/>
      <c r="N4952" s="42"/>
      <c r="O4952" s="42"/>
      <c r="R4952" s="37"/>
      <c r="S4952" s="37"/>
      <c r="T4952" s="91"/>
      <c r="U4952" s="91"/>
      <c r="V4952" s="41"/>
      <c r="W4952" s="37"/>
      <c r="X4952" s="37"/>
      <c r="Y4952" s="43"/>
      <c r="Z4952" s="37"/>
      <c r="AA4952" s="37"/>
      <c r="AD4952" s="37"/>
      <c r="AE4952" s="37"/>
      <c r="AF4952" s="37"/>
    </row>
    <row r="4953" spans="1:32" x14ac:dyDescent="0.25">
      <c r="A4953" s="37"/>
      <c r="B4953" s="37"/>
      <c r="C4953" s="37"/>
      <c r="F4953" s="38"/>
      <c r="G4953" s="38"/>
      <c r="H4953" s="38"/>
      <c r="I4953" s="37"/>
      <c r="J4953" s="38"/>
      <c r="K4953" s="38"/>
      <c r="L4953" s="42"/>
      <c r="M4953" s="42"/>
      <c r="N4953" s="42"/>
      <c r="O4953" s="42"/>
      <c r="R4953" s="37"/>
      <c r="S4953" s="37"/>
      <c r="T4953" s="91"/>
      <c r="U4953" s="91"/>
      <c r="V4953" s="41"/>
      <c r="W4953" s="37"/>
      <c r="X4953" s="37"/>
      <c r="Y4953" s="43"/>
      <c r="Z4953" s="37"/>
      <c r="AA4953" s="37"/>
      <c r="AD4953" s="37"/>
      <c r="AE4953" s="37"/>
      <c r="AF4953" s="37"/>
    </row>
    <row r="4954" spans="1:32" x14ac:dyDescent="0.25">
      <c r="A4954" s="37"/>
      <c r="B4954" s="37"/>
      <c r="C4954" s="37"/>
      <c r="F4954" s="38"/>
      <c r="G4954" s="38"/>
      <c r="H4954" s="38"/>
      <c r="I4954" s="37"/>
      <c r="J4954" s="38"/>
      <c r="K4954" s="38"/>
      <c r="L4954" s="42"/>
      <c r="M4954" s="42"/>
      <c r="N4954" s="42"/>
      <c r="O4954" s="42"/>
      <c r="R4954" s="37"/>
      <c r="S4954" s="37"/>
      <c r="T4954" s="91"/>
      <c r="U4954" s="91"/>
      <c r="V4954" s="41"/>
      <c r="W4954" s="37"/>
      <c r="X4954" s="37"/>
      <c r="Y4954" s="43"/>
      <c r="Z4954" s="37"/>
      <c r="AA4954" s="37"/>
      <c r="AD4954" s="37"/>
      <c r="AE4954" s="37"/>
      <c r="AF4954" s="37"/>
    </row>
    <row r="4955" spans="1:32" x14ac:dyDescent="0.25">
      <c r="A4955" s="37"/>
      <c r="B4955" s="37"/>
      <c r="C4955" s="37"/>
      <c r="F4955" s="38"/>
      <c r="G4955" s="38"/>
      <c r="H4955" s="38"/>
      <c r="I4955" s="37"/>
      <c r="J4955" s="38"/>
      <c r="K4955" s="38"/>
      <c r="L4955" s="42"/>
      <c r="M4955" s="42"/>
      <c r="N4955" s="42"/>
      <c r="O4955" s="42"/>
      <c r="R4955" s="37"/>
      <c r="S4955" s="37"/>
      <c r="T4955" s="91"/>
      <c r="U4955" s="91"/>
      <c r="V4955" s="41"/>
      <c r="W4955" s="37"/>
      <c r="X4955" s="37"/>
      <c r="Y4955" s="43"/>
      <c r="Z4955" s="37"/>
      <c r="AA4955" s="37"/>
      <c r="AD4955" s="37"/>
      <c r="AE4955" s="37"/>
      <c r="AF4955" s="37"/>
    </row>
    <row r="4956" spans="1:32" x14ac:dyDescent="0.25">
      <c r="A4956" s="37"/>
      <c r="B4956" s="37"/>
      <c r="C4956" s="37"/>
      <c r="F4956" s="38"/>
      <c r="G4956" s="38"/>
      <c r="H4956" s="38"/>
      <c r="I4956" s="37"/>
      <c r="J4956" s="38"/>
      <c r="K4956" s="38"/>
      <c r="L4956" s="42"/>
      <c r="M4956" s="42"/>
      <c r="N4956" s="42"/>
      <c r="O4956" s="42"/>
      <c r="R4956" s="37"/>
      <c r="S4956" s="37"/>
      <c r="T4956" s="91"/>
      <c r="U4956" s="91"/>
      <c r="V4956" s="41"/>
      <c r="W4956" s="37"/>
      <c r="X4956" s="37"/>
      <c r="Y4956" s="43"/>
      <c r="Z4956" s="37"/>
      <c r="AA4956" s="37"/>
      <c r="AD4956" s="37"/>
      <c r="AE4956" s="37"/>
      <c r="AF4956" s="37"/>
    </row>
    <row r="4957" spans="1:32" x14ac:dyDescent="0.25">
      <c r="A4957" s="37"/>
      <c r="B4957" s="37"/>
      <c r="C4957" s="37"/>
      <c r="F4957" s="38"/>
      <c r="G4957" s="38"/>
      <c r="H4957" s="38"/>
      <c r="I4957" s="37"/>
      <c r="J4957" s="38"/>
      <c r="K4957" s="38"/>
      <c r="L4957" s="42"/>
      <c r="M4957" s="42"/>
      <c r="N4957" s="42"/>
      <c r="O4957" s="42"/>
      <c r="R4957" s="37"/>
      <c r="S4957" s="37"/>
      <c r="T4957" s="91"/>
      <c r="U4957" s="91"/>
      <c r="V4957" s="41"/>
      <c r="W4957" s="37"/>
      <c r="X4957" s="37"/>
      <c r="Y4957" s="43"/>
      <c r="Z4957" s="37"/>
      <c r="AA4957" s="37"/>
      <c r="AD4957" s="37"/>
      <c r="AE4957" s="37"/>
      <c r="AF4957" s="37"/>
    </row>
    <row r="4958" spans="1:32" x14ac:dyDescent="0.25">
      <c r="A4958" s="37"/>
      <c r="B4958" s="37"/>
      <c r="C4958" s="37"/>
      <c r="F4958" s="38"/>
      <c r="G4958" s="38"/>
      <c r="H4958" s="38"/>
      <c r="I4958" s="37"/>
      <c r="J4958" s="38"/>
      <c r="K4958" s="38"/>
      <c r="L4958" s="42"/>
      <c r="M4958" s="42"/>
      <c r="N4958" s="42"/>
      <c r="O4958" s="42"/>
      <c r="R4958" s="37"/>
      <c r="S4958" s="37"/>
      <c r="T4958" s="91"/>
      <c r="U4958" s="91"/>
      <c r="V4958" s="41"/>
      <c r="W4958" s="37"/>
      <c r="X4958" s="37"/>
      <c r="Y4958" s="43"/>
      <c r="Z4958" s="37"/>
      <c r="AA4958" s="37"/>
      <c r="AD4958" s="37"/>
      <c r="AE4958" s="37"/>
      <c r="AF4958" s="37"/>
    </row>
    <row r="4959" spans="1:32" x14ac:dyDescent="0.25">
      <c r="A4959" s="37"/>
      <c r="B4959" s="37"/>
      <c r="C4959" s="37"/>
      <c r="F4959" s="38"/>
      <c r="G4959" s="38"/>
      <c r="H4959" s="38"/>
      <c r="I4959" s="37"/>
      <c r="J4959" s="38"/>
      <c r="K4959" s="38"/>
      <c r="L4959" s="42"/>
      <c r="M4959" s="42"/>
      <c r="N4959" s="42"/>
      <c r="O4959" s="42"/>
      <c r="R4959" s="37"/>
      <c r="S4959" s="37"/>
      <c r="T4959" s="91"/>
      <c r="U4959" s="91"/>
      <c r="V4959" s="41"/>
      <c r="W4959" s="37"/>
      <c r="X4959" s="37"/>
      <c r="Y4959" s="43"/>
      <c r="Z4959" s="37"/>
      <c r="AA4959" s="37"/>
      <c r="AD4959" s="37"/>
      <c r="AE4959" s="37"/>
      <c r="AF4959" s="37"/>
    </row>
    <row r="4960" spans="1:32" x14ac:dyDescent="0.25">
      <c r="A4960" s="37"/>
      <c r="B4960" s="37"/>
      <c r="C4960" s="37"/>
      <c r="F4960" s="38"/>
      <c r="G4960" s="38"/>
      <c r="H4960" s="38"/>
      <c r="I4960" s="37"/>
      <c r="J4960" s="38"/>
      <c r="K4960" s="38"/>
      <c r="L4960" s="42"/>
      <c r="M4960" s="42"/>
      <c r="N4960" s="42"/>
      <c r="O4960" s="42"/>
      <c r="R4960" s="37"/>
      <c r="S4960" s="37"/>
      <c r="T4960" s="91"/>
      <c r="U4960" s="91"/>
      <c r="V4960" s="41"/>
      <c r="W4960" s="37"/>
      <c r="X4960" s="37"/>
      <c r="Y4960" s="43"/>
      <c r="Z4960" s="37"/>
      <c r="AA4960" s="37"/>
      <c r="AD4960" s="37"/>
      <c r="AE4960" s="37"/>
      <c r="AF4960" s="37"/>
    </row>
    <row r="4961" spans="1:32" x14ac:dyDescent="0.25">
      <c r="A4961" s="37"/>
      <c r="B4961" s="37"/>
      <c r="C4961" s="37"/>
      <c r="F4961" s="38"/>
      <c r="G4961" s="38"/>
      <c r="H4961" s="38"/>
      <c r="I4961" s="37"/>
      <c r="J4961" s="38"/>
      <c r="K4961" s="38"/>
      <c r="L4961" s="42"/>
      <c r="M4961" s="42"/>
      <c r="N4961" s="42"/>
      <c r="O4961" s="42"/>
      <c r="R4961" s="37"/>
      <c r="S4961" s="37"/>
      <c r="T4961" s="91"/>
      <c r="U4961" s="91"/>
      <c r="V4961" s="41"/>
      <c r="W4961" s="37"/>
      <c r="X4961" s="37"/>
      <c r="Y4961" s="43"/>
      <c r="Z4961" s="37"/>
      <c r="AA4961" s="37"/>
      <c r="AD4961" s="37"/>
      <c r="AE4961" s="37"/>
      <c r="AF4961" s="37"/>
    </row>
    <row r="4962" spans="1:32" x14ac:dyDescent="0.25">
      <c r="A4962" s="37"/>
      <c r="B4962" s="37"/>
      <c r="C4962" s="37"/>
      <c r="F4962" s="38"/>
      <c r="G4962" s="38"/>
      <c r="H4962" s="38"/>
      <c r="I4962" s="37"/>
      <c r="J4962" s="38"/>
      <c r="K4962" s="38"/>
      <c r="L4962" s="42"/>
      <c r="M4962" s="42"/>
      <c r="N4962" s="42"/>
      <c r="O4962" s="42"/>
      <c r="R4962" s="37"/>
      <c r="S4962" s="37"/>
      <c r="T4962" s="91"/>
      <c r="U4962" s="91"/>
      <c r="V4962" s="41"/>
      <c r="W4962" s="37"/>
      <c r="X4962" s="37"/>
      <c r="Y4962" s="43"/>
      <c r="Z4962" s="37"/>
      <c r="AA4962" s="37"/>
      <c r="AD4962" s="37"/>
      <c r="AE4962" s="37"/>
      <c r="AF4962" s="37"/>
    </row>
    <row r="4963" spans="1:32" x14ac:dyDescent="0.25">
      <c r="A4963" s="37"/>
      <c r="B4963" s="37"/>
      <c r="C4963" s="37"/>
      <c r="F4963" s="38"/>
      <c r="G4963" s="38"/>
      <c r="H4963" s="38"/>
      <c r="I4963" s="37"/>
      <c r="J4963" s="38"/>
      <c r="K4963" s="38"/>
      <c r="L4963" s="42"/>
      <c r="M4963" s="42"/>
      <c r="N4963" s="42"/>
      <c r="O4963" s="42"/>
      <c r="R4963" s="37"/>
      <c r="S4963" s="37"/>
      <c r="T4963" s="91"/>
      <c r="U4963" s="91"/>
      <c r="V4963" s="41"/>
      <c r="W4963" s="37"/>
      <c r="X4963" s="37"/>
      <c r="Y4963" s="43"/>
      <c r="Z4963" s="37"/>
      <c r="AA4963" s="37"/>
      <c r="AD4963" s="37"/>
      <c r="AE4963" s="37"/>
      <c r="AF4963" s="37"/>
    </row>
    <row r="4964" spans="1:32" x14ac:dyDescent="0.25">
      <c r="A4964" s="37"/>
      <c r="B4964" s="37"/>
      <c r="C4964" s="37"/>
      <c r="F4964" s="38"/>
      <c r="G4964" s="38"/>
      <c r="H4964" s="38"/>
      <c r="I4964" s="37"/>
      <c r="J4964" s="38"/>
      <c r="K4964" s="38"/>
      <c r="L4964" s="42"/>
      <c r="M4964" s="42"/>
      <c r="N4964" s="42"/>
      <c r="O4964" s="42"/>
      <c r="R4964" s="37"/>
      <c r="S4964" s="37"/>
      <c r="T4964" s="91"/>
      <c r="U4964" s="91"/>
      <c r="V4964" s="41"/>
      <c r="W4964" s="37"/>
      <c r="X4964" s="37"/>
      <c r="Y4964" s="43"/>
      <c r="Z4964" s="37"/>
      <c r="AA4964" s="37"/>
      <c r="AD4964" s="37"/>
      <c r="AE4964" s="37"/>
      <c r="AF4964" s="37"/>
    </row>
    <row r="4965" spans="1:32" x14ac:dyDescent="0.25">
      <c r="A4965" s="37"/>
      <c r="B4965" s="37"/>
      <c r="C4965" s="37"/>
      <c r="F4965" s="38"/>
      <c r="G4965" s="38"/>
      <c r="H4965" s="38"/>
      <c r="I4965" s="37"/>
      <c r="J4965" s="38"/>
      <c r="K4965" s="38"/>
      <c r="L4965" s="42"/>
      <c r="M4965" s="42"/>
      <c r="N4965" s="42"/>
      <c r="O4965" s="42"/>
      <c r="R4965" s="37"/>
      <c r="S4965" s="37"/>
      <c r="T4965" s="91"/>
      <c r="U4965" s="91"/>
      <c r="V4965" s="41"/>
      <c r="W4965" s="37"/>
      <c r="X4965" s="37"/>
      <c r="Y4965" s="43"/>
      <c r="Z4965" s="37"/>
      <c r="AA4965" s="37"/>
      <c r="AD4965" s="37"/>
      <c r="AE4965" s="37"/>
      <c r="AF4965" s="37"/>
    </row>
    <row r="4966" spans="1:32" x14ac:dyDescent="0.25">
      <c r="A4966" s="37"/>
      <c r="B4966" s="37"/>
      <c r="C4966" s="37"/>
      <c r="F4966" s="38"/>
      <c r="G4966" s="38"/>
      <c r="H4966" s="38"/>
      <c r="I4966" s="37"/>
      <c r="J4966" s="38"/>
      <c r="K4966" s="38"/>
      <c r="L4966" s="42"/>
      <c r="M4966" s="42"/>
      <c r="N4966" s="42"/>
      <c r="O4966" s="42"/>
      <c r="R4966" s="37"/>
      <c r="S4966" s="37"/>
      <c r="T4966" s="91"/>
      <c r="U4966" s="91"/>
      <c r="V4966" s="41"/>
      <c r="W4966" s="37"/>
      <c r="X4966" s="37"/>
      <c r="Y4966" s="43"/>
      <c r="Z4966" s="37"/>
      <c r="AA4966" s="37"/>
      <c r="AD4966" s="37"/>
      <c r="AE4966" s="37"/>
      <c r="AF4966" s="37"/>
    </row>
    <row r="4967" spans="1:32" x14ac:dyDescent="0.25">
      <c r="A4967" s="37"/>
      <c r="B4967" s="37"/>
      <c r="C4967" s="37"/>
      <c r="F4967" s="38"/>
      <c r="G4967" s="38"/>
      <c r="H4967" s="38"/>
      <c r="I4967" s="37"/>
      <c r="J4967" s="38"/>
      <c r="K4967" s="38"/>
      <c r="L4967" s="42"/>
      <c r="M4967" s="42"/>
      <c r="N4967" s="42"/>
      <c r="O4967" s="42"/>
      <c r="R4967" s="37"/>
      <c r="S4967" s="37"/>
      <c r="T4967" s="91"/>
      <c r="U4967" s="91"/>
      <c r="V4967" s="41"/>
      <c r="W4967" s="37"/>
      <c r="X4967" s="37"/>
      <c r="Y4967" s="43"/>
      <c r="Z4967" s="37"/>
      <c r="AA4967" s="37"/>
      <c r="AD4967" s="37"/>
      <c r="AE4967" s="37"/>
      <c r="AF4967" s="37"/>
    </row>
    <row r="4968" spans="1:32" x14ac:dyDescent="0.25">
      <c r="A4968" s="37"/>
      <c r="B4968" s="37"/>
      <c r="C4968" s="37"/>
      <c r="F4968" s="38"/>
      <c r="G4968" s="38"/>
      <c r="H4968" s="38"/>
      <c r="I4968" s="37"/>
      <c r="J4968" s="38"/>
      <c r="K4968" s="38"/>
      <c r="L4968" s="42"/>
      <c r="M4968" s="42"/>
      <c r="N4968" s="42"/>
      <c r="O4968" s="42"/>
      <c r="R4968" s="37"/>
      <c r="S4968" s="37"/>
      <c r="T4968" s="91"/>
      <c r="U4968" s="91"/>
      <c r="V4968" s="41"/>
      <c r="W4968" s="37"/>
      <c r="X4968" s="37"/>
      <c r="Y4968" s="43"/>
      <c r="Z4968" s="37"/>
      <c r="AA4968" s="37"/>
      <c r="AD4968" s="37"/>
      <c r="AE4968" s="37"/>
      <c r="AF4968" s="37"/>
    </row>
    <row r="4969" spans="1:32" x14ac:dyDescent="0.25">
      <c r="A4969" s="37"/>
      <c r="B4969" s="37"/>
      <c r="C4969" s="37"/>
      <c r="F4969" s="38"/>
      <c r="G4969" s="38"/>
      <c r="H4969" s="38"/>
      <c r="I4969" s="37"/>
      <c r="J4969" s="38"/>
      <c r="K4969" s="38"/>
      <c r="L4969" s="42"/>
      <c r="M4969" s="42"/>
      <c r="N4969" s="42"/>
      <c r="O4969" s="42"/>
      <c r="R4969" s="37"/>
      <c r="S4969" s="37"/>
      <c r="T4969" s="91"/>
      <c r="U4969" s="91"/>
      <c r="V4969" s="41"/>
      <c r="W4969" s="37"/>
      <c r="X4969" s="37"/>
      <c r="Y4969" s="43"/>
      <c r="Z4969" s="37"/>
      <c r="AA4969" s="37"/>
      <c r="AD4969" s="37"/>
      <c r="AE4969" s="37"/>
      <c r="AF4969" s="37"/>
    </row>
    <row r="4970" spans="1:32" x14ac:dyDescent="0.25">
      <c r="A4970" s="37"/>
      <c r="B4970" s="37"/>
      <c r="C4970" s="37"/>
      <c r="F4970" s="38"/>
      <c r="G4970" s="38"/>
      <c r="H4970" s="38"/>
      <c r="I4970" s="37"/>
      <c r="J4970" s="38"/>
      <c r="K4970" s="38"/>
      <c r="L4970" s="42"/>
      <c r="M4970" s="42"/>
      <c r="N4970" s="42"/>
      <c r="O4970" s="42"/>
      <c r="R4970" s="37"/>
      <c r="S4970" s="37"/>
      <c r="T4970" s="91"/>
      <c r="U4970" s="91"/>
      <c r="V4970" s="41"/>
      <c r="W4970" s="37"/>
      <c r="X4970" s="37"/>
      <c r="Y4970" s="43"/>
      <c r="Z4970" s="37"/>
      <c r="AA4970" s="37"/>
      <c r="AD4970" s="37"/>
      <c r="AE4970" s="37"/>
      <c r="AF4970" s="37"/>
    </row>
    <row r="4971" spans="1:32" x14ac:dyDescent="0.25">
      <c r="A4971" s="37"/>
      <c r="B4971" s="37"/>
      <c r="C4971" s="37"/>
      <c r="F4971" s="38"/>
      <c r="G4971" s="38"/>
      <c r="H4971" s="38"/>
      <c r="I4971" s="37"/>
      <c r="J4971" s="38"/>
      <c r="K4971" s="38"/>
      <c r="L4971" s="42"/>
      <c r="M4971" s="42"/>
      <c r="N4971" s="42"/>
      <c r="O4971" s="42"/>
      <c r="R4971" s="37"/>
      <c r="S4971" s="37"/>
      <c r="T4971" s="91"/>
      <c r="U4971" s="91"/>
      <c r="V4971" s="41"/>
      <c r="W4971" s="37"/>
      <c r="X4971" s="37"/>
      <c r="Y4971" s="43"/>
      <c r="Z4971" s="37"/>
      <c r="AA4971" s="37"/>
      <c r="AD4971" s="37"/>
      <c r="AE4971" s="37"/>
      <c r="AF4971" s="37"/>
    </row>
    <row r="4972" spans="1:32" x14ac:dyDescent="0.25">
      <c r="A4972" s="37"/>
      <c r="B4972" s="37"/>
      <c r="C4972" s="37"/>
      <c r="F4972" s="38"/>
      <c r="G4972" s="38"/>
      <c r="H4972" s="38"/>
      <c r="I4972" s="37"/>
      <c r="J4972" s="38"/>
      <c r="K4972" s="38"/>
      <c r="L4972" s="42"/>
      <c r="M4972" s="42"/>
      <c r="N4972" s="42"/>
      <c r="O4972" s="42"/>
      <c r="R4972" s="37"/>
      <c r="S4972" s="37"/>
      <c r="T4972" s="91"/>
      <c r="U4972" s="91"/>
      <c r="V4972" s="41"/>
      <c r="W4972" s="37"/>
      <c r="X4972" s="37"/>
      <c r="Y4972" s="43"/>
      <c r="Z4972" s="37"/>
      <c r="AA4972" s="37"/>
      <c r="AD4972" s="37"/>
      <c r="AE4972" s="37"/>
      <c r="AF4972" s="37"/>
    </row>
    <row r="4973" spans="1:32" x14ac:dyDescent="0.25">
      <c r="A4973" s="37"/>
      <c r="B4973" s="37"/>
      <c r="C4973" s="37"/>
      <c r="F4973" s="38"/>
      <c r="G4973" s="38"/>
      <c r="H4973" s="38"/>
      <c r="I4973" s="37"/>
      <c r="J4973" s="38"/>
      <c r="K4973" s="38"/>
      <c r="L4973" s="42"/>
      <c r="M4973" s="42"/>
      <c r="N4973" s="42"/>
      <c r="O4973" s="42"/>
      <c r="R4973" s="37"/>
      <c r="S4973" s="37"/>
      <c r="T4973" s="91"/>
      <c r="U4973" s="91"/>
      <c r="V4973" s="41"/>
      <c r="W4973" s="37"/>
      <c r="X4973" s="37"/>
      <c r="Y4973" s="43"/>
      <c r="Z4973" s="37"/>
      <c r="AA4973" s="37"/>
      <c r="AD4973" s="37"/>
      <c r="AE4973" s="37"/>
      <c r="AF4973" s="37"/>
    </row>
    <row r="4974" spans="1:32" x14ac:dyDescent="0.25">
      <c r="A4974" s="37"/>
      <c r="B4974" s="37"/>
      <c r="C4974" s="37"/>
      <c r="F4974" s="38"/>
      <c r="G4974" s="38"/>
      <c r="H4974" s="38"/>
      <c r="I4974" s="37"/>
      <c r="J4974" s="38"/>
      <c r="K4974" s="38"/>
      <c r="L4974" s="42"/>
      <c r="M4974" s="42"/>
      <c r="N4974" s="42"/>
      <c r="O4974" s="42"/>
      <c r="R4974" s="37"/>
      <c r="S4974" s="37"/>
      <c r="T4974" s="91"/>
      <c r="U4974" s="91"/>
      <c r="V4974" s="41"/>
      <c r="W4974" s="37"/>
      <c r="X4974" s="37"/>
      <c r="Y4974" s="43"/>
      <c r="Z4974" s="37"/>
      <c r="AA4974" s="37"/>
      <c r="AD4974" s="37"/>
      <c r="AE4974" s="37"/>
      <c r="AF4974" s="37"/>
    </row>
    <row r="4975" spans="1:32" x14ac:dyDescent="0.25">
      <c r="A4975" s="37"/>
      <c r="B4975" s="37"/>
      <c r="C4975" s="37"/>
      <c r="F4975" s="38"/>
      <c r="G4975" s="38"/>
      <c r="H4975" s="38"/>
      <c r="I4975" s="37"/>
      <c r="J4975" s="38"/>
      <c r="K4975" s="38"/>
      <c r="L4975" s="42"/>
      <c r="M4975" s="42"/>
      <c r="N4975" s="42"/>
      <c r="O4975" s="42"/>
      <c r="R4975" s="37"/>
      <c r="S4975" s="37"/>
      <c r="T4975" s="91"/>
      <c r="U4975" s="91"/>
      <c r="V4975" s="41"/>
      <c r="W4975" s="37"/>
      <c r="X4975" s="37"/>
      <c r="Y4975" s="43"/>
      <c r="Z4975" s="37"/>
      <c r="AA4975" s="37"/>
      <c r="AD4975" s="37"/>
      <c r="AE4975" s="37"/>
      <c r="AF4975" s="37"/>
    </row>
    <row r="4976" spans="1:32" x14ac:dyDescent="0.25">
      <c r="A4976" s="37"/>
      <c r="B4976" s="37"/>
      <c r="C4976" s="37"/>
      <c r="F4976" s="38"/>
      <c r="G4976" s="38"/>
      <c r="H4976" s="38"/>
      <c r="I4976" s="37"/>
      <c r="J4976" s="38"/>
      <c r="K4976" s="38"/>
      <c r="L4976" s="42"/>
      <c r="M4976" s="42"/>
      <c r="N4976" s="42"/>
      <c r="O4976" s="42"/>
      <c r="R4976" s="37"/>
      <c r="S4976" s="37"/>
      <c r="T4976" s="91"/>
      <c r="U4976" s="91"/>
      <c r="V4976" s="41"/>
      <c r="W4976" s="37"/>
      <c r="X4976" s="37"/>
      <c r="Y4976" s="43"/>
      <c r="Z4976" s="37"/>
      <c r="AA4976" s="37"/>
      <c r="AD4976" s="37"/>
      <c r="AE4976" s="37"/>
      <c r="AF4976" s="37"/>
    </row>
    <row r="4977" spans="1:32" x14ac:dyDescent="0.25">
      <c r="A4977" s="37"/>
      <c r="B4977" s="37"/>
      <c r="C4977" s="37"/>
      <c r="F4977" s="38"/>
      <c r="G4977" s="38"/>
      <c r="H4977" s="38"/>
      <c r="I4977" s="37"/>
      <c r="J4977" s="38"/>
      <c r="K4977" s="38"/>
      <c r="L4977" s="42"/>
      <c r="M4977" s="42"/>
      <c r="N4977" s="42"/>
      <c r="O4977" s="42"/>
      <c r="R4977" s="37"/>
      <c r="S4977" s="37"/>
      <c r="T4977" s="91"/>
      <c r="U4977" s="91"/>
      <c r="V4977" s="41"/>
      <c r="W4977" s="37"/>
      <c r="X4977" s="37"/>
      <c r="Y4977" s="43"/>
      <c r="Z4977" s="37"/>
      <c r="AA4977" s="37"/>
      <c r="AD4977" s="37"/>
      <c r="AE4977" s="37"/>
      <c r="AF4977" s="37"/>
    </row>
    <row r="4978" spans="1:32" x14ac:dyDescent="0.25">
      <c r="A4978" s="37"/>
      <c r="B4978" s="37"/>
      <c r="C4978" s="37"/>
      <c r="F4978" s="38"/>
      <c r="G4978" s="38"/>
      <c r="H4978" s="38"/>
      <c r="I4978" s="37"/>
      <c r="J4978" s="38"/>
      <c r="K4978" s="38"/>
      <c r="L4978" s="42"/>
      <c r="M4978" s="42"/>
      <c r="N4978" s="42"/>
      <c r="O4978" s="42"/>
      <c r="R4978" s="37"/>
      <c r="S4978" s="37"/>
      <c r="T4978" s="91"/>
      <c r="U4978" s="91"/>
      <c r="V4978" s="41"/>
      <c r="W4978" s="37"/>
      <c r="X4978" s="37"/>
      <c r="Y4978" s="43"/>
      <c r="Z4978" s="37"/>
      <c r="AA4978" s="37"/>
      <c r="AD4978" s="37"/>
      <c r="AE4978" s="37"/>
      <c r="AF4978" s="37"/>
    </row>
    <row r="4979" spans="1:32" x14ac:dyDescent="0.25">
      <c r="A4979" s="37"/>
      <c r="B4979" s="37"/>
      <c r="C4979" s="37"/>
      <c r="F4979" s="38"/>
      <c r="G4979" s="38"/>
      <c r="H4979" s="38"/>
      <c r="I4979" s="37"/>
      <c r="J4979" s="38"/>
      <c r="K4979" s="38"/>
      <c r="L4979" s="42"/>
      <c r="M4979" s="42"/>
      <c r="N4979" s="42"/>
      <c r="O4979" s="42"/>
      <c r="R4979" s="37"/>
      <c r="S4979" s="37"/>
      <c r="T4979" s="91"/>
      <c r="U4979" s="91"/>
      <c r="V4979" s="41"/>
      <c r="W4979" s="37"/>
      <c r="X4979" s="37"/>
      <c r="Y4979" s="43"/>
      <c r="Z4979" s="37"/>
      <c r="AA4979" s="37"/>
      <c r="AD4979" s="37"/>
      <c r="AE4979" s="37"/>
      <c r="AF4979" s="37"/>
    </row>
    <row r="4980" spans="1:32" x14ac:dyDescent="0.25">
      <c r="A4980" s="37"/>
      <c r="B4980" s="37"/>
      <c r="C4980" s="37"/>
      <c r="F4980" s="38"/>
      <c r="G4980" s="38"/>
      <c r="H4980" s="38"/>
      <c r="I4980" s="37"/>
      <c r="J4980" s="38"/>
      <c r="K4980" s="38"/>
      <c r="L4980" s="42"/>
      <c r="M4980" s="42"/>
      <c r="N4980" s="42"/>
      <c r="O4980" s="42"/>
      <c r="R4980" s="37"/>
      <c r="S4980" s="37"/>
      <c r="T4980" s="91"/>
      <c r="U4980" s="91"/>
      <c r="V4980" s="41"/>
      <c r="W4980" s="37"/>
      <c r="X4980" s="37"/>
      <c r="Y4980" s="43"/>
      <c r="Z4980" s="37"/>
      <c r="AA4980" s="37"/>
      <c r="AD4980" s="37"/>
      <c r="AE4980" s="37"/>
      <c r="AF4980" s="37"/>
    </row>
    <row r="4981" spans="1:32" x14ac:dyDescent="0.25">
      <c r="A4981" s="37"/>
      <c r="B4981" s="37"/>
      <c r="C4981" s="37"/>
      <c r="F4981" s="38"/>
      <c r="G4981" s="38"/>
      <c r="H4981" s="38"/>
      <c r="I4981" s="37"/>
      <c r="J4981" s="38"/>
      <c r="K4981" s="38"/>
      <c r="L4981" s="42"/>
      <c r="M4981" s="42"/>
      <c r="N4981" s="42"/>
      <c r="O4981" s="42"/>
      <c r="R4981" s="37"/>
      <c r="S4981" s="37"/>
      <c r="T4981" s="91"/>
      <c r="U4981" s="91"/>
      <c r="V4981" s="41"/>
      <c r="W4981" s="37"/>
      <c r="X4981" s="37"/>
      <c r="Y4981" s="43"/>
      <c r="Z4981" s="37"/>
      <c r="AA4981" s="37"/>
      <c r="AD4981" s="37"/>
      <c r="AE4981" s="37"/>
      <c r="AF4981" s="37"/>
    </row>
    <row r="4982" spans="1:32" x14ac:dyDescent="0.25">
      <c r="A4982" s="37"/>
      <c r="B4982" s="37"/>
      <c r="C4982" s="37"/>
      <c r="F4982" s="38"/>
      <c r="G4982" s="38"/>
      <c r="H4982" s="38"/>
      <c r="I4982" s="37"/>
      <c r="J4982" s="38"/>
      <c r="K4982" s="38"/>
      <c r="L4982" s="42"/>
      <c r="M4982" s="42"/>
      <c r="N4982" s="42"/>
      <c r="O4982" s="42"/>
      <c r="R4982" s="37"/>
      <c r="S4982" s="37"/>
      <c r="T4982" s="91"/>
      <c r="U4982" s="91"/>
      <c r="V4982" s="41"/>
      <c r="W4982" s="37"/>
      <c r="X4982" s="37"/>
      <c r="Y4982" s="43"/>
      <c r="Z4982" s="37"/>
      <c r="AA4982" s="37"/>
      <c r="AD4982" s="37"/>
      <c r="AE4982" s="37"/>
      <c r="AF4982" s="37"/>
    </row>
    <row r="4983" spans="1:32" x14ac:dyDescent="0.25">
      <c r="A4983" s="37"/>
      <c r="B4983" s="37"/>
      <c r="C4983" s="37"/>
      <c r="F4983" s="38"/>
      <c r="G4983" s="38"/>
      <c r="H4983" s="38"/>
      <c r="I4983" s="37"/>
      <c r="J4983" s="38"/>
      <c r="K4983" s="38"/>
      <c r="L4983" s="42"/>
      <c r="M4983" s="42"/>
      <c r="N4983" s="42"/>
      <c r="O4983" s="42"/>
      <c r="R4983" s="37"/>
      <c r="S4983" s="37"/>
      <c r="T4983" s="91"/>
      <c r="U4983" s="91"/>
      <c r="V4983" s="41"/>
      <c r="W4983" s="37"/>
      <c r="X4983" s="37"/>
      <c r="Y4983" s="43"/>
      <c r="Z4983" s="37"/>
      <c r="AA4983" s="37"/>
      <c r="AD4983" s="37"/>
      <c r="AE4983" s="37"/>
      <c r="AF4983" s="37"/>
    </row>
    <row r="4984" spans="1:32" x14ac:dyDescent="0.25">
      <c r="A4984" s="37"/>
      <c r="B4984" s="37"/>
      <c r="C4984" s="37"/>
      <c r="F4984" s="38"/>
      <c r="G4984" s="38"/>
      <c r="H4984" s="38"/>
      <c r="I4984" s="37"/>
      <c r="J4984" s="38"/>
      <c r="K4984" s="38"/>
      <c r="L4984" s="42"/>
      <c r="M4984" s="42"/>
      <c r="N4984" s="42"/>
      <c r="O4984" s="42"/>
      <c r="R4984" s="37"/>
      <c r="S4984" s="37"/>
      <c r="T4984" s="91"/>
      <c r="U4984" s="91"/>
      <c r="V4984" s="41"/>
      <c r="W4984" s="37"/>
      <c r="X4984" s="37"/>
      <c r="Y4984" s="43"/>
      <c r="Z4984" s="37"/>
      <c r="AA4984" s="37"/>
      <c r="AD4984" s="37"/>
      <c r="AE4984" s="37"/>
      <c r="AF4984" s="37"/>
    </row>
    <row r="4985" spans="1:32" x14ac:dyDescent="0.25">
      <c r="A4985" s="37"/>
      <c r="B4985" s="37"/>
      <c r="C4985" s="37"/>
      <c r="F4985" s="38"/>
      <c r="G4985" s="38"/>
      <c r="H4985" s="38"/>
      <c r="I4985" s="37"/>
      <c r="J4985" s="38"/>
      <c r="K4985" s="38"/>
      <c r="L4985" s="42"/>
      <c r="M4985" s="42"/>
      <c r="N4985" s="42"/>
      <c r="O4985" s="42"/>
      <c r="R4985" s="37"/>
      <c r="S4985" s="37"/>
      <c r="T4985" s="91"/>
      <c r="U4985" s="91"/>
      <c r="V4985" s="41"/>
      <c r="W4985" s="37"/>
      <c r="X4985" s="37"/>
      <c r="Y4985" s="43"/>
      <c r="Z4985" s="37"/>
      <c r="AA4985" s="37"/>
      <c r="AD4985" s="37"/>
      <c r="AE4985" s="37"/>
      <c r="AF4985" s="37"/>
    </row>
    <row r="4986" spans="1:32" x14ac:dyDescent="0.25">
      <c r="A4986" s="37"/>
      <c r="B4986" s="37"/>
      <c r="C4986" s="37"/>
      <c r="F4986" s="38"/>
      <c r="G4986" s="38"/>
      <c r="H4986" s="38"/>
      <c r="I4986" s="37"/>
      <c r="J4986" s="38"/>
      <c r="K4986" s="38"/>
      <c r="L4986" s="42"/>
      <c r="M4986" s="42"/>
      <c r="N4986" s="42"/>
      <c r="O4986" s="42"/>
      <c r="R4986" s="37"/>
      <c r="S4986" s="37"/>
      <c r="T4986" s="91"/>
      <c r="U4986" s="91"/>
      <c r="V4986" s="41"/>
      <c r="W4986" s="37"/>
      <c r="X4986" s="37"/>
      <c r="Y4986" s="43"/>
      <c r="Z4986" s="37"/>
      <c r="AA4986" s="37"/>
      <c r="AD4986" s="37"/>
      <c r="AE4986" s="37"/>
      <c r="AF4986" s="37"/>
    </row>
    <row r="4987" spans="1:32" x14ac:dyDescent="0.25">
      <c r="A4987" s="37"/>
      <c r="B4987" s="37"/>
      <c r="C4987" s="37"/>
      <c r="F4987" s="38"/>
      <c r="G4987" s="38"/>
      <c r="H4987" s="38"/>
      <c r="I4987" s="37"/>
      <c r="J4987" s="38"/>
      <c r="K4987" s="38"/>
      <c r="L4987" s="42"/>
      <c r="M4987" s="42"/>
      <c r="N4987" s="42"/>
      <c r="O4987" s="42"/>
      <c r="R4987" s="37"/>
      <c r="S4987" s="37"/>
      <c r="T4987" s="91"/>
      <c r="U4987" s="91"/>
      <c r="V4987" s="41"/>
      <c r="W4987" s="37"/>
      <c r="X4987" s="37"/>
      <c r="Y4987" s="43"/>
      <c r="Z4987" s="37"/>
      <c r="AA4987" s="37"/>
      <c r="AD4987" s="37"/>
      <c r="AE4987" s="37"/>
      <c r="AF4987" s="37"/>
    </row>
    <row r="4988" spans="1:32" x14ac:dyDescent="0.25">
      <c r="A4988" s="37"/>
      <c r="B4988" s="37"/>
      <c r="C4988" s="37"/>
      <c r="F4988" s="38"/>
      <c r="G4988" s="38"/>
      <c r="H4988" s="38"/>
      <c r="I4988" s="37"/>
      <c r="J4988" s="38"/>
      <c r="K4988" s="38"/>
      <c r="L4988" s="42"/>
      <c r="M4988" s="42"/>
      <c r="N4988" s="42"/>
      <c r="O4988" s="42"/>
      <c r="R4988" s="37"/>
      <c r="S4988" s="37"/>
      <c r="T4988" s="91"/>
      <c r="U4988" s="91"/>
      <c r="V4988" s="41"/>
      <c r="W4988" s="37"/>
      <c r="X4988" s="37"/>
      <c r="Y4988" s="43"/>
      <c r="Z4988" s="37"/>
      <c r="AA4988" s="37"/>
      <c r="AD4988" s="37"/>
      <c r="AE4988" s="37"/>
      <c r="AF4988" s="37"/>
    </row>
    <row r="4989" spans="1:32" x14ac:dyDescent="0.25">
      <c r="A4989" s="37"/>
      <c r="B4989" s="37"/>
      <c r="C4989" s="37"/>
      <c r="F4989" s="38"/>
      <c r="G4989" s="38"/>
      <c r="H4989" s="38"/>
      <c r="I4989" s="37"/>
      <c r="J4989" s="38"/>
      <c r="K4989" s="38"/>
      <c r="L4989" s="42"/>
      <c r="M4989" s="42"/>
      <c r="N4989" s="42"/>
      <c r="O4989" s="42"/>
      <c r="R4989" s="37"/>
      <c r="S4989" s="37"/>
      <c r="T4989" s="91"/>
      <c r="U4989" s="91"/>
      <c r="V4989" s="41"/>
      <c r="W4989" s="37"/>
      <c r="X4989" s="37"/>
      <c r="Y4989" s="43"/>
      <c r="Z4989" s="37"/>
      <c r="AA4989" s="37"/>
      <c r="AD4989" s="37"/>
      <c r="AE4989" s="37"/>
      <c r="AF4989" s="37"/>
    </row>
    <row r="4990" spans="1:32" x14ac:dyDescent="0.25">
      <c r="A4990" s="37"/>
      <c r="B4990" s="37"/>
      <c r="C4990" s="37"/>
      <c r="F4990" s="38"/>
      <c r="G4990" s="38"/>
      <c r="H4990" s="38"/>
      <c r="I4990" s="37"/>
      <c r="J4990" s="38"/>
      <c r="K4990" s="38"/>
      <c r="L4990" s="42"/>
      <c r="M4990" s="42"/>
      <c r="N4990" s="42"/>
      <c r="O4990" s="42"/>
      <c r="R4990" s="37"/>
      <c r="S4990" s="37"/>
      <c r="T4990" s="91"/>
      <c r="U4990" s="91"/>
      <c r="V4990" s="41"/>
      <c r="W4990" s="37"/>
      <c r="X4990" s="37"/>
      <c r="Y4990" s="43"/>
      <c r="Z4990" s="37"/>
      <c r="AA4990" s="37"/>
      <c r="AD4990" s="37"/>
      <c r="AE4990" s="37"/>
      <c r="AF4990" s="37"/>
    </row>
    <row r="4991" spans="1:32" x14ac:dyDescent="0.25">
      <c r="A4991" s="37"/>
      <c r="B4991" s="37"/>
      <c r="C4991" s="37"/>
      <c r="F4991" s="38"/>
      <c r="G4991" s="38"/>
      <c r="H4991" s="38"/>
      <c r="I4991" s="37"/>
      <c r="J4991" s="38"/>
      <c r="K4991" s="38"/>
      <c r="L4991" s="42"/>
      <c r="M4991" s="42"/>
      <c r="N4991" s="42"/>
      <c r="O4991" s="42"/>
      <c r="R4991" s="37"/>
      <c r="S4991" s="37"/>
      <c r="T4991" s="91"/>
      <c r="U4991" s="91"/>
      <c r="V4991" s="41"/>
      <c r="W4991" s="37"/>
      <c r="X4991" s="37"/>
      <c r="Y4991" s="43"/>
      <c r="Z4991" s="37"/>
      <c r="AA4991" s="37"/>
      <c r="AD4991" s="37"/>
      <c r="AE4991" s="37"/>
      <c r="AF4991" s="37"/>
    </row>
    <row r="4992" spans="1:32" x14ac:dyDescent="0.25">
      <c r="A4992" s="37"/>
      <c r="B4992" s="37"/>
      <c r="C4992" s="37"/>
      <c r="F4992" s="38"/>
      <c r="G4992" s="38"/>
      <c r="H4992" s="38"/>
      <c r="I4992" s="37"/>
      <c r="J4992" s="38"/>
      <c r="K4992" s="38"/>
      <c r="L4992" s="42"/>
      <c r="M4992" s="42"/>
      <c r="N4992" s="42"/>
      <c r="O4992" s="42"/>
      <c r="R4992" s="37"/>
      <c r="S4992" s="37"/>
      <c r="T4992" s="91"/>
      <c r="U4992" s="91"/>
      <c r="V4992" s="41"/>
      <c r="W4992" s="37"/>
      <c r="X4992" s="37"/>
      <c r="Y4992" s="43"/>
      <c r="Z4992" s="37"/>
      <c r="AA4992" s="37"/>
      <c r="AD4992" s="37"/>
      <c r="AE4992" s="37"/>
      <c r="AF4992" s="37"/>
    </row>
    <row r="4993" spans="1:32" x14ac:dyDescent="0.25">
      <c r="A4993" s="37"/>
      <c r="B4993" s="37"/>
      <c r="C4993" s="37"/>
      <c r="F4993" s="38"/>
      <c r="G4993" s="38"/>
      <c r="H4993" s="38"/>
      <c r="I4993" s="37"/>
      <c r="J4993" s="38"/>
      <c r="K4993" s="38"/>
      <c r="L4993" s="42"/>
      <c r="M4993" s="42"/>
      <c r="N4993" s="42"/>
      <c r="O4993" s="42"/>
      <c r="R4993" s="37"/>
      <c r="S4993" s="37"/>
      <c r="T4993" s="91"/>
      <c r="U4993" s="91"/>
      <c r="V4993" s="41"/>
      <c r="W4993" s="37"/>
      <c r="X4993" s="37"/>
      <c r="Y4993" s="43"/>
      <c r="Z4993" s="37"/>
      <c r="AA4993" s="37"/>
      <c r="AD4993" s="37"/>
      <c r="AE4993" s="37"/>
      <c r="AF4993" s="37"/>
    </row>
    <row r="4994" spans="1:32" x14ac:dyDescent="0.25">
      <c r="A4994" s="37"/>
      <c r="B4994" s="37"/>
      <c r="C4994" s="37"/>
      <c r="F4994" s="38"/>
      <c r="G4994" s="38"/>
      <c r="H4994" s="38"/>
      <c r="I4994" s="37"/>
      <c r="J4994" s="38"/>
      <c r="K4994" s="38"/>
      <c r="L4994" s="42"/>
      <c r="M4994" s="42"/>
      <c r="N4994" s="42"/>
      <c r="O4994" s="42"/>
      <c r="R4994" s="37"/>
      <c r="S4994" s="37"/>
      <c r="T4994" s="91"/>
      <c r="U4994" s="91"/>
      <c r="V4994" s="41"/>
      <c r="W4994" s="37"/>
      <c r="X4994" s="37"/>
      <c r="Y4994" s="43"/>
      <c r="Z4994" s="37"/>
      <c r="AA4994" s="37"/>
      <c r="AD4994" s="37"/>
      <c r="AE4994" s="37"/>
      <c r="AF4994" s="37"/>
    </row>
    <row r="4995" spans="1:32" x14ac:dyDescent="0.25">
      <c r="A4995" s="37"/>
      <c r="B4995" s="37"/>
      <c r="C4995" s="37"/>
      <c r="F4995" s="38"/>
      <c r="G4995" s="38"/>
      <c r="H4995" s="38"/>
      <c r="I4995" s="37"/>
      <c r="J4995" s="38"/>
      <c r="K4995" s="38"/>
      <c r="L4995" s="42"/>
      <c r="M4995" s="42"/>
      <c r="N4995" s="42"/>
      <c r="O4995" s="42"/>
      <c r="R4995" s="37"/>
      <c r="S4995" s="37"/>
      <c r="T4995" s="91"/>
      <c r="U4995" s="91"/>
      <c r="V4995" s="41"/>
      <c r="W4995" s="37"/>
      <c r="X4995" s="37"/>
      <c r="Y4995" s="43"/>
      <c r="Z4995" s="37"/>
      <c r="AA4995" s="37"/>
      <c r="AD4995" s="37"/>
      <c r="AE4995" s="37"/>
      <c r="AF4995" s="37"/>
    </row>
    <row r="4996" spans="1:32" x14ac:dyDescent="0.25">
      <c r="A4996" s="37"/>
      <c r="B4996" s="37"/>
      <c r="C4996" s="37"/>
      <c r="F4996" s="38"/>
      <c r="G4996" s="38"/>
      <c r="H4996" s="38"/>
      <c r="I4996" s="37"/>
      <c r="J4996" s="38"/>
      <c r="K4996" s="38"/>
      <c r="L4996" s="42"/>
      <c r="M4996" s="42"/>
      <c r="N4996" s="42"/>
      <c r="O4996" s="42"/>
      <c r="R4996" s="37"/>
      <c r="S4996" s="37"/>
      <c r="T4996" s="91"/>
      <c r="U4996" s="91"/>
      <c r="V4996" s="41"/>
      <c r="W4996" s="37"/>
      <c r="X4996" s="37"/>
      <c r="Y4996" s="43"/>
      <c r="Z4996" s="37"/>
      <c r="AA4996" s="37"/>
      <c r="AD4996" s="37"/>
      <c r="AE4996" s="37"/>
      <c r="AF4996" s="37"/>
    </row>
    <row r="4997" spans="1:32" x14ac:dyDescent="0.25">
      <c r="A4997" s="37"/>
      <c r="B4997" s="37"/>
      <c r="C4997" s="37"/>
      <c r="F4997" s="38"/>
      <c r="G4997" s="38"/>
      <c r="H4997" s="38"/>
      <c r="I4997" s="37"/>
      <c r="J4997" s="38"/>
      <c r="K4997" s="38"/>
      <c r="L4997" s="42"/>
      <c r="M4997" s="42"/>
      <c r="N4997" s="42"/>
      <c r="O4997" s="42"/>
      <c r="R4997" s="37"/>
      <c r="S4997" s="37"/>
      <c r="T4997" s="91"/>
      <c r="U4997" s="91"/>
      <c r="V4997" s="41"/>
      <c r="W4997" s="37"/>
      <c r="X4997" s="37"/>
      <c r="Y4997" s="43"/>
      <c r="Z4997" s="37"/>
      <c r="AA4997" s="37"/>
      <c r="AD4997" s="37"/>
      <c r="AE4997" s="37"/>
      <c r="AF4997" s="37"/>
    </row>
    <row r="4998" spans="1:32" x14ac:dyDescent="0.25">
      <c r="A4998" s="37"/>
      <c r="B4998" s="37"/>
      <c r="C4998" s="37"/>
      <c r="F4998" s="38"/>
      <c r="G4998" s="38"/>
      <c r="H4998" s="38"/>
      <c r="I4998" s="37"/>
      <c r="J4998" s="38"/>
      <c r="K4998" s="38"/>
      <c r="L4998" s="42"/>
      <c r="M4998" s="42"/>
      <c r="N4998" s="42"/>
      <c r="O4998" s="42"/>
      <c r="R4998" s="37"/>
      <c r="S4998" s="37"/>
      <c r="T4998" s="91"/>
      <c r="U4998" s="91"/>
      <c r="V4998" s="41"/>
      <c r="W4998" s="37"/>
      <c r="X4998" s="37"/>
      <c r="Y4998" s="43"/>
      <c r="Z4998" s="37"/>
      <c r="AA4998" s="37"/>
      <c r="AD4998" s="37"/>
      <c r="AE4998" s="37"/>
      <c r="AF4998" s="37"/>
    </row>
    <row r="4999" spans="1:32" x14ac:dyDescent="0.25">
      <c r="A4999" s="37"/>
      <c r="B4999" s="37"/>
      <c r="C4999" s="37"/>
      <c r="F4999" s="38"/>
      <c r="G4999" s="38"/>
      <c r="H4999" s="38"/>
      <c r="I4999" s="37"/>
      <c r="J4999" s="38"/>
      <c r="K4999" s="38"/>
      <c r="L4999" s="42"/>
      <c r="M4999" s="42"/>
      <c r="N4999" s="42"/>
      <c r="O4999" s="42"/>
      <c r="R4999" s="37"/>
      <c r="S4999" s="37"/>
      <c r="T4999" s="91"/>
      <c r="U4999" s="91"/>
      <c r="V4999" s="41"/>
      <c r="W4999" s="37"/>
      <c r="X4999" s="37"/>
      <c r="Y4999" s="43"/>
      <c r="Z4999" s="37"/>
      <c r="AA4999" s="37"/>
      <c r="AD4999" s="37"/>
      <c r="AE4999" s="37"/>
      <c r="AF4999" s="37"/>
    </row>
    <row r="5000" spans="1:32" x14ac:dyDescent="0.25">
      <c r="A5000" s="37"/>
      <c r="B5000" s="37"/>
      <c r="C5000" s="37"/>
      <c r="F5000" s="38"/>
      <c r="G5000" s="38"/>
      <c r="H5000" s="38"/>
      <c r="I5000" s="37"/>
      <c r="J5000" s="38"/>
      <c r="K5000" s="38"/>
      <c r="L5000" s="42"/>
      <c r="M5000" s="42"/>
      <c r="N5000" s="42"/>
      <c r="O5000" s="42"/>
      <c r="R5000" s="37"/>
      <c r="S5000" s="37"/>
      <c r="T5000" s="91"/>
      <c r="U5000" s="91"/>
      <c r="V5000" s="41"/>
      <c r="W5000" s="37"/>
      <c r="X5000" s="37"/>
      <c r="Y5000" s="43"/>
      <c r="Z5000" s="37"/>
      <c r="AA5000" s="37"/>
      <c r="AD5000" s="37"/>
      <c r="AE5000" s="37"/>
      <c r="AF5000" s="37"/>
    </row>
    <row r="5001" spans="1:32" x14ac:dyDescent="0.25">
      <c r="A5001" s="37"/>
      <c r="B5001" s="37"/>
      <c r="C5001" s="37"/>
      <c r="F5001" s="38"/>
      <c r="G5001" s="38"/>
      <c r="H5001" s="38"/>
      <c r="I5001" s="37"/>
      <c r="J5001" s="38"/>
      <c r="K5001" s="38"/>
      <c r="L5001" s="42"/>
      <c r="M5001" s="42"/>
      <c r="N5001" s="42"/>
      <c r="O5001" s="42"/>
      <c r="R5001" s="37"/>
      <c r="S5001" s="37"/>
      <c r="T5001" s="91"/>
      <c r="U5001" s="91"/>
      <c r="V5001" s="41"/>
      <c r="W5001" s="37"/>
      <c r="X5001" s="37"/>
      <c r="Y5001" s="43"/>
      <c r="Z5001" s="37"/>
      <c r="AA5001" s="37"/>
      <c r="AD5001" s="37"/>
      <c r="AE5001" s="37"/>
      <c r="AF5001" s="37"/>
    </row>
    <row r="5002" spans="1:32" x14ac:dyDescent="0.25">
      <c r="A5002" s="37"/>
      <c r="B5002" s="37"/>
      <c r="C5002" s="37"/>
      <c r="F5002" s="38"/>
      <c r="G5002" s="38"/>
      <c r="H5002" s="38"/>
      <c r="I5002" s="37"/>
      <c r="J5002" s="38"/>
      <c r="K5002" s="38"/>
      <c r="L5002" s="42"/>
      <c r="M5002" s="42"/>
      <c r="N5002" s="42"/>
      <c r="O5002" s="42"/>
      <c r="R5002" s="37"/>
      <c r="S5002" s="37"/>
      <c r="T5002" s="91"/>
      <c r="U5002" s="91"/>
      <c r="V5002" s="41"/>
      <c r="W5002" s="37"/>
      <c r="X5002" s="37"/>
      <c r="Y5002" s="43"/>
      <c r="Z5002" s="37"/>
      <c r="AA5002" s="37"/>
      <c r="AD5002" s="37"/>
      <c r="AE5002" s="37"/>
      <c r="AF5002" s="37"/>
    </row>
    <row r="5003" spans="1:32" x14ac:dyDescent="0.25">
      <c r="A5003" s="37"/>
      <c r="B5003" s="37"/>
      <c r="C5003" s="37"/>
      <c r="F5003" s="38"/>
      <c r="G5003" s="38"/>
      <c r="H5003" s="38"/>
      <c r="I5003" s="37"/>
      <c r="J5003" s="38"/>
      <c r="K5003" s="38"/>
      <c r="L5003" s="42"/>
      <c r="M5003" s="42"/>
      <c r="N5003" s="42"/>
      <c r="O5003" s="42"/>
      <c r="R5003" s="37"/>
      <c r="S5003" s="37"/>
      <c r="T5003" s="91"/>
      <c r="U5003" s="91"/>
      <c r="V5003" s="41"/>
      <c r="W5003" s="37"/>
      <c r="X5003" s="37"/>
      <c r="Y5003" s="43"/>
      <c r="Z5003" s="37"/>
      <c r="AA5003" s="37"/>
      <c r="AD5003" s="37"/>
      <c r="AE5003" s="37"/>
      <c r="AF5003" s="37"/>
    </row>
    <row r="5004" spans="1:32" x14ac:dyDescent="0.25">
      <c r="A5004" s="37"/>
      <c r="B5004" s="37"/>
      <c r="C5004" s="37"/>
      <c r="F5004" s="38"/>
      <c r="G5004" s="38"/>
      <c r="H5004" s="38"/>
      <c r="I5004" s="37"/>
      <c r="J5004" s="38"/>
      <c r="K5004" s="38"/>
      <c r="L5004" s="42"/>
      <c r="M5004" s="42"/>
      <c r="N5004" s="42"/>
      <c r="O5004" s="42"/>
      <c r="R5004" s="37"/>
      <c r="S5004" s="37"/>
      <c r="T5004" s="91"/>
      <c r="U5004" s="91"/>
      <c r="V5004" s="41"/>
      <c r="W5004" s="37"/>
      <c r="X5004" s="37"/>
      <c r="Y5004" s="43"/>
      <c r="Z5004" s="37"/>
      <c r="AA5004" s="37"/>
      <c r="AD5004" s="37"/>
      <c r="AE5004" s="37"/>
      <c r="AF5004" s="37"/>
    </row>
    <row r="5005" spans="1:32" x14ac:dyDescent="0.25">
      <c r="A5005" s="37"/>
      <c r="B5005" s="37"/>
      <c r="C5005" s="37"/>
      <c r="F5005" s="38"/>
      <c r="G5005" s="38"/>
      <c r="H5005" s="38"/>
      <c r="I5005" s="37"/>
      <c r="J5005" s="38"/>
      <c r="K5005" s="38"/>
      <c r="L5005" s="42"/>
      <c r="M5005" s="42"/>
      <c r="N5005" s="42"/>
      <c r="O5005" s="42"/>
      <c r="R5005" s="37"/>
      <c r="S5005" s="37"/>
      <c r="T5005" s="91"/>
      <c r="U5005" s="91"/>
      <c r="V5005" s="41"/>
      <c r="W5005" s="37"/>
      <c r="X5005" s="37"/>
      <c r="Y5005" s="43"/>
      <c r="Z5005" s="37"/>
      <c r="AA5005" s="37"/>
      <c r="AD5005" s="37"/>
      <c r="AE5005" s="37"/>
      <c r="AF5005" s="37"/>
    </row>
    <row r="5006" spans="1:32" x14ac:dyDescent="0.25">
      <c r="A5006" s="37"/>
      <c r="B5006" s="37"/>
      <c r="C5006" s="37"/>
      <c r="F5006" s="38"/>
      <c r="G5006" s="38"/>
      <c r="H5006" s="38"/>
      <c r="I5006" s="37"/>
      <c r="J5006" s="38"/>
      <c r="K5006" s="38"/>
      <c r="L5006" s="42"/>
      <c r="M5006" s="42"/>
      <c r="N5006" s="42"/>
      <c r="O5006" s="42"/>
      <c r="R5006" s="37"/>
      <c r="S5006" s="37"/>
      <c r="T5006" s="91"/>
      <c r="U5006" s="91"/>
      <c r="V5006" s="41"/>
      <c r="W5006" s="37"/>
      <c r="X5006" s="37"/>
      <c r="Y5006" s="43"/>
      <c r="Z5006" s="37"/>
      <c r="AA5006" s="37"/>
      <c r="AD5006" s="37"/>
      <c r="AE5006" s="37"/>
      <c r="AF5006" s="37"/>
    </row>
    <row r="5007" spans="1:32" x14ac:dyDescent="0.25">
      <c r="A5007" s="37"/>
      <c r="B5007" s="37"/>
      <c r="C5007" s="37"/>
      <c r="F5007" s="38"/>
      <c r="G5007" s="38"/>
      <c r="H5007" s="38"/>
      <c r="I5007" s="37"/>
      <c r="J5007" s="38"/>
      <c r="K5007" s="38"/>
      <c r="L5007" s="42"/>
      <c r="M5007" s="42"/>
      <c r="N5007" s="42"/>
      <c r="O5007" s="42"/>
      <c r="R5007" s="37"/>
      <c r="S5007" s="37"/>
      <c r="T5007" s="91"/>
      <c r="U5007" s="91"/>
      <c r="V5007" s="41"/>
      <c r="W5007" s="37"/>
      <c r="X5007" s="37"/>
      <c r="Y5007" s="43"/>
      <c r="Z5007" s="37"/>
      <c r="AA5007" s="37"/>
      <c r="AD5007" s="37"/>
      <c r="AE5007" s="37"/>
      <c r="AF5007" s="37"/>
    </row>
    <row r="5008" spans="1:32" x14ac:dyDescent="0.25">
      <c r="A5008" s="37"/>
      <c r="B5008" s="37"/>
      <c r="C5008" s="37"/>
      <c r="F5008" s="38"/>
      <c r="G5008" s="38"/>
      <c r="H5008" s="38"/>
      <c r="I5008" s="37"/>
      <c r="J5008" s="38"/>
      <c r="K5008" s="38"/>
      <c r="L5008" s="42"/>
      <c r="M5008" s="42"/>
      <c r="N5008" s="42"/>
      <c r="O5008" s="42"/>
      <c r="R5008" s="37"/>
      <c r="S5008" s="37"/>
      <c r="T5008" s="91"/>
      <c r="U5008" s="91"/>
      <c r="V5008" s="41"/>
      <c r="W5008" s="37"/>
      <c r="X5008" s="37"/>
      <c r="Y5008" s="43"/>
      <c r="Z5008" s="37"/>
      <c r="AA5008" s="37"/>
      <c r="AD5008" s="37"/>
      <c r="AE5008" s="37"/>
      <c r="AF5008" s="37"/>
    </row>
    <row r="5009" spans="1:32" x14ac:dyDescent="0.25">
      <c r="A5009" s="37"/>
      <c r="B5009" s="37"/>
      <c r="C5009" s="37"/>
      <c r="F5009" s="38"/>
      <c r="G5009" s="38"/>
      <c r="H5009" s="38"/>
      <c r="I5009" s="37"/>
      <c r="J5009" s="38"/>
      <c r="K5009" s="38"/>
      <c r="L5009" s="42"/>
      <c r="M5009" s="42"/>
      <c r="N5009" s="42"/>
      <c r="O5009" s="42"/>
      <c r="R5009" s="37"/>
      <c r="S5009" s="37"/>
      <c r="T5009" s="91"/>
      <c r="U5009" s="91"/>
      <c r="V5009" s="41"/>
      <c r="W5009" s="37"/>
      <c r="X5009" s="37"/>
      <c r="Y5009" s="43"/>
      <c r="Z5009" s="37"/>
      <c r="AA5009" s="37"/>
      <c r="AD5009" s="37"/>
      <c r="AE5009" s="37"/>
      <c r="AF5009" s="37"/>
    </row>
    <row r="5010" spans="1:32" x14ac:dyDescent="0.25">
      <c r="A5010" s="37"/>
      <c r="B5010" s="37"/>
      <c r="C5010" s="37"/>
      <c r="F5010" s="38"/>
      <c r="G5010" s="38"/>
      <c r="H5010" s="38"/>
      <c r="I5010" s="37"/>
      <c r="J5010" s="38"/>
      <c r="K5010" s="38"/>
      <c r="L5010" s="42"/>
      <c r="M5010" s="42"/>
      <c r="N5010" s="42"/>
      <c r="O5010" s="42"/>
      <c r="R5010" s="37"/>
      <c r="S5010" s="37"/>
      <c r="T5010" s="91"/>
      <c r="U5010" s="91"/>
      <c r="V5010" s="41"/>
      <c r="W5010" s="37"/>
      <c r="X5010" s="37"/>
      <c r="Y5010" s="43"/>
      <c r="Z5010" s="37"/>
      <c r="AA5010" s="37"/>
      <c r="AD5010" s="37"/>
      <c r="AE5010" s="37"/>
      <c r="AF5010" s="37"/>
    </row>
    <row r="5011" spans="1:32" x14ac:dyDescent="0.25">
      <c r="A5011" s="37"/>
      <c r="B5011" s="37"/>
      <c r="C5011" s="37"/>
      <c r="F5011" s="38"/>
      <c r="G5011" s="38"/>
      <c r="H5011" s="38"/>
      <c r="I5011" s="37"/>
      <c r="J5011" s="38"/>
      <c r="K5011" s="38"/>
      <c r="L5011" s="42"/>
      <c r="M5011" s="42"/>
      <c r="N5011" s="42"/>
      <c r="O5011" s="42"/>
      <c r="R5011" s="37"/>
      <c r="S5011" s="37"/>
      <c r="T5011" s="91"/>
      <c r="U5011" s="91"/>
      <c r="V5011" s="41"/>
      <c r="W5011" s="37"/>
      <c r="X5011" s="37"/>
      <c r="Y5011" s="43"/>
      <c r="Z5011" s="37"/>
      <c r="AA5011" s="37"/>
      <c r="AD5011" s="37"/>
      <c r="AE5011" s="37"/>
      <c r="AF5011" s="37"/>
    </row>
    <row r="5012" spans="1:32" x14ac:dyDescent="0.25">
      <c r="A5012" s="37"/>
      <c r="B5012" s="37"/>
      <c r="C5012" s="37"/>
      <c r="F5012" s="38"/>
      <c r="G5012" s="38"/>
      <c r="H5012" s="38"/>
      <c r="I5012" s="37"/>
      <c r="J5012" s="38"/>
      <c r="K5012" s="38"/>
      <c r="L5012" s="42"/>
      <c r="M5012" s="42"/>
      <c r="N5012" s="42"/>
      <c r="O5012" s="42"/>
      <c r="R5012" s="37"/>
      <c r="S5012" s="37"/>
      <c r="T5012" s="91"/>
      <c r="U5012" s="91"/>
      <c r="V5012" s="41"/>
      <c r="W5012" s="37"/>
      <c r="X5012" s="37"/>
      <c r="Y5012" s="43"/>
      <c r="Z5012" s="37"/>
      <c r="AA5012" s="37"/>
      <c r="AD5012" s="37"/>
      <c r="AE5012" s="37"/>
      <c r="AF5012" s="37"/>
    </row>
    <row r="5013" spans="1:32" x14ac:dyDescent="0.25">
      <c r="A5013" s="37"/>
      <c r="B5013" s="37"/>
      <c r="C5013" s="37"/>
      <c r="F5013" s="38"/>
      <c r="G5013" s="38"/>
      <c r="H5013" s="38"/>
      <c r="I5013" s="37"/>
      <c r="J5013" s="38"/>
      <c r="K5013" s="38"/>
      <c r="L5013" s="42"/>
      <c r="M5013" s="42"/>
      <c r="N5013" s="42"/>
      <c r="O5013" s="42"/>
      <c r="R5013" s="37"/>
      <c r="S5013" s="37"/>
      <c r="T5013" s="91"/>
      <c r="U5013" s="91"/>
      <c r="V5013" s="41"/>
      <c r="W5013" s="37"/>
      <c r="X5013" s="37"/>
      <c r="Y5013" s="43"/>
      <c r="Z5013" s="37"/>
      <c r="AA5013" s="37"/>
      <c r="AD5013" s="37"/>
      <c r="AE5013" s="37"/>
      <c r="AF5013" s="37"/>
    </row>
    <row r="5014" spans="1:32" x14ac:dyDescent="0.25">
      <c r="A5014" s="37"/>
      <c r="B5014" s="37"/>
      <c r="C5014" s="37"/>
      <c r="F5014" s="38"/>
      <c r="G5014" s="38"/>
      <c r="H5014" s="38"/>
      <c r="I5014" s="37"/>
      <c r="J5014" s="38"/>
      <c r="K5014" s="38"/>
      <c r="L5014" s="42"/>
      <c r="M5014" s="42"/>
      <c r="N5014" s="42"/>
      <c r="O5014" s="42"/>
      <c r="R5014" s="37"/>
      <c r="S5014" s="37"/>
      <c r="T5014" s="91"/>
      <c r="U5014" s="91"/>
      <c r="V5014" s="41"/>
      <c r="W5014" s="37"/>
      <c r="X5014" s="37"/>
      <c r="Y5014" s="43"/>
      <c r="Z5014" s="37"/>
      <c r="AA5014" s="37"/>
      <c r="AD5014" s="37"/>
      <c r="AE5014" s="37"/>
      <c r="AF5014" s="37"/>
    </row>
    <row r="5015" spans="1:32" x14ac:dyDescent="0.25">
      <c r="A5015" s="37"/>
      <c r="B5015" s="37"/>
      <c r="C5015" s="37"/>
      <c r="F5015" s="38"/>
      <c r="G5015" s="38"/>
      <c r="H5015" s="38"/>
      <c r="I5015" s="37"/>
      <c r="J5015" s="38"/>
      <c r="K5015" s="38"/>
      <c r="L5015" s="42"/>
      <c r="M5015" s="42"/>
      <c r="N5015" s="42"/>
      <c r="O5015" s="42"/>
      <c r="R5015" s="37"/>
      <c r="S5015" s="37"/>
      <c r="T5015" s="91"/>
      <c r="U5015" s="91"/>
      <c r="V5015" s="41"/>
      <c r="W5015" s="37"/>
      <c r="X5015" s="37"/>
      <c r="Y5015" s="43"/>
      <c r="Z5015" s="37"/>
      <c r="AA5015" s="37"/>
      <c r="AD5015" s="37"/>
      <c r="AE5015" s="37"/>
      <c r="AF5015" s="37"/>
    </row>
    <row r="5016" spans="1:32" x14ac:dyDescent="0.25">
      <c r="A5016" s="37"/>
      <c r="B5016" s="37"/>
      <c r="C5016" s="37"/>
      <c r="F5016" s="38"/>
      <c r="G5016" s="38"/>
      <c r="H5016" s="38"/>
      <c r="I5016" s="37"/>
      <c r="J5016" s="38"/>
      <c r="K5016" s="38"/>
      <c r="L5016" s="42"/>
      <c r="M5016" s="42"/>
      <c r="N5016" s="42"/>
      <c r="O5016" s="42"/>
      <c r="R5016" s="37"/>
      <c r="S5016" s="37"/>
      <c r="T5016" s="91"/>
      <c r="U5016" s="91"/>
      <c r="V5016" s="41"/>
      <c r="W5016" s="37"/>
      <c r="X5016" s="37"/>
      <c r="Y5016" s="43"/>
      <c r="Z5016" s="37"/>
      <c r="AA5016" s="37"/>
      <c r="AD5016" s="37"/>
      <c r="AE5016" s="37"/>
      <c r="AF5016" s="37"/>
    </row>
    <row r="5017" spans="1:32" x14ac:dyDescent="0.25">
      <c r="A5017" s="37"/>
      <c r="B5017" s="37"/>
      <c r="C5017" s="37"/>
      <c r="F5017" s="38"/>
      <c r="G5017" s="38"/>
      <c r="H5017" s="38"/>
      <c r="I5017" s="37"/>
      <c r="J5017" s="38"/>
      <c r="K5017" s="38"/>
      <c r="L5017" s="42"/>
      <c r="M5017" s="42"/>
      <c r="N5017" s="42"/>
      <c r="O5017" s="42"/>
      <c r="R5017" s="37"/>
      <c r="S5017" s="37"/>
      <c r="T5017" s="91"/>
      <c r="U5017" s="91"/>
      <c r="V5017" s="41"/>
      <c r="W5017" s="37"/>
      <c r="X5017" s="37"/>
      <c r="Y5017" s="43"/>
      <c r="Z5017" s="37"/>
      <c r="AA5017" s="37"/>
      <c r="AD5017" s="37"/>
      <c r="AE5017" s="37"/>
      <c r="AF5017" s="37"/>
    </row>
    <row r="5018" spans="1:32" x14ac:dyDescent="0.25">
      <c r="A5018" s="37"/>
      <c r="B5018" s="37"/>
      <c r="C5018" s="37"/>
      <c r="F5018" s="38"/>
      <c r="G5018" s="38"/>
      <c r="H5018" s="38"/>
      <c r="I5018" s="37"/>
      <c r="J5018" s="38"/>
      <c r="K5018" s="38"/>
      <c r="L5018" s="42"/>
      <c r="M5018" s="42"/>
      <c r="N5018" s="42"/>
      <c r="O5018" s="42"/>
      <c r="R5018" s="37"/>
      <c r="S5018" s="37"/>
      <c r="T5018" s="91"/>
      <c r="U5018" s="91"/>
      <c r="V5018" s="41"/>
      <c r="W5018" s="37"/>
      <c r="X5018" s="37"/>
      <c r="Y5018" s="43"/>
      <c r="Z5018" s="37"/>
      <c r="AA5018" s="37"/>
      <c r="AD5018" s="37"/>
      <c r="AE5018" s="37"/>
      <c r="AF5018" s="37"/>
    </row>
    <row r="5019" spans="1:32" x14ac:dyDescent="0.25">
      <c r="A5019" s="37"/>
      <c r="B5019" s="37"/>
      <c r="C5019" s="37"/>
      <c r="F5019" s="38"/>
      <c r="G5019" s="38"/>
      <c r="H5019" s="38"/>
      <c r="I5019" s="37"/>
      <c r="J5019" s="38"/>
      <c r="K5019" s="38"/>
      <c r="L5019" s="42"/>
      <c r="M5019" s="42"/>
      <c r="N5019" s="42"/>
      <c r="O5019" s="42"/>
      <c r="R5019" s="37"/>
      <c r="S5019" s="37"/>
      <c r="T5019" s="91"/>
      <c r="U5019" s="91"/>
      <c r="V5019" s="41"/>
      <c r="W5019" s="37"/>
      <c r="X5019" s="37"/>
      <c r="Y5019" s="43"/>
      <c r="Z5019" s="37"/>
      <c r="AA5019" s="37"/>
      <c r="AD5019" s="37"/>
      <c r="AE5019" s="37"/>
      <c r="AF5019" s="37"/>
    </row>
    <row r="5020" spans="1:32" x14ac:dyDescent="0.25">
      <c r="A5020" s="37"/>
      <c r="B5020" s="37"/>
      <c r="C5020" s="37"/>
      <c r="F5020" s="38"/>
      <c r="G5020" s="38"/>
      <c r="H5020" s="38"/>
      <c r="I5020" s="37"/>
      <c r="J5020" s="38"/>
      <c r="K5020" s="38"/>
      <c r="L5020" s="42"/>
      <c r="M5020" s="42"/>
      <c r="N5020" s="42"/>
      <c r="O5020" s="42"/>
      <c r="R5020" s="37"/>
      <c r="S5020" s="37"/>
      <c r="T5020" s="91"/>
      <c r="U5020" s="91"/>
      <c r="V5020" s="41"/>
      <c r="W5020" s="37"/>
      <c r="X5020" s="37"/>
      <c r="Y5020" s="43"/>
      <c r="Z5020" s="37"/>
      <c r="AA5020" s="37"/>
      <c r="AD5020" s="37"/>
      <c r="AE5020" s="37"/>
      <c r="AF5020" s="37"/>
    </row>
    <row r="5021" spans="1:32" x14ac:dyDescent="0.25">
      <c r="A5021" s="37"/>
      <c r="B5021" s="37"/>
      <c r="C5021" s="37"/>
      <c r="F5021" s="38"/>
      <c r="G5021" s="38"/>
      <c r="H5021" s="38"/>
      <c r="I5021" s="37"/>
      <c r="J5021" s="38"/>
      <c r="K5021" s="38"/>
      <c r="L5021" s="42"/>
      <c r="M5021" s="42"/>
      <c r="N5021" s="42"/>
      <c r="O5021" s="42"/>
      <c r="R5021" s="37"/>
      <c r="S5021" s="37"/>
      <c r="T5021" s="91"/>
      <c r="U5021" s="91"/>
      <c r="V5021" s="41"/>
      <c r="W5021" s="37"/>
      <c r="X5021" s="37"/>
      <c r="Y5021" s="43"/>
      <c r="Z5021" s="37"/>
      <c r="AA5021" s="37"/>
      <c r="AD5021" s="37"/>
      <c r="AE5021" s="37"/>
      <c r="AF5021" s="37"/>
    </row>
    <row r="5022" spans="1:32" x14ac:dyDescent="0.25">
      <c r="A5022" s="37"/>
      <c r="B5022" s="37"/>
      <c r="C5022" s="37"/>
      <c r="F5022" s="38"/>
      <c r="G5022" s="38"/>
      <c r="H5022" s="38"/>
      <c r="I5022" s="37"/>
      <c r="J5022" s="38"/>
      <c r="K5022" s="38"/>
      <c r="L5022" s="42"/>
      <c r="M5022" s="42"/>
      <c r="N5022" s="42"/>
      <c r="O5022" s="42"/>
      <c r="R5022" s="37"/>
      <c r="S5022" s="37"/>
      <c r="T5022" s="91"/>
      <c r="U5022" s="91"/>
      <c r="V5022" s="41"/>
      <c r="W5022" s="37"/>
      <c r="X5022" s="37"/>
      <c r="Y5022" s="43"/>
      <c r="Z5022" s="37"/>
      <c r="AA5022" s="37"/>
      <c r="AD5022" s="37"/>
      <c r="AE5022" s="37"/>
      <c r="AF5022" s="37"/>
    </row>
    <row r="5023" spans="1:32" x14ac:dyDescent="0.25">
      <c r="A5023" s="37"/>
      <c r="B5023" s="37"/>
      <c r="C5023" s="37"/>
      <c r="F5023" s="38"/>
      <c r="G5023" s="38"/>
      <c r="H5023" s="38"/>
      <c r="I5023" s="37"/>
      <c r="J5023" s="38"/>
      <c r="K5023" s="38"/>
      <c r="L5023" s="42"/>
      <c r="M5023" s="42"/>
      <c r="N5023" s="42"/>
      <c r="O5023" s="42"/>
      <c r="R5023" s="37"/>
      <c r="S5023" s="37"/>
      <c r="T5023" s="91"/>
      <c r="U5023" s="91"/>
      <c r="V5023" s="41"/>
      <c r="W5023" s="37"/>
      <c r="X5023" s="37"/>
      <c r="Y5023" s="43"/>
      <c r="Z5023" s="37"/>
      <c r="AA5023" s="37"/>
      <c r="AD5023" s="37"/>
      <c r="AE5023" s="37"/>
      <c r="AF5023" s="37"/>
    </row>
    <row r="5024" spans="1:32" x14ac:dyDescent="0.25">
      <c r="A5024" s="37"/>
      <c r="B5024" s="37"/>
      <c r="C5024" s="37"/>
      <c r="F5024" s="38"/>
      <c r="G5024" s="38"/>
      <c r="H5024" s="38"/>
      <c r="I5024" s="37"/>
      <c r="J5024" s="38"/>
      <c r="K5024" s="38"/>
      <c r="L5024" s="42"/>
      <c r="M5024" s="42"/>
      <c r="N5024" s="42"/>
      <c r="O5024" s="42"/>
      <c r="R5024" s="37"/>
      <c r="S5024" s="37"/>
      <c r="T5024" s="91"/>
      <c r="U5024" s="91"/>
      <c r="V5024" s="41"/>
      <c r="W5024" s="37"/>
      <c r="X5024" s="37"/>
      <c r="Y5024" s="43"/>
      <c r="Z5024" s="37"/>
      <c r="AA5024" s="37"/>
      <c r="AD5024" s="37"/>
      <c r="AE5024" s="37"/>
      <c r="AF5024" s="37"/>
    </row>
    <row r="5025" spans="1:32" x14ac:dyDescent="0.25">
      <c r="A5025" s="37"/>
      <c r="B5025" s="37"/>
      <c r="C5025" s="37"/>
      <c r="F5025" s="38"/>
      <c r="G5025" s="38"/>
      <c r="H5025" s="38"/>
      <c r="I5025" s="37"/>
      <c r="J5025" s="38"/>
      <c r="K5025" s="38"/>
      <c r="L5025" s="42"/>
      <c r="M5025" s="42"/>
      <c r="N5025" s="42"/>
      <c r="O5025" s="42"/>
      <c r="R5025" s="37"/>
      <c r="S5025" s="37"/>
      <c r="T5025" s="91"/>
      <c r="U5025" s="91"/>
      <c r="V5025" s="41"/>
      <c r="W5025" s="37"/>
      <c r="X5025" s="37"/>
      <c r="Y5025" s="43"/>
      <c r="Z5025" s="37"/>
      <c r="AA5025" s="37"/>
      <c r="AD5025" s="37"/>
      <c r="AE5025" s="37"/>
      <c r="AF5025" s="37"/>
    </row>
    <row r="5026" spans="1:32" x14ac:dyDescent="0.25">
      <c r="A5026" s="37"/>
      <c r="B5026" s="37"/>
      <c r="C5026" s="37"/>
      <c r="F5026" s="38"/>
      <c r="G5026" s="38"/>
      <c r="H5026" s="38"/>
      <c r="I5026" s="37"/>
      <c r="J5026" s="38"/>
      <c r="K5026" s="38"/>
      <c r="L5026" s="42"/>
      <c r="M5026" s="42"/>
      <c r="N5026" s="42"/>
      <c r="O5026" s="42"/>
      <c r="R5026" s="37"/>
      <c r="S5026" s="37"/>
      <c r="T5026" s="91"/>
      <c r="U5026" s="91"/>
      <c r="V5026" s="41"/>
      <c r="W5026" s="37"/>
      <c r="X5026" s="37"/>
      <c r="Y5026" s="43"/>
      <c r="Z5026" s="37"/>
      <c r="AA5026" s="37"/>
      <c r="AD5026" s="37"/>
      <c r="AE5026" s="37"/>
      <c r="AF5026" s="37"/>
    </row>
    <row r="5027" spans="1:32" x14ac:dyDescent="0.25">
      <c r="A5027" s="37"/>
      <c r="B5027" s="37"/>
      <c r="C5027" s="37"/>
      <c r="F5027" s="38"/>
      <c r="G5027" s="38"/>
      <c r="H5027" s="38"/>
      <c r="I5027" s="37"/>
      <c r="J5027" s="38"/>
      <c r="K5027" s="38"/>
      <c r="L5027" s="42"/>
      <c r="M5027" s="42"/>
      <c r="N5027" s="42"/>
      <c r="O5027" s="42"/>
      <c r="R5027" s="37"/>
      <c r="S5027" s="37"/>
      <c r="T5027" s="91"/>
      <c r="U5027" s="91"/>
      <c r="V5027" s="41"/>
      <c r="W5027" s="37"/>
      <c r="X5027" s="37"/>
      <c r="Y5027" s="43"/>
      <c r="Z5027" s="37"/>
      <c r="AA5027" s="37"/>
      <c r="AD5027" s="37"/>
      <c r="AE5027" s="37"/>
      <c r="AF5027" s="37"/>
    </row>
    <row r="5028" spans="1:32" x14ac:dyDescent="0.25">
      <c r="A5028" s="37"/>
      <c r="B5028" s="37"/>
      <c r="C5028" s="37"/>
      <c r="F5028" s="38"/>
      <c r="G5028" s="38"/>
      <c r="H5028" s="38"/>
      <c r="I5028" s="37"/>
      <c r="J5028" s="38"/>
      <c r="K5028" s="38"/>
      <c r="L5028" s="42"/>
      <c r="M5028" s="42"/>
      <c r="N5028" s="42"/>
      <c r="O5028" s="42"/>
      <c r="R5028" s="37"/>
      <c r="S5028" s="37"/>
      <c r="T5028" s="91"/>
      <c r="U5028" s="91"/>
      <c r="V5028" s="41"/>
      <c r="W5028" s="37"/>
      <c r="X5028" s="37"/>
      <c r="Y5028" s="43"/>
      <c r="Z5028" s="37"/>
      <c r="AA5028" s="37"/>
      <c r="AD5028" s="37"/>
      <c r="AE5028" s="37"/>
      <c r="AF5028" s="37"/>
    </row>
    <row r="5029" spans="1:32" x14ac:dyDescent="0.25">
      <c r="A5029" s="37"/>
      <c r="B5029" s="37"/>
      <c r="C5029" s="37"/>
      <c r="F5029" s="38"/>
      <c r="G5029" s="38"/>
      <c r="H5029" s="38"/>
      <c r="I5029" s="37"/>
      <c r="J5029" s="38"/>
      <c r="K5029" s="38"/>
      <c r="L5029" s="42"/>
      <c r="M5029" s="42"/>
      <c r="N5029" s="42"/>
      <c r="O5029" s="42"/>
      <c r="R5029" s="37"/>
      <c r="S5029" s="37"/>
      <c r="T5029" s="91"/>
      <c r="U5029" s="91"/>
      <c r="V5029" s="41"/>
      <c r="W5029" s="37"/>
      <c r="X5029" s="37"/>
      <c r="Y5029" s="43"/>
      <c r="Z5029" s="37"/>
      <c r="AA5029" s="37"/>
      <c r="AD5029" s="37"/>
      <c r="AE5029" s="37"/>
      <c r="AF5029" s="37"/>
    </row>
    <row r="5030" spans="1:32" x14ac:dyDescent="0.25">
      <c r="A5030" s="37"/>
      <c r="B5030" s="37"/>
      <c r="C5030" s="37"/>
      <c r="F5030" s="38"/>
      <c r="G5030" s="38"/>
      <c r="H5030" s="38"/>
      <c r="I5030" s="37"/>
      <c r="J5030" s="38"/>
      <c r="K5030" s="38"/>
      <c r="L5030" s="42"/>
      <c r="M5030" s="42"/>
      <c r="N5030" s="42"/>
      <c r="O5030" s="42"/>
      <c r="R5030" s="37"/>
      <c r="S5030" s="37"/>
      <c r="T5030" s="91"/>
      <c r="U5030" s="91"/>
      <c r="V5030" s="41"/>
      <c r="W5030" s="37"/>
      <c r="X5030" s="37"/>
      <c r="Y5030" s="43"/>
      <c r="Z5030" s="37"/>
      <c r="AA5030" s="37"/>
      <c r="AD5030" s="37"/>
      <c r="AE5030" s="37"/>
      <c r="AF5030" s="37"/>
    </row>
    <row r="5031" spans="1:32" x14ac:dyDescent="0.25">
      <c r="A5031" s="37"/>
      <c r="B5031" s="37"/>
      <c r="C5031" s="37"/>
      <c r="F5031" s="38"/>
      <c r="G5031" s="38"/>
      <c r="H5031" s="38"/>
      <c r="I5031" s="37"/>
      <c r="J5031" s="38"/>
      <c r="K5031" s="38"/>
      <c r="L5031" s="42"/>
      <c r="M5031" s="42"/>
      <c r="N5031" s="42"/>
      <c r="O5031" s="42"/>
      <c r="R5031" s="37"/>
      <c r="S5031" s="37"/>
      <c r="T5031" s="91"/>
      <c r="U5031" s="91"/>
      <c r="V5031" s="41"/>
      <c r="W5031" s="37"/>
      <c r="X5031" s="37"/>
      <c r="Y5031" s="43"/>
      <c r="Z5031" s="37"/>
      <c r="AA5031" s="37"/>
      <c r="AD5031" s="37"/>
      <c r="AE5031" s="37"/>
      <c r="AF5031" s="37"/>
    </row>
    <row r="5032" spans="1:32" x14ac:dyDescent="0.25">
      <c r="A5032" s="37"/>
      <c r="B5032" s="37"/>
      <c r="C5032" s="37"/>
      <c r="F5032" s="38"/>
      <c r="G5032" s="38"/>
      <c r="H5032" s="38"/>
      <c r="I5032" s="37"/>
      <c r="J5032" s="38"/>
      <c r="K5032" s="38"/>
      <c r="L5032" s="42"/>
      <c r="M5032" s="42"/>
      <c r="N5032" s="42"/>
      <c r="O5032" s="42"/>
      <c r="R5032" s="37"/>
      <c r="S5032" s="37"/>
      <c r="T5032" s="91"/>
      <c r="U5032" s="91"/>
      <c r="V5032" s="41"/>
      <c r="W5032" s="37"/>
      <c r="X5032" s="37"/>
      <c r="Y5032" s="43"/>
      <c r="Z5032" s="37"/>
      <c r="AA5032" s="37"/>
      <c r="AD5032" s="37"/>
      <c r="AE5032" s="37"/>
      <c r="AF5032" s="37"/>
    </row>
    <row r="5033" spans="1:32" x14ac:dyDescent="0.25">
      <c r="A5033" s="37"/>
      <c r="B5033" s="37"/>
      <c r="C5033" s="37"/>
      <c r="F5033" s="38"/>
      <c r="G5033" s="38"/>
      <c r="H5033" s="38"/>
      <c r="I5033" s="37"/>
      <c r="J5033" s="38"/>
      <c r="K5033" s="38"/>
      <c r="L5033" s="42"/>
      <c r="M5033" s="42"/>
      <c r="N5033" s="42"/>
      <c r="O5033" s="42"/>
      <c r="R5033" s="37"/>
      <c r="S5033" s="37"/>
      <c r="T5033" s="91"/>
      <c r="U5033" s="91"/>
      <c r="V5033" s="41"/>
      <c r="W5033" s="37"/>
      <c r="X5033" s="37"/>
      <c r="Y5033" s="43"/>
      <c r="Z5033" s="37"/>
      <c r="AA5033" s="37"/>
      <c r="AD5033" s="37"/>
      <c r="AE5033" s="37"/>
      <c r="AF5033" s="37"/>
    </row>
    <row r="5034" spans="1:32" x14ac:dyDescent="0.25">
      <c r="A5034" s="37"/>
      <c r="B5034" s="37"/>
      <c r="C5034" s="37"/>
      <c r="F5034" s="38"/>
      <c r="G5034" s="38"/>
      <c r="H5034" s="38"/>
      <c r="I5034" s="37"/>
      <c r="J5034" s="38"/>
      <c r="K5034" s="38"/>
      <c r="L5034" s="42"/>
      <c r="M5034" s="42"/>
      <c r="N5034" s="42"/>
      <c r="O5034" s="42"/>
      <c r="R5034" s="37"/>
      <c r="S5034" s="37"/>
      <c r="T5034" s="91"/>
      <c r="U5034" s="91"/>
      <c r="V5034" s="41"/>
      <c r="W5034" s="37"/>
      <c r="X5034" s="37"/>
      <c r="Y5034" s="43"/>
      <c r="Z5034" s="37"/>
      <c r="AA5034" s="37"/>
      <c r="AD5034" s="37"/>
      <c r="AE5034" s="37"/>
      <c r="AF5034" s="37"/>
    </row>
    <row r="5035" spans="1:32" x14ac:dyDescent="0.25">
      <c r="A5035" s="37"/>
      <c r="B5035" s="37"/>
      <c r="C5035" s="37"/>
      <c r="F5035" s="38"/>
      <c r="G5035" s="38"/>
      <c r="H5035" s="38"/>
      <c r="I5035" s="37"/>
      <c r="J5035" s="38"/>
      <c r="K5035" s="38"/>
      <c r="L5035" s="42"/>
      <c r="M5035" s="42"/>
      <c r="N5035" s="42"/>
      <c r="O5035" s="42"/>
      <c r="R5035" s="37"/>
      <c r="S5035" s="37"/>
      <c r="T5035" s="91"/>
      <c r="U5035" s="91"/>
      <c r="V5035" s="41"/>
      <c r="W5035" s="37"/>
      <c r="X5035" s="37"/>
      <c r="Y5035" s="43"/>
      <c r="Z5035" s="37"/>
      <c r="AA5035" s="37"/>
      <c r="AD5035" s="37"/>
      <c r="AE5035" s="37"/>
      <c r="AF5035" s="37"/>
    </row>
    <row r="5036" spans="1:32" x14ac:dyDescent="0.25">
      <c r="A5036" s="37"/>
      <c r="B5036" s="37"/>
      <c r="C5036" s="37"/>
      <c r="F5036" s="38"/>
      <c r="G5036" s="38"/>
      <c r="H5036" s="38"/>
      <c r="I5036" s="37"/>
      <c r="J5036" s="38"/>
      <c r="K5036" s="38"/>
      <c r="L5036" s="42"/>
      <c r="M5036" s="42"/>
      <c r="N5036" s="42"/>
      <c r="O5036" s="42"/>
      <c r="R5036" s="37"/>
      <c r="S5036" s="37"/>
      <c r="T5036" s="91"/>
      <c r="U5036" s="91"/>
      <c r="V5036" s="41"/>
      <c r="W5036" s="37"/>
      <c r="X5036" s="37"/>
      <c r="Y5036" s="43"/>
      <c r="Z5036" s="37"/>
      <c r="AA5036" s="37"/>
      <c r="AD5036" s="37"/>
      <c r="AE5036" s="37"/>
      <c r="AF5036" s="37"/>
    </row>
    <row r="5037" spans="1:32" x14ac:dyDescent="0.25">
      <c r="A5037" s="37"/>
      <c r="B5037" s="37"/>
      <c r="C5037" s="37"/>
      <c r="F5037" s="38"/>
      <c r="G5037" s="38"/>
      <c r="H5037" s="38"/>
      <c r="I5037" s="37"/>
      <c r="J5037" s="38"/>
      <c r="K5037" s="38"/>
      <c r="L5037" s="42"/>
      <c r="M5037" s="42"/>
      <c r="N5037" s="42"/>
      <c r="O5037" s="42"/>
      <c r="R5037" s="37"/>
      <c r="S5037" s="37"/>
      <c r="T5037" s="91"/>
      <c r="U5037" s="91"/>
      <c r="V5037" s="41"/>
      <c r="W5037" s="37"/>
      <c r="X5037" s="37"/>
      <c r="Y5037" s="43"/>
      <c r="Z5037" s="37"/>
      <c r="AA5037" s="37"/>
      <c r="AD5037" s="37"/>
      <c r="AE5037" s="37"/>
      <c r="AF5037" s="37"/>
    </row>
    <row r="5038" spans="1:32" x14ac:dyDescent="0.25">
      <c r="A5038" s="37"/>
      <c r="B5038" s="37"/>
      <c r="C5038" s="37"/>
      <c r="F5038" s="38"/>
      <c r="G5038" s="38"/>
      <c r="H5038" s="38"/>
      <c r="I5038" s="37"/>
      <c r="J5038" s="38"/>
      <c r="K5038" s="38"/>
      <c r="L5038" s="42"/>
      <c r="M5038" s="42"/>
      <c r="N5038" s="42"/>
      <c r="O5038" s="42"/>
      <c r="R5038" s="37"/>
      <c r="S5038" s="37"/>
      <c r="T5038" s="91"/>
      <c r="U5038" s="91"/>
      <c r="V5038" s="41"/>
      <c r="W5038" s="37"/>
      <c r="X5038" s="37"/>
      <c r="Y5038" s="43"/>
      <c r="Z5038" s="37"/>
      <c r="AA5038" s="37"/>
      <c r="AD5038" s="37"/>
      <c r="AE5038" s="37"/>
      <c r="AF5038" s="37"/>
    </row>
    <row r="5039" spans="1:32" x14ac:dyDescent="0.25">
      <c r="A5039" s="37"/>
      <c r="B5039" s="37"/>
      <c r="C5039" s="37"/>
      <c r="F5039" s="38"/>
      <c r="G5039" s="38"/>
      <c r="H5039" s="38"/>
      <c r="I5039" s="37"/>
      <c r="J5039" s="38"/>
      <c r="K5039" s="38"/>
      <c r="L5039" s="42"/>
      <c r="M5039" s="42"/>
      <c r="N5039" s="42"/>
      <c r="O5039" s="42"/>
      <c r="R5039" s="37"/>
      <c r="S5039" s="37"/>
      <c r="T5039" s="91"/>
      <c r="U5039" s="91"/>
      <c r="V5039" s="41"/>
      <c r="W5039" s="37"/>
      <c r="X5039" s="37"/>
      <c r="Y5039" s="43"/>
      <c r="Z5039" s="37"/>
      <c r="AA5039" s="37"/>
      <c r="AD5039" s="37"/>
      <c r="AE5039" s="37"/>
      <c r="AF5039" s="37"/>
    </row>
    <row r="5040" spans="1:32" x14ac:dyDescent="0.25">
      <c r="A5040" s="37"/>
      <c r="B5040" s="37"/>
      <c r="C5040" s="37"/>
      <c r="F5040" s="38"/>
      <c r="G5040" s="38"/>
      <c r="H5040" s="38"/>
      <c r="I5040" s="37"/>
      <c r="J5040" s="38"/>
      <c r="K5040" s="38"/>
      <c r="L5040" s="42"/>
      <c r="M5040" s="42"/>
      <c r="N5040" s="42"/>
      <c r="O5040" s="42"/>
      <c r="R5040" s="37"/>
      <c r="S5040" s="37"/>
      <c r="T5040" s="91"/>
      <c r="U5040" s="91"/>
      <c r="V5040" s="41"/>
      <c r="W5040" s="37"/>
      <c r="X5040" s="37"/>
      <c r="Y5040" s="43"/>
      <c r="Z5040" s="37"/>
      <c r="AA5040" s="37"/>
      <c r="AD5040" s="37"/>
      <c r="AE5040" s="37"/>
      <c r="AF5040" s="37"/>
    </row>
    <row r="5041" spans="1:32" x14ac:dyDescent="0.25">
      <c r="A5041" s="37"/>
      <c r="B5041" s="37"/>
      <c r="C5041" s="37"/>
      <c r="F5041" s="38"/>
      <c r="G5041" s="38"/>
      <c r="H5041" s="38"/>
      <c r="I5041" s="37"/>
      <c r="J5041" s="38"/>
      <c r="K5041" s="38"/>
      <c r="L5041" s="42"/>
      <c r="M5041" s="42"/>
      <c r="N5041" s="42"/>
      <c r="O5041" s="42"/>
      <c r="R5041" s="37"/>
      <c r="S5041" s="37"/>
      <c r="T5041" s="91"/>
      <c r="U5041" s="91"/>
      <c r="V5041" s="41"/>
      <c r="W5041" s="37"/>
      <c r="X5041" s="37"/>
      <c r="Y5041" s="43"/>
      <c r="Z5041" s="37"/>
      <c r="AA5041" s="37"/>
      <c r="AD5041" s="37"/>
      <c r="AE5041" s="37"/>
      <c r="AF5041" s="37"/>
    </row>
    <row r="5042" spans="1:32" x14ac:dyDescent="0.25">
      <c r="A5042" s="37"/>
      <c r="B5042" s="37"/>
      <c r="C5042" s="37"/>
      <c r="F5042" s="38"/>
      <c r="G5042" s="38"/>
      <c r="H5042" s="38"/>
      <c r="I5042" s="37"/>
      <c r="J5042" s="38"/>
      <c r="K5042" s="38"/>
      <c r="L5042" s="42"/>
      <c r="M5042" s="42"/>
      <c r="N5042" s="42"/>
      <c r="O5042" s="42"/>
      <c r="R5042" s="37"/>
      <c r="S5042" s="37"/>
      <c r="T5042" s="91"/>
      <c r="U5042" s="91"/>
      <c r="V5042" s="41"/>
      <c r="W5042" s="37"/>
      <c r="X5042" s="37"/>
      <c r="Y5042" s="43"/>
      <c r="Z5042" s="37"/>
      <c r="AA5042" s="37"/>
      <c r="AD5042" s="37"/>
      <c r="AE5042" s="37"/>
      <c r="AF5042" s="37"/>
    </row>
    <row r="5043" spans="1:32" x14ac:dyDescent="0.25">
      <c r="A5043" s="37"/>
      <c r="B5043" s="37"/>
      <c r="C5043" s="37"/>
      <c r="F5043" s="38"/>
      <c r="G5043" s="38"/>
      <c r="H5043" s="38"/>
      <c r="I5043" s="37"/>
      <c r="J5043" s="38"/>
      <c r="K5043" s="38"/>
      <c r="L5043" s="42"/>
      <c r="M5043" s="42"/>
      <c r="N5043" s="42"/>
      <c r="O5043" s="42"/>
      <c r="R5043" s="37"/>
      <c r="S5043" s="37"/>
      <c r="T5043" s="91"/>
      <c r="U5043" s="91"/>
      <c r="V5043" s="41"/>
      <c r="W5043" s="37"/>
      <c r="X5043" s="37"/>
      <c r="Y5043" s="43"/>
      <c r="Z5043" s="37"/>
      <c r="AA5043" s="37"/>
      <c r="AD5043" s="37"/>
      <c r="AE5043" s="37"/>
      <c r="AF5043" s="37"/>
    </row>
    <row r="5044" spans="1:32" x14ac:dyDescent="0.25">
      <c r="A5044" s="37"/>
      <c r="B5044" s="37"/>
      <c r="C5044" s="37"/>
      <c r="F5044" s="38"/>
      <c r="G5044" s="38"/>
      <c r="H5044" s="38"/>
      <c r="I5044" s="37"/>
      <c r="J5044" s="38"/>
      <c r="K5044" s="38"/>
      <c r="L5044" s="42"/>
      <c r="M5044" s="42"/>
      <c r="N5044" s="42"/>
      <c r="O5044" s="42"/>
      <c r="R5044" s="37"/>
      <c r="S5044" s="37"/>
      <c r="T5044" s="91"/>
      <c r="U5044" s="91"/>
      <c r="V5044" s="41"/>
      <c r="W5044" s="37"/>
      <c r="X5044" s="37"/>
      <c r="Y5044" s="43"/>
      <c r="Z5044" s="37"/>
      <c r="AA5044" s="37"/>
      <c r="AD5044" s="37"/>
      <c r="AE5044" s="37"/>
      <c r="AF5044" s="37"/>
    </row>
    <row r="5045" spans="1:32" x14ac:dyDescent="0.25">
      <c r="A5045" s="37"/>
      <c r="B5045" s="37"/>
      <c r="C5045" s="37"/>
      <c r="F5045" s="38"/>
      <c r="G5045" s="38"/>
      <c r="H5045" s="38"/>
      <c r="I5045" s="37"/>
      <c r="J5045" s="38"/>
      <c r="K5045" s="38"/>
      <c r="L5045" s="42"/>
      <c r="M5045" s="42"/>
      <c r="N5045" s="42"/>
      <c r="O5045" s="42"/>
      <c r="R5045" s="37"/>
      <c r="S5045" s="37"/>
      <c r="T5045" s="91"/>
      <c r="U5045" s="91"/>
      <c r="V5045" s="41"/>
      <c r="W5045" s="37"/>
      <c r="X5045" s="37"/>
      <c r="Y5045" s="43"/>
      <c r="Z5045" s="37"/>
      <c r="AA5045" s="37"/>
      <c r="AD5045" s="37"/>
      <c r="AE5045" s="37"/>
      <c r="AF5045" s="37"/>
    </row>
    <row r="5046" spans="1:32" x14ac:dyDescent="0.25">
      <c r="A5046" s="37"/>
      <c r="B5046" s="37"/>
      <c r="C5046" s="37"/>
      <c r="F5046" s="38"/>
      <c r="G5046" s="38"/>
      <c r="H5046" s="38"/>
      <c r="I5046" s="37"/>
      <c r="J5046" s="38"/>
      <c r="K5046" s="38"/>
      <c r="L5046" s="42"/>
      <c r="M5046" s="42"/>
      <c r="N5046" s="42"/>
      <c r="O5046" s="42"/>
      <c r="R5046" s="37"/>
      <c r="S5046" s="37"/>
      <c r="T5046" s="91"/>
      <c r="U5046" s="91"/>
      <c r="V5046" s="41"/>
      <c r="W5046" s="37"/>
      <c r="X5046" s="37"/>
      <c r="Y5046" s="43"/>
      <c r="Z5046" s="37"/>
      <c r="AA5046" s="37"/>
      <c r="AD5046" s="37"/>
      <c r="AE5046" s="37"/>
      <c r="AF5046" s="37"/>
    </row>
    <row r="5047" spans="1:32" x14ac:dyDescent="0.25">
      <c r="A5047" s="37"/>
      <c r="B5047" s="37"/>
      <c r="C5047" s="37"/>
      <c r="F5047" s="38"/>
      <c r="G5047" s="38"/>
      <c r="H5047" s="38"/>
      <c r="I5047" s="37"/>
      <c r="J5047" s="38"/>
      <c r="K5047" s="38"/>
      <c r="L5047" s="42"/>
      <c r="M5047" s="42"/>
      <c r="N5047" s="42"/>
      <c r="O5047" s="42"/>
      <c r="R5047" s="37"/>
      <c r="S5047" s="37"/>
      <c r="T5047" s="91"/>
      <c r="U5047" s="91"/>
      <c r="V5047" s="41"/>
      <c r="W5047" s="37"/>
      <c r="X5047" s="37"/>
      <c r="Y5047" s="43"/>
      <c r="Z5047" s="37"/>
      <c r="AA5047" s="37"/>
      <c r="AD5047" s="37"/>
      <c r="AE5047" s="37"/>
      <c r="AF5047" s="37"/>
    </row>
    <row r="5048" spans="1:32" x14ac:dyDescent="0.25">
      <c r="A5048" s="37"/>
      <c r="B5048" s="37"/>
      <c r="C5048" s="37"/>
      <c r="F5048" s="38"/>
      <c r="G5048" s="38"/>
      <c r="H5048" s="38"/>
      <c r="I5048" s="37"/>
      <c r="J5048" s="38"/>
      <c r="K5048" s="38"/>
      <c r="L5048" s="42"/>
      <c r="M5048" s="42"/>
      <c r="N5048" s="42"/>
      <c r="O5048" s="42"/>
      <c r="R5048" s="37"/>
      <c r="S5048" s="37"/>
      <c r="T5048" s="91"/>
      <c r="U5048" s="91"/>
      <c r="V5048" s="41"/>
      <c r="W5048" s="37"/>
      <c r="X5048" s="37"/>
      <c r="Y5048" s="43"/>
      <c r="Z5048" s="37"/>
      <c r="AA5048" s="37"/>
      <c r="AD5048" s="37"/>
      <c r="AE5048" s="37"/>
      <c r="AF5048" s="37"/>
    </row>
    <row r="5049" spans="1:32" x14ac:dyDescent="0.25">
      <c r="A5049" s="37"/>
      <c r="B5049" s="37"/>
      <c r="C5049" s="37"/>
      <c r="F5049" s="38"/>
      <c r="G5049" s="38"/>
      <c r="H5049" s="38"/>
      <c r="I5049" s="37"/>
      <c r="J5049" s="38"/>
      <c r="K5049" s="38"/>
      <c r="L5049" s="42"/>
      <c r="M5049" s="42"/>
      <c r="N5049" s="42"/>
      <c r="O5049" s="42"/>
      <c r="R5049" s="37"/>
      <c r="S5049" s="37"/>
      <c r="T5049" s="91"/>
      <c r="U5049" s="91"/>
      <c r="V5049" s="41"/>
      <c r="W5049" s="37"/>
      <c r="X5049" s="37"/>
      <c r="Y5049" s="43"/>
      <c r="Z5049" s="37"/>
      <c r="AA5049" s="37"/>
      <c r="AD5049" s="37"/>
      <c r="AE5049" s="37"/>
      <c r="AF5049" s="37"/>
    </row>
    <row r="5050" spans="1:32" x14ac:dyDescent="0.25">
      <c r="A5050" s="37"/>
      <c r="B5050" s="37"/>
      <c r="C5050" s="37"/>
      <c r="F5050" s="38"/>
      <c r="G5050" s="38"/>
      <c r="H5050" s="38"/>
      <c r="I5050" s="37"/>
      <c r="J5050" s="38"/>
      <c r="K5050" s="38"/>
      <c r="L5050" s="42"/>
      <c r="M5050" s="42"/>
      <c r="N5050" s="42"/>
      <c r="O5050" s="42"/>
      <c r="R5050" s="37"/>
      <c r="S5050" s="37"/>
      <c r="T5050" s="91"/>
      <c r="U5050" s="91"/>
      <c r="V5050" s="41"/>
      <c r="W5050" s="37"/>
      <c r="X5050" s="37"/>
      <c r="Y5050" s="43"/>
      <c r="Z5050" s="37"/>
      <c r="AA5050" s="37"/>
      <c r="AD5050" s="37"/>
      <c r="AE5050" s="37"/>
      <c r="AF5050" s="37"/>
    </row>
    <row r="5051" spans="1:32" x14ac:dyDescent="0.25">
      <c r="A5051" s="37"/>
      <c r="B5051" s="37"/>
      <c r="C5051" s="37"/>
      <c r="F5051" s="38"/>
      <c r="G5051" s="38"/>
      <c r="H5051" s="38"/>
      <c r="I5051" s="37"/>
      <c r="J5051" s="38"/>
      <c r="K5051" s="38"/>
      <c r="L5051" s="42"/>
      <c r="M5051" s="42"/>
      <c r="N5051" s="42"/>
      <c r="O5051" s="42"/>
      <c r="R5051" s="37"/>
      <c r="S5051" s="37"/>
      <c r="T5051" s="91"/>
      <c r="U5051" s="91"/>
      <c r="V5051" s="41"/>
      <c r="W5051" s="37"/>
      <c r="X5051" s="37"/>
      <c r="Y5051" s="43"/>
      <c r="Z5051" s="37"/>
      <c r="AA5051" s="37"/>
      <c r="AD5051" s="37"/>
      <c r="AE5051" s="37"/>
      <c r="AF5051" s="37"/>
    </row>
    <row r="5052" spans="1:32" x14ac:dyDescent="0.25">
      <c r="A5052" s="37"/>
      <c r="B5052" s="37"/>
      <c r="C5052" s="37"/>
      <c r="F5052" s="38"/>
      <c r="G5052" s="38"/>
      <c r="H5052" s="38"/>
      <c r="I5052" s="37"/>
      <c r="J5052" s="38"/>
      <c r="K5052" s="38"/>
      <c r="L5052" s="42"/>
      <c r="M5052" s="42"/>
      <c r="N5052" s="42"/>
      <c r="O5052" s="42"/>
      <c r="R5052" s="37"/>
      <c r="S5052" s="37"/>
      <c r="T5052" s="91"/>
      <c r="U5052" s="91"/>
      <c r="V5052" s="41"/>
      <c r="W5052" s="37"/>
      <c r="X5052" s="37"/>
      <c r="Y5052" s="43"/>
      <c r="Z5052" s="37"/>
      <c r="AA5052" s="37"/>
      <c r="AD5052" s="37"/>
      <c r="AE5052" s="37"/>
      <c r="AF5052" s="37"/>
    </row>
    <row r="5053" spans="1:32" x14ac:dyDescent="0.25">
      <c r="A5053" s="37"/>
      <c r="B5053" s="37"/>
      <c r="C5053" s="37"/>
      <c r="F5053" s="38"/>
      <c r="G5053" s="38"/>
      <c r="H5053" s="38"/>
      <c r="I5053" s="37"/>
      <c r="J5053" s="38"/>
      <c r="K5053" s="38"/>
      <c r="L5053" s="42"/>
      <c r="M5053" s="42"/>
      <c r="N5053" s="42"/>
      <c r="O5053" s="42"/>
      <c r="R5053" s="37"/>
      <c r="S5053" s="37"/>
      <c r="T5053" s="91"/>
      <c r="U5053" s="91"/>
      <c r="V5053" s="41"/>
      <c r="W5053" s="37"/>
      <c r="X5053" s="37"/>
      <c r="Y5053" s="43"/>
      <c r="Z5053" s="37"/>
      <c r="AA5053" s="37"/>
      <c r="AD5053" s="37"/>
      <c r="AE5053" s="37"/>
      <c r="AF5053" s="37"/>
    </row>
    <row r="5054" spans="1:32" x14ac:dyDescent="0.25">
      <c r="A5054" s="37"/>
      <c r="B5054" s="37"/>
      <c r="C5054" s="37"/>
      <c r="F5054" s="38"/>
      <c r="G5054" s="38"/>
      <c r="H5054" s="38"/>
      <c r="I5054" s="37"/>
      <c r="J5054" s="38"/>
      <c r="K5054" s="38"/>
      <c r="L5054" s="42"/>
      <c r="M5054" s="42"/>
      <c r="N5054" s="42"/>
      <c r="O5054" s="42"/>
      <c r="R5054" s="37"/>
      <c r="S5054" s="37"/>
      <c r="T5054" s="91"/>
      <c r="U5054" s="91"/>
      <c r="V5054" s="41"/>
      <c r="W5054" s="37"/>
      <c r="X5054" s="37"/>
      <c r="Y5054" s="43"/>
      <c r="Z5054" s="37"/>
      <c r="AA5054" s="37"/>
      <c r="AD5054" s="37"/>
      <c r="AE5054" s="37"/>
      <c r="AF5054" s="37"/>
    </row>
    <row r="5055" spans="1:32" x14ac:dyDescent="0.25">
      <c r="A5055" s="37"/>
      <c r="B5055" s="37"/>
      <c r="C5055" s="37"/>
      <c r="F5055" s="38"/>
      <c r="G5055" s="38"/>
      <c r="H5055" s="38"/>
      <c r="I5055" s="37"/>
      <c r="J5055" s="38"/>
      <c r="K5055" s="38"/>
      <c r="L5055" s="42"/>
      <c r="M5055" s="42"/>
      <c r="N5055" s="42"/>
      <c r="O5055" s="42"/>
      <c r="R5055" s="37"/>
      <c r="S5055" s="37"/>
      <c r="T5055" s="91"/>
      <c r="U5055" s="91"/>
      <c r="V5055" s="41"/>
      <c r="W5055" s="37"/>
      <c r="X5055" s="37"/>
      <c r="Y5055" s="43"/>
      <c r="Z5055" s="37"/>
      <c r="AA5055" s="37"/>
      <c r="AD5055" s="37"/>
      <c r="AE5055" s="37"/>
      <c r="AF5055" s="37"/>
    </row>
    <row r="5056" spans="1:32" x14ac:dyDescent="0.25">
      <c r="A5056" s="37"/>
      <c r="B5056" s="37"/>
      <c r="C5056" s="37"/>
      <c r="F5056" s="38"/>
      <c r="G5056" s="38"/>
      <c r="H5056" s="38"/>
      <c r="I5056" s="37"/>
      <c r="J5056" s="38"/>
      <c r="K5056" s="38"/>
      <c r="L5056" s="42"/>
      <c r="M5056" s="42"/>
      <c r="N5056" s="42"/>
      <c r="O5056" s="42"/>
      <c r="R5056" s="37"/>
      <c r="S5056" s="37"/>
      <c r="T5056" s="91"/>
      <c r="U5056" s="91"/>
      <c r="V5056" s="41"/>
      <c r="W5056" s="37"/>
      <c r="X5056" s="37"/>
      <c r="Y5056" s="43"/>
      <c r="Z5056" s="37"/>
      <c r="AA5056" s="37"/>
      <c r="AD5056" s="37"/>
      <c r="AE5056" s="37"/>
      <c r="AF5056" s="37"/>
    </row>
    <row r="5057" spans="1:32" x14ac:dyDescent="0.25">
      <c r="A5057" s="37"/>
      <c r="B5057" s="37"/>
      <c r="C5057" s="37"/>
      <c r="F5057" s="38"/>
      <c r="G5057" s="38"/>
      <c r="H5057" s="38"/>
      <c r="I5057" s="37"/>
      <c r="J5057" s="38"/>
      <c r="K5057" s="38"/>
      <c r="L5057" s="42"/>
      <c r="M5057" s="42"/>
      <c r="N5057" s="42"/>
      <c r="O5057" s="42"/>
      <c r="R5057" s="37"/>
      <c r="S5057" s="37"/>
      <c r="T5057" s="91"/>
      <c r="U5057" s="91"/>
      <c r="V5057" s="41"/>
      <c r="W5057" s="37"/>
      <c r="X5057" s="37"/>
      <c r="Y5057" s="43"/>
      <c r="Z5057" s="37"/>
      <c r="AA5057" s="37"/>
      <c r="AD5057" s="37"/>
      <c r="AE5057" s="37"/>
      <c r="AF5057" s="37"/>
    </row>
    <row r="5058" spans="1:32" x14ac:dyDescent="0.25">
      <c r="A5058" s="37"/>
      <c r="B5058" s="37"/>
      <c r="C5058" s="37"/>
      <c r="F5058" s="38"/>
      <c r="G5058" s="38"/>
      <c r="H5058" s="38"/>
      <c r="I5058" s="37"/>
      <c r="J5058" s="38"/>
      <c r="K5058" s="38"/>
      <c r="L5058" s="42"/>
      <c r="M5058" s="42"/>
      <c r="N5058" s="42"/>
      <c r="O5058" s="42"/>
      <c r="R5058" s="37"/>
      <c r="S5058" s="37"/>
      <c r="T5058" s="91"/>
      <c r="U5058" s="91"/>
      <c r="V5058" s="41"/>
      <c r="W5058" s="37"/>
      <c r="X5058" s="37"/>
      <c r="Y5058" s="43"/>
      <c r="Z5058" s="37"/>
      <c r="AA5058" s="37"/>
      <c r="AD5058" s="37"/>
      <c r="AE5058" s="37"/>
      <c r="AF5058" s="37"/>
    </row>
    <row r="5059" spans="1:32" x14ac:dyDescent="0.25">
      <c r="A5059" s="37"/>
      <c r="B5059" s="37"/>
      <c r="C5059" s="37"/>
      <c r="F5059" s="38"/>
      <c r="G5059" s="38"/>
      <c r="H5059" s="38"/>
      <c r="I5059" s="37"/>
      <c r="J5059" s="38"/>
      <c r="K5059" s="38"/>
      <c r="L5059" s="42"/>
      <c r="M5059" s="42"/>
      <c r="N5059" s="42"/>
      <c r="O5059" s="42"/>
      <c r="R5059" s="37"/>
      <c r="S5059" s="37"/>
      <c r="T5059" s="91"/>
      <c r="U5059" s="91"/>
      <c r="V5059" s="41"/>
      <c r="W5059" s="37"/>
      <c r="X5059" s="37"/>
      <c r="Y5059" s="43"/>
      <c r="Z5059" s="37"/>
      <c r="AA5059" s="37"/>
      <c r="AD5059" s="37"/>
      <c r="AE5059" s="37"/>
      <c r="AF5059" s="37"/>
    </row>
    <row r="5060" spans="1:32" x14ac:dyDescent="0.25">
      <c r="A5060" s="37"/>
      <c r="B5060" s="37"/>
      <c r="C5060" s="37"/>
      <c r="F5060" s="38"/>
      <c r="G5060" s="38"/>
      <c r="H5060" s="38"/>
      <c r="I5060" s="37"/>
      <c r="J5060" s="38"/>
      <c r="K5060" s="38"/>
      <c r="L5060" s="42"/>
      <c r="M5060" s="42"/>
      <c r="N5060" s="42"/>
      <c r="O5060" s="42"/>
      <c r="R5060" s="37"/>
      <c r="S5060" s="37"/>
      <c r="T5060" s="91"/>
      <c r="U5060" s="91"/>
      <c r="V5060" s="41"/>
      <c r="W5060" s="37"/>
      <c r="X5060" s="37"/>
      <c r="Y5060" s="43"/>
      <c r="Z5060" s="37"/>
      <c r="AA5060" s="37"/>
      <c r="AD5060" s="37"/>
      <c r="AE5060" s="37"/>
      <c r="AF5060" s="37"/>
    </row>
    <row r="5061" spans="1:32" x14ac:dyDescent="0.25">
      <c r="A5061" s="37"/>
      <c r="B5061" s="37"/>
      <c r="C5061" s="37"/>
      <c r="F5061" s="38"/>
      <c r="G5061" s="38"/>
      <c r="H5061" s="38"/>
      <c r="I5061" s="37"/>
      <c r="J5061" s="38"/>
      <c r="K5061" s="38"/>
      <c r="L5061" s="42"/>
      <c r="M5061" s="42"/>
      <c r="N5061" s="42"/>
      <c r="O5061" s="42"/>
      <c r="R5061" s="37"/>
      <c r="S5061" s="37"/>
      <c r="T5061" s="91"/>
      <c r="U5061" s="91"/>
      <c r="V5061" s="41"/>
      <c r="W5061" s="37"/>
      <c r="X5061" s="37"/>
      <c r="Y5061" s="43"/>
      <c r="Z5061" s="37"/>
      <c r="AA5061" s="37"/>
      <c r="AD5061" s="37"/>
      <c r="AE5061" s="37"/>
      <c r="AF5061" s="37"/>
    </row>
    <row r="5062" spans="1:32" x14ac:dyDescent="0.25">
      <c r="A5062" s="37"/>
      <c r="B5062" s="37"/>
      <c r="C5062" s="37"/>
      <c r="F5062" s="38"/>
      <c r="G5062" s="38"/>
      <c r="H5062" s="38"/>
      <c r="I5062" s="37"/>
      <c r="J5062" s="38"/>
      <c r="K5062" s="38"/>
      <c r="L5062" s="42"/>
      <c r="M5062" s="42"/>
      <c r="N5062" s="42"/>
      <c r="O5062" s="42"/>
      <c r="R5062" s="37"/>
      <c r="S5062" s="37"/>
      <c r="T5062" s="91"/>
      <c r="U5062" s="91"/>
      <c r="V5062" s="41"/>
      <c r="W5062" s="37"/>
      <c r="X5062" s="37"/>
      <c r="Y5062" s="43"/>
      <c r="Z5062" s="37"/>
      <c r="AA5062" s="37"/>
      <c r="AD5062" s="37"/>
      <c r="AE5062" s="37"/>
      <c r="AF5062" s="37"/>
    </row>
    <row r="5063" spans="1:32" x14ac:dyDescent="0.25">
      <c r="A5063" s="37"/>
      <c r="B5063" s="37"/>
      <c r="C5063" s="37"/>
      <c r="F5063" s="38"/>
      <c r="G5063" s="38"/>
      <c r="H5063" s="38"/>
      <c r="I5063" s="37"/>
      <c r="J5063" s="38"/>
      <c r="K5063" s="38"/>
      <c r="L5063" s="42"/>
      <c r="M5063" s="42"/>
      <c r="N5063" s="42"/>
      <c r="O5063" s="42"/>
      <c r="R5063" s="37"/>
      <c r="S5063" s="37"/>
      <c r="T5063" s="91"/>
      <c r="U5063" s="91"/>
      <c r="V5063" s="41"/>
      <c r="W5063" s="37"/>
      <c r="X5063" s="37"/>
      <c r="Y5063" s="43"/>
      <c r="Z5063" s="37"/>
      <c r="AA5063" s="37"/>
      <c r="AD5063" s="37"/>
      <c r="AE5063" s="37"/>
      <c r="AF5063" s="37"/>
    </row>
    <row r="5064" spans="1:32" x14ac:dyDescent="0.25">
      <c r="A5064" s="37"/>
      <c r="B5064" s="37"/>
      <c r="C5064" s="37"/>
      <c r="F5064" s="38"/>
      <c r="G5064" s="38"/>
      <c r="H5064" s="38"/>
      <c r="I5064" s="37"/>
      <c r="J5064" s="38"/>
      <c r="K5064" s="38"/>
      <c r="L5064" s="42"/>
      <c r="M5064" s="42"/>
      <c r="N5064" s="42"/>
      <c r="O5064" s="42"/>
      <c r="R5064" s="37"/>
      <c r="S5064" s="37"/>
      <c r="T5064" s="91"/>
      <c r="U5064" s="91"/>
      <c r="V5064" s="41"/>
      <c r="W5064" s="37"/>
      <c r="X5064" s="37"/>
      <c r="Y5064" s="43"/>
      <c r="Z5064" s="37"/>
      <c r="AA5064" s="37"/>
      <c r="AD5064" s="37"/>
      <c r="AE5064" s="37"/>
      <c r="AF5064" s="37"/>
    </row>
    <row r="5065" spans="1:32" x14ac:dyDescent="0.25">
      <c r="A5065" s="37"/>
      <c r="B5065" s="37"/>
      <c r="C5065" s="37"/>
      <c r="F5065" s="38"/>
      <c r="G5065" s="38"/>
      <c r="H5065" s="38"/>
      <c r="I5065" s="37"/>
      <c r="J5065" s="38"/>
      <c r="K5065" s="38"/>
      <c r="L5065" s="42"/>
      <c r="M5065" s="42"/>
      <c r="N5065" s="42"/>
      <c r="O5065" s="42"/>
      <c r="R5065" s="37"/>
      <c r="S5065" s="37"/>
      <c r="T5065" s="91"/>
      <c r="U5065" s="91"/>
      <c r="V5065" s="41"/>
      <c r="W5065" s="37"/>
      <c r="X5065" s="37"/>
      <c r="Y5065" s="43"/>
      <c r="Z5065" s="37"/>
      <c r="AA5065" s="37"/>
      <c r="AD5065" s="37"/>
      <c r="AE5065" s="37"/>
      <c r="AF5065" s="37"/>
    </row>
    <row r="5066" spans="1:32" x14ac:dyDescent="0.25">
      <c r="A5066" s="37"/>
      <c r="B5066" s="37"/>
      <c r="C5066" s="37"/>
      <c r="F5066" s="38"/>
      <c r="G5066" s="38"/>
      <c r="H5066" s="38"/>
      <c r="I5066" s="37"/>
      <c r="J5066" s="38"/>
      <c r="K5066" s="38"/>
      <c r="L5066" s="42"/>
      <c r="M5066" s="42"/>
      <c r="N5066" s="42"/>
      <c r="O5066" s="42"/>
      <c r="R5066" s="37"/>
      <c r="S5066" s="37"/>
      <c r="T5066" s="91"/>
      <c r="U5066" s="91"/>
      <c r="V5066" s="41"/>
      <c r="W5066" s="37"/>
      <c r="X5066" s="37"/>
      <c r="Y5066" s="43"/>
      <c r="Z5066" s="37"/>
      <c r="AA5066" s="37"/>
      <c r="AD5066" s="37"/>
      <c r="AE5066" s="37"/>
      <c r="AF5066" s="37"/>
    </row>
    <row r="5067" spans="1:32" x14ac:dyDescent="0.25">
      <c r="A5067" s="37"/>
      <c r="B5067" s="37"/>
      <c r="C5067" s="37"/>
      <c r="F5067" s="38"/>
      <c r="G5067" s="38"/>
      <c r="H5067" s="38"/>
      <c r="I5067" s="37"/>
      <c r="J5067" s="38"/>
      <c r="K5067" s="38"/>
      <c r="L5067" s="42"/>
      <c r="M5067" s="42"/>
      <c r="N5067" s="42"/>
      <c r="O5067" s="42"/>
      <c r="R5067" s="37"/>
      <c r="S5067" s="37"/>
      <c r="T5067" s="91"/>
      <c r="U5067" s="91"/>
      <c r="V5067" s="41"/>
      <c r="W5067" s="37"/>
      <c r="X5067" s="37"/>
      <c r="Y5067" s="43"/>
      <c r="Z5067" s="37"/>
      <c r="AA5067" s="37"/>
      <c r="AD5067" s="37"/>
      <c r="AE5067" s="37"/>
      <c r="AF5067" s="37"/>
    </row>
    <row r="5068" spans="1:32" x14ac:dyDescent="0.25">
      <c r="A5068" s="37"/>
      <c r="B5068" s="37"/>
      <c r="C5068" s="37"/>
      <c r="F5068" s="38"/>
      <c r="G5068" s="38"/>
      <c r="H5068" s="38"/>
      <c r="I5068" s="37"/>
      <c r="J5068" s="38"/>
      <c r="K5068" s="38"/>
      <c r="L5068" s="42"/>
      <c r="M5068" s="42"/>
      <c r="N5068" s="42"/>
      <c r="O5068" s="42"/>
      <c r="R5068" s="37"/>
      <c r="S5068" s="37"/>
      <c r="T5068" s="91"/>
      <c r="U5068" s="91"/>
      <c r="V5068" s="41"/>
      <c r="W5068" s="37"/>
      <c r="X5068" s="37"/>
      <c r="Y5068" s="43"/>
      <c r="Z5068" s="37"/>
      <c r="AA5068" s="37"/>
      <c r="AD5068" s="37"/>
      <c r="AE5068" s="37"/>
      <c r="AF5068" s="37"/>
    </row>
    <row r="5069" spans="1:32" x14ac:dyDescent="0.25">
      <c r="A5069" s="37"/>
      <c r="B5069" s="37"/>
      <c r="C5069" s="37"/>
      <c r="F5069" s="38"/>
      <c r="G5069" s="38"/>
      <c r="H5069" s="38"/>
      <c r="I5069" s="37"/>
      <c r="J5069" s="38"/>
      <c r="K5069" s="38"/>
      <c r="L5069" s="42"/>
      <c r="M5069" s="42"/>
      <c r="N5069" s="42"/>
      <c r="O5069" s="42"/>
      <c r="R5069" s="37"/>
      <c r="S5069" s="37"/>
      <c r="T5069" s="91"/>
      <c r="U5069" s="91"/>
      <c r="V5069" s="41"/>
      <c r="W5069" s="37"/>
      <c r="X5069" s="37"/>
      <c r="Y5069" s="43"/>
      <c r="Z5069" s="37"/>
      <c r="AA5069" s="37"/>
      <c r="AD5069" s="37"/>
      <c r="AE5069" s="37"/>
      <c r="AF5069" s="37"/>
    </row>
    <row r="5070" spans="1:32" x14ac:dyDescent="0.25">
      <c r="A5070" s="37"/>
      <c r="B5070" s="37"/>
      <c r="C5070" s="37"/>
      <c r="F5070" s="38"/>
      <c r="G5070" s="38"/>
      <c r="H5070" s="38"/>
      <c r="I5070" s="37"/>
      <c r="J5070" s="38"/>
      <c r="K5070" s="38"/>
      <c r="L5070" s="42"/>
      <c r="M5070" s="42"/>
      <c r="N5070" s="42"/>
      <c r="O5070" s="42"/>
      <c r="R5070" s="37"/>
      <c r="S5070" s="37"/>
      <c r="T5070" s="91"/>
      <c r="U5070" s="91"/>
      <c r="V5070" s="41"/>
      <c r="W5070" s="37"/>
      <c r="X5070" s="37"/>
      <c r="Y5070" s="43"/>
      <c r="Z5070" s="37"/>
      <c r="AA5070" s="37"/>
      <c r="AD5070" s="37"/>
      <c r="AE5070" s="37"/>
      <c r="AF5070" s="37"/>
    </row>
    <row r="5071" spans="1:32" x14ac:dyDescent="0.25">
      <c r="A5071" s="37"/>
      <c r="B5071" s="37"/>
      <c r="C5071" s="37"/>
      <c r="F5071" s="38"/>
      <c r="G5071" s="38"/>
      <c r="H5071" s="38"/>
      <c r="I5071" s="37"/>
      <c r="J5071" s="38"/>
      <c r="K5071" s="38"/>
      <c r="L5071" s="42"/>
      <c r="M5071" s="42"/>
      <c r="N5071" s="42"/>
      <c r="O5071" s="42"/>
      <c r="R5071" s="37"/>
      <c r="S5071" s="37"/>
      <c r="T5071" s="91"/>
      <c r="U5071" s="91"/>
      <c r="V5071" s="41"/>
      <c r="W5071" s="37"/>
      <c r="X5071" s="37"/>
      <c r="Y5071" s="43"/>
      <c r="Z5071" s="37"/>
      <c r="AA5071" s="37"/>
      <c r="AD5071" s="37"/>
      <c r="AE5071" s="37"/>
      <c r="AF5071" s="37"/>
    </row>
    <row r="5072" spans="1:32" x14ac:dyDescent="0.25">
      <c r="A5072" s="37"/>
      <c r="B5072" s="37"/>
      <c r="C5072" s="37"/>
      <c r="F5072" s="38"/>
      <c r="G5072" s="38"/>
      <c r="H5072" s="38"/>
      <c r="I5072" s="37"/>
      <c r="J5072" s="38"/>
      <c r="K5072" s="38"/>
      <c r="L5072" s="42"/>
      <c r="M5072" s="42"/>
      <c r="N5072" s="42"/>
      <c r="O5072" s="42"/>
      <c r="R5072" s="37"/>
      <c r="S5072" s="37"/>
      <c r="T5072" s="91"/>
      <c r="U5072" s="91"/>
      <c r="V5072" s="41"/>
      <c r="W5072" s="37"/>
      <c r="X5072" s="37"/>
      <c r="Y5072" s="43"/>
      <c r="Z5072" s="37"/>
      <c r="AA5072" s="37"/>
      <c r="AD5072" s="37"/>
      <c r="AE5072" s="37"/>
      <c r="AF5072" s="37"/>
    </row>
    <row r="5073" spans="1:32" x14ac:dyDescent="0.25">
      <c r="A5073" s="37"/>
      <c r="B5073" s="37"/>
      <c r="C5073" s="37"/>
      <c r="F5073" s="38"/>
      <c r="G5073" s="38"/>
      <c r="H5073" s="38"/>
      <c r="I5073" s="37"/>
      <c r="J5073" s="38"/>
      <c r="K5073" s="38"/>
      <c r="L5073" s="42"/>
      <c r="M5073" s="42"/>
      <c r="N5073" s="42"/>
      <c r="O5073" s="42"/>
      <c r="R5073" s="37"/>
      <c r="S5073" s="37"/>
      <c r="T5073" s="91"/>
      <c r="U5073" s="91"/>
      <c r="V5073" s="41"/>
      <c r="W5073" s="37"/>
      <c r="X5073" s="37"/>
      <c r="Y5073" s="43"/>
      <c r="Z5073" s="37"/>
      <c r="AA5073" s="37"/>
      <c r="AD5073" s="37"/>
      <c r="AE5073" s="37"/>
      <c r="AF5073" s="37"/>
    </row>
    <row r="5074" spans="1:32" x14ac:dyDescent="0.25">
      <c r="A5074" s="37"/>
      <c r="B5074" s="37"/>
      <c r="C5074" s="37"/>
      <c r="F5074" s="38"/>
      <c r="G5074" s="38"/>
      <c r="H5074" s="38"/>
      <c r="I5074" s="37"/>
      <c r="J5074" s="38"/>
      <c r="K5074" s="38"/>
      <c r="L5074" s="42"/>
      <c r="M5074" s="42"/>
      <c r="N5074" s="42"/>
      <c r="O5074" s="42"/>
      <c r="R5074" s="37"/>
      <c r="S5074" s="37"/>
      <c r="T5074" s="91"/>
      <c r="U5074" s="91"/>
      <c r="V5074" s="41"/>
      <c r="W5074" s="37"/>
      <c r="X5074" s="37"/>
      <c r="Y5074" s="43"/>
      <c r="Z5074" s="37"/>
      <c r="AA5074" s="37"/>
      <c r="AD5074" s="37"/>
      <c r="AE5074" s="37"/>
      <c r="AF5074" s="37"/>
    </row>
    <row r="5075" spans="1:32" x14ac:dyDescent="0.25">
      <c r="A5075" s="37"/>
      <c r="B5075" s="37"/>
      <c r="C5075" s="37"/>
      <c r="F5075" s="38"/>
      <c r="G5075" s="38"/>
      <c r="H5075" s="38"/>
      <c r="I5075" s="37"/>
      <c r="J5075" s="38"/>
      <c r="K5075" s="38"/>
      <c r="L5075" s="42"/>
      <c r="M5075" s="42"/>
      <c r="N5075" s="42"/>
      <c r="O5075" s="42"/>
      <c r="R5075" s="37"/>
      <c r="S5075" s="37"/>
      <c r="T5075" s="91"/>
      <c r="U5075" s="91"/>
      <c r="V5075" s="41"/>
      <c r="W5075" s="37"/>
      <c r="X5075" s="37"/>
      <c r="Y5075" s="43"/>
      <c r="Z5075" s="37"/>
      <c r="AA5075" s="37"/>
      <c r="AD5075" s="37"/>
      <c r="AE5075" s="37"/>
      <c r="AF5075" s="37"/>
    </row>
    <row r="5076" spans="1:32" x14ac:dyDescent="0.25">
      <c r="A5076" s="37"/>
      <c r="B5076" s="37"/>
      <c r="C5076" s="37"/>
      <c r="F5076" s="38"/>
      <c r="G5076" s="38"/>
      <c r="H5076" s="38"/>
      <c r="I5076" s="37"/>
      <c r="J5076" s="38"/>
      <c r="K5076" s="38"/>
      <c r="L5076" s="42"/>
      <c r="M5076" s="42"/>
      <c r="N5076" s="42"/>
      <c r="O5076" s="42"/>
      <c r="R5076" s="37"/>
      <c r="S5076" s="37"/>
      <c r="T5076" s="91"/>
      <c r="U5076" s="91"/>
      <c r="V5076" s="41"/>
      <c r="W5076" s="37"/>
      <c r="X5076" s="37"/>
      <c r="Y5076" s="43"/>
      <c r="Z5076" s="37"/>
      <c r="AA5076" s="37"/>
      <c r="AD5076" s="37"/>
      <c r="AE5076" s="37"/>
      <c r="AF5076" s="37"/>
    </row>
    <row r="5077" spans="1:32" x14ac:dyDescent="0.25">
      <c r="A5077" s="37"/>
      <c r="B5077" s="37"/>
      <c r="C5077" s="37"/>
      <c r="F5077" s="38"/>
      <c r="G5077" s="38"/>
      <c r="H5077" s="38"/>
      <c r="I5077" s="37"/>
      <c r="J5077" s="38"/>
      <c r="K5077" s="38"/>
      <c r="L5077" s="42"/>
      <c r="M5077" s="42"/>
      <c r="N5077" s="42"/>
      <c r="O5077" s="42"/>
      <c r="R5077" s="37"/>
      <c r="S5077" s="37"/>
      <c r="T5077" s="91"/>
      <c r="U5077" s="91"/>
      <c r="V5077" s="41"/>
      <c r="W5077" s="37"/>
      <c r="X5077" s="37"/>
      <c r="Y5077" s="43"/>
      <c r="Z5077" s="37"/>
      <c r="AA5077" s="37"/>
      <c r="AD5077" s="37"/>
      <c r="AE5077" s="37"/>
      <c r="AF5077" s="37"/>
    </row>
    <row r="5078" spans="1:32" x14ac:dyDescent="0.25">
      <c r="A5078" s="37"/>
      <c r="B5078" s="37"/>
      <c r="C5078" s="37"/>
      <c r="F5078" s="38"/>
      <c r="G5078" s="38"/>
      <c r="H5078" s="38"/>
      <c r="I5078" s="37"/>
      <c r="J5078" s="38"/>
      <c r="K5078" s="38"/>
      <c r="L5078" s="42"/>
      <c r="M5078" s="42"/>
      <c r="N5078" s="42"/>
      <c r="O5078" s="42"/>
      <c r="R5078" s="37"/>
      <c r="S5078" s="37"/>
      <c r="T5078" s="91"/>
      <c r="U5078" s="91"/>
      <c r="V5078" s="41"/>
      <c r="W5078" s="37"/>
      <c r="X5078" s="37"/>
      <c r="Y5078" s="43"/>
      <c r="Z5078" s="37"/>
      <c r="AA5078" s="37"/>
      <c r="AD5078" s="37"/>
      <c r="AE5078" s="37"/>
      <c r="AF5078" s="37"/>
    </row>
    <row r="5079" spans="1:32" x14ac:dyDescent="0.25">
      <c r="A5079" s="37"/>
      <c r="B5079" s="37"/>
      <c r="C5079" s="37"/>
      <c r="F5079" s="38"/>
      <c r="G5079" s="38"/>
      <c r="H5079" s="38"/>
      <c r="I5079" s="37"/>
      <c r="J5079" s="38"/>
      <c r="K5079" s="38"/>
      <c r="L5079" s="42"/>
      <c r="M5079" s="42"/>
      <c r="N5079" s="42"/>
      <c r="O5079" s="42"/>
      <c r="R5079" s="37"/>
      <c r="S5079" s="37"/>
      <c r="T5079" s="91"/>
      <c r="U5079" s="91"/>
      <c r="V5079" s="41"/>
      <c r="W5079" s="37"/>
      <c r="X5079" s="37"/>
      <c r="Y5079" s="43"/>
      <c r="Z5079" s="37"/>
      <c r="AA5079" s="37"/>
      <c r="AD5079" s="37"/>
      <c r="AE5079" s="37"/>
      <c r="AF5079" s="37"/>
    </row>
    <row r="5080" spans="1:32" x14ac:dyDescent="0.25">
      <c r="A5080" s="37"/>
      <c r="B5080" s="37"/>
      <c r="C5080" s="37"/>
      <c r="F5080" s="38"/>
      <c r="G5080" s="38"/>
      <c r="H5080" s="38"/>
      <c r="I5080" s="37"/>
      <c r="J5080" s="38"/>
      <c r="K5080" s="38"/>
      <c r="L5080" s="42"/>
      <c r="M5080" s="42"/>
      <c r="N5080" s="42"/>
      <c r="O5080" s="42"/>
      <c r="R5080" s="37"/>
      <c r="S5080" s="37"/>
      <c r="T5080" s="91"/>
      <c r="U5080" s="91"/>
      <c r="V5080" s="41"/>
      <c r="W5080" s="37"/>
      <c r="X5080" s="37"/>
      <c r="Y5080" s="43"/>
      <c r="Z5080" s="37"/>
      <c r="AA5080" s="37"/>
      <c r="AD5080" s="37"/>
      <c r="AE5080" s="37"/>
      <c r="AF5080" s="37"/>
    </row>
    <row r="5081" spans="1:32" x14ac:dyDescent="0.25">
      <c r="A5081" s="37"/>
      <c r="B5081" s="37"/>
      <c r="C5081" s="37"/>
      <c r="F5081" s="38"/>
      <c r="G5081" s="38"/>
      <c r="H5081" s="38"/>
      <c r="I5081" s="37"/>
      <c r="J5081" s="38"/>
      <c r="K5081" s="38"/>
      <c r="L5081" s="42"/>
      <c r="M5081" s="42"/>
      <c r="N5081" s="42"/>
      <c r="O5081" s="42"/>
      <c r="R5081" s="37"/>
      <c r="S5081" s="37"/>
      <c r="T5081" s="91"/>
      <c r="U5081" s="91"/>
      <c r="V5081" s="41"/>
      <c r="W5081" s="37"/>
      <c r="X5081" s="37"/>
      <c r="Y5081" s="43"/>
      <c r="Z5081" s="37"/>
      <c r="AA5081" s="37"/>
      <c r="AD5081" s="37"/>
      <c r="AE5081" s="37"/>
      <c r="AF5081" s="37"/>
    </row>
    <row r="5082" spans="1:32" x14ac:dyDescent="0.25">
      <c r="A5082" s="37"/>
      <c r="B5082" s="37"/>
      <c r="C5082" s="37"/>
      <c r="F5082" s="38"/>
      <c r="G5082" s="38"/>
      <c r="H5082" s="38"/>
      <c r="I5082" s="37"/>
      <c r="J5082" s="38"/>
      <c r="K5082" s="38"/>
      <c r="L5082" s="42"/>
      <c r="M5082" s="42"/>
      <c r="N5082" s="42"/>
      <c r="O5082" s="42"/>
      <c r="R5082" s="37"/>
      <c r="S5082" s="37"/>
      <c r="T5082" s="91"/>
      <c r="U5082" s="91"/>
      <c r="V5082" s="41"/>
      <c r="W5082" s="37"/>
      <c r="X5082" s="37"/>
      <c r="Y5082" s="43"/>
      <c r="Z5082" s="37"/>
      <c r="AA5082" s="37"/>
      <c r="AD5082" s="37"/>
      <c r="AE5082" s="37"/>
      <c r="AF5082" s="37"/>
    </row>
    <row r="5083" spans="1:32" x14ac:dyDescent="0.25">
      <c r="A5083" s="37"/>
      <c r="B5083" s="37"/>
      <c r="C5083" s="37"/>
      <c r="F5083" s="38"/>
      <c r="G5083" s="38"/>
      <c r="H5083" s="38"/>
      <c r="I5083" s="37"/>
      <c r="J5083" s="38"/>
      <c r="K5083" s="38"/>
      <c r="L5083" s="42"/>
      <c r="M5083" s="42"/>
      <c r="N5083" s="42"/>
      <c r="O5083" s="42"/>
      <c r="R5083" s="37"/>
      <c r="S5083" s="37"/>
      <c r="T5083" s="91"/>
      <c r="U5083" s="91"/>
      <c r="V5083" s="41"/>
      <c r="W5083" s="37"/>
      <c r="X5083" s="37"/>
      <c r="Y5083" s="43"/>
      <c r="Z5083" s="37"/>
      <c r="AA5083" s="37"/>
      <c r="AD5083" s="37"/>
      <c r="AE5083" s="37"/>
      <c r="AF5083" s="37"/>
    </row>
    <row r="5084" spans="1:32" x14ac:dyDescent="0.25">
      <c r="A5084" s="37"/>
      <c r="B5084" s="37"/>
      <c r="C5084" s="37"/>
      <c r="F5084" s="38"/>
      <c r="G5084" s="38"/>
      <c r="H5084" s="38"/>
      <c r="I5084" s="37"/>
      <c r="J5084" s="38"/>
      <c r="K5084" s="38"/>
      <c r="L5084" s="42"/>
      <c r="M5084" s="42"/>
      <c r="N5084" s="42"/>
      <c r="O5084" s="42"/>
      <c r="R5084" s="37"/>
      <c r="S5084" s="37"/>
      <c r="T5084" s="91"/>
      <c r="U5084" s="91"/>
      <c r="V5084" s="41"/>
      <c r="W5084" s="37"/>
      <c r="X5084" s="37"/>
      <c r="Y5084" s="43"/>
      <c r="Z5084" s="37"/>
      <c r="AA5084" s="37"/>
      <c r="AD5084" s="37"/>
      <c r="AE5084" s="37"/>
      <c r="AF5084" s="37"/>
    </row>
    <row r="5085" spans="1:32" x14ac:dyDescent="0.25">
      <c r="A5085" s="37"/>
      <c r="B5085" s="37"/>
      <c r="C5085" s="37"/>
      <c r="F5085" s="38"/>
      <c r="G5085" s="38"/>
      <c r="H5085" s="38"/>
      <c r="I5085" s="37"/>
      <c r="J5085" s="38"/>
      <c r="K5085" s="38"/>
      <c r="L5085" s="42"/>
      <c r="M5085" s="42"/>
      <c r="N5085" s="42"/>
      <c r="O5085" s="42"/>
      <c r="R5085" s="37"/>
      <c r="S5085" s="37"/>
      <c r="T5085" s="91"/>
      <c r="U5085" s="91"/>
      <c r="V5085" s="41"/>
      <c r="W5085" s="37"/>
      <c r="X5085" s="37"/>
      <c r="Y5085" s="43"/>
      <c r="Z5085" s="37"/>
      <c r="AA5085" s="37"/>
      <c r="AD5085" s="37"/>
      <c r="AE5085" s="37"/>
      <c r="AF5085" s="37"/>
    </row>
    <row r="5086" spans="1:32" x14ac:dyDescent="0.25">
      <c r="A5086" s="37"/>
      <c r="B5086" s="37"/>
      <c r="C5086" s="37"/>
      <c r="F5086" s="38"/>
      <c r="G5086" s="38"/>
      <c r="H5086" s="38"/>
      <c r="I5086" s="37"/>
      <c r="J5086" s="38"/>
      <c r="K5086" s="38"/>
      <c r="L5086" s="42"/>
      <c r="M5086" s="42"/>
      <c r="N5086" s="42"/>
      <c r="O5086" s="42"/>
      <c r="R5086" s="37"/>
      <c r="S5086" s="37"/>
      <c r="T5086" s="91"/>
      <c r="U5086" s="91"/>
      <c r="V5086" s="41"/>
      <c r="W5086" s="37"/>
      <c r="X5086" s="37"/>
      <c r="Y5086" s="43"/>
      <c r="Z5086" s="37"/>
      <c r="AA5086" s="37"/>
      <c r="AD5086" s="37"/>
      <c r="AE5086" s="37"/>
      <c r="AF5086" s="37"/>
    </row>
    <row r="5087" spans="1:32" x14ac:dyDescent="0.25">
      <c r="A5087" s="37"/>
      <c r="B5087" s="37"/>
      <c r="C5087" s="37"/>
      <c r="F5087" s="38"/>
      <c r="G5087" s="38"/>
      <c r="H5087" s="38"/>
      <c r="I5087" s="37"/>
      <c r="J5087" s="38"/>
      <c r="K5087" s="38"/>
      <c r="L5087" s="42"/>
      <c r="M5087" s="42"/>
      <c r="N5087" s="42"/>
      <c r="O5087" s="42"/>
      <c r="R5087" s="37"/>
      <c r="S5087" s="37"/>
      <c r="T5087" s="91"/>
      <c r="U5087" s="91"/>
      <c r="V5087" s="41"/>
      <c r="W5087" s="37"/>
      <c r="X5087" s="37"/>
      <c r="Y5087" s="43"/>
      <c r="Z5087" s="37"/>
      <c r="AA5087" s="37"/>
      <c r="AD5087" s="37"/>
      <c r="AE5087" s="37"/>
      <c r="AF5087" s="37"/>
    </row>
    <row r="5088" spans="1:32" x14ac:dyDescent="0.25">
      <c r="A5088" s="37"/>
      <c r="B5088" s="37"/>
      <c r="C5088" s="37"/>
      <c r="F5088" s="38"/>
      <c r="G5088" s="38"/>
      <c r="H5088" s="38"/>
      <c r="I5088" s="37"/>
      <c r="J5088" s="38"/>
      <c r="K5088" s="38"/>
      <c r="L5088" s="42"/>
      <c r="M5088" s="42"/>
      <c r="N5088" s="42"/>
      <c r="O5088" s="42"/>
      <c r="R5088" s="37"/>
      <c r="S5088" s="37"/>
      <c r="T5088" s="91"/>
      <c r="U5088" s="91"/>
      <c r="V5088" s="41"/>
      <c r="W5088" s="37"/>
      <c r="X5088" s="37"/>
      <c r="Y5088" s="43"/>
      <c r="Z5088" s="37"/>
      <c r="AA5088" s="37"/>
      <c r="AD5088" s="37"/>
      <c r="AE5088" s="37"/>
      <c r="AF5088" s="37"/>
    </row>
    <row r="5089" spans="1:32" x14ac:dyDescent="0.25">
      <c r="A5089" s="37"/>
      <c r="B5089" s="37"/>
      <c r="C5089" s="37"/>
      <c r="F5089" s="38"/>
      <c r="G5089" s="38"/>
      <c r="H5089" s="38"/>
      <c r="I5089" s="37"/>
      <c r="J5089" s="38"/>
      <c r="K5089" s="38"/>
      <c r="L5089" s="42"/>
      <c r="M5089" s="42"/>
      <c r="N5089" s="42"/>
      <c r="O5089" s="42"/>
      <c r="R5089" s="37"/>
      <c r="S5089" s="37"/>
      <c r="T5089" s="91"/>
      <c r="U5089" s="91"/>
      <c r="V5089" s="41"/>
      <c r="W5089" s="37"/>
      <c r="X5089" s="37"/>
      <c r="Y5089" s="43"/>
      <c r="Z5089" s="37"/>
      <c r="AA5089" s="37"/>
      <c r="AD5089" s="37"/>
      <c r="AE5089" s="37"/>
      <c r="AF5089" s="37"/>
    </row>
    <row r="5090" spans="1:32" x14ac:dyDescent="0.25">
      <c r="A5090" s="37"/>
      <c r="B5090" s="37"/>
      <c r="C5090" s="37"/>
      <c r="F5090" s="38"/>
      <c r="G5090" s="38"/>
      <c r="H5090" s="38"/>
      <c r="I5090" s="37"/>
      <c r="J5090" s="38"/>
      <c r="K5090" s="38"/>
      <c r="L5090" s="42"/>
      <c r="M5090" s="42"/>
      <c r="N5090" s="42"/>
      <c r="O5090" s="42"/>
      <c r="R5090" s="37"/>
      <c r="S5090" s="37"/>
      <c r="T5090" s="91"/>
      <c r="U5090" s="91"/>
      <c r="V5090" s="41"/>
      <c r="W5090" s="37"/>
      <c r="X5090" s="37"/>
      <c r="Y5090" s="43"/>
      <c r="Z5090" s="37"/>
      <c r="AA5090" s="37"/>
      <c r="AD5090" s="37"/>
      <c r="AE5090" s="37"/>
      <c r="AF5090" s="37"/>
    </row>
    <row r="5091" spans="1:32" x14ac:dyDescent="0.25">
      <c r="A5091" s="37"/>
      <c r="B5091" s="37"/>
      <c r="C5091" s="37"/>
      <c r="F5091" s="38"/>
      <c r="G5091" s="38"/>
      <c r="H5091" s="38"/>
      <c r="I5091" s="37"/>
      <c r="J5091" s="38"/>
      <c r="K5091" s="38"/>
      <c r="L5091" s="42"/>
      <c r="M5091" s="42"/>
      <c r="N5091" s="42"/>
      <c r="O5091" s="42"/>
      <c r="R5091" s="37"/>
      <c r="S5091" s="37"/>
      <c r="T5091" s="91"/>
      <c r="U5091" s="91"/>
      <c r="V5091" s="41"/>
      <c r="W5091" s="37"/>
      <c r="X5091" s="37"/>
      <c r="Y5091" s="43"/>
      <c r="Z5091" s="37"/>
      <c r="AA5091" s="37"/>
      <c r="AD5091" s="37"/>
      <c r="AE5091" s="37"/>
      <c r="AF5091" s="37"/>
    </row>
    <row r="5092" spans="1:32" x14ac:dyDescent="0.25">
      <c r="A5092" s="37"/>
      <c r="B5092" s="37"/>
      <c r="C5092" s="37"/>
      <c r="F5092" s="38"/>
      <c r="G5092" s="38"/>
      <c r="H5092" s="38"/>
      <c r="I5092" s="37"/>
      <c r="J5092" s="38"/>
      <c r="K5092" s="38"/>
      <c r="L5092" s="42"/>
      <c r="M5092" s="42"/>
      <c r="N5092" s="42"/>
      <c r="O5092" s="42"/>
      <c r="R5092" s="37"/>
      <c r="S5092" s="37"/>
      <c r="T5092" s="91"/>
      <c r="U5092" s="91"/>
      <c r="V5092" s="41"/>
      <c r="W5092" s="37"/>
      <c r="X5092" s="37"/>
      <c r="Y5092" s="43"/>
      <c r="Z5092" s="37"/>
      <c r="AA5092" s="37"/>
      <c r="AD5092" s="37"/>
      <c r="AE5092" s="37"/>
      <c r="AF5092" s="37"/>
    </row>
    <row r="5093" spans="1:32" x14ac:dyDescent="0.25">
      <c r="A5093" s="37"/>
      <c r="B5093" s="37"/>
      <c r="C5093" s="37"/>
      <c r="F5093" s="38"/>
      <c r="G5093" s="38"/>
      <c r="H5093" s="38"/>
      <c r="I5093" s="37"/>
      <c r="J5093" s="38"/>
      <c r="K5093" s="38"/>
      <c r="L5093" s="42"/>
      <c r="M5093" s="42"/>
      <c r="N5093" s="42"/>
      <c r="O5093" s="42"/>
      <c r="R5093" s="37"/>
      <c r="S5093" s="37"/>
      <c r="T5093" s="91"/>
      <c r="U5093" s="91"/>
      <c r="V5093" s="41"/>
      <c r="W5093" s="37"/>
      <c r="X5093" s="37"/>
      <c r="Y5093" s="43"/>
      <c r="Z5093" s="37"/>
      <c r="AA5093" s="37"/>
      <c r="AD5093" s="37"/>
      <c r="AE5093" s="37"/>
      <c r="AF5093" s="37"/>
    </row>
    <row r="5094" spans="1:32" x14ac:dyDescent="0.25">
      <c r="A5094" s="37"/>
      <c r="B5094" s="37"/>
      <c r="C5094" s="37"/>
      <c r="F5094" s="38"/>
      <c r="G5094" s="38"/>
      <c r="H5094" s="38"/>
      <c r="I5094" s="37"/>
      <c r="J5094" s="38"/>
      <c r="K5094" s="38"/>
      <c r="L5094" s="42"/>
      <c r="M5094" s="42"/>
      <c r="N5094" s="42"/>
      <c r="O5094" s="42"/>
      <c r="R5094" s="37"/>
      <c r="S5094" s="37"/>
      <c r="T5094" s="91"/>
      <c r="U5094" s="91"/>
      <c r="V5094" s="41"/>
      <c r="W5094" s="37"/>
      <c r="X5094" s="37"/>
      <c r="Y5094" s="43"/>
      <c r="Z5094" s="37"/>
      <c r="AA5094" s="37"/>
      <c r="AD5094" s="37"/>
      <c r="AE5094" s="37"/>
      <c r="AF5094" s="37"/>
    </row>
    <row r="5095" spans="1:32" x14ac:dyDescent="0.25">
      <c r="A5095" s="37"/>
      <c r="B5095" s="37"/>
      <c r="C5095" s="37"/>
      <c r="F5095" s="38"/>
      <c r="G5095" s="38"/>
      <c r="H5095" s="38"/>
      <c r="I5095" s="37"/>
      <c r="J5095" s="38"/>
      <c r="K5095" s="38"/>
      <c r="L5095" s="42"/>
      <c r="M5095" s="42"/>
      <c r="N5095" s="42"/>
      <c r="O5095" s="42"/>
      <c r="R5095" s="37"/>
      <c r="S5095" s="37"/>
      <c r="T5095" s="91"/>
      <c r="U5095" s="91"/>
      <c r="V5095" s="41"/>
      <c r="W5095" s="37"/>
      <c r="X5095" s="37"/>
      <c r="Y5095" s="43"/>
      <c r="Z5095" s="37"/>
      <c r="AA5095" s="37"/>
      <c r="AD5095" s="37"/>
      <c r="AE5095" s="37"/>
      <c r="AF5095" s="37"/>
    </row>
    <row r="5096" spans="1:32" x14ac:dyDescent="0.25">
      <c r="A5096" s="37"/>
      <c r="B5096" s="37"/>
      <c r="C5096" s="37"/>
      <c r="F5096" s="38"/>
      <c r="G5096" s="38"/>
      <c r="H5096" s="38"/>
      <c r="I5096" s="37"/>
      <c r="J5096" s="38"/>
      <c r="K5096" s="38"/>
      <c r="L5096" s="42"/>
      <c r="M5096" s="42"/>
      <c r="N5096" s="42"/>
      <c r="O5096" s="42"/>
      <c r="R5096" s="37"/>
      <c r="S5096" s="37"/>
      <c r="T5096" s="91"/>
      <c r="U5096" s="91"/>
      <c r="V5096" s="41"/>
      <c r="W5096" s="37"/>
      <c r="X5096" s="37"/>
      <c r="Y5096" s="43"/>
      <c r="Z5096" s="37"/>
      <c r="AA5096" s="37"/>
      <c r="AD5096" s="37"/>
      <c r="AE5096" s="37"/>
      <c r="AF5096" s="37"/>
    </row>
    <row r="5097" spans="1:32" x14ac:dyDescent="0.25">
      <c r="A5097" s="37"/>
      <c r="B5097" s="37"/>
      <c r="C5097" s="37"/>
      <c r="F5097" s="38"/>
      <c r="G5097" s="38"/>
      <c r="H5097" s="38"/>
      <c r="I5097" s="37"/>
      <c r="J5097" s="38"/>
      <c r="K5097" s="38"/>
      <c r="L5097" s="42"/>
      <c r="M5097" s="42"/>
      <c r="N5097" s="42"/>
      <c r="O5097" s="42"/>
      <c r="R5097" s="37"/>
      <c r="S5097" s="37"/>
      <c r="T5097" s="91"/>
      <c r="U5097" s="91"/>
      <c r="V5097" s="41"/>
      <c r="W5097" s="37"/>
      <c r="X5097" s="37"/>
      <c r="Y5097" s="43"/>
      <c r="Z5097" s="37"/>
      <c r="AA5097" s="37"/>
      <c r="AD5097" s="37"/>
      <c r="AE5097" s="37"/>
      <c r="AF5097" s="37"/>
    </row>
    <row r="5098" spans="1:32" x14ac:dyDescent="0.25">
      <c r="A5098" s="37"/>
      <c r="B5098" s="37"/>
      <c r="C5098" s="37"/>
      <c r="F5098" s="38"/>
      <c r="G5098" s="38"/>
      <c r="H5098" s="38"/>
      <c r="I5098" s="37"/>
      <c r="J5098" s="38"/>
      <c r="K5098" s="38"/>
      <c r="L5098" s="42"/>
      <c r="M5098" s="42"/>
      <c r="N5098" s="42"/>
      <c r="O5098" s="42"/>
      <c r="R5098" s="37"/>
      <c r="S5098" s="37"/>
      <c r="T5098" s="91"/>
      <c r="U5098" s="91"/>
      <c r="V5098" s="41"/>
      <c r="W5098" s="37"/>
      <c r="X5098" s="37"/>
      <c r="Y5098" s="43"/>
      <c r="Z5098" s="37"/>
      <c r="AA5098" s="37"/>
      <c r="AD5098" s="37"/>
      <c r="AE5098" s="37"/>
      <c r="AF5098" s="37"/>
    </row>
    <row r="5099" spans="1:32" x14ac:dyDescent="0.25">
      <c r="A5099" s="37"/>
      <c r="B5099" s="37"/>
      <c r="C5099" s="37"/>
      <c r="F5099" s="38"/>
      <c r="G5099" s="38"/>
      <c r="H5099" s="38"/>
      <c r="I5099" s="37"/>
      <c r="J5099" s="38"/>
      <c r="K5099" s="38"/>
      <c r="L5099" s="42"/>
      <c r="M5099" s="42"/>
      <c r="N5099" s="42"/>
      <c r="O5099" s="42"/>
      <c r="R5099" s="37"/>
      <c r="S5099" s="37"/>
      <c r="T5099" s="91"/>
      <c r="U5099" s="91"/>
      <c r="V5099" s="41"/>
      <c r="W5099" s="37"/>
      <c r="X5099" s="37"/>
      <c r="Y5099" s="43"/>
      <c r="Z5099" s="37"/>
      <c r="AA5099" s="37"/>
      <c r="AD5099" s="37"/>
      <c r="AE5099" s="37"/>
      <c r="AF5099" s="37"/>
    </row>
    <row r="5100" spans="1:32" x14ac:dyDescent="0.25">
      <c r="A5100" s="37"/>
      <c r="B5100" s="37"/>
      <c r="C5100" s="37"/>
      <c r="F5100" s="38"/>
      <c r="G5100" s="38"/>
      <c r="H5100" s="38"/>
      <c r="I5100" s="37"/>
      <c r="J5100" s="38"/>
      <c r="K5100" s="38"/>
      <c r="L5100" s="42"/>
      <c r="M5100" s="42"/>
      <c r="N5100" s="42"/>
      <c r="O5100" s="42"/>
      <c r="R5100" s="37"/>
      <c r="S5100" s="37"/>
      <c r="T5100" s="91"/>
      <c r="U5100" s="91"/>
      <c r="V5100" s="41"/>
      <c r="W5100" s="37"/>
      <c r="X5100" s="37"/>
      <c r="Y5100" s="43"/>
      <c r="Z5100" s="37"/>
      <c r="AA5100" s="37"/>
      <c r="AD5100" s="37"/>
      <c r="AE5100" s="37"/>
      <c r="AF5100" s="37"/>
    </row>
    <row r="5101" spans="1:32" x14ac:dyDescent="0.25">
      <c r="A5101" s="37"/>
      <c r="B5101" s="37"/>
      <c r="C5101" s="37"/>
      <c r="F5101" s="38"/>
      <c r="G5101" s="38"/>
      <c r="H5101" s="38"/>
      <c r="I5101" s="37"/>
      <c r="J5101" s="38"/>
      <c r="K5101" s="38"/>
      <c r="L5101" s="42"/>
      <c r="M5101" s="42"/>
      <c r="N5101" s="42"/>
      <c r="O5101" s="42"/>
      <c r="R5101" s="37"/>
      <c r="S5101" s="37"/>
      <c r="T5101" s="91"/>
      <c r="U5101" s="91"/>
      <c r="V5101" s="41"/>
      <c r="W5101" s="37"/>
      <c r="X5101" s="37"/>
      <c r="Y5101" s="43"/>
      <c r="Z5101" s="37"/>
      <c r="AA5101" s="37"/>
      <c r="AD5101" s="37"/>
      <c r="AE5101" s="37"/>
      <c r="AF5101" s="37"/>
    </row>
    <row r="5102" spans="1:32" x14ac:dyDescent="0.25">
      <c r="A5102" s="37"/>
      <c r="B5102" s="37"/>
      <c r="C5102" s="37"/>
      <c r="F5102" s="38"/>
      <c r="G5102" s="38"/>
      <c r="H5102" s="38"/>
      <c r="I5102" s="37"/>
      <c r="J5102" s="38"/>
      <c r="K5102" s="38"/>
      <c r="L5102" s="42"/>
      <c r="M5102" s="42"/>
      <c r="N5102" s="42"/>
      <c r="O5102" s="42"/>
      <c r="R5102" s="37"/>
      <c r="S5102" s="37"/>
      <c r="T5102" s="91"/>
      <c r="U5102" s="91"/>
      <c r="V5102" s="41"/>
      <c r="W5102" s="37"/>
      <c r="X5102" s="37"/>
      <c r="Y5102" s="43"/>
      <c r="Z5102" s="37"/>
      <c r="AA5102" s="37"/>
      <c r="AD5102" s="37"/>
      <c r="AE5102" s="37"/>
      <c r="AF5102" s="37"/>
    </row>
    <row r="5103" spans="1:32" x14ac:dyDescent="0.25">
      <c r="A5103" s="37"/>
      <c r="B5103" s="37"/>
      <c r="C5103" s="37"/>
      <c r="F5103" s="38"/>
      <c r="G5103" s="38"/>
      <c r="H5103" s="38"/>
      <c r="I5103" s="37"/>
      <c r="J5103" s="38"/>
      <c r="K5103" s="38"/>
      <c r="L5103" s="42"/>
      <c r="M5103" s="42"/>
      <c r="N5103" s="42"/>
      <c r="O5103" s="42"/>
      <c r="R5103" s="37"/>
      <c r="S5103" s="37"/>
      <c r="T5103" s="91"/>
      <c r="U5103" s="91"/>
      <c r="V5103" s="41"/>
      <c r="W5103" s="37"/>
      <c r="X5103" s="37"/>
      <c r="Y5103" s="43"/>
      <c r="Z5103" s="37"/>
      <c r="AA5103" s="37"/>
      <c r="AD5103" s="37"/>
      <c r="AE5103" s="37"/>
      <c r="AF5103" s="37"/>
    </row>
    <row r="5104" spans="1:32" x14ac:dyDescent="0.25">
      <c r="A5104" s="37"/>
      <c r="B5104" s="37"/>
      <c r="C5104" s="37"/>
      <c r="F5104" s="38"/>
      <c r="G5104" s="38"/>
      <c r="H5104" s="38"/>
      <c r="I5104" s="37"/>
      <c r="J5104" s="38"/>
      <c r="K5104" s="38"/>
      <c r="L5104" s="42"/>
      <c r="M5104" s="42"/>
      <c r="N5104" s="42"/>
      <c r="O5104" s="42"/>
      <c r="R5104" s="37"/>
      <c r="S5104" s="37"/>
      <c r="T5104" s="91"/>
      <c r="U5104" s="91"/>
      <c r="V5104" s="41"/>
      <c r="W5104" s="37"/>
      <c r="X5104" s="37"/>
      <c r="Y5104" s="43"/>
      <c r="Z5104" s="37"/>
      <c r="AA5104" s="37"/>
      <c r="AD5104" s="37"/>
      <c r="AE5104" s="37"/>
      <c r="AF5104" s="37"/>
    </row>
    <row r="5105" spans="1:32" x14ac:dyDescent="0.25">
      <c r="A5105" s="37"/>
      <c r="B5105" s="37"/>
      <c r="C5105" s="37"/>
      <c r="F5105" s="38"/>
      <c r="G5105" s="38"/>
      <c r="H5105" s="38"/>
      <c r="I5105" s="37"/>
      <c r="J5105" s="38"/>
      <c r="K5105" s="38"/>
      <c r="L5105" s="42"/>
      <c r="M5105" s="42"/>
      <c r="N5105" s="42"/>
      <c r="O5105" s="42"/>
      <c r="R5105" s="37"/>
      <c r="S5105" s="37"/>
      <c r="T5105" s="91"/>
      <c r="U5105" s="91"/>
      <c r="V5105" s="41"/>
      <c r="W5105" s="37"/>
      <c r="X5105" s="37"/>
      <c r="Y5105" s="43"/>
      <c r="Z5105" s="37"/>
      <c r="AA5105" s="37"/>
      <c r="AD5105" s="37"/>
      <c r="AE5105" s="37"/>
      <c r="AF5105" s="37"/>
    </row>
    <row r="5106" spans="1:32" x14ac:dyDescent="0.25">
      <c r="A5106" s="37"/>
      <c r="B5106" s="37"/>
      <c r="C5106" s="37"/>
      <c r="F5106" s="38"/>
      <c r="G5106" s="38"/>
      <c r="H5106" s="38"/>
      <c r="I5106" s="37"/>
      <c r="J5106" s="38"/>
      <c r="K5106" s="38"/>
      <c r="L5106" s="42"/>
      <c r="M5106" s="42"/>
      <c r="N5106" s="42"/>
      <c r="O5106" s="42"/>
      <c r="R5106" s="37"/>
      <c r="S5106" s="37"/>
      <c r="T5106" s="91"/>
      <c r="U5106" s="91"/>
      <c r="V5106" s="41"/>
      <c r="W5106" s="37"/>
      <c r="X5106" s="37"/>
      <c r="Y5106" s="43"/>
      <c r="Z5106" s="37"/>
      <c r="AA5106" s="37"/>
      <c r="AD5106" s="37"/>
      <c r="AE5106" s="37"/>
      <c r="AF5106" s="37"/>
    </row>
    <row r="5107" spans="1:32" x14ac:dyDescent="0.25">
      <c r="A5107" s="37"/>
      <c r="B5107" s="37"/>
      <c r="C5107" s="37"/>
      <c r="F5107" s="38"/>
      <c r="G5107" s="38"/>
      <c r="H5107" s="38"/>
      <c r="I5107" s="37"/>
      <c r="J5107" s="38"/>
      <c r="K5107" s="38"/>
      <c r="L5107" s="42"/>
      <c r="M5107" s="42"/>
      <c r="N5107" s="42"/>
      <c r="O5107" s="42"/>
      <c r="R5107" s="37"/>
      <c r="S5107" s="37"/>
      <c r="T5107" s="91"/>
      <c r="U5107" s="91"/>
      <c r="V5107" s="41"/>
      <c r="W5107" s="37"/>
      <c r="X5107" s="37"/>
      <c r="Y5107" s="43"/>
      <c r="Z5107" s="37"/>
      <c r="AA5107" s="37"/>
      <c r="AD5107" s="37"/>
      <c r="AE5107" s="37"/>
      <c r="AF5107" s="37"/>
    </row>
    <row r="5108" spans="1:32" x14ac:dyDescent="0.25">
      <c r="A5108" s="37"/>
      <c r="B5108" s="37"/>
      <c r="C5108" s="37"/>
      <c r="F5108" s="38"/>
      <c r="G5108" s="38"/>
      <c r="H5108" s="38"/>
      <c r="I5108" s="37"/>
      <c r="J5108" s="38"/>
      <c r="K5108" s="38"/>
      <c r="L5108" s="42"/>
      <c r="M5108" s="42"/>
      <c r="N5108" s="42"/>
      <c r="O5108" s="42"/>
      <c r="R5108" s="37"/>
      <c r="S5108" s="37"/>
      <c r="T5108" s="91"/>
      <c r="U5108" s="91"/>
      <c r="V5108" s="41"/>
      <c r="W5108" s="37"/>
      <c r="X5108" s="37"/>
      <c r="Y5108" s="43"/>
      <c r="Z5108" s="37"/>
      <c r="AA5108" s="37"/>
      <c r="AD5108" s="37"/>
      <c r="AE5108" s="37"/>
      <c r="AF5108" s="37"/>
    </row>
    <row r="5109" spans="1:32" x14ac:dyDescent="0.25">
      <c r="A5109" s="37"/>
      <c r="B5109" s="37"/>
      <c r="C5109" s="37"/>
      <c r="F5109" s="38"/>
      <c r="G5109" s="38"/>
      <c r="H5109" s="38"/>
      <c r="I5109" s="37"/>
      <c r="J5109" s="38"/>
      <c r="K5109" s="38"/>
      <c r="L5109" s="42"/>
      <c r="M5109" s="42"/>
      <c r="N5109" s="42"/>
      <c r="O5109" s="42"/>
      <c r="R5109" s="37"/>
      <c r="S5109" s="37"/>
      <c r="T5109" s="91"/>
      <c r="U5109" s="91"/>
      <c r="V5109" s="41"/>
      <c r="W5109" s="37"/>
      <c r="X5109" s="37"/>
      <c r="Y5109" s="43"/>
      <c r="Z5109" s="37"/>
      <c r="AA5109" s="37"/>
      <c r="AD5109" s="37"/>
      <c r="AE5109" s="37"/>
      <c r="AF5109" s="37"/>
    </row>
    <row r="5110" spans="1:32" x14ac:dyDescent="0.25">
      <c r="A5110" s="37"/>
      <c r="B5110" s="37"/>
      <c r="C5110" s="37"/>
      <c r="F5110" s="38"/>
      <c r="G5110" s="38"/>
      <c r="H5110" s="38"/>
      <c r="I5110" s="37"/>
      <c r="J5110" s="38"/>
      <c r="K5110" s="38"/>
      <c r="L5110" s="42"/>
      <c r="M5110" s="42"/>
      <c r="N5110" s="42"/>
      <c r="O5110" s="42"/>
      <c r="R5110" s="37"/>
      <c r="S5110" s="37"/>
      <c r="T5110" s="91"/>
      <c r="U5110" s="91"/>
      <c r="V5110" s="41"/>
      <c r="W5110" s="37"/>
      <c r="X5110" s="37"/>
      <c r="Y5110" s="43"/>
      <c r="Z5110" s="37"/>
      <c r="AA5110" s="37"/>
      <c r="AD5110" s="37"/>
      <c r="AE5110" s="37"/>
      <c r="AF5110" s="37"/>
    </row>
    <row r="5111" spans="1:32" x14ac:dyDescent="0.25">
      <c r="A5111" s="37"/>
      <c r="B5111" s="37"/>
      <c r="C5111" s="37"/>
      <c r="F5111" s="38"/>
      <c r="G5111" s="38"/>
      <c r="H5111" s="38"/>
      <c r="I5111" s="37"/>
      <c r="J5111" s="38"/>
      <c r="K5111" s="38"/>
      <c r="L5111" s="42"/>
      <c r="M5111" s="42"/>
      <c r="N5111" s="42"/>
      <c r="O5111" s="42"/>
      <c r="R5111" s="37"/>
      <c r="S5111" s="37"/>
      <c r="T5111" s="91"/>
      <c r="U5111" s="91"/>
      <c r="V5111" s="41"/>
      <c r="W5111" s="37"/>
      <c r="X5111" s="37"/>
      <c r="Y5111" s="43"/>
      <c r="Z5111" s="37"/>
      <c r="AA5111" s="37"/>
      <c r="AD5111" s="37"/>
      <c r="AE5111" s="37"/>
      <c r="AF5111" s="37"/>
    </row>
    <row r="5112" spans="1:32" x14ac:dyDescent="0.25">
      <c r="A5112" s="37"/>
      <c r="B5112" s="37"/>
      <c r="C5112" s="37"/>
      <c r="F5112" s="38"/>
      <c r="G5112" s="38"/>
      <c r="H5112" s="38"/>
      <c r="I5112" s="37"/>
      <c r="J5112" s="38"/>
      <c r="K5112" s="38"/>
      <c r="L5112" s="42"/>
      <c r="M5112" s="42"/>
      <c r="N5112" s="42"/>
      <c r="O5112" s="42"/>
      <c r="R5112" s="37"/>
      <c r="S5112" s="37"/>
      <c r="T5112" s="91"/>
      <c r="U5112" s="91"/>
      <c r="V5112" s="41"/>
      <c r="W5112" s="37"/>
      <c r="X5112" s="37"/>
      <c r="Y5112" s="43"/>
      <c r="Z5112" s="37"/>
      <c r="AA5112" s="37"/>
      <c r="AD5112" s="37"/>
      <c r="AE5112" s="37"/>
      <c r="AF5112" s="37"/>
    </row>
    <row r="5113" spans="1:32" x14ac:dyDescent="0.25">
      <c r="A5113" s="37"/>
      <c r="B5113" s="37"/>
      <c r="C5113" s="37"/>
      <c r="F5113" s="38"/>
      <c r="G5113" s="38"/>
      <c r="H5113" s="38"/>
      <c r="I5113" s="37"/>
      <c r="J5113" s="38"/>
      <c r="K5113" s="38"/>
      <c r="L5113" s="42"/>
      <c r="M5113" s="42"/>
      <c r="N5113" s="42"/>
      <c r="O5113" s="42"/>
      <c r="R5113" s="37"/>
      <c r="S5113" s="37"/>
      <c r="T5113" s="91"/>
      <c r="U5113" s="91"/>
      <c r="V5113" s="41"/>
      <c r="W5113" s="37"/>
      <c r="X5113" s="37"/>
      <c r="Y5113" s="43"/>
      <c r="Z5113" s="37"/>
      <c r="AA5113" s="37"/>
      <c r="AD5113" s="37"/>
      <c r="AE5113" s="37"/>
      <c r="AF5113" s="37"/>
    </row>
    <row r="5114" spans="1:32" x14ac:dyDescent="0.25">
      <c r="A5114" s="37"/>
      <c r="B5114" s="37"/>
      <c r="C5114" s="37"/>
      <c r="F5114" s="38"/>
      <c r="G5114" s="38"/>
      <c r="H5114" s="38"/>
      <c r="I5114" s="37"/>
      <c r="J5114" s="38"/>
      <c r="K5114" s="38"/>
      <c r="L5114" s="42"/>
      <c r="M5114" s="42"/>
      <c r="N5114" s="42"/>
      <c r="O5114" s="42"/>
      <c r="R5114" s="37"/>
      <c r="S5114" s="37"/>
      <c r="T5114" s="91"/>
      <c r="U5114" s="91"/>
      <c r="V5114" s="41"/>
      <c r="W5114" s="37"/>
      <c r="X5114" s="37"/>
      <c r="Y5114" s="43"/>
      <c r="Z5114" s="37"/>
      <c r="AA5114" s="37"/>
      <c r="AD5114" s="37"/>
      <c r="AE5114" s="37"/>
      <c r="AF5114" s="37"/>
    </row>
    <row r="5115" spans="1:32" x14ac:dyDescent="0.25">
      <c r="A5115" s="37"/>
      <c r="B5115" s="37"/>
      <c r="C5115" s="37"/>
      <c r="F5115" s="38"/>
      <c r="G5115" s="38"/>
      <c r="H5115" s="38"/>
      <c r="I5115" s="37"/>
      <c r="J5115" s="38"/>
      <c r="K5115" s="38"/>
      <c r="L5115" s="42"/>
      <c r="M5115" s="42"/>
      <c r="N5115" s="42"/>
      <c r="O5115" s="42"/>
      <c r="R5115" s="37"/>
      <c r="S5115" s="37"/>
      <c r="T5115" s="91"/>
      <c r="U5115" s="91"/>
      <c r="V5115" s="41"/>
      <c r="W5115" s="37"/>
      <c r="X5115" s="37"/>
      <c r="Y5115" s="43"/>
      <c r="Z5115" s="37"/>
      <c r="AA5115" s="37"/>
      <c r="AD5115" s="37"/>
      <c r="AE5115" s="37"/>
      <c r="AF5115" s="37"/>
    </row>
    <row r="5116" spans="1:32" x14ac:dyDescent="0.25">
      <c r="A5116" s="37"/>
      <c r="B5116" s="37"/>
      <c r="C5116" s="37"/>
      <c r="F5116" s="38"/>
      <c r="G5116" s="38"/>
      <c r="H5116" s="38"/>
      <c r="I5116" s="37"/>
      <c r="J5116" s="38"/>
      <c r="K5116" s="38"/>
      <c r="L5116" s="42"/>
      <c r="M5116" s="42"/>
      <c r="N5116" s="42"/>
      <c r="O5116" s="42"/>
      <c r="R5116" s="37"/>
      <c r="S5116" s="37"/>
      <c r="T5116" s="91"/>
      <c r="U5116" s="91"/>
      <c r="V5116" s="41"/>
      <c r="W5116" s="37"/>
      <c r="X5116" s="37"/>
      <c r="Y5116" s="43"/>
      <c r="Z5116" s="37"/>
      <c r="AA5116" s="37"/>
      <c r="AD5116" s="37"/>
      <c r="AE5116" s="37"/>
      <c r="AF5116" s="37"/>
    </row>
    <row r="5117" spans="1:32" x14ac:dyDescent="0.25">
      <c r="A5117" s="37"/>
      <c r="B5117" s="37"/>
      <c r="C5117" s="37"/>
      <c r="F5117" s="38"/>
      <c r="G5117" s="38"/>
      <c r="H5117" s="38"/>
      <c r="I5117" s="37"/>
      <c r="J5117" s="38"/>
      <c r="K5117" s="38"/>
      <c r="L5117" s="42"/>
      <c r="M5117" s="42"/>
      <c r="N5117" s="42"/>
      <c r="O5117" s="42"/>
      <c r="R5117" s="37"/>
      <c r="S5117" s="37"/>
      <c r="T5117" s="91"/>
      <c r="U5117" s="91"/>
      <c r="V5117" s="41"/>
      <c r="W5117" s="37"/>
      <c r="X5117" s="37"/>
      <c r="Y5117" s="43"/>
      <c r="Z5117" s="37"/>
      <c r="AA5117" s="37"/>
      <c r="AD5117" s="37"/>
      <c r="AE5117" s="37"/>
      <c r="AF5117" s="37"/>
    </row>
    <row r="5118" spans="1:32" x14ac:dyDescent="0.25">
      <c r="A5118" s="37"/>
      <c r="B5118" s="37"/>
      <c r="C5118" s="37"/>
      <c r="F5118" s="38"/>
      <c r="G5118" s="38"/>
      <c r="H5118" s="38"/>
      <c r="I5118" s="37"/>
      <c r="J5118" s="38"/>
      <c r="K5118" s="38"/>
      <c r="L5118" s="42"/>
      <c r="M5118" s="42"/>
      <c r="N5118" s="42"/>
      <c r="O5118" s="42"/>
      <c r="R5118" s="37"/>
      <c r="S5118" s="37"/>
      <c r="T5118" s="91"/>
      <c r="U5118" s="91"/>
      <c r="V5118" s="41"/>
      <c r="W5118" s="37"/>
      <c r="X5118" s="37"/>
      <c r="Y5118" s="43"/>
      <c r="Z5118" s="37"/>
      <c r="AA5118" s="37"/>
      <c r="AD5118" s="37"/>
      <c r="AE5118" s="37"/>
      <c r="AF5118" s="37"/>
    </row>
    <row r="5119" spans="1:32" x14ac:dyDescent="0.25">
      <c r="A5119" s="37"/>
      <c r="B5119" s="37"/>
      <c r="C5119" s="37"/>
      <c r="F5119" s="38"/>
      <c r="G5119" s="38"/>
      <c r="H5119" s="38"/>
      <c r="I5119" s="37"/>
      <c r="J5119" s="38"/>
      <c r="K5119" s="38"/>
      <c r="L5119" s="42"/>
      <c r="M5119" s="42"/>
      <c r="N5119" s="42"/>
      <c r="O5119" s="42"/>
      <c r="R5119" s="37"/>
      <c r="S5119" s="37"/>
      <c r="T5119" s="91"/>
      <c r="U5119" s="91"/>
      <c r="V5119" s="41"/>
      <c r="W5119" s="37"/>
      <c r="X5119" s="37"/>
      <c r="Y5119" s="43"/>
      <c r="Z5119" s="37"/>
      <c r="AA5119" s="37"/>
      <c r="AD5119" s="37"/>
      <c r="AE5119" s="37"/>
      <c r="AF5119" s="37"/>
    </row>
    <row r="5120" spans="1:32" x14ac:dyDescent="0.25">
      <c r="A5120" s="37"/>
      <c r="B5120" s="37"/>
      <c r="C5120" s="37"/>
      <c r="F5120" s="38"/>
      <c r="G5120" s="38"/>
      <c r="H5120" s="38"/>
      <c r="I5120" s="37"/>
      <c r="J5120" s="38"/>
      <c r="K5120" s="38"/>
      <c r="L5120" s="42"/>
      <c r="M5120" s="42"/>
      <c r="N5120" s="42"/>
      <c r="O5120" s="42"/>
      <c r="R5120" s="37"/>
      <c r="S5120" s="37"/>
      <c r="T5120" s="91"/>
      <c r="U5120" s="91"/>
      <c r="V5120" s="41"/>
      <c r="W5120" s="37"/>
      <c r="X5120" s="37"/>
      <c r="Y5120" s="43"/>
      <c r="Z5120" s="37"/>
      <c r="AA5120" s="37"/>
      <c r="AD5120" s="37"/>
      <c r="AE5120" s="37"/>
      <c r="AF5120" s="37"/>
    </row>
    <row r="5121" spans="1:32" x14ac:dyDescent="0.25">
      <c r="A5121" s="37"/>
      <c r="B5121" s="37"/>
      <c r="C5121" s="37"/>
      <c r="F5121" s="38"/>
      <c r="G5121" s="38"/>
      <c r="H5121" s="38"/>
      <c r="I5121" s="37"/>
      <c r="J5121" s="38"/>
      <c r="K5121" s="38"/>
      <c r="L5121" s="42"/>
      <c r="M5121" s="42"/>
      <c r="N5121" s="42"/>
      <c r="O5121" s="42"/>
      <c r="R5121" s="37"/>
      <c r="S5121" s="37"/>
      <c r="T5121" s="91"/>
      <c r="U5121" s="91"/>
      <c r="V5121" s="41"/>
      <c r="W5121" s="37"/>
      <c r="X5121" s="37"/>
      <c r="Y5121" s="43"/>
      <c r="Z5121" s="37"/>
      <c r="AA5121" s="37"/>
      <c r="AD5121" s="37"/>
      <c r="AE5121" s="37"/>
      <c r="AF5121" s="37"/>
    </row>
    <row r="5122" spans="1:32" x14ac:dyDescent="0.25">
      <c r="A5122" s="37"/>
      <c r="B5122" s="37"/>
      <c r="C5122" s="37"/>
      <c r="F5122" s="38"/>
      <c r="G5122" s="38"/>
      <c r="H5122" s="38"/>
      <c r="I5122" s="37"/>
      <c r="J5122" s="38"/>
      <c r="K5122" s="38"/>
      <c r="L5122" s="42"/>
      <c r="M5122" s="42"/>
      <c r="N5122" s="42"/>
      <c r="O5122" s="42"/>
      <c r="R5122" s="37"/>
      <c r="S5122" s="37"/>
      <c r="T5122" s="91"/>
      <c r="U5122" s="91"/>
      <c r="V5122" s="41"/>
      <c r="W5122" s="37"/>
      <c r="X5122" s="37"/>
      <c r="Y5122" s="43"/>
      <c r="Z5122" s="37"/>
      <c r="AA5122" s="37"/>
      <c r="AD5122" s="37"/>
      <c r="AE5122" s="37"/>
      <c r="AF5122" s="37"/>
    </row>
    <row r="5123" spans="1:32" x14ac:dyDescent="0.25">
      <c r="A5123" s="37"/>
      <c r="B5123" s="37"/>
      <c r="C5123" s="37"/>
      <c r="F5123" s="38"/>
      <c r="G5123" s="38"/>
      <c r="H5123" s="38"/>
      <c r="I5123" s="37"/>
      <c r="J5123" s="38"/>
      <c r="K5123" s="38"/>
      <c r="L5123" s="42"/>
      <c r="M5123" s="42"/>
      <c r="N5123" s="42"/>
      <c r="O5123" s="42"/>
      <c r="R5123" s="37"/>
      <c r="S5123" s="37"/>
      <c r="T5123" s="91"/>
      <c r="U5123" s="91"/>
      <c r="V5123" s="41"/>
      <c r="W5123" s="37"/>
      <c r="X5123" s="37"/>
      <c r="Y5123" s="43"/>
      <c r="Z5123" s="37"/>
      <c r="AA5123" s="37"/>
      <c r="AD5123" s="37"/>
      <c r="AE5123" s="37"/>
      <c r="AF5123" s="37"/>
    </row>
    <row r="5124" spans="1:32" x14ac:dyDescent="0.25">
      <c r="A5124" s="37"/>
      <c r="B5124" s="37"/>
      <c r="C5124" s="37"/>
      <c r="F5124" s="38"/>
      <c r="G5124" s="38"/>
      <c r="H5124" s="38"/>
      <c r="I5124" s="37"/>
      <c r="J5124" s="38"/>
      <c r="K5124" s="38"/>
      <c r="L5124" s="42"/>
      <c r="M5124" s="42"/>
      <c r="N5124" s="42"/>
      <c r="O5124" s="42"/>
      <c r="R5124" s="37"/>
      <c r="S5124" s="37"/>
      <c r="T5124" s="91"/>
      <c r="U5124" s="91"/>
      <c r="V5124" s="41"/>
      <c r="W5124" s="37"/>
      <c r="X5124" s="37"/>
      <c r="Y5124" s="43"/>
      <c r="Z5124" s="37"/>
      <c r="AA5124" s="37"/>
      <c r="AD5124" s="37"/>
      <c r="AE5124" s="37"/>
      <c r="AF5124" s="37"/>
    </row>
    <row r="5125" spans="1:32" x14ac:dyDescent="0.25">
      <c r="A5125" s="37"/>
      <c r="B5125" s="37"/>
      <c r="C5125" s="37"/>
      <c r="F5125" s="38"/>
      <c r="G5125" s="38"/>
      <c r="H5125" s="38"/>
      <c r="I5125" s="37"/>
      <c r="J5125" s="38"/>
      <c r="K5125" s="38"/>
      <c r="L5125" s="42"/>
      <c r="M5125" s="42"/>
      <c r="N5125" s="42"/>
      <c r="O5125" s="42"/>
      <c r="R5125" s="37"/>
      <c r="S5125" s="37"/>
      <c r="T5125" s="91"/>
      <c r="U5125" s="91"/>
      <c r="V5125" s="41"/>
      <c r="W5125" s="37"/>
      <c r="X5125" s="37"/>
      <c r="Y5125" s="43"/>
      <c r="Z5125" s="37"/>
      <c r="AA5125" s="37"/>
      <c r="AD5125" s="37"/>
      <c r="AE5125" s="37"/>
      <c r="AF5125" s="37"/>
    </row>
    <row r="5126" spans="1:32" x14ac:dyDescent="0.25">
      <c r="A5126" s="37"/>
      <c r="B5126" s="37"/>
      <c r="C5126" s="37"/>
      <c r="F5126" s="38"/>
      <c r="G5126" s="38"/>
      <c r="H5126" s="38"/>
      <c r="I5126" s="37"/>
      <c r="J5126" s="38"/>
      <c r="K5126" s="38"/>
      <c r="L5126" s="42"/>
      <c r="M5126" s="42"/>
      <c r="N5126" s="42"/>
      <c r="O5126" s="42"/>
      <c r="R5126" s="37"/>
      <c r="S5126" s="37"/>
      <c r="T5126" s="91"/>
      <c r="U5126" s="91"/>
      <c r="V5126" s="41"/>
      <c r="W5126" s="37"/>
      <c r="X5126" s="37"/>
      <c r="Y5126" s="43"/>
      <c r="Z5126" s="37"/>
      <c r="AA5126" s="37"/>
      <c r="AD5126" s="37"/>
      <c r="AE5126" s="37"/>
      <c r="AF5126" s="37"/>
    </row>
    <row r="5127" spans="1:32" x14ac:dyDescent="0.25">
      <c r="A5127" s="37"/>
      <c r="B5127" s="37"/>
      <c r="C5127" s="37"/>
      <c r="F5127" s="38"/>
      <c r="G5127" s="38"/>
      <c r="H5127" s="38"/>
      <c r="I5127" s="37"/>
      <c r="J5127" s="38"/>
      <c r="K5127" s="38"/>
      <c r="L5127" s="42"/>
      <c r="M5127" s="42"/>
      <c r="N5127" s="42"/>
      <c r="O5127" s="42"/>
      <c r="R5127" s="37"/>
      <c r="S5127" s="37"/>
      <c r="T5127" s="91"/>
      <c r="U5127" s="91"/>
      <c r="V5127" s="41"/>
      <c r="W5127" s="37"/>
      <c r="X5127" s="37"/>
      <c r="Y5127" s="43"/>
      <c r="Z5127" s="37"/>
      <c r="AA5127" s="37"/>
      <c r="AD5127" s="37"/>
      <c r="AE5127" s="37"/>
      <c r="AF5127" s="37"/>
    </row>
    <row r="5128" spans="1:32" x14ac:dyDescent="0.25">
      <c r="A5128" s="37"/>
      <c r="B5128" s="37"/>
      <c r="C5128" s="37"/>
      <c r="F5128" s="38"/>
      <c r="G5128" s="38"/>
      <c r="H5128" s="38"/>
      <c r="I5128" s="37"/>
      <c r="J5128" s="38"/>
      <c r="K5128" s="38"/>
      <c r="L5128" s="42"/>
      <c r="M5128" s="42"/>
      <c r="N5128" s="42"/>
      <c r="O5128" s="42"/>
      <c r="R5128" s="37"/>
      <c r="S5128" s="37"/>
      <c r="T5128" s="91"/>
      <c r="U5128" s="91"/>
      <c r="V5128" s="41"/>
      <c r="W5128" s="37"/>
      <c r="X5128" s="37"/>
      <c r="Y5128" s="43"/>
      <c r="Z5128" s="37"/>
      <c r="AA5128" s="37"/>
      <c r="AD5128" s="37"/>
      <c r="AE5128" s="37"/>
      <c r="AF5128" s="37"/>
    </row>
    <row r="5129" spans="1:32" x14ac:dyDescent="0.25">
      <c r="A5129" s="37"/>
      <c r="B5129" s="37"/>
      <c r="C5129" s="37"/>
      <c r="F5129" s="38"/>
      <c r="G5129" s="38"/>
      <c r="H5129" s="38"/>
      <c r="I5129" s="37"/>
      <c r="J5129" s="38"/>
      <c r="K5129" s="38"/>
      <c r="L5129" s="42"/>
      <c r="M5129" s="42"/>
      <c r="N5129" s="42"/>
      <c r="O5129" s="42"/>
      <c r="R5129" s="37"/>
      <c r="S5129" s="37"/>
      <c r="T5129" s="91"/>
      <c r="U5129" s="91"/>
      <c r="V5129" s="41"/>
      <c r="W5129" s="37"/>
      <c r="X5129" s="37"/>
      <c r="Y5129" s="43"/>
      <c r="Z5129" s="37"/>
      <c r="AA5129" s="37"/>
      <c r="AD5129" s="37"/>
      <c r="AE5129" s="37"/>
      <c r="AF5129" s="37"/>
    </row>
    <row r="5130" spans="1:32" x14ac:dyDescent="0.25">
      <c r="A5130" s="37"/>
      <c r="B5130" s="37"/>
      <c r="C5130" s="37"/>
      <c r="F5130" s="38"/>
      <c r="G5130" s="38"/>
      <c r="H5130" s="38"/>
      <c r="I5130" s="37"/>
      <c r="J5130" s="38"/>
      <c r="K5130" s="38"/>
      <c r="L5130" s="42"/>
      <c r="M5130" s="42"/>
      <c r="N5130" s="42"/>
      <c r="O5130" s="42"/>
      <c r="R5130" s="37"/>
      <c r="S5130" s="37"/>
      <c r="T5130" s="91"/>
      <c r="U5130" s="91"/>
      <c r="V5130" s="41"/>
      <c r="W5130" s="37"/>
      <c r="X5130" s="37"/>
      <c r="Y5130" s="43"/>
      <c r="Z5130" s="37"/>
      <c r="AA5130" s="37"/>
      <c r="AD5130" s="37"/>
      <c r="AE5130" s="37"/>
      <c r="AF5130" s="37"/>
    </row>
    <row r="5131" spans="1:32" x14ac:dyDescent="0.25">
      <c r="A5131" s="37"/>
      <c r="B5131" s="37"/>
      <c r="C5131" s="37"/>
      <c r="F5131" s="38"/>
      <c r="G5131" s="38"/>
      <c r="H5131" s="38"/>
      <c r="I5131" s="37"/>
      <c r="J5131" s="38"/>
      <c r="K5131" s="38"/>
      <c r="L5131" s="42"/>
      <c r="M5131" s="42"/>
      <c r="N5131" s="42"/>
      <c r="O5131" s="42"/>
      <c r="R5131" s="37"/>
      <c r="S5131" s="37"/>
      <c r="T5131" s="91"/>
      <c r="U5131" s="91"/>
      <c r="V5131" s="41"/>
      <c r="W5131" s="37"/>
      <c r="X5131" s="37"/>
      <c r="Y5131" s="43"/>
      <c r="Z5131" s="37"/>
      <c r="AA5131" s="37"/>
      <c r="AD5131" s="37"/>
      <c r="AE5131" s="37"/>
      <c r="AF5131" s="37"/>
    </row>
    <row r="5132" spans="1:32" x14ac:dyDescent="0.25">
      <c r="A5132" s="37"/>
      <c r="B5132" s="37"/>
      <c r="C5132" s="37"/>
      <c r="F5132" s="38"/>
      <c r="G5132" s="38"/>
      <c r="H5132" s="38"/>
      <c r="I5132" s="37"/>
      <c r="J5132" s="38"/>
      <c r="K5132" s="38"/>
      <c r="L5132" s="42"/>
      <c r="M5132" s="42"/>
      <c r="N5132" s="42"/>
      <c r="O5132" s="42"/>
      <c r="R5132" s="37"/>
      <c r="S5132" s="37"/>
      <c r="T5132" s="91"/>
      <c r="U5132" s="91"/>
      <c r="V5132" s="41"/>
      <c r="W5132" s="37"/>
      <c r="X5132" s="37"/>
      <c r="Y5132" s="43"/>
      <c r="Z5132" s="37"/>
      <c r="AA5132" s="37"/>
      <c r="AD5132" s="37"/>
      <c r="AE5132" s="37"/>
      <c r="AF5132" s="37"/>
    </row>
    <row r="5133" spans="1:32" x14ac:dyDescent="0.25">
      <c r="A5133" s="37"/>
      <c r="B5133" s="37"/>
      <c r="C5133" s="37"/>
      <c r="F5133" s="38"/>
      <c r="G5133" s="38"/>
      <c r="H5133" s="38"/>
      <c r="I5133" s="37"/>
      <c r="J5133" s="38"/>
      <c r="K5133" s="38"/>
      <c r="L5133" s="42"/>
      <c r="M5133" s="42"/>
      <c r="N5133" s="42"/>
      <c r="O5133" s="42"/>
      <c r="R5133" s="37"/>
      <c r="S5133" s="37"/>
      <c r="T5133" s="91"/>
      <c r="U5133" s="91"/>
      <c r="V5133" s="41"/>
      <c r="W5133" s="37"/>
      <c r="X5133" s="37"/>
      <c r="Y5133" s="43"/>
      <c r="Z5133" s="37"/>
      <c r="AA5133" s="37"/>
      <c r="AD5133" s="37"/>
      <c r="AE5133" s="37"/>
      <c r="AF5133" s="37"/>
    </row>
    <row r="5134" spans="1:32" x14ac:dyDescent="0.25">
      <c r="A5134" s="37"/>
      <c r="B5134" s="37"/>
      <c r="C5134" s="37"/>
      <c r="F5134" s="38"/>
      <c r="G5134" s="38"/>
      <c r="H5134" s="38"/>
      <c r="I5134" s="37"/>
      <c r="J5134" s="38"/>
      <c r="K5134" s="38"/>
      <c r="L5134" s="42"/>
      <c r="M5134" s="42"/>
      <c r="N5134" s="42"/>
      <c r="O5134" s="42"/>
      <c r="R5134" s="37"/>
      <c r="S5134" s="37"/>
      <c r="T5134" s="91"/>
      <c r="U5134" s="91"/>
      <c r="V5134" s="41"/>
      <c r="W5134" s="37"/>
      <c r="X5134" s="37"/>
      <c r="Y5134" s="43"/>
      <c r="Z5134" s="37"/>
      <c r="AA5134" s="37"/>
      <c r="AD5134" s="37"/>
      <c r="AE5134" s="37"/>
      <c r="AF5134" s="37"/>
    </row>
    <row r="5135" spans="1:32" x14ac:dyDescent="0.25">
      <c r="A5135" s="37"/>
      <c r="B5135" s="37"/>
      <c r="C5135" s="37"/>
      <c r="F5135" s="38"/>
      <c r="G5135" s="38"/>
      <c r="H5135" s="38"/>
      <c r="I5135" s="37"/>
      <c r="J5135" s="38"/>
      <c r="K5135" s="38"/>
      <c r="L5135" s="42"/>
      <c r="M5135" s="42"/>
      <c r="N5135" s="42"/>
      <c r="O5135" s="42"/>
      <c r="R5135" s="37"/>
      <c r="S5135" s="37"/>
      <c r="T5135" s="91"/>
      <c r="U5135" s="91"/>
      <c r="V5135" s="41"/>
      <c r="W5135" s="37"/>
      <c r="X5135" s="37"/>
      <c r="Y5135" s="43"/>
      <c r="Z5135" s="37"/>
      <c r="AA5135" s="37"/>
      <c r="AD5135" s="37"/>
      <c r="AE5135" s="37"/>
      <c r="AF5135" s="37"/>
    </row>
    <row r="5136" spans="1:32" x14ac:dyDescent="0.25">
      <c r="A5136" s="37"/>
      <c r="B5136" s="37"/>
      <c r="C5136" s="37"/>
      <c r="F5136" s="38"/>
      <c r="G5136" s="38"/>
      <c r="H5136" s="38"/>
      <c r="I5136" s="37"/>
      <c r="J5136" s="38"/>
      <c r="K5136" s="38"/>
      <c r="L5136" s="42"/>
      <c r="M5136" s="42"/>
      <c r="N5136" s="42"/>
      <c r="O5136" s="42"/>
      <c r="R5136" s="37"/>
      <c r="S5136" s="37"/>
      <c r="T5136" s="91"/>
      <c r="U5136" s="91"/>
      <c r="V5136" s="41"/>
      <c r="W5136" s="37"/>
      <c r="X5136" s="37"/>
      <c r="Y5136" s="43"/>
      <c r="Z5136" s="37"/>
      <c r="AA5136" s="37"/>
      <c r="AD5136" s="37"/>
      <c r="AE5136" s="37"/>
      <c r="AF5136" s="37"/>
    </row>
    <row r="5137" spans="1:32" x14ac:dyDescent="0.25">
      <c r="A5137" s="37"/>
      <c r="B5137" s="37"/>
      <c r="C5137" s="37"/>
      <c r="F5137" s="38"/>
      <c r="G5137" s="38"/>
      <c r="H5137" s="38"/>
      <c r="I5137" s="37"/>
      <c r="J5137" s="38"/>
      <c r="K5137" s="38"/>
      <c r="L5137" s="42"/>
      <c r="M5137" s="42"/>
      <c r="N5137" s="42"/>
      <c r="O5137" s="42"/>
      <c r="R5137" s="37"/>
      <c r="S5137" s="37"/>
      <c r="T5137" s="91"/>
      <c r="U5137" s="91"/>
      <c r="V5137" s="41"/>
      <c r="W5137" s="37"/>
      <c r="X5137" s="37"/>
      <c r="Y5137" s="43"/>
      <c r="Z5137" s="37"/>
      <c r="AA5137" s="37"/>
      <c r="AD5137" s="37"/>
      <c r="AE5137" s="37"/>
      <c r="AF5137" s="37"/>
    </row>
    <row r="5138" spans="1:32" x14ac:dyDescent="0.25">
      <c r="A5138" s="37"/>
      <c r="B5138" s="37"/>
      <c r="C5138" s="37"/>
      <c r="F5138" s="38"/>
      <c r="G5138" s="38"/>
      <c r="H5138" s="38"/>
      <c r="I5138" s="37"/>
      <c r="J5138" s="38"/>
      <c r="K5138" s="38"/>
      <c r="L5138" s="42"/>
      <c r="M5138" s="42"/>
      <c r="N5138" s="42"/>
      <c r="O5138" s="42"/>
      <c r="R5138" s="37"/>
      <c r="S5138" s="37"/>
      <c r="T5138" s="91"/>
      <c r="U5138" s="91"/>
      <c r="V5138" s="41"/>
      <c r="W5138" s="37"/>
      <c r="X5138" s="37"/>
      <c r="Y5138" s="43"/>
      <c r="Z5138" s="37"/>
      <c r="AA5138" s="37"/>
      <c r="AD5138" s="37"/>
      <c r="AE5138" s="37"/>
      <c r="AF5138" s="37"/>
    </row>
    <row r="5139" spans="1:32" x14ac:dyDescent="0.25">
      <c r="A5139" s="37"/>
      <c r="B5139" s="37"/>
      <c r="C5139" s="37"/>
      <c r="F5139" s="38"/>
      <c r="G5139" s="38"/>
      <c r="H5139" s="38"/>
      <c r="I5139" s="37"/>
      <c r="J5139" s="38"/>
      <c r="K5139" s="38"/>
      <c r="L5139" s="42"/>
      <c r="M5139" s="42"/>
      <c r="N5139" s="42"/>
      <c r="O5139" s="42"/>
      <c r="R5139" s="37"/>
      <c r="S5139" s="37"/>
      <c r="T5139" s="91"/>
      <c r="U5139" s="91"/>
      <c r="V5139" s="41"/>
      <c r="W5139" s="37"/>
      <c r="X5139" s="37"/>
      <c r="Y5139" s="43"/>
      <c r="Z5139" s="37"/>
      <c r="AA5139" s="37"/>
      <c r="AD5139" s="37"/>
      <c r="AE5139" s="37"/>
      <c r="AF5139" s="37"/>
    </row>
    <row r="5140" spans="1:32" x14ac:dyDescent="0.25">
      <c r="A5140" s="37"/>
      <c r="B5140" s="37"/>
      <c r="C5140" s="37"/>
      <c r="F5140" s="38"/>
      <c r="G5140" s="38"/>
      <c r="H5140" s="38"/>
      <c r="I5140" s="37"/>
      <c r="J5140" s="38"/>
      <c r="K5140" s="38"/>
      <c r="L5140" s="42"/>
      <c r="M5140" s="42"/>
      <c r="N5140" s="42"/>
      <c r="O5140" s="42"/>
      <c r="R5140" s="37"/>
      <c r="S5140" s="37"/>
      <c r="T5140" s="91"/>
      <c r="U5140" s="91"/>
      <c r="V5140" s="41"/>
      <c r="W5140" s="37"/>
      <c r="X5140" s="37"/>
      <c r="Y5140" s="43"/>
      <c r="Z5140" s="37"/>
      <c r="AA5140" s="37"/>
      <c r="AD5140" s="37"/>
      <c r="AE5140" s="37"/>
      <c r="AF5140" s="37"/>
    </row>
    <row r="5141" spans="1:32" x14ac:dyDescent="0.25">
      <c r="A5141" s="37"/>
      <c r="B5141" s="37"/>
      <c r="C5141" s="37"/>
      <c r="F5141" s="38"/>
      <c r="G5141" s="38"/>
      <c r="H5141" s="38"/>
      <c r="I5141" s="37"/>
      <c r="J5141" s="38"/>
      <c r="K5141" s="38"/>
      <c r="L5141" s="42"/>
      <c r="M5141" s="42"/>
      <c r="N5141" s="42"/>
      <c r="O5141" s="42"/>
      <c r="R5141" s="37"/>
      <c r="S5141" s="37"/>
      <c r="T5141" s="91"/>
      <c r="U5141" s="91"/>
      <c r="V5141" s="41"/>
      <c r="W5141" s="37"/>
      <c r="X5141" s="37"/>
      <c r="Y5141" s="43"/>
      <c r="Z5141" s="37"/>
      <c r="AA5141" s="37"/>
      <c r="AD5141" s="37"/>
      <c r="AE5141" s="37"/>
      <c r="AF5141" s="37"/>
    </row>
    <row r="5142" spans="1:32" x14ac:dyDescent="0.25">
      <c r="A5142" s="37"/>
      <c r="B5142" s="37"/>
      <c r="C5142" s="37"/>
      <c r="F5142" s="38"/>
      <c r="G5142" s="38"/>
      <c r="H5142" s="38"/>
      <c r="I5142" s="37"/>
      <c r="J5142" s="38"/>
      <c r="K5142" s="38"/>
      <c r="L5142" s="42"/>
      <c r="M5142" s="42"/>
      <c r="N5142" s="42"/>
      <c r="O5142" s="42"/>
      <c r="R5142" s="37"/>
      <c r="S5142" s="37"/>
      <c r="T5142" s="91"/>
      <c r="U5142" s="91"/>
      <c r="V5142" s="41"/>
      <c r="W5142" s="37"/>
      <c r="X5142" s="37"/>
      <c r="Y5142" s="43"/>
      <c r="Z5142" s="37"/>
      <c r="AA5142" s="37"/>
      <c r="AD5142" s="37"/>
      <c r="AE5142" s="37"/>
      <c r="AF5142" s="37"/>
    </row>
    <row r="5143" spans="1:32" x14ac:dyDescent="0.25">
      <c r="A5143" s="37"/>
      <c r="B5143" s="37"/>
      <c r="C5143" s="37"/>
      <c r="F5143" s="38"/>
      <c r="G5143" s="38"/>
      <c r="H5143" s="38"/>
      <c r="I5143" s="37"/>
      <c r="J5143" s="38"/>
      <c r="K5143" s="38"/>
      <c r="L5143" s="42"/>
      <c r="M5143" s="42"/>
      <c r="N5143" s="42"/>
      <c r="O5143" s="42"/>
      <c r="R5143" s="37"/>
      <c r="S5143" s="37"/>
      <c r="T5143" s="91"/>
      <c r="U5143" s="91"/>
      <c r="V5143" s="41"/>
      <c r="W5143" s="37"/>
      <c r="X5143" s="37"/>
      <c r="Y5143" s="43"/>
      <c r="Z5143" s="37"/>
      <c r="AA5143" s="37"/>
      <c r="AD5143" s="37"/>
      <c r="AE5143" s="37"/>
      <c r="AF5143" s="37"/>
    </row>
    <row r="5144" spans="1:32" x14ac:dyDescent="0.25">
      <c r="A5144" s="37"/>
      <c r="B5144" s="37"/>
      <c r="C5144" s="37"/>
      <c r="F5144" s="38"/>
      <c r="G5144" s="38"/>
      <c r="H5144" s="38"/>
      <c r="I5144" s="37"/>
      <c r="J5144" s="38"/>
      <c r="K5144" s="38"/>
      <c r="L5144" s="42"/>
      <c r="M5144" s="42"/>
      <c r="N5144" s="42"/>
      <c r="O5144" s="42"/>
      <c r="R5144" s="37"/>
      <c r="S5144" s="37"/>
      <c r="T5144" s="91"/>
      <c r="U5144" s="91"/>
      <c r="V5144" s="41"/>
      <c r="W5144" s="37"/>
      <c r="X5144" s="37"/>
      <c r="Y5144" s="43"/>
      <c r="Z5144" s="37"/>
      <c r="AA5144" s="37"/>
      <c r="AD5144" s="37"/>
      <c r="AE5144" s="37"/>
      <c r="AF5144" s="37"/>
    </row>
    <row r="5145" spans="1:32" x14ac:dyDescent="0.25">
      <c r="A5145" s="37"/>
      <c r="B5145" s="37"/>
      <c r="C5145" s="37"/>
      <c r="F5145" s="38"/>
      <c r="G5145" s="38"/>
      <c r="H5145" s="38"/>
      <c r="I5145" s="37"/>
      <c r="J5145" s="38"/>
      <c r="K5145" s="38"/>
      <c r="L5145" s="42"/>
      <c r="M5145" s="42"/>
      <c r="N5145" s="42"/>
      <c r="O5145" s="42"/>
      <c r="R5145" s="37"/>
      <c r="S5145" s="37"/>
      <c r="T5145" s="91"/>
      <c r="U5145" s="91"/>
      <c r="V5145" s="41"/>
      <c r="W5145" s="37"/>
      <c r="X5145" s="37"/>
      <c r="Y5145" s="43"/>
      <c r="Z5145" s="37"/>
      <c r="AA5145" s="37"/>
      <c r="AD5145" s="37"/>
      <c r="AE5145" s="37"/>
      <c r="AF5145" s="37"/>
    </row>
    <row r="5146" spans="1:32" x14ac:dyDescent="0.25">
      <c r="A5146" s="37"/>
      <c r="B5146" s="37"/>
      <c r="C5146" s="37"/>
      <c r="F5146" s="38"/>
      <c r="G5146" s="38"/>
      <c r="H5146" s="38"/>
      <c r="I5146" s="37"/>
      <c r="J5146" s="38"/>
      <c r="K5146" s="38"/>
      <c r="L5146" s="42"/>
      <c r="M5146" s="42"/>
      <c r="N5146" s="42"/>
      <c r="O5146" s="42"/>
      <c r="R5146" s="37"/>
      <c r="S5146" s="37"/>
      <c r="T5146" s="91"/>
      <c r="U5146" s="91"/>
      <c r="V5146" s="41"/>
      <c r="W5146" s="37"/>
      <c r="X5146" s="37"/>
      <c r="Y5146" s="43"/>
      <c r="Z5146" s="37"/>
      <c r="AA5146" s="37"/>
      <c r="AD5146" s="37"/>
      <c r="AE5146" s="37"/>
      <c r="AF5146" s="37"/>
    </row>
    <row r="5147" spans="1:32" x14ac:dyDescent="0.25">
      <c r="A5147" s="37"/>
      <c r="B5147" s="37"/>
      <c r="C5147" s="37"/>
      <c r="F5147" s="38"/>
      <c r="G5147" s="38"/>
      <c r="H5147" s="38"/>
      <c r="I5147" s="37"/>
      <c r="J5147" s="38"/>
      <c r="K5147" s="38"/>
      <c r="L5147" s="42"/>
      <c r="M5147" s="42"/>
      <c r="N5147" s="42"/>
      <c r="O5147" s="42"/>
      <c r="R5147" s="37"/>
      <c r="S5147" s="37"/>
      <c r="T5147" s="91"/>
      <c r="U5147" s="91"/>
      <c r="V5147" s="41"/>
      <c r="W5147" s="37"/>
      <c r="X5147" s="37"/>
      <c r="Y5147" s="43"/>
      <c r="Z5147" s="37"/>
      <c r="AA5147" s="37"/>
      <c r="AD5147" s="37"/>
      <c r="AE5147" s="37"/>
      <c r="AF5147" s="37"/>
    </row>
    <row r="5148" spans="1:32" x14ac:dyDescent="0.25">
      <c r="A5148" s="37"/>
      <c r="B5148" s="37"/>
      <c r="C5148" s="37"/>
      <c r="F5148" s="38"/>
      <c r="G5148" s="38"/>
      <c r="H5148" s="38"/>
      <c r="I5148" s="37"/>
      <c r="J5148" s="38"/>
      <c r="K5148" s="38"/>
      <c r="L5148" s="42"/>
      <c r="M5148" s="42"/>
      <c r="N5148" s="42"/>
      <c r="O5148" s="42"/>
      <c r="R5148" s="37"/>
      <c r="S5148" s="37"/>
      <c r="T5148" s="91"/>
      <c r="U5148" s="91"/>
      <c r="V5148" s="41"/>
      <c r="W5148" s="37"/>
      <c r="X5148" s="37"/>
      <c r="Y5148" s="43"/>
      <c r="Z5148" s="37"/>
      <c r="AA5148" s="37"/>
      <c r="AD5148" s="37"/>
      <c r="AE5148" s="37"/>
      <c r="AF5148" s="37"/>
    </row>
    <row r="5149" spans="1:32" x14ac:dyDescent="0.25">
      <c r="A5149" s="37"/>
      <c r="B5149" s="37"/>
      <c r="C5149" s="37"/>
      <c r="F5149" s="38"/>
      <c r="G5149" s="38"/>
      <c r="H5149" s="38"/>
      <c r="I5149" s="37"/>
      <c r="J5149" s="38"/>
      <c r="K5149" s="38"/>
      <c r="L5149" s="42"/>
      <c r="M5149" s="42"/>
      <c r="N5149" s="42"/>
      <c r="O5149" s="42"/>
      <c r="R5149" s="37"/>
      <c r="S5149" s="37"/>
      <c r="T5149" s="91"/>
      <c r="U5149" s="91"/>
      <c r="V5149" s="41"/>
      <c r="W5149" s="37"/>
      <c r="X5149" s="37"/>
      <c r="Y5149" s="43"/>
      <c r="Z5149" s="37"/>
      <c r="AA5149" s="37"/>
      <c r="AD5149" s="37"/>
      <c r="AE5149" s="37"/>
      <c r="AF5149" s="37"/>
    </row>
    <row r="5150" spans="1:32" x14ac:dyDescent="0.25">
      <c r="A5150" s="37"/>
      <c r="B5150" s="37"/>
      <c r="C5150" s="37"/>
      <c r="F5150" s="38"/>
      <c r="G5150" s="38"/>
      <c r="H5150" s="38"/>
      <c r="I5150" s="37"/>
      <c r="J5150" s="38"/>
      <c r="K5150" s="38"/>
      <c r="L5150" s="42"/>
      <c r="M5150" s="42"/>
      <c r="N5150" s="42"/>
      <c r="O5150" s="42"/>
      <c r="R5150" s="37"/>
      <c r="S5150" s="37"/>
      <c r="T5150" s="91"/>
      <c r="U5150" s="91"/>
      <c r="V5150" s="41"/>
      <c r="W5150" s="37"/>
      <c r="X5150" s="37"/>
      <c r="Y5150" s="43"/>
      <c r="Z5150" s="37"/>
      <c r="AA5150" s="37"/>
      <c r="AD5150" s="37"/>
      <c r="AE5150" s="37"/>
      <c r="AF5150" s="37"/>
    </row>
    <row r="5151" spans="1:32" x14ac:dyDescent="0.25">
      <c r="A5151" s="37"/>
      <c r="B5151" s="37"/>
      <c r="C5151" s="37"/>
      <c r="F5151" s="38"/>
      <c r="G5151" s="38"/>
      <c r="H5151" s="38"/>
      <c r="I5151" s="37"/>
      <c r="J5151" s="38"/>
      <c r="K5151" s="38"/>
      <c r="L5151" s="42"/>
      <c r="M5151" s="42"/>
      <c r="N5151" s="42"/>
      <c r="O5151" s="42"/>
      <c r="R5151" s="37"/>
      <c r="S5151" s="37"/>
      <c r="T5151" s="91"/>
      <c r="U5151" s="91"/>
      <c r="V5151" s="41"/>
      <c r="W5151" s="37"/>
      <c r="X5151" s="37"/>
      <c r="Y5151" s="43"/>
      <c r="Z5151" s="37"/>
      <c r="AA5151" s="37"/>
      <c r="AD5151" s="37"/>
      <c r="AE5151" s="37"/>
      <c r="AF5151" s="37"/>
    </row>
    <row r="5152" spans="1:32" x14ac:dyDescent="0.25">
      <c r="A5152" s="37"/>
      <c r="B5152" s="37"/>
      <c r="C5152" s="37"/>
      <c r="F5152" s="38"/>
      <c r="G5152" s="38"/>
      <c r="H5152" s="38"/>
      <c r="I5152" s="37"/>
      <c r="J5152" s="38"/>
      <c r="K5152" s="38"/>
      <c r="L5152" s="42"/>
      <c r="M5152" s="42"/>
      <c r="N5152" s="42"/>
      <c r="O5152" s="42"/>
      <c r="R5152" s="37"/>
      <c r="S5152" s="37"/>
      <c r="T5152" s="91"/>
      <c r="U5152" s="91"/>
      <c r="V5152" s="41"/>
      <c r="W5152" s="37"/>
      <c r="X5152" s="37"/>
      <c r="Y5152" s="43"/>
      <c r="Z5152" s="37"/>
      <c r="AA5152" s="37"/>
      <c r="AD5152" s="37"/>
      <c r="AE5152" s="37"/>
      <c r="AF5152" s="37"/>
    </row>
    <row r="5153" spans="1:32" x14ac:dyDescent="0.25">
      <c r="A5153" s="37"/>
      <c r="B5153" s="37"/>
      <c r="C5153" s="37"/>
      <c r="F5153" s="38"/>
      <c r="G5153" s="38"/>
      <c r="H5153" s="38"/>
      <c r="I5153" s="37"/>
      <c r="J5153" s="38"/>
      <c r="K5153" s="38"/>
      <c r="L5153" s="42"/>
      <c r="M5153" s="42"/>
      <c r="N5153" s="42"/>
      <c r="O5153" s="42"/>
      <c r="R5153" s="37"/>
      <c r="S5153" s="37"/>
      <c r="T5153" s="91"/>
      <c r="U5153" s="91"/>
      <c r="V5153" s="41"/>
      <c r="W5153" s="37"/>
      <c r="X5153" s="37"/>
      <c r="Y5153" s="43"/>
      <c r="Z5153" s="37"/>
      <c r="AA5153" s="37"/>
      <c r="AD5153" s="37"/>
      <c r="AE5153" s="37"/>
      <c r="AF5153" s="37"/>
    </row>
    <row r="5154" spans="1:32" x14ac:dyDescent="0.25">
      <c r="A5154" s="37"/>
      <c r="B5154" s="37"/>
      <c r="C5154" s="37"/>
      <c r="F5154" s="38"/>
      <c r="G5154" s="38"/>
      <c r="H5154" s="38"/>
      <c r="I5154" s="37"/>
      <c r="J5154" s="38"/>
      <c r="K5154" s="38"/>
      <c r="L5154" s="42"/>
      <c r="M5154" s="42"/>
      <c r="N5154" s="42"/>
      <c r="O5154" s="42"/>
      <c r="R5154" s="37"/>
      <c r="S5154" s="37"/>
      <c r="T5154" s="91"/>
      <c r="U5154" s="91"/>
      <c r="V5154" s="41"/>
      <c r="W5154" s="37"/>
      <c r="X5154" s="37"/>
      <c r="Y5154" s="43"/>
      <c r="Z5154" s="37"/>
      <c r="AA5154" s="37"/>
      <c r="AD5154" s="37"/>
      <c r="AE5154" s="37"/>
      <c r="AF5154" s="37"/>
    </row>
    <row r="5155" spans="1:32" x14ac:dyDescent="0.25">
      <c r="A5155" s="37"/>
      <c r="B5155" s="37"/>
      <c r="C5155" s="37"/>
      <c r="F5155" s="38"/>
      <c r="G5155" s="38"/>
      <c r="H5155" s="38"/>
      <c r="I5155" s="37"/>
      <c r="J5155" s="38"/>
      <c r="K5155" s="38"/>
      <c r="L5155" s="42"/>
      <c r="M5155" s="42"/>
      <c r="N5155" s="42"/>
      <c r="O5155" s="42"/>
      <c r="R5155" s="37"/>
      <c r="S5155" s="37"/>
      <c r="T5155" s="91"/>
      <c r="U5155" s="91"/>
      <c r="V5155" s="41"/>
      <c r="W5155" s="37"/>
      <c r="X5155" s="37"/>
      <c r="Y5155" s="43"/>
      <c r="Z5155" s="37"/>
      <c r="AA5155" s="37"/>
      <c r="AD5155" s="37"/>
      <c r="AE5155" s="37"/>
      <c r="AF5155" s="37"/>
    </row>
    <row r="5156" spans="1:32" x14ac:dyDescent="0.25">
      <c r="A5156" s="37"/>
      <c r="B5156" s="37"/>
      <c r="C5156" s="37"/>
      <c r="F5156" s="38"/>
      <c r="G5156" s="38"/>
      <c r="H5156" s="38"/>
      <c r="I5156" s="37"/>
      <c r="J5156" s="38"/>
      <c r="K5156" s="38"/>
      <c r="L5156" s="42"/>
      <c r="M5156" s="42"/>
      <c r="N5156" s="42"/>
      <c r="O5156" s="42"/>
      <c r="R5156" s="37"/>
      <c r="S5156" s="37"/>
      <c r="T5156" s="91"/>
      <c r="U5156" s="91"/>
      <c r="V5156" s="41"/>
      <c r="W5156" s="37"/>
      <c r="X5156" s="37"/>
      <c r="Y5156" s="43"/>
      <c r="Z5156" s="37"/>
      <c r="AA5156" s="37"/>
      <c r="AD5156" s="37"/>
      <c r="AE5156" s="37"/>
      <c r="AF5156" s="37"/>
    </row>
    <row r="5157" spans="1:32" x14ac:dyDescent="0.25">
      <c r="A5157" s="37"/>
      <c r="B5157" s="37"/>
      <c r="C5157" s="37"/>
      <c r="F5157" s="38"/>
      <c r="G5157" s="38"/>
      <c r="H5157" s="38"/>
      <c r="I5157" s="37"/>
      <c r="J5157" s="38"/>
      <c r="K5157" s="38"/>
      <c r="L5157" s="42"/>
      <c r="M5157" s="42"/>
      <c r="N5157" s="42"/>
      <c r="O5157" s="42"/>
      <c r="R5157" s="37"/>
      <c r="S5157" s="37"/>
      <c r="T5157" s="91"/>
      <c r="U5157" s="91"/>
      <c r="V5157" s="41"/>
      <c r="W5157" s="37"/>
      <c r="X5157" s="37"/>
      <c r="Y5157" s="43"/>
      <c r="Z5157" s="37"/>
      <c r="AA5157" s="37"/>
      <c r="AD5157" s="37"/>
      <c r="AE5157" s="37"/>
      <c r="AF5157" s="37"/>
    </row>
    <row r="5158" spans="1:32" x14ac:dyDescent="0.25">
      <c r="A5158" s="37"/>
      <c r="B5158" s="37"/>
      <c r="C5158" s="37"/>
      <c r="F5158" s="38"/>
      <c r="G5158" s="38"/>
      <c r="H5158" s="38"/>
      <c r="I5158" s="37"/>
      <c r="J5158" s="38"/>
      <c r="K5158" s="38"/>
      <c r="L5158" s="42"/>
      <c r="M5158" s="42"/>
      <c r="N5158" s="42"/>
      <c r="O5158" s="42"/>
      <c r="R5158" s="37"/>
      <c r="S5158" s="37"/>
      <c r="T5158" s="91"/>
      <c r="U5158" s="91"/>
      <c r="V5158" s="41"/>
      <c r="W5158" s="37"/>
      <c r="X5158" s="37"/>
      <c r="Y5158" s="43"/>
      <c r="Z5158" s="37"/>
      <c r="AA5158" s="37"/>
      <c r="AD5158" s="37"/>
      <c r="AE5158" s="37"/>
      <c r="AF5158" s="37"/>
    </row>
    <row r="5159" spans="1:32" x14ac:dyDescent="0.25">
      <c r="A5159" s="37"/>
      <c r="B5159" s="37"/>
      <c r="C5159" s="37"/>
      <c r="F5159" s="38"/>
      <c r="G5159" s="38"/>
      <c r="H5159" s="38"/>
      <c r="I5159" s="37"/>
      <c r="J5159" s="38"/>
      <c r="K5159" s="38"/>
      <c r="L5159" s="42"/>
      <c r="M5159" s="42"/>
      <c r="N5159" s="42"/>
      <c r="O5159" s="42"/>
      <c r="R5159" s="37"/>
      <c r="S5159" s="37"/>
      <c r="T5159" s="91"/>
      <c r="U5159" s="91"/>
      <c r="V5159" s="41"/>
      <c r="W5159" s="37"/>
      <c r="X5159" s="37"/>
      <c r="Y5159" s="43"/>
      <c r="Z5159" s="37"/>
      <c r="AA5159" s="37"/>
      <c r="AD5159" s="37"/>
      <c r="AE5159" s="37"/>
      <c r="AF5159" s="37"/>
    </row>
    <row r="5160" spans="1:32" x14ac:dyDescent="0.25">
      <c r="A5160" s="37"/>
      <c r="B5160" s="37"/>
      <c r="C5160" s="37"/>
      <c r="F5160" s="38"/>
      <c r="G5160" s="38"/>
      <c r="H5160" s="38"/>
      <c r="I5160" s="37"/>
      <c r="J5160" s="38"/>
      <c r="K5160" s="38"/>
      <c r="L5160" s="42"/>
      <c r="M5160" s="42"/>
      <c r="N5160" s="42"/>
      <c r="O5160" s="42"/>
      <c r="R5160" s="37"/>
      <c r="S5160" s="37"/>
      <c r="T5160" s="91"/>
      <c r="U5160" s="91"/>
      <c r="V5160" s="41"/>
      <c r="W5160" s="37"/>
      <c r="X5160" s="37"/>
      <c r="Y5160" s="43"/>
      <c r="Z5160" s="37"/>
      <c r="AA5160" s="37"/>
      <c r="AD5160" s="37"/>
      <c r="AE5160" s="37"/>
      <c r="AF5160" s="37"/>
    </row>
    <row r="5161" spans="1:32" x14ac:dyDescent="0.25">
      <c r="A5161" s="37"/>
      <c r="B5161" s="37"/>
      <c r="C5161" s="37"/>
      <c r="F5161" s="38"/>
      <c r="G5161" s="38"/>
      <c r="H5161" s="38"/>
      <c r="I5161" s="37"/>
      <c r="J5161" s="38"/>
      <c r="K5161" s="38"/>
      <c r="L5161" s="42"/>
      <c r="M5161" s="42"/>
      <c r="N5161" s="42"/>
      <c r="O5161" s="42"/>
      <c r="R5161" s="37"/>
      <c r="S5161" s="37"/>
      <c r="T5161" s="91"/>
      <c r="U5161" s="91"/>
      <c r="V5161" s="41"/>
      <c r="W5161" s="37"/>
      <c r="X5161" s="37"/>
      <c r="Y5161" s="43"/>
      <c r="Z5161" s="37"/>
      <c r="AA5161" s="37"/>
      <c r="AD5161" s="37"/>
      <c r="AE5161" s="37"/>
      <c r="AF5161" s="37"/>
    </row>
    <row r="5162" spans="1:32" x14ac:dyDescent="0.25">
      <c r="A5162" s="37"/>
      <c r="B5162" s="37"/>
      <c r="C5162" s="37"/>
      <c r="F5162" s="38"/>
      <c r="G5162" s="38"/>
      <c r="H5162" s="38"/>
      <c r="I5162" s="37"/>
      <c r="J5162" s="38"/>
      <c r="K5162" s="38"/>
      <c r="L5162" s="42"/>
      <c r="M5162" s="42"/>
      <c r="N5162" s="42"/>
      <c r="O5162" s="42"/>
      <c r="R5162" s="37"/>
      <c r="S5162" s="37"/>
      <c r="T5162" s="91"/>
      <c r="U5162" s="91"/>
      <c r="V5162" s="41"/>
      <c r="W5162" s="37"/>
      <c r="X5162" s="37"/>
      <c r="Y5162" s="43"/>
      <c r="Z5162" s="37"/>
      <c r="AA5162" s="37"/>
      <c r="AD5162" s="37"/>
      <c r="AE5162" s="37"/>
      <c r="AF5162" s="37"/>
    </row>
    <row r="5163" spans="1:32" x14ac:dyDescent="0.25">
      <c r="A5163" s="37"/>
      <c r="B5163" s="37"/>
      <c r="C5163" s="37"/>
      <c r="F5163" s="38"/>
      <c r="G5163" s="38"/>
      <c r="H5163" s="38"/>
      <c r="I5163" s="37"/>
      <c r="J5163" s="38"/>
      <c r="K5163" s="38"/>
      <c r="L5163" s="42"/>
      <c r="M5163" s="42"/>
      <c r="N5163" s="42"/>
      <c r="O5163" s="42"/>
      <c r="R5163" s="37"/>
      <c r="S5163" s="37"/>
      <c r="T5163" s="91"/>
      <c r="U5163" s="91"/>
      <c r="V5163" s="41"/>
      <c r="W5163" s="37"/>
      <c r="X5163" s="37"/>
      <c r="Y5163" s="43"/>
      <c r="Z5163" s="37"/>
      <c r="AA5163" s="37"/>
      <c r="AD5163" s="37"/>
      <c r="AE5163" s="37"/>
      <c r="AF5163" s="37"/>
    </row>
    <row r="5164" spans="1:32" x14ac:dyDescent="0.25">
      <c r="A5164" s="37"/>
      <c r="B5164" s="37"/>
      <c r="C5164" s="37"/>
      <c r="F5164" s="38"/>
      <c r="G5164" s="38"/>
      <c r="H5164" s="38"/>
      <c r="I5164" s="37"/>
      <c r="J5164" s="38"/>
      <c r="K5164" s="38"/>
      <c r="L5164" s="42"/>
      <c r="M5164" s="42"/>
      <c r="N5164" s="42"/>
      <c r="O5164" s="42"/>
      <c r="R5164" s="37"/>
      <c r="S5164" s="37"/>
      <c r="T5164" s="91"/>
      <c r="U5164" s="91"/>
      <c r="V5164" s="41"/>
      <c r="W5164" s="37"/>
      <c r="X5164" s="37"/>
      <c r="Y5164" s="43"/>
      <c r="Z5164" s="37"/>
      <c r="AA5164" s="37"/>
      <c r="AD5164" s="37"/>
      <c r="AE5164" s="37"/>
      <c r="AF5164" s="37"/>
    </row>
    <row r="5165" spans="1:32" x14ac:dyDescent="0.25">
      <c r="A5165" s="37"/>
      <c r="B5165" s="37"/>
      <c r="C5165" s="37"/>
      <c r="F5165" s="38"/>
      <c r="G5165" s="38"/>
      <c r="H5165" s="38"/>
      <c r="I5165" s="37"/>
      <c r="J5165" s="38"/>
      <c r="K5165" s="38"/>
      <c r="L5165" s="42"/>
      <c r="M5165" s="42"/>
      <c r="N5165" s="42"/>
      <c r="O5165" s="42"/>
      <c r="R5165" s="37"/>
      <c r="S5165" s="37"/>
      <c r="T5165" s="91"/>
      <c r="U5165" s="91"/>
      <c r="V5165" s="41"/>
      <c r="W5165" s="37"/>
      <c r="X5165" s="37"/>
      <c r="Y5165" s="43"/>
      <c r="Z5165" s="37"/>
      <c r="AA5165" s="37"/>
      <c r="AD5165" s="37"/>
      <c r="AE5165" s="37"/>
      <c r="AF5165" s="37"/>
    </row>
    <row r="5166" spans="1:32" x14ac:dyDescent="0.25">
      <c r="A5166" s="37"/>
      <c r="B5166" s="37"/>
      <c r="C5166" s="37"/>
      <c r="F5166" s="38"/>
      <c r="G5166" s="38"/>
      <c r="H5166" s="38"/>
      <c r="I5166" s="37"/>
      <c r="J5166" s="38"/>
      <c r="K5166" s="38"/>
      <c r="L5166" s="42"/>
      <c r="M5166" s="42"/>
      <c r="N5166" s="42"/>
      <c r="O5166" s="42"/>
      <c r="R5166" s="37"/>
      <c r="S5166" s="37"/>
      <c r="T5166" s="91"/>
      <c r="U5166" s="91"/>
      <c r="V5166" s="41"/>
      <c r="W5166" s="37"/>
      <c r="X5166" s="37"/>
      <c r="Y5166" s="43"/>
      <c r="Z5166" s="37"/>
      <c r="AA5166" s="37"/>
      <c r="AD5166" s="37"/>
      <c r="AE5166" s="37"/>
      <c r="AF5166" s="37"/>
    </row>
    <row r="5167" spans="1:32" x14ac:dyDescent="0.25">
      <c r="A5167" s="37"/>
      <c r="B5167" s="37"/>
      <c r="C5167" s="37"/>
      <c r="F5167" s="38"/>
      <c r="G5167" s="38"/>
      <c r="H5167" s="38"/>
      <c r="I5167" s="37"/>
      <c r="J5167" s="38"/>
      <c r="K5167" s="38"/>
      <c r="L5167" s="42"/>
      <c r="M5167" s="42"/>
      <c r="N5167" s="42"/>
      <c r="O5167" s="42"/>
      <c r="R5167" s="37"/>
      <c r="S5167" s="37"/>
      <c r="T5167" s="91"/>
      <c r="U5167" s="91"/>
      <c r="V5167" s="41"/>
      <c r="W5167" s="37"/>
      <c r="X5167" s="37"/>
      <c r="Y5167" s="43"/>
      <c r="Z5167" s="37"/>
      <c r="AA5167" s="37"/>
      <c r="AD5167" s="37"/>
      <c r="AE5167" s="37"/>
      <c r="AF5167" s="37"/>
    </row>
    <row r="5168" spans="1:32" x14ac:dyDescent="0.25">
      <c r="A5168" s="37"/>
      <c r="B5168" s="37"/>
      <c r="C5168" s="37"/>
      <c r="F5168" s="38"/>
      <c r="G5168" s="38"/>
      <c r="H5168" s="38"/>
      <c r="I5168" s="37"/>
      <c r="J5168" s="38"/>
      <c r="K5168" s="38"/>
      <c r="L5168" s="42"/>
      <c r="M5168" s="42"/>
      <c r="N5168" s="42"/>
      <c r="O5168" s="42"/>
      <c r="R5168" s="37"/>
      <c r="S5168" s="37"/>
      <c r="T5168" s="91"/>
      <c r="U5168" s="91"/>
      <c r="V5168" s="41"/>
      <c r="W5168" s="37"/>
      <c r="X5168" s="37"/>
      <c r="Y5168" s="43"/>
      <c r="Z5168" s="37"/>
      <c r="AA5168" s="37"/>
      <c r="AD5168" s="37"/>
      <c r="AE5168" s="37"/>
      <c r="AF5168" s="37"/>
    </row>
    <row r="5169" spans="1:32" x14ac:dyDescent="0.25">
      <c r="A5169" s="37"/>
      <c r="B5169" s="37"/>
      <c r="C5169" s="37"/>
      <c r="F5169" s="38"/>
      <c r="G5169" s="38"/>
      <c r="H5169" s="38"/>
      <c r="I5169" s="37"/>
      <c r="J5169" s="38"/>
      <c r="K5169" s="38"/>
      <c r="L5169" s="42"/>
      <c r="M5169" s="42"/>
      <c r="N5169" s="42"/>
      <c r="O5169" s="42"/>
      <c r="R5169" s="37"/>
      <c r="S5169" s="37"/>
      <c r="T5169" s="91"/>
      <c r="U5169" s="91"/>
      <c r="V5169" s="41"/>
      <c r="W5169" s="37"/>
      <c r="X5169" s="37"/>
      <c r="Y5169" s="43"/>
      <c r="Z5169" s="37"/>
      <c r="AA5169" s="37"/>
      <c r="AD5169" s="37"/>
      <c r="AE5169" s="37"/>
      <c r="AF5169" s="37"/>
    </row>
    <row r="5170" spans="1:32" x14ac:dyDescent="0.25">
      <c r="A5170" s="37"/>
      <c r="B5170" s="37"/>
      <c r="C5170" s="37"/>
      <c r="F5170" s="38"/>
      <c r="G5170" s="38"/>
      <c r="H5170" s="38"/>
      <c r="I5170" s="37"/>
      <c r="J5170" s="38"/>
      <c r="K5170" s="38"/>
      <c r="L5170" s="42"/>
      <c r="M5170" s="42"/>
      <c r="N5170" s="42"/>
      <c r="O5170" s="42"/>
      <c r="R5170" s="37"/>
      <c r="S5170" s="37"/>
      <c r="T5170" s="91"/>
      <c r="U5170" s="91"/>
      <c r="V5170" s="41"/>
      <c r="W5170" s="37"/>
      <c r="X5170" s="37"/>
      <c r="Y5170" s="43"/>
      <c r="Z5170" s="37"/>
      <c r="AA5170" s="37"/>
      <c r="AD5170" s="37"/>
      <c r="AE5170" s="37"/>
      <c r="AF5170" s="37"/>
    </row>
    <row r="5171" spans="1:32" x14ac:dyDescent="0.25">
      <c r="A5171" s="37"/>
      <c r="B5171" s="37"/>
      <c r="C5171" s="37"/>
      <c r="F5171" s="38"/>
      <c r="G5171" s="38"/>
      <c r="H5171" s="38"/>
      <c r="I5171" s="37"/>
      <c r="J5171" s="38"/>
      <c r="K5171" s="38"/>
      <c r="L5171" s="42"/>
      <c r="M5171" s="42"/>
      <c r="N5171" s="42"/>
      <c r="O5171" s="42"/>
      <c r="R5171" s="37"/>
      <c r="S5171" s="37"/>
      <c r="T5171" s="91"/>
      <c r="U5171" s="91"/>
      <c r="V5171" s="41"/>
      <c r="W5171" s="37"/>
      <c r="X5171" s="37"/>
      <c r="Y5171" s="43"/>
      <c r="Z5171" s="37"/>
      <c r="AA5171" s="37"/>
      <c r="AD5171" s="37"/>
      <c r="AE5171" s="37"/>
      <c r="AF5171" s="37"/>
    </row>
    <row r="5172" spans="1:32" x14ac:dyDescent="0.25">
      <c r="A5172" s="37"/>
      <c r="B5172" s="37"/>
      <c r="C5172" s="37"/>
      <c r="F5172" s="38"/>
      <c r="G5172" s="38"/>
      <c r="H5172" s="38"/>
      <c r="I5172" s="37"/>
      <c r="J5172" s="38"/>
      <c r="K5172" s="38"/>
      <c r="L5172" s="42"/>
      <c r="M5172" s="42"/>
      <c r="N5172" s="42"/>
      <c r="O5172" s="42"/>
      <c r="R5172" s="37"/>
      <c r="S5172" s="37"/>
      <c r="T5172" s="91"/>
      <c r="U5172" s="91"/>
      <c r="V5172" s="41"/>
      <c r="W5172" s="37"/>
      <c r="X5172" s="37"/>
      <c r="Y5172" s="43"/>
      <c r="Z5172" s="37"/>
      <c r="AA5172" s="37"/>
      <c r="AD5172" s="37"/>
      <c r="AE5172" s="37"/>
      <c r="AF5172" s="37"/>
    </row>
    <row r="5173" spans="1:32" x14ac:dyDescent="0.25">
      <c r="A5173" s="37"/>
      <c r="B5173" s="37"/>
      <c r="C5173" s="37"/>
      <c r="F5173" s="38"/>
      <c r="G5173" s="38"/>
      <c r="H5173" s="38"/>
      <c r="I5173" s="37"/>
      <c r="J5173" s="38"/>
      <c r="K5173" s="38"/>
      <c r="L5173" s="42"/>
      <c r="M5173" s="42"/>
      <c r="N5173" s="42"/>
      <c r="O5173" s="42"/>
      <c r="R5173" s="37"/>
      <c r="S5173" s="37"/>
      <c r="T5173" s="91"/>
      <c r="U5173" s="91"/>
      <c r="V5173" s="41"/>
      <c r="W5173" s="37"/>
      <c r="X5173" s="37"/>
      <c r="Y5173" s="43"/>
      <c r="Z5173" s="37"/>
      <c r="AA5173" s="37"/>
      <c r="AD5173" s="37"/>
      <c r="AE5173" s="37"/>
      <c r="AF5173" s="37"/>
    </row>
    <row r="5174" spans="1:32" x14ac:dyDescent="0.25">
      <c r="A5174" s="37"/>
      <c r="B5174" s="37"/>
      <c r="C5174" s="37"/>
      <c r="F5174" s="38"/>
      <c r="G5174" s="38"/>
      <c r="H5174" s="38"/>
      <c r="I5174" s="37"/>
      <c r="J5174" s="38"/>
      <c r="K5174" s="38"/>
      <c r="L5174" s="42"/>
      <c r="M5174" s="42"/>
      <c r="N5174" s="42"/>
      <c r="O5174" s="42"/>
      <c r="R5174" s="37"/>
      <c r="S5174" s="37"/>
      <c r="T5174" s="91"/>
      <c r="U5174" s="91"/>
      <c r="V5174" s="41"/>
      <c r="W5174" s="37"/>
      <c r="X5174" s="37"/>
      <c r="Y5174" s="43"/>
      <c r="Z5174" s="37"/>
      <c r="AA5174" s="37"/>
      <c r="AD5174" s="37"/>
      <c r="AE5174" s="37"/>
      <c r="AF5174" s="37"/>
    </row>
    <row r="5175" spans="1:32" x14ac:dyDescent="0.25">
      <c r="A5175" s="37"/>
      <c r="B5175" s="37"/>
      <c r="C5175" s="37"/>
      <c r="F5175" s="38"/>
      <c r="G5175" s="38"/>
      <c r="H5175" s="38"/>
      <c r="I5175" s="37"/>
      <c r="J5175" s="38"/>
      <c r="K5175" s="38"/>
      <c r="L5175" s="42"/>
      <c r="M5175" s="42"/>
      <c r="N5175" s="42"/>
      <c r="O5175" s="42"/>
      <c r="R5175" s="37"/>
      <c r="S5175" s="37"/>
      <c r="T5175" s="91"/>
      <c r="U5175" s="91"/>
      <c r="V5175" s="41"/>
      <c r="W5175" s="37"/>
      <c r="X5175" s="37"/>
      <c r="Y5175" s="43"/>
      <c r="Z5175" s="37"/>
      <c r="AA5175" s="37"/>
      <c r="AD5175" s="37"/>
      <c r="AE5175" s="37"/>
      <c r="AF5175" s="37"/>
    </row>
    <row r="5176" spans="1:32" x14ac:dyDescent="0.25">
      <c r="A5176" s="37"/>
      <c r="B5176" s="37"/>
      <c r="C5176" s="37"/>
      <c r="F5176" s="38"/>
      <c r="G5176" s="38"/>
      <c r="H5176" s="38"/>
      <c r="I5176" s="37"/>
      <c r="J5176" s="38"/>
      <c r="K5176" s="38"/>
      <c r="L5176" s="42"/>
      <c r="M5176" s="42"/>
      <c r="N5176" s="42"/>
      <c r="O5176" s="42"/>
      <c r="R5176" s="37"/>
      <c r="S5176" s="37"/>
      <c r="T5176" s="91"/>
      <c r="U5176" s="91"/>
      <c r="V5176" s="41"/>
      <c r="W5176" s="37"/>
      <c r="X5176" s="37"/>
      <c r="Y5176" s="43"/>
      <c r="Z5176" s="37"/>
      <c r="AA5176" s="37"/>
      <c r="AD5176" s="37"/>
      <c r="AE5176" s="37"/>
      <c r="AF5176" s="37"/>
    </row>
    <row r="5177" spans="1:32" x14ac:dyDescent="0.25">
      <c r="A5177" s="37"/>
      <c r="B5177" s="37"/>
      <c r="C5177" s="37"/>
      <c r="F5177" s="38"/>
      <c r="G5177" s="38"/>
      <c r="H5177" s="38"/>
      <c r="I5177" s="37"/>
      <c r="J5177" s="38"/>
      <c r="K5177" s="38"/>
      <c r="L5177" s="42"/>
      <c r="M5177" s="42"/>
      <c r="N5177" s="42"/>
      <c r="O5177" s="42"/>
      <c r="R5177" s="37"/>
      <c r="S5177" s="37"/>
      <c r="T5177" s="91"/>
      <c r="U5177" s="91"/>
      <c r="V5177" s="41"/>
      <c r="W5177" s="37"/>
      <c r="X5177" s="37"/>
      <c r="Y5177" s="43"/>
      <c r="Z5177" s="37"/>
      <c r="AA5177" s="37"/>
      <c r="AD5177" s="37"/>
      <c r="AE5177" s="37"/>
      <c r="AF5177" s="37"/>
    </row>
    <row r="5178" spans="1:32" x14ac:dyDescent="0.25">
      <c r="A5178" s="37"/>
      <c r="B5178" s="37"/>
      <c r="C5178" s="37"/>
      <c r="F5178" s="38"/>
      <c r="G5178" s="38"/>
      <c r="H5178" s="38"/>
      <c r="I5178" s="37"/>
      <c r="J5178" s="38"/>
      <c r="K5178" s="38"/>
      <c r="L5178" s="42"/>
      <c r="M5178" s="42"/>
      <c r="N5178" s="42"/>
      <c r="O5178" s="42"/>
      <c r="R5178" s="37"/>
      <c r="S5178" s="37"/>
      <c r="T5178" s="91"/>
      <c r="U5178" s="91"/>
      <c r="V5178" s="41"/>
      <c r="W5178" s="37"/>
      <c r="X5178" s="37"/>
      <c r="Y5178" s="43"/>
      <c r="Z5178" s="37"/>
      <c r="AA5178" s="37"/>
      <c r="AD5178" s="37"/>
      <c r="AE5178" s="37"/>
      <c r="AF5178" s="37"/>
    </row>
    <row r="5179" spans="1:32" x14ac:dyDescent="0.25">
      <c r="A5179" s="37"/>
      <c r="B5179" s="37"/>
      <c r="C5179" s="37"/>
      <c r="F5179" s="38"/>
      <c r="G5179" s="38"/>
      <c r="H5179" s="38"/>
      <c r="I5179" s="37"/>
      <c r="J5179" s="38"/>
      <c r="K5179" s="38"/>
      <c r="L5179" s="42"/>
      <c r="M5179" s="42"/>
      <c r="N5179" s="42"/>
      <c r="O5179" s="42"/>
      <c r="R5179" s="37"/>
      <c r="S5179" s="37"/>
      <c r="T5179" s="91"/>
      <c r="U5179" s="91"/>
      <c r="V5179" s="41"/>
      <c r="W5179" s="37"/>
      <c r="X5179" s="37"/>
      <c r="Y5179" s="43"/>
      <c r="Z5179" s="37"/>
      <c r="AA5179" s="37"/>
      <c r="AD5179" s="37"/>
      <c r="AE5179" s="37"/>
      <c r="AF5179" s="37"/>
    </row>
    <row r="5180" spans="1:32" x14ac:dyDescent="0.25">
      <c r="A5180" s="37"/>
      <c r="B5180" s="37"/>
      <c r="C5180" s="37"/>
      <c r="F5180" s="38"/>
      <c r="G5180" s="38"/>
      <c r="H5180" s="38"/>
      <c r="I5180" s="37"/>
      <c r="J5180" s="38"/>
      <c r="K5180" s="38"/>
      <c r="L5180" s="42"/>
      <c r="M5180" s="42"/>
      <c r="N5180" s="42"/>
      <c r="O5180" s="42"/>
      <c r="R5180" s="37"/>
      <c r="S5180" s="37"/>
      <c r="T5180" s="91"/>
      <c r="U5180" s="91"/>
      <c r="V5180" s="41"/>
      <c r="W5180" s="37"/>
      <c r="X5180" s="37"/>
      <c r="Y5180" s="43"/>
      <c r="Z5180" s="37"/>
      <c r="AA5180" s="37"/>
      <c r="AD5180" s="37"/>
      <c r="AE5180" s="37"/>
      <c r="AF5180" s="37"/>
    </row>
    <row r="5181" spans="1:32" x14ac:dyDescent="0.25">
      <c r="A5181" s="37"/>
      <c r="B5181" s="37"/>
      <c r="C5181" s="37"/>
      <c r="F5181" s="38"/>
      <c r="G5181" s="38"/>
      <c r="H5181" s="38"/>
      <c r="I5181" s="37"/>
      <c r="J5181" s="38"/>
      <c r="K5181" s="38"/>
      <c r="L5181" s="42"/>
      <c r="M5181" s="42"/>
      <c r="N5181" s="42"/>
      <c r="O5181" s="42"/>
      <c r="R5181" s="37"/>
      <c r="S5181" s="37"/>
      <c r="T5181" s="91"/>
      <c r="U5181" s="91"/>
      <c r="V5181" s="41"/>
      <c r="W5181" s="37"/>
      <c r="X5181" s="37"/>
      <c r="Y5181" s="43"/>
      <c r="Z5181" s="37"/>
      <c r="AA5181" s="37"/>
      <c r="AD5181" s="37"/>
      <c r="AE5181" s="37"/>
      <c r="AF5181" s="37"/>
    </row>
    <row r="5182" spans="1:32" x14ac:dyDescent="0.25">
      <c r="A5182" s="37"/>
      <c r="B5182" s="37"/>
      <c r="C5182" s="37"/>
      <c r="F5182" s="38"/>
      <c r="G5182" s="38"/>
      <c r="H5182" s="38"/>
      <c r="I5182" s="37"/>
      <c r="J5182" s="38"/>
      <c r="K5182" s="38"/>
      <c r="L5182" s="42"/>
      <c r="M5182" s="42"/>
      <c r="N5182" s="42"/>
      <c r="O5182" s="42"/>
      <c r="R5182" s="37"/>
      <c r="S5182" s="37"/>
      <c r="T5182" s="91"/>
      <c r="U5182" s="91"/>
      <c r="V5182" s="41"/>
      <c r="W5182" s="37"/>
      <c r="X5182" s="37"/>
      <c r="Y5182" s="43"/>
      <c r="Z5182" s="37"/>
      <c r="AA5182" s="37"/>
      <c r="AD5182" s="37"/>
      <c r="AE5182" s="37"/>
      <c r="AF5182" s="37"/>
    </row>
    <row r="5183" spans="1:32" x14ac:dyDescent="0.25">
      <c r="A5183" s="37"/>
      <c r="B5183" s="37"/>
      <c r="C5183" s="37"/>
      <c r="F5183" s="38"/>
      <c r="G5183" s="38"/>
      <c r="H5183" s="38"/>
      <c r="I5183" s="37"/>
      <c r="J5183" s="38"/>
      <c r="K5183" s="38"/>
      <c r="L5183" s="42"/>
      <c r="M5183" s="42"/>
      <c r="N5183" s="42"/>
      <c r="O5183" s="42"/>
      <c r="R5183" s="37"/>
      <c r="S5183" s="37"/>
      <c r="T5183" s="91"/>
      <c r="U5183" s="91"/>
      <c r="V5183" s="41"/>
      <c r="W5183" s="37"/>
      <c r="X5183" s="37"/>
      <c r="Y5183" s="43"/>
      <c r="Z5183" s="37"/>
      <c r="AA5183" s="37"/>
      <c r="AD5183" s="37"/>
      <c r="AE5183" s="37"/>
      <c r="AF5183" s="37"/>
    </row>
    <row r="5184" spans="1:32" x14ac:dyDescent="0.25">
      <c r="A5184" s="37"/>
      <c r="B5184" s="37"/>
      <c r="C5184" s="37"/>
      <c r="F5184" s="38"/>
      <c r="G5184" s="38"/>
      <c r="H5184" s="38"/>
      <c r="I5184" s="37"/>
      <c r="J5184" s="38"/>
      <c r="K5184" s="38"/>
      <c r="L5184" s="42"/>
      <c r="M5184" s="42"/>
      <c r="N5184" s="42"/>
      <c r="O5184" s="42"/>
      <c r="R5184" s="37"/>
      <c r="S5184" s="37"/>
      <c r="T5184" s="91"/>
      <c r="U5184" s="91"/>
      <c r="V5184" s="41"/>
      <c r="W5184" s="37"/>
      <c r="X5184" s="37"/>
      <c r="Y5184" s="43"/>
      <c r="Z5184" s="37"/>
      <c r="AA5184" s="37"/>
      <c r="AD5184" s="37"/>
      <c r="AE5184" s="37"/>
      <c r="AF5184" s="37"/>
    </row>
    <row r="5185" spans="1:32" x14ac:dyDescent="0.25">
      <c r="A5185" s="37"/>
      <c r="B5185" s="37"/>
      <c r="C5185" s="37"/>
      <c r="F5185" s="38"/>
      <c r="G5185" s="38"/>
      <c r="H5185" s="38"/>
      <c r="I5185" s="37"/>
      <c r="J5185" s="38"/>
      <c r="K5185" s="38"/>
      <c r="L5185" s="42"/>
      <c r="M5185" s="42"/>
      <c r="N5185" s="42"/>
      <c r="O5185" s="42"/>
      <c r="R5185" s="37"/>
      <c r="S5185" s="37"/>
      <c r="T5185" s="91"/>
      <c r="U5185" s="91"/>
      <c r="V5185" s="41"/>
      <c r="W5185" s="37"/>
      <c r="X5185" s="37"/>
      <c r="Y5185" s="43"/>
      <c r="Z5185" s="37"/>
      <c r="AA5185" s="37"/>
      <c r="AD5185" s="37"/>
      <c r="AE5185" s="37"/>
      <c r="AF5185" s="37"/>
    </row>
    <row r="5186" spans="1:32" x14ac:dyDescent="0.25">
      <c r="A5186" s="37"/>
      <c r="B5186" s="37"/>
      <c r="C5186" s="37"/>
      <c r="F5186" s="38"/>
      <c r="G5186" s="38"/>
      <c r="H5186" s="38"/>
      <c r="I5186" s="37"/>
      <c r="J5186" s="38"/>
      <c r="K5186" s="38"/>
      <c r="L5186" s="42"/>
      <c r="M5186" s="42"/>
      <c r="N5186" s="42"/>
      <c r="O5186" s="42"/>
      <c r="R5186" s="37"/>
      <c r="S5186" s="37"/>
      <c r="T5186" s="91"/>
      <c r="U5186" s="91"/>
      <c r="V5186" s="41"/>
      <c r="W5186" s="37"/>
      <c r="X5186" s="37"/>
      <c r="Y5186" s="43"/>
      <c r="Z5186" s="37"/>
      <c r="AA5186" s="37"/>
      <c r="AD5186" s="37"/>
      <c r="AE5186" s="37"/>
      <c r="AF5186" s="37"/>
    </row>
    <row r="5187" spans="1:32" x14ac:dyDescent="0.25">
      <c r="A5187" s="37"/>
      <c r="B5187" s="37"/>
      <c r="C5187" s="37"/>
      <c r="F5187" s="38"/>
      <c r="G5187" s="38"/>
      <c r="H5187" s="38"/>
      <c r="I5187" s="37"/>
      <c r="J5187" s="38"/>
      <c r="K5187" s="38"/>
      <c r="L5187" s="42"/>
      <c r="M5187" s="42"/>
      <c r="N5187" s="42"/>
      <c r="O5187" s="42"/>
      <c r="R5187" s="37"/>
      <c r="S5187" s="37"/>
      <c r="T5187" s="91"/>
      <c r="U5187" s="91"/>
      <c r="V5187" s="41"/>
      <c r="W5187" s="37"/>
      <c r="X5187" s="37"/>
      <c r="Y5187" s="43"/>
      <c r="Z5187" s="37"/>
      <c r="AA5187" s="37"/>
      <c r="AD5187" s="37"/>
      <c r="AE5187" s="37"/>
      <c r="AF5187" s="37"/>
    </row>
    <row r="5188" spans="1:32" x14ac:dyDescent="0.25">
      <c r="A5188" s="37"/>
      <c r="B5188" s="37"/>
      <c r="C5188" s="37"/>
      <c r="F5188" s="38"/>
      <c r="G5188" s="38"/>
      <c r="H5188" s="38"/>
      <c r="I5188" s="37"/>
      <c r="J5188" s="38"/>
      <c r="K5188" s="38"/>
      <c r="L5188" s="42"/>
      <c r="M5188" s="42"/>
      <c r="N5188" s="42"/>
      <c r="O5188" s="42"/>
      <c r="R5188" s="37"/>
      <c r="S5188" s="37"/>
      <c r="T5188" s="91"/>
      <c r="U5188" s="91"/>
      <c r="V5188" s="41"/>
      <c r="W5188" s="37"/>
      <c r="X5188" s="37"/>
      <c r="Y5188" s="43"/>
      <c r="Z5188" s="37"/>
      <c r="AA5188" s="37"/>
      <c r="AD5188" s="37"/>
      <c r="AE5188" s="37"/>
      <c r="AF5188" s="37"/>
    </row>
    <row r="5189" spans="1:32" x14ac:dyDescent="0.25">
      <c r="A5189" s="37"/>
      <c r="B5189" s="37"/>
      <c r="C5189" s="37"/>
      <c r="F5189" s="38"/>
      <c r="G5189" s="38"/>
      <c r="H5189" s="38"/>
      <c r="I5189" s="37"/>
      <c r="J5189" s="38"/>
      <c r="K5189" s="38"/>
      <c r="L5189" s="42"/>
      <c r="M5189" s="42"/>
      <c r="N5189" s="42"/>
      <c r="O5189" s="42"/>
      <c r="R5189" s="37"/>
      <c r="S5189" s="37"/>
      <c r="T5189" s="91"/>
      <c r="U5189" s="91"/>
      <c r="V5189" s="41"/>
      <c r="W5189" s="37"/>
      <c r="X5189" s="37"/>
      <c r="Y5189" s="43"/>
      <c r="Z5189" s="37"/>
      <c r="AA5189" s="37"/>
      <c r="AD5189" s="37"/>
      <c r="AE5189" s="37"/>
      <c r="AF5189" s="37"/>
    </row>
    <row r="5190" spans="1:32" x14ac:dyDescent="0.25">
      <c r="A5190" s="37"/>
      <c r="B5190" s="37"/>
      <c r="C5190" s="37"/>
      <c r="F5190" s="38"/>
      <c r="G5190" s="38"/>
      <c r="H5190" s="38"/>
      <c r="I5190" s="37"/>
      <c r="J5190" s="38"/>
      <c r="K5190" s="38"/>
      <c r="L5190" s="42"/>
      <c r="M5190" s="42"/>
      <c r="N5190" s="42"/>
      <c r="O5190" s="42"/>
      <c r="R5190" s="37"/>
      <c r="S5190" s="37"/>
      <c r="T5190" s="91"/>
      <c r="U5190" s="91"/>
      <c r="V5190" s="41"/>
      <c r="W5190" s="37"/>
      <c r="X5190" s="37"/>
      <c r="Y5190" s="43"/>
      <c r="Z5190" s="37"/>
      <c r="AA5190" s="37"/>
      <c r="AD5190" s="37"/>
      <c r="AE5190" s="37"/>
      <c r="AF5190" s="37"/>
    </row>
    <row r="5191" spans="1:32" x14ac:dyDescent="0.25">
      <c r="A5191" s="37"/>
      <c r="B5191" s="37"/>
      <c r="C5191" s="37"/>
      <c r="F5191" s="38"/>
      <c r="G5191" s="38"/>
      <c r="H5191" s="38"/>
      <c r="I5191" s="37"/>
      <c r="J5191" s="38"/>
      <c r="K5191" s="38"/>
      <c r="L5191" s="42"/>
      <c r="M5191" s="42"/>
      <c r="N5191" s="42"/>
      <c r="O5191" s="42"/>
      <c r="R5191" s="37"/>
      <c r="S5191" s="37"/>
      <c r="T5191" s="91"/>
      <c r="U5191" s="91"/>
      <c r="V5191" s="41"/>
      <c r="W5191" s="37"/>
      <c r="X5191" s="37"/>
      <c r="Y5191" s="43"/>
      <c r="Z5191" s="37"/>
      <c r="AA5191" s="37"/>
      <c r="AD5191" s="37"/>
      <c r="AE5191" s="37"/>
      <c r="AF5191" s="37"/>
    </row>
    <row r="5192" spans="1:32" x14ac:dyDescent="0.25">
      <c r="A5192" s="37"/>
      <c r="B5192" s="37"/>
      <c r="C5192" s="37"/>
      <c r="F5192" s="38"/>
      <c r="G5192" s="38"/>
      <c r="H5192" s="38"/>
      <c r="I5192" s="37"/>
      <c r="J5192" s="38"/>
      <c r="K5192" s="38"/>
      <c r="L5192" s="42"/>
      <c r="M5192" s="42"/>
      <c r="N5192" s="42"/>
      <c r="O5192" s="42"/>
      <c r="R5192" s="37"/>
      <c r="S5192" s="37"/>
      <c r="T5192" s="91"/>
      <c r="U5192" s="91"/>
      <c r="V5192" s="41"/>
      <c r="W5192" s="37"/>
      <c r="X5192" s="37"/>
      <c r="Y5192" s="43"/>
      <c r="Z5192" s="37"/>
      <c r="AA5192" s="37"/>
      <c r="AD5192" s="37"/>
      <c r="AE5192" s="37"/>
      <c r="AF5192" s="37"/>
    </row>
    <row r="5193" spans="1:32" x14ac:dyDescent="0.25">
      <c r="A5193" s="37"/>
      <c r="B5193" s="37"/>
      <c r="C5193" s="37"/>
      <c r="F5193" s="38"/>
      <c r="G5193" s="38"/>
      <c r="H5193" s="38"/>
      <c r="I5193" s="37"/>
      <c r="J5193" s="38"/>
      <c r="K5193" s="38"/>
      <c r="L5193" s="42"/>
      <c r="M5193" s="42"/>
      <c r="N5193" s="42"/>
      <c r="O5193" s="42"/>
      <c r="R5193" s="37"/>
      <c r="S5193" s="37"/>
      <c r="T5193" s="91"/>
      <c r="U5193" s="91"/>
      <c r="V5193" s="41"/>
      <c r="W5193" s="37"/>
      <c r="X5193" s="37"/>
      <c r="Y5193" s="43"/>
      <c r="Z5193" s="37"/>
      <c r="AA5193" s="37"/>
      <c r="AD5193" s="37"/>
      <c r="AE5193" s="37"/>
      <c r="AF5193" s="37"/>
    </row>
    <row r="5194" spans="1:32" x14ac:dyDescent="0.25">
      <c r="A5194" s="37"/>
      <c r="B5194" s="37"/>
      <c r="C5194" s="37"/>
      <c r="F5194" s="38"/>
      <c r="G5194" s="38"/>
      <c r="H5194" s="38"/>
      <c r="I5194" s="37"/>
      <c r="J5194" s="38"/>
      <c r="K5194" s="38"/>
      <c r="L5194" s="42"/>
      <c r="M5194" s="42"/>
      <c r="N5194" s="42"/>
      <c r="O5194" s="42"/>
      <c r="R5194" s="37"/>
      <c r="S5194" s="37"/>
      <c r="T5194" s="91"/>
      <c r="U5194" s="91"/>
      <c r="V5194" s="41"/>
      <c r="W5194" s="37"/>
      <c r="X5194" s="37"/>
      <c r="Y5194" s="43"/>
      <c r="Z5194" s="37"/>
      <c r="AA5194" s="37"/>
      <c r="AD5194" s="37"/>
      <c r="AE5194" s="37"/>
      <c r="AF5194" s="37"/>
    </row>
    <row r="5195" spans="1:32" x14ac:dyDescent="0.25">
      <c r="A5195" s="37"/>
      <c r="B5195" s="37"/>
      <c r="C5195" s="37"/>
      <c r="F5195" s="38"/>
      <c r="G5195" s="38"/>
      <c r="H5195" s="38"/>
      <c r="I5195" s="37"/>
      <c r="J5195" s="38"/>
      <c r="K5195" s="38"/>
      <c r="L5195" s="42"/>
      <c r="M5195" s="42"/>
      <c r="N5195" s="42"/>
      <c r="O5195" s="42"/>
      <c r="R5195" s="37"/>
      <c r="S5195" s="37"/>
      <c r="T5195" s="91"/>
      <c r="U5195" s="91"/>
      <c r="V5195" s="41"/>
      <c r="W5195" s="37"/>
      <c r="X5195" s="37"/>
      <c r="Y5195" s="43"/>
      <c r="Z5195" s="37"/>
      <c r="AA5195" s="37"/>
      <c r="AD5195" s="37"/>
      <c r="AE5195" s="37"/>
      <c r="AF5195" s="37"/>
    </row>
    <row r="5196" spans="1:32" x14ac:dyDescent="0.25">
      <c r="A5196" s="37"/>
      <c r="B5196" s="37"/>
      <c r="C5196" s="37"/>
      <c r="F5196" s="38"/>
      <c r="G5196" s="38"/>
      <c r="H5196" s="38"/>
      <c r="I5196" s="37"/>
      <c r="J5196" s="38"/>
      <c r="K5196" s="38"/>
      <c r="L5196" s="42"/>
      <c r="M5196" s="42"/>
      <c r="N5196" s="42"/>
      <c r="O5196" s="42"/>
      <c r="R5196" s="37"/>
      <c r="S5196" s="37"/>
      <c r="T5196" s="91"/>
      <c r="U5196" s="91"/>
      <c r="V5196" s="41"/>
      <c r="W5196" s="37"/>
      <c r="X5196" s="37"/>
      <c r="Y5196" s="43"/>
      <c r="Z5196" s="37"/>
      <c r="AA5196" s="37"/>
      <c r="AD5196" s="37"/>
      <c r="AE5196" s="37"/>
      <c r="AF5196" s="37"/>
    </row>
    <row r="5197" spans="1:32" x14ac:dyDescent="0.25">
      <c r="A5197" s="37"/>
      <c r="B5197" s="37"/>
      <c r="C5197" s="37"/>
      <c r="F5197" s="38"/>
      <c r="G5197" s="38"/>
      <c r="H5197" s="38"/>
      <c r="I5197" s="37"/>
      <c r="J5197" s="38"/>
      <c r="K5197" s="38"/>
      <c r="L5197" s="42"/>
      <c r="M5197" s="42"/>
      <c r="N5197" s="42"/>
      <c r="O5197" s="42"/>
      <c r="R5197" s="37"/>
      <c r="S5197" s="37"/>
      <c r="T5197" s="91"/>
      <c r="U5197" s="91"/>
      <c r="V5197" s="41"/>
      <c r="W5197" s="37"/>
      <c r="X5197" s="37"/>
      <c r="Y5197" s="43"/>
      <c r="Z5197" s="37"/>
      <c r="AA5197" s="37"/>
      <c r="AD5197" s="37"/>
      <c r="AE5197" s="37"/>
      <c r="AF5197" s="37"/>
    </row>
    <row r="5198" spans="1:32" x14ac:dyDescent="0.25">
      <c r="A5198" s="37"/>
      <c r="B5198" s="37"/>
      <c r="C5198" s="37"/>
      <c r="F5198" s="38"/>
      <c r="G5198" s="38"/>
      <c r="H5198" s="38"/>
      <c r="I5198" s="37"/>
      <c r="J5198" s="38"/>
      <c r="K5198" s="38"/>
      <c r="L5198" s="42"/>
      <c r="M5198" s="42"/>
      <c r="N5198" s="42"/>
      <c r="O5198" s="42"/>
      <c r="R5198" s="37"/>
      <c r="S5198" s="37"/>
      <c r="T5198" s="91"/>
      <c r="U5198" s="91"/>
      <c r="V5198" s="41"/>
      <c r="W5198" s="37"/>
      <c r="X5198" s="37"/>
      <c r="Y5198" s="43"/>
      <c r="Z5198" s="37"/>
      <c r="AA5198" s="37"/>
      <c r="AD5198" s="37"/>
      <c r="AE5198" s="37"/>
      <c r="AF5198" s="37"/>
    </row>
    <row r="5199" spans="1:32" x14ac:dyDescent="0.25">
      <c r="A5199" s="37"/>
      <c r="B5199" s="37"/>
      <c r="C5199" s="37"/>
      <c r="F5199" s="38"/>
      <c r="G5199" s="38"/>
      <c r="H5199" s="38"/>
      <c r="I5199" s="37"/>
      <c r="J5199" s="38"/>
      <c r="K5199" s="38"/>
      <c r="L5199" s="42"/>
      <c r="M5199" s="42"/>
      <c r="N5199" s="42"/>
      <c r="O5199" s="42"/>
      <c r="R5199" s="37"/>
      <c r="S5199" s="37"/>
      <c r="T5199" s="91"/>
      <c r="U5199" s="91"/>
      <c r="V5199" s="41"/>
      <c r="W5199" s="37"/>
      <c r="X5199" s="37"/>
      <c r="Y5199" s="43"/>
      <c r="Z5199" s="37"/>
      <c r="AA5199" s="37"/>
      <c r="AD5199" s="37"/>
      <c r="AE5199" s="37"/>
      <c r="AF5199" s="37"/>
    </row>
    <row r="5200" spans="1:32" x14ac:dyDescent="0.25">
      <c r="A5200" s="37"/>
      <c r="B5200" s="37"/>
      <c r="C5200" s="37"/>
      <c r="F5200" s="38"/>
      <c r="G5200" s="38"/>
      <c r="H5200" s="38"/>
      <c r="I5200" s="37"/>
      <c r="J5200" s="38"/>
      <c r="K5200" s="38"/>
      <c r="L5200" s="42"/>
      <c r="M5200" s="42"/>
      <c r="N5200" s="42"/>
      <c r="O5200" s="42"/>
      <c r="R5200" s="37"/>
      <c r="S5200" s="37"/>
      <c r="T5200" s="91"/>
      <c r="U5200" s="91"/>
      <c r="V5200" s="41"/>
      <c r="W5200" s="37"/>
      <c r="X5200" s="37"/>
      <c r="Y5200" s="43"/>
      <c r="Z5200" s="37"/>
      <c r="AA5200" s="37"/>
      <c r="AD5200" s="37"/>
      <c r="AE5200" s="37"/>
      <c r="AF5200" s="37"/>
    </row>
    <row r="5201" spans="1:32" x14ac:dyDescent="0.25">
      <c r="A5201" s="37"/>
      <c r="B5201" s="37"/>
      <c r="C5201" s="37"/>
      <c r="F5201" s="38"/>
      <c r="G5201" s="38"/>
      <c r="H5201" s="38"/>
      <c r="I5201" s="37"/>
      <c r="J5201" s="38"/>
      <c r="K5201" s="38"/>
      <c r="L5201" s="42"/>
      <c r="M5201" s="42"/>
      <c r="N5201" s="42"/>
      <c r="O5201" s="42"/>
      <c r="R5201" s="37"/>
      <c r="S5201" s="37"/>
      <c r="T5201" s="91"/>
      <c r="U5201" s="91"/>
      <c r="V5201" s="41"/>
      <c r="W5201" s="37"/>
      <c r="X5201" s="37"/>
      <c r="Y5201" s="43"/>
      <c r="Z5201" s="37"/>
      <c r="AA5201" s="37"/>
      <c r="AD5201" s="37"/>
      <c r="AE5201" s="37"/>
      <c r="AF5201" s="37"/>
    </row>
    <row r="5202" spans="1:32" x14ac:dyDescent="0.25">
      <c r="A5202" s="37"/>
      <c r="B5202" s="37"/>
      <c r="C5202" s="37"/>
      <c r="F5202" s="38"/>
      <c r="G5202" s="38"/>
      <c r="H5202" s="38"/>
      <c r="I5202" s="37"/>
      <c r="J5202" s="38"/>
      <c r="K5202" s="38"/>
      <c r="L5202" s="42"/>
      <c r="M5202" s="42"/>
      <c r="N5202" s="42"/>
      <c r="O5202" s="42"/>
      <c r="R5202" s="37"/>
      <c r="S5202" s="37"/>
      <c r="T5202" s="91"/>
      <c r="U5202" s="91"/>
      <c r="V5202" s="41"/>
      <c r="W5202" s="37"/>
      <c r="X5202" s="37"/>
      <c r="Y5202" s="43"/>
      <c r="Z5202" s="37"/>
      <c r="AA5202" s="37"/>
      <c r="AD5202" s="37"/>
      <c r="AE5202" s="37"/>
      <c r="AF5202" s="37"/>
    </row>
    <row r="5203" spans="1:32" x14ac:dyDescent="0.25">
      <c r="A5203" s="37"/>
      <c r="B5203" s="37"/>
      <c r="C5203" s="37"/>
      <c r="F5203" s="38"/>
      <c r="G5203" s="38"/>
      <c r="H5203" s="38"/>
      <c r="I5203" s="37"/>
      <c r="J5203" s="38"/>
      <c r="K5203" s="38"/>
      <c r="L5203" s="42"/>
      <c r="M5203" s="42"/>
      <c r="N5203" s="42"/>
      <c r="O5203" s="42"/>
      <c r="R5203" s="37"/>
      <c r="S5203" s="37"/>
      <c r="T5203" s="91"/>
      <c r="U5203" s="91"/>
      <c r="V5203" s="41"/>
      <c r="W5203" s="37"/>
      <c r="X5203" s="37"/>
      <c r="Y5203" s="43"/>
      <c r="Z5203" s="37"/>
      <c r="AA5203" s="37"/>
      <c r="AD5203" s="37"/>
      <c r="AE5203" s="37"/>
      <c r="AF5203" s="37"/>
    </row>
    <row r="5204" spans="1:32" x14ac:dyDescent="0.25">
      <c r="A5204" s="37"/>
      <c r="B5204" s="37"/>
      <c r="C5204" s="37"/>
      <c r="F5204" s="38"/>
      <c r="G5204" s="38"/>
      <c r="H5204" s="38"/>
      <c r="I5204" s="37"/>
      <c r="J5204" s="38"/>
      <c r="K5204" s="38"/>
      <c r="L5204" s="42"/>
      <c r="M5204" s="42"/>
      <c r="N5204" s="42"/>
      <c r="O5204" s="42"/>
      <c r="R5204" s="37"/>
      <c r="S5204" s="37"/>
      <c r="T5204" s="91"/>
      <c r="U5204" s="91"/>
      <c r="V5204" s="41"/>
      <c r="W5204" s="37"/>
      <c r="X5204" s="37"/>
      <c r="Y5204" s="43"/>
      <c r="Z5204" s="37"/>
      <c r="AA5204" s="37"/>
      <c r="AD5204" s="37"/>
      <c r="AE5204" s="37"/>
      <c r="AF5204" s="37"/>
    </row>
    <row r="5205" spans="1:32" x14ac:dyDescent="0.25">
      <c r="A5205" s="37"/>
      <c r="B5205" s="37"/>
      <c r="C5205" s="37"/>
      <c r="F5205" s="38"/>
      <c r="G5205" s="38"/>
      <c r="H5205" s="38"/>
      <c r="I5205" s="37"/>
      <c r="J5205" s="38"/>
      <c r="K5205" s="38"/>
      <c r="L5205" s="42"/>
      <c r="M5205" s="42"/>
      <c r="N5205" s="42"/>
      <c r="O5205" s="42"/>
      <c r="R5205" s="37"/>
      <c r="S5205" s="37"/>
      <c r="T5205" s="91"/>
      <c r="U5205" s="91"/>
      <c r="V5205" s="41"/>
      <c r="W5205" s="37"/>
      <c r="X5205" s="37"/>
      <c r="Y5205" s="43"/>
      <c r="Z5205" s="37"/>
      <c r="AA5205" s="37"/>
      <c r="AD5205" s="37"/>
      <c r="AE5205" s="37"/>
      <c r="AF5205" s="37"/>
    </row>
    <row r="5206" spans="1:32" x14ac:dyDescent="0.25">
      <c r="A5206" s="37"/>
      <c r="B5206" s="37"/>
      <c r="C5206" s="37"/>
      <c r="F5206" s="38"/>
      <c r="G5206" s="38"/>
      <c r="H5206" s="38"/>
      <c r="I5206" s="37"/>
      <c r="J5206" s="38"/>
      <c r="K5206" s="38"/>
      <c r="L5206" s="42"/>
      <c r="M5206" s="42"/>
      <c r="N5206" s="42"/>
      <c r="O5206" s="42"/>
      <c r="R5206" s="37"/>
      <c r="S5206" s="37"/>
      <c r="T5206" s="91"/>
      <c r="U5206" s="91"/>
      <c r="V5206" s="41"/>
      <c r="W5206" s="37"/>
      <c r="X5206" s="37"/>
      <c r="Y5206" s="43"/>
      <c r="Z5206" s="37"/>
      <c r="AA5206" s="37"/>
      <c r="AD5206" s="37"/>
      <c r="AE5206" s="37"/>
      <c r="AF5206" s="37"/>
    </row>
    <row r="5207" spans="1:32" x14ac:dyDescent="0.25">
      <c r="A5207" s="37"/>
      <c r="B5207" s="37"/>
      <c r="C5207" s="37"/>
      <c r="F5207" s="38"/>
      <c r="G5207" s="38"/>
      <c r="H5207" s="38"/>
      <c r="I5207" s="37"/>
      <c r="J5207" s="38"/>
      <c r="K5207" s="38"/>
      <c r="L5207" s="42"/>
      <c r="M5207" s="42"/>
      <c r="N5207" s="42"/>
      <c r="O5207" s="42"/>
      <c r="R5207" s="37"/>
      <c r="S5207" s="37"/>
      <c r="T5207" s="91"/>
      <c r="U5207" s="91"/>
      <c r="V5207" s="41"/>
      <c r="W5207" s="37"/>
      <c r="X5207" s="37"/>
      <c r="Y5207" s="43"/>
      <c r="Z5207" s="37"/>
      <c r="AA5207" s="37"/>
      <c r="AD5207" s="37"/>
      <c r="AE5207" s="37"/>
      <c r="AF5207" s="37"/>
    </row>
    <row r="5208" spans="1:32" x14ac:dyDescent="0.25">
      <c r="A5208" s="37"/>
      <c r="B5208" s="37"/>
      <c r="C5208" s="37"/>
      <c r="F5208" s="38"/>
      <c r="G5208" s="38"/>
      <c r="H5208" s="38"/>
      <c r="I5208" s="37"/>
      <c r="J5208" s="38"/>
      <c r="K5208" s="38"/>
      <c r="L5208" s="42"/>
      <c r="M5208" s="42"/>
      <c r="N5208" s="42"/>
      <c r="O5208" s="42"/>
      <c r="R5208" s="37"/>
      <c r="S5208" s="37"/>
      <c r="T5208" s="91"/>
      <c r="U5208" s="91"/>
      <c r="V5208" s="41"/>
      <c r="W5208" s="37"/>
      <c r="X5208" s="37"/>
      <c r="Y5208" s="43"/>
      <c r="Z5208" s="37"/>
      <c r="AA5208" s="37"/>
      <c r="AD5208" s="37"/>
      <c r="AE5208" s="37"/>
      <c r="AF5208" s="37"/>
    </row>
    <row r="5209" spans="1:32" x14ac:dyDescent="0.25">
      <c r="A5209" s="37"/>
      <c r="B5209" s="37"/>
      <c r="C5209" s="37"/>
      <c r="F5209" s="38"/>
      <c r="G5209" s="38"/>
      <c r="H5209" s="38"/>
      <c r="I5209" s="37"/>
      <c r="J5209" s="38"/>
      <c r="K5209" s="38"/>
      <c r="L5209" s="42"/>
      <c r="M5209" s="42"/>
      <c r="N5209" s="42"/>
      <c r="O5209" s="42"/>
      <c r="R5209" s="37"/>
      <c r="S5209" s="37"/>
      <c r="T5209" s="91"/>
      <c r="U5209" s="91"/>
      <c r="V5209" s="41"/>
      <c r="W5209" s="37"/>
      <c r="X5209" s="37"/>
      <c r="Y5209" s="43"/>
      <c r="Z5209" s="37"/>
      <c r="AA5209" s="37"/>
      <c r="AD5209" s="37"/>
      <c r="AE5209" s="37"/>
      <c r="AF5209" s="37"/>
    </row>
    <row r="5210" spans="1:32" x14ac:dyDescent="0.25">
      <c r="A5210" s="37"/>
      <c r="B5210" s="37"/>
      <c r="C5210" s="37"/>
      <c r="F5210" s="38"/>
      <c r="G5210" s="38"/>
      <c r="H5210" s="38"/>
      <c r="I5210" s="37"/>
      <c r="J5210" s="38"/>
      <c r="K5210" s="38"/>
      <c r="L5210" s="42"/>
      <c r="M5210" s="42"/>
      <c r="N5210" s="42"/>
      <c r="O5210" s="42"/>
      <c r="R5210" s="37"/>
      <c r="S5210" s="37"/>
      <c r="T5210" s="91"/>
      <c r="U5210" s="91"/>
      <c r="V5210" s="41"/>
      <c r="W5210" s="37"/>
      <c r="X5210" s="37"/>
      <c r="Y5210" s="43"/>
      <c r="Z5210" s="37"/>
      <c r="AA5210" s="37"/>
      <c r="AD5210" s="37"/>
      <c r="AE5210" s="37"/>
      <c r="AF5210" s="37"/>
    </row>
    <row r="5211" spans="1:32" x14ac:dyDescent="0.25">
      <c r="A5211" s="37"/>
      <c r="B5211" s="37"/>
      <c r="C5211" s="37"/>
      <c r="F5211" s="38"/>
      <c r="G5211" s="38"/>
      <c r="H5211" s="38"/>
      <c r="I5211" s="37"/>
      <c r="J5211" s="38"/>
      <c r="K5211" s="38"/>
      <c r="L5211" s="42"/>
      <c r="M5211" s="42"/>
      <c r="N5211" s="42"/>
      <c r="O5211" s="42"/>
      <c r="R5211" s="37"/>
      <c r="S5211" s="37"/>
      <c r="T5211" s="91"/>
      <c r="U5211" s="91"/>
      <c r="V5211" s="41"/>
      <c r="W5211" s="37"/>
      <c r="X5211" s="37"/>
      <c r="Y5211" s="43"/>
      <c r="Z5211" s="37"/>
      <c r="AA5211" s="37"/>
      <c r="AD5211" s="37"/>
      <c r="AE5211" s="37"/>
      <c r="AF5211" s="37"/>
    </row>
    <row r="5212" spans="1:32" x14ac:dyDescent="0.25">
      <c r="A5212" s="37"/>
      <c r="B5212" s="37"/>
      <c r="C5212" s="37"/>
      <c r="F5212" s="38"/>
      <c r="G5212" s="38"/>
      <c r="H5212" s="38"/>
      <c r="I5212" s="37"/>
      <c r="J5212" s="38"/>
      <c r="K5212" s="38"/>
      <c r="L5212" s="42"/>
      <c r="M5212" s="42"/>
      <c r="N5212" s="42"/>
      <c r="O5212" s="42"/>
      <c r="R5212" s="37"/>
      <c r="S5212" s="37"/>
      <c r="T5212" s="91"/>
      <c r="U5212" s="91"/>
      <c r="V5212" s="41"/>
      <c r="W5212" s="37"/>
      <c r="X5212" s="37"/>
      <c r="Y5212" s="43"/>
      <c r="Z5212" s="37"/>
      <c r="AA5212" s="37"/>
      <c r="AD5212" s="37"/>
      <c r="AE5212" s="37"/>
      <c r="AF5212" s="37"/>
    </row>
    <row r="5213" spans="1:32" x14ac:dyDescent="0.25">
      <c r="A5213" s="37"/>
      <c r="B5213" s="37"/>
      <c r="C5213" s="37"/>
      <c r="F5213" s="38"/>
      <c r="G5213" s="38"/>
      <c r="H5213" s="38"/>
      <c r="I5213" s="37"/>
      <c r="J5213" s="38"/>
      <c r="K5213" s="38"/>
      <c r="L5213" s="42"/>
      <c r="M5213" s="42"/>
      <c r="N5213" s="42"/>
      <c r="O5213" s="42"/>
      <c r="R5213" s="37"/>
      <c r="S5213" s="37"/>
      <c r="T5213" s="91"/>
      <c r="U5213" s="91"/>
      <c r="V5213" s="41"/>
      <c r="W5213" s="37"/>
      <c r="X5213" s="37"/>
      <c r="Y5213" s="43"/>
      <c r="Z5213" s="37"/>
      <c r="AA5213" s="37"/>
      <c r="AD5213" s="37"/>
      <c r="AE5213" s="37"/>
      <c r="AF5213" s="37"/>
    </row>
    <row r="5214" spans="1:32" x14ac:dyDescent="0.25">
      <c r="A5214" s="37"/>
      <c r="B5214" s="37"/>
      <c r="C5214" s="37"/>
      <c r="F5214" s="38"/>
      <c r="G5214" s="38"/>
      <c r="H5214" s="38"/>
      <c r="I5214" s="37"/>
      <c r="J5214" s="38"/>
      <c r="K5214" s="38"/>
      <c r="L5214" s="42"/>
      <c r="M5214" s="42"/>
      <c r="N5214" s="42"/>
      <c r="O5214" s="42"/>
      <c r="R5214" s="37"/>
      <c r="S5214" s="37"/>
      <c r="T5214" s="91"/>
      <c r="U5214" s="91"/>
      <c r="V5214" s="41"/>
      <c r="W5214" s="37"/>
      <c r="X5214" s="37"/>
      <c r="Y5214" s="43"/>
      <c r="Z5214" s="37"/>
      <c r="AA5214" s="37"/>
      <c r="AD5214" s="37"/>
      <c r="AE5214" s="37"/>
      <c r="AF5214" s="37"/>
    </row>
    <row r="5215" spans="1:32" x14ac:dyDescent="0.25">
      <c r="A5215" s="37"/>
      <c r="B5215" s="37"/>
      <c r="C5215" s="37"/>
      <c r="F5215" s="38"/>
      <c r="G5215" s="38"/>
      <c r="H5215" s="38"/>
      <c r="I5215" s="37"/>
      <c r="J5215" s="38"/>
      <c r="K5215" s="38"/>
      <c r="L5215" s="42"/>
      <c r="M5215" s="42"/>
      <c r="N5215" s="42"/>
      <c r="O5215" s="42"/>
      <c r="R5215" s="37"/>
      <c r="S5215" s="37"/>
      <c r="T5215" s="91"/>
      <c r="U5215" s="91"/>
      <c r="V5215" s="41"/>
      <c r="W5215" s="37"/>
      <c r="X5215" s="37"/>
      <c r="Y5215" s="43"/>
      <c r="Z5215" s="37"/>
      <c r="AA5215" s="37"/>
      <c r="AD5215" s="37"/>
      <c r="AE5215" s="37"/>
      <c r="AF5215" s="37"/>
    </row>
    <row r="5216" spans="1:32" x14ac:dyDescent="0.25">
      <c r="A5216" s="37"/>
      <c r="B5216" s="37"/>
      <c r="C5216" s="37"/>
      <c r="F5216" s="38"/>
      <c r="G5216" s="38"/>
      <c r="H5216" s="38"/>
      <c r="I5216" s="37"/>
      <c r="J5216" s="38"/>
      <c r="K5216" s="38"/>
      <c r="L5216" s="42"/>
      <c r="M5216" s="42"/>
      <c r="N5216" s="42"/>
      <c r="O5216" s="42"/>
      <c r="R5216" s="37"/>
      <c r="S5216" s="37"/>
      <c r="T5216" s="91"/>
      <c r="U5216" s="91"/>
      <c r="V5216" s="41"/>
      <c r="W5216" s="37"/>
      <c r="X5216" s="37"/>
      <c r="Y5216" s="43"/>
      <c r="Z5216" s="37"/>
      <c r="AA5216" s="37"/>
      <c r="AD5216" s="37"/>
      <c r="AE5216" s="37"/>
      <c r="AF5216" s="37"/>
    </row>
    <row r="5217" spans="1:32" x14ac:dyDescent="0.25">
      <c r="A5217" s="37"/>
      <c r="B5217" s="37"/>
      <c r="C5217" s="37"/>
      <c r="F5217" s="38"/>
      <c r="G5217" s="38"/>
      <c r="H5217" s="38"/>
      <c r="I5217" s="37"/>
      <c r="J5217" s="38"/>
      <c r="K5217" s="38"/>
      <c r="L5217" s="42"/>
      <c r="M5217" s="42"/>
      <c r="N5217" s="42"/>
      <c r="O5217" s="42"/>
      <c r="R5217" s="37"/>
      <c r="S5217" s="37"/>
      <c r="T5217" s="91"/>
      <c r="U5217" s="91"/>
      <c r="V5217" s="41"/>
      <c r="W5217" s="37"/>
      <c r="X5217" s="37"/>
      <c r="Y5217" s="43"/>
      <c r="Z5217" s="37"/>
      <c r="AA5217" s="37"/>
      <c r="AD5217" s="37"/>
      <c r="AE5217" s="37"/>
      <c r="AF5217" s="37"/>
    </row>
    <row r="5218" spans="1:32" x14ac:dyDescent="0.25">
      <c r="A5218" s="37"/>
      <c r="B5218" s="37"/>
      <c r="C5218" s="37"/>
      <c r="F5218" s="38"/>
      <c r="G5218" s="38"/>
      <c r="H5218" s="38"/>
      <c r="I5218" s="37"/>
      <c r="J5218" s="38"/>
      <c r="K5218" s="38"/>
      <c r="L5218" s="42"/>
      <c r="M5218" s="42"/>
      <c r="N5218" s="42"/>
      <c r="O5218" s="42"/>
      <c r="R5218" s="37"/>
      <c r="S5218" s="37"/>
      <c r="T5218" s="91"/>
      <c r="U5218" s="91"/>
      <c r="V5218" s="41"/>
      <c r="W5218" s="37"/>
      <c r="X5218" s="37"/>
      <c r="Y5218" s="43"/>
      <c r="Z5218" s="37"/>
      <c r="AA5218" s="37"/>
      <c r="AD5218" s="37"/>
      <c r="AE5218" s="37"/>
      <c r="AF5218" s="37"/>
    </row>
    <row r="5219" spans="1:32" x14ac:dyDescent="0.25">
      <c r="A5219" s="37"/>
      <c r="B5219" s="37"/>
      <c r="C5219" s="37"/>
      <c r="F5219" s="38"/>
      <c r="G5219" s="38"/>
      <c r="H5219" s="38"/>
      <c r="I5219" s="37"/>
      <c r="J5219" s="38"/>
      <c r="K5219" s="38"/>
      <c r="L5219" s="42"/>
      <c r="M5219" s="42"/>
      <c r="N5219" s="42"/>
      <c r="O5219" s="42"/>
      <c r="R5219" s="37"/>
      <c r="S5219" s="37"/>
      <c r="T5219" s="91"/>
      <c r="U5219" s="91"/>
      <c r="V5219" s="41"/>
      <c r="W5219" s="37"/>
      <c r="X5219" s="37"/>
      <c r="Y5219" s="43"/>
      <c r="Z5219" s="37"/>
      <c r="AA5219" s="37"/>
      <c r="AD5219" s="37"/>
      <c r="AE5219" s="37"/>
      <c r="AF5219" s="37"/>
    </row>
    <row r="5220" spans="1:32" x14ac:dyDescent="0.25">
      <c r="A5220" s="37"/>
      <c r="B5220" s="37"/>
      <c r="C5220" s="37"/>
      <c r="F5220" s="38"/>
      <c r="G5220" s="38"/>
      <c r="H5220" s="38"/>
      <c r="I5220" s="37"/>
      <c r="J5220" s="38"/>
      <c r="K5220" s="38"/>
      <c r="L5220" s="42"/>
      <c r="M5220" s="42"/>
      <c r="N5220" s="42"/>
      <c r="O5220" s="42"/>
      <c r="R5220" s="37"/>
      <c r="S5220" s="37"/>
      <c r="T5220" s="91"/>
      <c r="U5220" s="91"/>
      <c r="V5220" s="41"/>
      <c r="W5220" s="37"/>
      <c r="X5220" s="37"/>
      <c r="Y5220" s="43"/>
      <c r="Z5220" s="37"/>
      <c r="AA5220" s="37"/>
      <c r="AD5220" s="37"/>
      <c r="AE5220" s="37"/>
      <c r="AF5220" s="37"/>
    </row>
    <row r="5221" spans="1:32" x14ac:dyDescent="0.25">
      <c r="A5221" s="37"/>
      <c r="B5221" s="37"/>
      <c r="C5221" s="37"/>
      <c r="F5221" s="38"/>
      <c r="G5221" s="38"/>
      <c r="H5221" s="38"/>
      <c r="I5221" s="37"/>
      <c r="J5221" s="38"/>
      <c r="K5221" s="38"/>
      <c r="L5221" s="42"/>
      <c r="M5221" s="42"/>
      <c r="N5221" s="42"/>
      <c r="O5221" s="42"/>
      <c r="R5221" s="37"/>
      <c r="S5221" s="37"/>
      <c r="T5221" s="91"/>
      <c r="U5221" s="91"/>
      <c r="V5221" s="41"/>
      <c r="W5221" s="37"/>
      <c r="X5221" s="37"/>
      <c r="Y5221" s="43"/>
      <c r="Z5221" s="37"/>
      <c r="AA5221" s="37"/>
      <c r="AD5221" s="37"/>
      <c r="AE5221" s="37"/>
      <c r="AF5221" s="37"/>
    </row>
    <row r="5222" spans="1:32" x14ac:dyDescent="0.25">
      <c r="A5222" s="37"/>
      <c r="B5222" s="37"/>
      <c r="C5222" s="37"/>
      <c r="F5222" s="38"/>
      <c r="G5222" s="38"/>
      <c r="H5222" s="38"/>
      <c r="I5222" s="37"/>
      <c r="J5222" s="38"/>
      <c r="K5222" s="38"/>
      <c r="L5222" s="42"/>
      <c r="M5222" s="42"/>
      <c r="N5222" s="42"/>
      <c r="O5222" s="42"/>
      <c r="R5222" s="37"/>
      <c r="S5222" s="37"/>
      <c r="T5222" s="91"/>
      <c r="U5222" s="91"/>
      <c r="V5222" s="41"/>
      <c r="W5222" s="37"/>
      <c r="X5222" s="37"/>
      <c r="Y5222" s="43"/>
      <c r="Z5222" s="37"/>
      <c r="AA5222" s="37"/>
      <c r="AD5222" s="37"/>
      <c r="AE5222" s="37"/>
      <c r="AF5222" s="37"/>
    </row>
    <row r="5223" spans="1:32" x14ac:dyDescent="0.25">
      <c r="A5223" s="37"/>
      <c r="B5223" s="37"/>
      <c r="C5223" s="37"/>
      <c r="F5223" s="38"/>
      <c r="G5223" s="38"/>
      <c r="H5223" s="38"/>
      <c r="I5223" s="37"/>
      <c r="J5223" s="38"/>
      <c r="K5223" s="38"/>
      <c r="L5223" s="42"/>
      <c r="M5223" s="42"/>
      <c r="N5223" s="42"/>
      <c r="O5223" s="42"/>
      <c r="R5223" s="37"/>
      <c r="S5223" s="37"/>
      <c r="T5223" s="91"/>
      <c r="U5223" s="91"/>
      <c r="V5223" s="41"/>
      <c r="W5223" s="37"/>
      <c r="X5223" s="37"/>
      <c r="Y5223" s="43"/>
      <c r="Z5223" s="37"/>
      <c r="AA5223" s="37"/>
      <c r="AD5223" s="37"/>
      <c r="AE5223" s="37"/>
      <c r="AF5223" s="37"/>
    </row>
    <row r="5224" spans="1:32" x14ac:dyDescent="0.25">
      <c r="A5224" s="37"/>
      <c r="B5224" s="37"/>
      <c r="C5224" s="37"/>
      <c r="F5224" s="38"/>
      <c r="G5224" s="38"/>
      <c r="H5224" s="38"/>
      <c r="I5224" s="37"/>
      <c r="J5224" s="38"/>
      <c r="K5224" s="38"/>
      <c r="L5224" s="42"/>
      <c r="M5224" s="42"/>
      <c r="N5224" s="42"/>
      <c r="O5224" s="42"/>
      <c r="R5224" s="37"/>
      <c r="S5224" s="37"/>
      <c r="T5224" s="91"/>
      <c r="U5224" s="91"/>
      <c r="V5224" s="41"/>
      <c r="W5224" s="37"/>
      <c r="X5224" s="37"/>
      <c r="Y5224" s="43"/>
      <c r="Z5224" s="37"/>
      <c r="AA5224" s="37"/>
      <c r="AD5224" s="37"/>
      <c r="AE5224" s="37"/>
      <c r="AF5224" s="37"/>
    </row>
    <row r="5225" spans="1:32" x14ac:dyDescent="0.25">
      <c r="A5225" s="37"/>
      <c r="B5225" s="37"/>
      <c r="C5225" s="37"/>
      <c r="F5225" s="38"/>
      <c r="G5225" s="38"/>
      <c r="H5225" s="38"/>
      <c r="I5225" s="37"/>
      <c r="J5225" s="38"/>
      <c r="K5225" s="38"/>
      <c r="L5225" s="42"/>
      <c r="M5225" s="42"/>
      <c r="N5225" s="42"/>
      <c r="O5225" s="42"/>
      <c r="R5225" s="37"/>
      <c r="S5225" s="37"/>
      <c r="T5225" s="91"/>
      <c r="U5225" s="91"/>
      <c r="V5225" s="41"/>
      <c r="W5225" s="37"/>
      <c r="X5225" s="37"/>
      <c r="Y5225" s="43"/>
      <c r="Z5225" s="37"/>
      <c r="AA5225" s="37"/>
      <c r="AD5225" s="37"/>
      <c r="AE5225" s="37"/>
      <c r="AF5225" s="37"/>
    </row>
    <row r="5226" spans="1:32" x14ac:dyDescent="0.25">
      <c r="A5226" s="37"/>
      <c r="B5226" s="37"/>
      <c r="C5226" s="37"/>
      <c r="F5226" s="38"/>
      <c r="G5226" s="38"/>
      <c r="H5226" s="38"/>
      <c r="I5226" s="37"/>
      <c r="J5226" s="38"/>
      <c r="K5226" s="38"/>
      <c r="L5226" s="42"/>
      <c r="M5226" s="42"/>
      <c r="N5226" s="42"/>
      <c r="O5226" s="42"/>
      <c r="R5226" s="37"/>
      <c r="S5226" s="37"/>
      <c r="T5226" s="91"/>
      <c r="U5226" s="91"/>
      <c r="V5226" s="41"/>
      <c r="W5226" s="37"/>
      <c r="X5226" s="37"/>
      <c r="Y5226" s="43"/>
      <c r="Z5226" s="37"/>
      <c r="AA5226" s="37"/>
      <c r="AD5226" s="37"/>
      <c r="AE5226" s="37"/>
      <c r="AF5226" s="37"/>
    </row>
    <row r="5227" spans="1:32" x14ac:dyDescent="0.25">
      <c r="A5227" s="37"/>
      <c r="B5227" s="37"/>
      <c r="C5227" s="37"/>
      <c r="F5227" s="38"/>
      <c r="G5227" s="38"/>
      <c r="H5227" s="38"/>
      <c r="I5227" s="37"/>
      <c r="J5227" s="38"/>
      <c r="K5227" s="38"/>
      <c r="L5227" s="42"/>
      <c r="M5227" s="42"/>
      <c r="N5227" s="42"/>
      <c r="O5227" s="42"/>
      <c r="R5227" s="37"/>
      <c r="S5227" s="37"/>
      <c r="T5227" s="91"/>
      <c r="U5227" s="91"/>
      <c r="V5227" s="41"/>
      <c r="W5227" s="37"/>
      <c r="X5227" s="37"/>
      <c r="Y5227" s="43"/>
      <c r="Z5227" s="37"/>
      <c r="AA5227" s="37"/>
      <c r="AD5227" s="37"/>
      <c r="AE5227" s="37"/>
      <c r="AF5227" s="37"/>
    </row>
    <row r="5228" spans="1:32" x14ac:dyDescent="0.25">
      <c r="A5228" s="37"/>
      <c r="B5228" s="37"/>
      <c r="C5228" s="37"/>
      <c r="F5228" s="38"/>
      <c r="G5228" s="38"/>
      <c r="H5228" s="38"/>
      <c r="I5228" s="37"/>
      <c r="J5228" s="38"/>
      <c r="K5228" s="38"/>
      <c r="L5228" s="42"/>
      <c r="M5228" s="42"/>
      <c r="N5228" s="42"/>
      <c r="O5228" s="42"/>
      <c r="R5228" s="37"/>
      <c r="S5228" s="37"/>
      <c r="T5228" s="91"/>
      <c r="U5228" s="91"/>
      <c r="V5228" s="41"/>
      <c r="W5228" s="37"/>
      <c r="X5228" s="37"/>
      <c r="Y5228" s="43"/>
      <c r="Z5228" s="37"/>
      <c r="AA5228" s="37"/>
      <c r="AD5228" s="37"/>
      <c r="AE5228" s="37"/>
      <c r="AF5228" s="37"/>
    </row>
    <row r="5229" spans="1:32" x14ac:dyDescent="0.25">
      <c r="A5229" s="37"/>
      <c r="B5229" s="37"/>
      <c r="C5229" s="37"/>
      <c r="F5229" s="38"/>
      <c r="G5229" s="38"/>
      <c r="H5229" s="38"/>
      <c r="I5229" s="37"/>
      <c r="J5229" s="38"/>
      <c r="K5229" s="38"/>
      <c r="L5229" s="42"/>
      <c r="M5229" s="42"/>
      <c r="N5229" s="42"/>
      <c r="O5229" s="42"/>
      <c r="R5229" s="37"/>
      <c r="S5229" s="37"/>
      <c r="T5229" s="91"/>
      <c r="U5229" s="91"/>
      <c r="V5229" s="41"/>
      <c r="W5229" s="37"/>
      <c r="X5229" s="37"/>
      <c r="Y5229" s="43"/>
      <c r="Z5229" s="37"/>
      <c r="AA5229" s="37"/>
      <c r="AD5229" s="37"/>
      <c r="AE5229" s="37"/>
      <c r="AF5229" s="37"/>
    </row>
    <row r="5230" spans="1:32" x14ac:dyDescent="0.25">
      <c r="A5230" s="37"/>
      <c r="B5230" s="37"/>
      <c r="C5230" s="37"/>
      <c r="F5230" s="38"/>
      <c r="G5230" s="38"/>
      <c r="H5230" s="38"/>
      <c r="I5230" s="37"/>
      <c r="J5230" s="38"/>
      <c r="K5230" s="38"/>
      <c r="L5230" s="42"/>
      <c r="M5230" s="42"/>
      <c r="N5230" s="42"/>
      <c r="O5230" s="42"/>
      <c r="R5230" s="37"/>
      <c r="S5230" s="37"/>
      <c r="T5230" s="91"/>
      <c r="U5230" s="91"/>
      <c r="V5230" s="41"/>
      <c r="W5230" s="37"/>
      <c r="X5230" s="37"/>
      <c r="Y5230" s="43"/>
      <c r="Z5230" s="37"/>
      <c r="AA5230" s="37"/>
      <c r="AD5230" s="37"/>
      <c r="AE5230" s="37"/>
      <c r="AF5230" s="37"/>
    </row>
    <row r="5231" spans="1:32" x14ac:dyDescent="0.25">
      <c r="A5231" s="37"/>
      <c r="B5231" s="37"/>
      <c r="C5231" s="37"/>
      <c r="F5231" s="38"/>
      <c r="G5231" s="38"/>
      <c r="H5231" s="38"/>
      <c r="I5231" s="37"/>
      <c r="J5231" s="38"/>
      <c r="K5231" s="38"/>
      <c r="L5231" s="42"/>
      <c r="M5231" s="42"/>
      <c r="N5231" s="42"/>
      <c r="O5231" s="42"/>
      <c r="R5231" s="37"/>
      <c r="S5231" s="37"/>
      <c r="T5231" s="91"/>
      <c r="U5231" s="91"/>
      <c r="V5231" s="41"/>
      <c r="W5231" s="37"/>
      <c r="X5231" s="37"/>
      <c r="Y5231" s="43"/>
      <c r="Z5231" s="37"/>
      <c r="AA5231" s="37"/>
      <c r="AD5231" s="37"/>
      <c r="AE5231" s="37"/>
      <c r="AF5231" s="37"/>
    </row>
    <row r="5232" spans="1:32" x14ac:dyDescent="0.25">
      <c r="A5232" s="37"/>
      <c r="B5232" s="37"/>
      <c r="C5232" s="37"/>
      <c r="F5232" s="38"/>
      <c r="G5232" s="38"/>
      <c r="H5232" s="38"/>
      <c r="I5232" s="37"/>
      <c r="J5232" s="38"/>
      <c r="K5232" s="38"/>
      <c r="L5232" s="42"/>
      <c r="M5232" s="42"/>
      <c r="N5232" s="42"/>
      <c r="O5232" s="42"/>
      <c r="R5232" s="37"/>
      <c r="S5232" s="37"/>
      <c r="T5232" s="91"/>
      <c r="U5232" s="91"/>
      <c r="V5232" s="41"/>
      <c r="W5232" s="37"/>
      <c r="X5232" s="37"/>
      <c r="Y5232" s="43"/>
      <c r="Z5232" s="37"/>
      <c r="AA5232" s="37"/>
      <c r="AD5232" s="37"/>
      <c r="AE5232" s="37"/>
      <c r="AF5232" s="37"/>
    </row>
    <row r="5233" spans="1:32" x14ac:dyDescent="0.25">
      <c r="A5233" s="37"/>
      <c r="B5233" s="37"/>
      <c r="C5233" s="37"/>
      <c r="F5233" s="38"/>
      <c r="G5233" s="38"/>
      <c r="H5233" s="38"/>
      <c r="I5233" s="37"/>
      <c r="J5233" s="38"/>
      <c r="K5233" s="38"/>
      <c r="L5233" s="42"/>
      <c r="M5233" s="42"/>
      <c r="N5233" s="42"/>
      <c r="O5233" s="42"/>
      <c r="R5233" s="37"/>
      <c r="S5233" s="37"/>
      <c r="T5233" s="91"/>
      <c r="U5233" s="91"/>
      <c r="V5233" s="41"/>
      <c r="W5233" s="37"/>
      <c r="X5233" s="37"/>
      <c r="Y5233" s="43"/>
      <c r="Z5233" s="37"/>
      <c r="AA5233" s="37"/>
      <c r="AD5233" s="37"/>
      <c r="AE5233" s="37"/>
      <c r="AF5233" s="37"/>
    </row>
    <row r="5234" spans="1:32" x14ac:dyDescent="0.25">
      <c r="A5234" s="37"/>
      <c r="B5234" s="37"/>
      <c r="C5234" s="37"/>
      <c r="F5234" s="38"/>
      <c r="G5234" s="38"/>
      <c r="H5234" s="38"/>
      <c r="I5234" s="37"/>
      <c r="J5234" s="38"/>
      <c r="K5234" s="38"/>
      <c r="L5234" s="42"/>
      <c r="M5234" s="42"/>
      <c r="N5234" s="42"/>
      <c r="O5234" s="42"/>
      <c r="R5234" s="37"/>
      <c r="S5234" s="37"/>
      <c r="T5234" s="91"/>
      <c r="U5234" s="91"/>
      <c r="V5234" s="41"/>
      <c r="W5234" s="37"/>
      <c r="X5234" s="37"/>
      <c r="Y5234" s="43"/>
      <c r="Z5234" s="37"/>
      <c r="AA5234" s="37"/>
      <c r="AD5234" s="37"/>
      <c r="AE5234" s="37"/>
      <c r="AF5234" s="37"/>
    </row>
    <row r="5235" spans="1:32" x14ac:dyDescent="0.25">
      <c r="A5235" s="37"/>
      <c r="B5235" s="37"/>
      <c r="C5235" s="37"/>
      <c r="F5235" s="38"/>
      <c r="G5235" s="38"/>
      <c r="H5235" s="38"/>
      <c r="I5235" s="37"/>
      <c r="J5235" s="38"/>
      <c r="K5235" s="38"/>
      <c r="L5235" s="42"/>
      <c r="M5235" s="42"/>
      <c r="N5235" s="42"/>
      <c r="O5235" s="42"/>
      <c r="R5235" s="37"/>
      <c r="S5235" s="37"/>
      <c r="T5235" s="91"/>
      <c r="U5235" s="91"/>
      <c r="V5235" s="41"/>
      <c r="W5235" s="37"/>
      <c r="X5235" s="37"/>
      <c r="Y5235" s="43"/>
      <c r="Z5235" s="37"/>
      <c r="AA5235" s="37"/>
      <c r="AD5235" s="37"/>
      <c r="AE5235" s="37"/>
      <c r="AF5235" s="37"/>
    </row>
    <row r="5236" spans="1:32" x14ac:dyDescent="0.25">
      <c r="A5236" s="37"/>
      <c r="B5236" s="37"/>
      <c r="C5236" s="37"/>
      <c r="F5236" s="38"/>
      <c r="G5236" s="38"/>
      <c r="H5236" s="38"/>
      <c r="I5236" s="37"/>
      <c r="J5236" s="38"/>
      <c r="K5236" s="38"/>
      <c r="L5236" s="42"/>
      <c r="M5236" s="42"/>
      <c r="N5236" s="42"/>
      <c r="O5236" s="42"/>
      <c r="R5236" s="37"/>
      <c r="S5236" s="37"/>
      <c r="T5236" s="91"/>
      <c r="U5236" s="91"/>
      <c r="V5236" s="41"/>
      <c r="W5236" s="37"/>
      <c r="X5236" s="37"/>
      <c r="Y5236" s="43"/>
      <c r="Z5236" s="37"/>
      <c r="AA5236" s="37"/>
      <c r="AD5236" s="37"/>
      <c r="AE5236" s="37"/>
      <c r="AF5236" s="37"/>
    </row>
    <row r="5237" spans="1:32" x14ac:dyDescent="0.25">
      <c r="A5237" s="37"/>
      <c r="B5237" s="37"/>
      <c r="C5237" s="37"/>
      <c r="F5237" s="38"/>
      <c r="G5237" s="38"/>
      <c r="H5237" s="38"/>
      <c r="I5237" s="37"/>
      <c r="J5237" s="38"/>
      <c r="K5237" s="38"/>
      <c r="L5237" s="42"/>
      <c r="M5237" s="42"/>
      <c r="N5237" s="42"/>
      <c r="O5237" s="42"/>
      <c r="R5237" s="37"/>
      <c r="S5237" s="37"/>
      <c r="T5237" s="91"/>
      <c r="U5237" s="91"/>
      <c r="V5237" s="41"/>
      <c r="W5237" s="37"/>
      <c r="X5237" s="37"/>
      <c r="Y5237" s="43"/>
      <c r="Z5237" s="37"/>
      <c r="AA5237" s="37"/>
      <c r="AD5237" s="37"/>
      <c r="AE5237" s="37"/>
      <c r="AF5237" s="37"/>
    </row>
    <row r="5238" spans="1:32" x14ac:dyDescent="0.25">
      <c r="A5238" s="37"/>
      <c r="B5238" s="37"/>
      <c r="C5238" s="37"/>
      <c r="F5238" s="38"/>
      <c r="G5238" s="38"/>
      <c r="H5238" s="38"/>
      <c r="I5238" s="37"/>
      <c r="J5238" s="38"/>
      <c r="K5238" s="38"/>
      <c r="L5238" s="42"/>
      <c r="M5238" s="42"/>
      <c r="N5238" s="42"/>
      <c r="O5238" s="42"/>
      <c r="R5238" s="37"/>
      <c r="S5238" s="37"/>
      <c r="T5238" s="91"/>
      <c r="U5238" s="91"/>
      <c r="V5238" s="41"/>
      <c r="W5238" s="37"/>
      <c r="X5238" s="37"/>
      <c r="Y5238" s="43"/>
      <c r="Z5238" s="37"/>
      <c r="AA5238" s="37"/>
      <c r="AD5238" s="37"/>
      <c r="AE5238" s="37"/>
      <c r="AF5238" s="37"/>
    </row>
    <row r="5239" spans="1:32" x14ac:dyDescent="0.25">
      <c r="A5239" s="37"/>
      <c r="B5239" s="37"/>
      <c r="C5239" s="37"/>
      <c r="F5239" s="38"/>
      <c r="G5239" s="38"/>
      <c r="H5239" s="38"/>
      <c r="I5239" s="37"/>
      <c r="J5239" s="38"/>
      <c r="K5239" s="38"/>
      <c r="L5239" s="42"/>
      <c r="M5239" s="42"/>
      <c r="N5239" s="42"/>
      <c r="O5239" s="42"/>
      <c r="R5239" s="37"/>
      <c r="S5239" s="37"/>
      <c r="T5239" s="91"/>
      <c r="U5239" s="91"/>
      <c r="V5239" s="41"/>
      <c r="W5239" s="37"/>
      <c r="X5239" s="37"/>
      <c r="Y5239" s="43"/>
      <c r="Z5239" s="37"/>
      <c r="AA5239" s="37"/>
      <c r="AD5239" s="37"/>
      <c r="AE5239" s="37"/>
      <c r="AF5239" s="37"/>
    </row>
    <row r="5240" spans="1:32" x14ac:dyDescent="0.25">
      <c r="A5240" s="37"/>
      <c r="B5240" s="37"/>
      <c r="C5240" s="37"/>
      <c r="F5240" s="38"/>
      <c r="G5240" s="38"/>
      <c r="H5240" s="38"/>
      <c r="I5240" s="37"/>
      <c r="J5240" s="38"/>
      <c r="K5240" s="38"/>
      <c r="L5240" s="42"/>
      <c r="M5240" s="42"/>
      <c r="N5240" s="42"/>
      <c r="O5240" s="42"/>
      <c r="R5240" s="37"/>
      <c r="S5240" s="37"/>
      <c r="T5240" s="91"/>
      <c r="U5240" s="91"/>
      <c r="V5240" s="41"/>
      <c r="W5240" s="37"/>
      <c r="X5240" s="37"/>
      <c r="Y5240" s="43"/>
      <c r="Z5240" s="37"/>
      <c r="AA5240" s="37"/>
      <c r="AD5240" s="37"/>
      <c r="AE5240" s="37"/>
      <c r="AF5240" s="37"/>
    </row>
    <row r="5241" spans="1:32" x14ac:dyDescent="0.25">
      <c r="A5241" s="37"/>
      <c r="B5241" s="37"/>
      <c r="C5241" s="37"/>
      <c r="F5241" s="38"/>
      <c r="G5241" s="38"/>
      <c r="H5241" s="38"/>
      <c r="I5241" s="37"/>
      <c r="J5241" s="38"/>
      <c r="K5241" s="38"/>
      <c r="L5241" s="42"/>
      <c r="M5241" s="42"/>
      <c r="N5241" s="42"/>
      <c r="O5241" s="42"/>
      <c r="R5241" s="37"/>
      <c r="S5241" s="37"/>
      <c r="T5241" s="91"/>
      <c r="U5241" s="91"/>
      <c r="V5241" s="41"/>
      <c r="W5241" s="37"/>
      <c r="X5241" s="37"/>
      <c r="Y5241" s="43"/>
      <c r="Z5241" s="37"/>
      <c r="AA5241" s="37"/>
      <c r="AD5241" s="37"/>
      <c r="AE5241" s="37"/>
      <c r="AF5241" s="37"/>
    </row>
    <row r="5242" spans="1:32" x14ac:dyDescent="0.25">
      <c r="A5242" s="37"/>
      <c r="B5242" s="37"/>
      <c r="C5242" s="37"/>
      <c r="F5242" s="38"/>
      <c r="G5242" s="38"/>
      <c r="H5242" s="38"/>
      <c r="I5242" s="37"/>
      <c r="J5242" s="38"/>
      <c r="K5242" s="38"/>
      <c r="L5242" s="42"/>
      <c r="M5242" s="42"/>
      <c r="N5242" s="42"/>
      <c r="O5242" s="42"/>
      <c r="R5242" s="37"/>
      <c r="S5242" s="37"/>
      <c r="T5242" s="91"/>
      <c r="U5242" s="91"/>
      <c r="V5242" s="41"/>
      <c r="W5242" s="37"/>
      <c r="X5242" s="37"/>
      <c r="Y5242" s="43"/>
      <c r="Z5242" s="37"/>
      <c r="AA5242" s="37"/>
      <c r="AD5242" s="37"/>
      <c r="AE5242" s="37"/>
      <c r="AF5242" s="37"/>
    </row>
    <row r="5243" spans="1:32" x14ac:dyDescent="0.25">
      <c r="A5243" s="37"/>
      <c r="B5243" s="37"/>
      <c r="C5243" s="37"/>
      <c r="F5243" s="38"/>
      <c r="G5243" s="38"/>
      <c r="H5243" s="38"/>
      <c r="I5243" s="37"/>
      <c r="J5243" s="38"/>
      <c r="K5243" s="38"/>
      <c r="L5243" s="42"/>
      <c r="M5243" s="42"/>
      <c r="N5243" s="42"/>
      <c r="O5243" s="42"/>
      <c r="R5243" s="37"/>
      <c r="S5243" s="37"/>
      <c r="T5243" s="91"/>
      <c r="U5243" s="91"/>
      <c r="V5243" s="41"/>
      <c r="W5243" s="37"/>
      <c r="X5243" s="37"/>
      <c r="Y5243" s="43"/>
      <c r="Z5243" s="37"/>
      <c r="AA5243" s="37"/>
      <c r="AD5243" s="37"/>
      <c r="AE5243" s="37"/>
      <c r="AF5243" s="37"/>
    </row>
    <row r="5244" spans="1:32" x14ac:dyDescent="0.25">
      <c r="A5244" s="37"/>
      <c r="B5244" s="37"/>
      <c r="C5244" s="37"/>
      <c r="F5244" s="38"/>
      <c r="G5244" s="38"/>
      <c r="H5244" s="38"/>
      <c r="I5244" s="37"/>
      <c r="J5244" s="38"/>
      <c r="K5244" s="38"/>
      <c r="L5244" s="42"/>
      <c r="M5244" s="42"/>
      <c r="N5244" s="42"/>
      <c r="O5244" s="42"/>
      <c r="R5244" s="37"/>
      <c r="S5244" s="37"/>
      <c r="T5244" s="91"/>
      <c r="U5244" s="91"/>
      <c r="V5244" s="41"/>
      <c r="W5244" s="37"/>
      <c r="X5244" s="37"/>
      <c r="Y5244" s="43"/>
      <c r="Z5244" s="37"/>
      <c r="AA5244" s="37"/>
      <c r="AD5244" s="37"/>
      <c r="AE5244" s="37"/>
      <c r="AF5244" s="37"/>
    </row>
    <row r="5245" spans="1:32" x14ac:dyDescent="0.25">
      <c r="A5245" s="37"/>
      <c r="B5245" s="37"/>
      <c r="C5245" s="37"/>
      <c r="F5245" s="38"/>
      <c r="G5245" s="38"/>
      <c r="H5245" s="38"/>
      <c r="I5245" s="37"/>
      <c r="J5245" s="38"/>
      <c r="K5245" s="38"/>
      <c r="L5245" s="42"/>
      <c r="M5245" s="42"/>
      <c r="N5245" s="42"/>
      <c r="O5245" s="42"/>
      <c r="R5245" s="37"/>
      <c r="S5245" s="37"/>
      <c r="T5245" s="91"/>
      <c r="U5245" s="91"/>
      <c r="V5245" s="41"/>
      <c r="W5245" s="37"/>
      <c r="X5245" s="37"/>
      <c r="Y5245" s="43"/>
      <c r="Z5245" s="37"/>
      <c r="AA5245" s="37"/>
      <c r="AD5245" s="37"/>
      <c r="AE5245" s="37"/>
      <c r="AF5245" s="37"/>
    </row>
    <row r="5246" spans="1:32" x14ac:dyDescent="0.25">
      <c r="A5246" s="37"/>
      <c r="B5246" s="37"/>
      <c r="C5246" s="37"/>
      <c r="F5246" s="38"/>
      <c r="G5246" s="38"/>
      <c r="H5246" s="38"/>
      <c r="I5246" s="37"/>
      <c r="J5246" s="38"/>
      <c r="K5246" s="38"/>
      <c r="L5246" s="42"/>
      <c r="M5246" s="42"/>
      <c r="N5246" s="42"/>
      <c r="O5246" s="42"/>
      <c r="R5246" s="37"/>
      <c r="S5246" s="37"/>
      <c r="T5246" s="91"/>
      <c r="U5246" s="91"/>
      <c r="V5246" s="41"/>
      <c r="W5246" s="37"/>
      <c r="X5246" s="37"/>
      <c r="Y5246" s="43"/>
      <c r="Z5246" s="37"/>
      <c r="AA5246" s="37"/>
      <c r="AD5246" s="37"/>
      <c r="AE5246" s="37"/>
      <c r="AF5246" s="37"/>
    </row>
    <row r="5247" spans="1:32" x14ac:dyDescent="0.25">
      <c r="A5247" s="37"/>
      <c r="B5247" s="37"/>
      <c r="C5247" s="37"/>
      <c r="F5247" s="38"/>
      <c r="G5247" s="38"/>
      <c r="H5247" s="38"/>
      <c r="I5247" s="37"/>
      <c r="J5247" s="38"/>
      <c r="K5247" s="38"/>
      <c r="L5247" s="42"/>
      <c r="M5247" s="42"/>
      <c r="N5247" s="42"/>
      <c r="O5247" s="42"/>
      <c r="R5247" s="37"/>
      <c r="S5247" s="37"/>
      <c r="T5247" s="91"/>
      <c r="U5247" s="91"/>
      <c r="V5247" s="41"/>
      <c r="W5247" s="37"/>
      <c r="X5247" s="37"/>
      <c r="Y5247" s="43"/>
      <c r="Z5247" s="37"/>
      <c r="AA5247" s="37"/>
      <c r="AD5247" s="37"/>
      <c r="AE5247" s="37"/>
      <c r="AF5247" s="37"/>
    </row>
    <row r="5248" spans="1:32" x14ac:dyDescent="0.25">
      <c r="A5248" s="37"/>
      <c r="B5248" s="37"/>
      <c r="C5248" s="37"/>
      <c r="F5248" s="38"/>
      <c r="G5248" s="38"/>
      <c r="H5248" s="38"/>
      <c r="I5248" s="37"/>
      <c r="J5248" s="38"/>
      <c r="K5248" s="38"/>
      <c r="L5248" s="42"/>
      <c r="M5248" s="42"/>
      <c r="N5248" s="42"/>
      <c r="O5248" s="42"/>
      <c r="R5248" s="37"/>
      <c r="S5248" s="37"/>
      <c r="T5248" s="91"/>
      <c r="U5248" s="91"/>
      <c r="V5248" s="41"/>
      <c r="W5248" s="37"/>
      <c r="X5248" s="37"/>
      <c r="Y5248" s="43"/>
      <c r="Z5248" s="37"/>
      <c r="AA5248" s="37"/>
      <c r="AD5248" s="37"/>
      <c r="AE5248" s="37"/>
      <c r="AF5248" s="37"/>
    </row>
    <row r="5249" spans="1:32" x14ac:dyDescent="0.25">
      <c r="A5249" s="37"/>
      <c r="B5249" s="37"/>
      <c r="C5249" s="37"/>
      <c r="F5249" s="38"/>
      <c r="G5249" s="38"/>
      <c r="H5249" s="38"/>
      <c r="I5249" s="37"/>
      <c r="J5249" s="38"/>
      <c r="K5249" s="38"/>
      <c r="L5249" s="42"/>
      <c r="M5249" s="42"/>
      <c r="N5249" s="42"/>
      <c r="O5249" s="42"/>
      <c r="R5249" s="37"/>
      <c r="S5249" s="37"/>
      <c r="T5249" s="91"/>
      <c r="U5249" s="91"/>
      <c r="V5249" s="41"/>
      <c r="W5249" s="37"/>
      <c r="X5249" s="37"/>
      <c r="Y5249" s="43"/>
      <c r="Z5249" s="37"/>
      <c r="AA5249" s="37"/>
      <c r="AD5249" s="37"/>
      <c r="AE5249" s="37"/>
      <c r="AF5249" s="37"/>
    </row>
    <row r="5250" spans="1:32" x14ac:dyDescent="0.25">
      <c r="A5250" s="37"/>
      <c r="B5250" s="37"/>
      <c r="C5250" s="37"/>
      <c r="F5250" s="38"/>
      <c r="G5250" s="38"/>
      <c r="H5250" s="38"/>
      <c r="I5250" s="37"/>
      <c r="J5250" s="38"/>
      <c r="K5250" s="38"/>
      <c r="L5250" s="42"/>
      <c r="M5250" s="42"/>
      <c r="N5250" s="42"/>
      <c r="O5250" s="42"/>
      <c r="R5250" s="37"/>
      <c r="S5250" s="37"/>
      <c r="T5250" s="91"/>
      <c r="U5250" s="91"/>
      <c r="V5250" s="41"/>
      <c r="W5250" s="37"/>
      <c r="X5250" s="37"/>
      <c r="Y5250" s="43"/>
      <c r="Z5250" s="37"/>
      <c r="AA5250" s="37"/>
      <c r="AD5250" s="37"/>
      <c r="AE5250" s="37"/>
      <c r="AF5250" s="37"/>
    </row>
    <row r="5251" spans="1:32" x14ac:dyDescent="0.25">
      <c r="A5251" s="37"/>
      <c r="B5251" s="37"/>
      <c r="C5251" s="37"/>
      <c r="F5251" s="38"/>
      <c r="G5251" s="38"/>
      <c r="H5251" s="38"/>
      <c r="I5251" s="37"/>
      <c r="J5251" s="38"/>
      <c r="K5251" s="38"/>
      <c r="L5251" s="42"/>
      <c r="M5251" s="42"/>
      <c r="N5251" s="42"/>
      <c r="O5251" s="42"/>
      <c r="R5251" s="37"/>
      <c r="S5251" s="37"/>
      <c r="T5251" s="91"/>
      <c r="U5251" s="91"/>
      <c r="V5251" s="41"/>
      <c r="W5251" s="37"/>
      <c r="X5251" s="37"/>
      <c r="Y5251" s="43"/>
      <c r="Z5251" s="37"/>
      <c r="AA5251" s="37"/>
      <c r="AD5251" s="37"/>
      <c r="AE5251" s="37"/>
      <c r="AF5251" s="37"/>
    </row>
    <row r="5252" spans="1:32" x14ac:dyDescent="0.25">
      <c r="A5252" s="37"/>
      <c r="B5252" s="37"/>
      <c r="C5252" s="37"/>
      <c r="F5252" s="38"/>
      <c r="G5252" s="38"/>
      <c r="H5252" s="38"/>
      <c r="I5252" s="37"/>
      <c r="J5252" s="38"/>
      <c r="K5252" s="38"/>
      <c r="L5252" s="42"/>
      <c r="M5252" s="42"/>
      <c r="N5252" s="42"/>
      <c r="O5252" s="42"/>
      <c r="R5252" s="37"/>
      <c r="S5252" s="37"/>
      <c r="T5252" s="91"/>
      <c r="U5252" s="91"/>
      <c r="V5252" s="41"/>
      <c r="W5252" s="37"/>
      <c r="X5252" s="37"/>
      <c r="Y5252" s="43"/>
      <c r="Z5252" s="37"/>
      <c r="AA5252" s="37"/>
      <c r="AD5252" s="37"/>
      <c r="AE5252" s="37"/>
      <c r="AF5252" s="37"/>
    </row>
    <row r="5253" spans="1:32" x14ac:dyDescent="0.25">
      <c r="A5253" s="37"/>
      <c r="B5253" s="37"/>
      <c r="C5253" s="37"/>
      <c r="F5253" s="38"/>
      <c r="G5253" s="38"/>
      <c r="H5253" s="38"/>
      <c r="I5253" s="37"/>
      <c r="J5253" s="38"/>
      <c r="K5253" s="38"/>
      <c r="L5253" s="42"/>
      <c r="M5253" s="42"/>
      <c r="N5253" s="42"/>
      <c r="O5253" s="42"/>
      <c r="R5253" s="37"/>
      <c r="S5253" s="37"/>
      <c r="T5253" s="91"/>
      <c r="U5253" s="91"/>
      <c r="V5253" s="41"/>
      <c r="W5253" s="37"/>
      <c r="X5253" s="37"/>
      <c r="Y5253" s="43"/>
      <c r="Z5253" s="37"/>
      <c r="AA5253" s="37"/>
      <c r="AD5253" s="37"/>
      <c r="AE5253" s="37"/>
      <c r="AF5253" s="37"/>
    </row>
    <row r="5254" spans="1:32" x14ac:dyDescent="0.25">
      <c r="A5254" s="37"/>
      <c r="B5254" s="37"/>
      <c r="C5254" s="37"/>
      <c r="F5254" s="38"/>
      <c r="G5254" s="38"/>
      <c r="H5254" s="38"/>
      <c r="I5254" s="37"/>
      <c r="J5254" s="38"/>
      <c r="K5254" s="38"/>
      <c r="L5254" s="42"/>
      <c r="M5254" s="42"/>
      <c r="N5254" s="42"/>
      <c r="O5254" s="42"/>
      <c r="R5254" s="37"/>
      <c r="S5254" s="37"/>
      <c r="T5254" s="91"/>
      <c r="U5254" s="91"/>
      <c r="V5254" s="41"/>
      <c r="W5254" s="37"/>
      <c r="X5254" s="37"/>
      <c r="Y5254" s="43"/>
      <c r="Z5254" s="37"/>
      <c r="AA5254" s="37"/>
      <c r="AD5254" s="37"/>
      <c r="AE5254" s="37"/>
      <c r="AF5254" s="37"/>
    </row>
    <row r="5255" spans="1:32" x14ac:dyDescent="0.25">
      <c r="A5255" s="37"/>
      <c r="B5255" s="37"/>
      <c r="C5255" s="37"/>
      <c r="F5255" s="38"/>
      <c r="G5255" s="38"/>
      <c r="H5255" s="38"/>
      <c r="I5255" s="37"/>
      <c r="J5255" s="38"/>
      <c r="K5255" s="38"/>
      <c r="L5255" s="42"/>
      <c r="M5255" s="42"/>
      <c r="N5255" s="42"/>
      <c r="O5255" s="42"/>
      <c r="R5255" s="37"/>
      <c r="S5255" s="37"/>
      <c r="T5255" s="91"/>
      <c r="U5255" s="91"/>
      <c r="V5255" s="41"/>
      <c r="W5255" s="37"/>
      <c r="X5255" s="37"/>
      <c r="Y5255" s="43"/>
      <c r="Z5255" s="37"/>
      <c r="AA5255" s="37"/>
      <c r="AD5255" s="37"/>
      <c r="AE5255" s="37"/>
      <c r="AF5255" s="37"/>
    </row>
    <row r="5256" spans="1:32" x14ac:dyDescent="0.25">
      <c r="A5256" s="37"/>
      <c r="B5256" s="37"/>
      <c r="C5256" s="37"/>
      <c r="F5256" s="38"/>
      <c r="G5256" s="38"/>
      <c r="H5256" s="38"/>
      <c r="I5256" s="37"/>
      <c r="J5256" s="38"/>
      <c r="K5256" s="38"/>
      <c r="L5256" s="42"/>
      <c r="M5256" s="42"/>
      <c r="N5256" s="42"/>
      <c r="O5256" s="42"/>
      <c r="R5256" s="37"/>
      <c r="S5256" s="37"/>
      <c r="T5256" s="91"/>
      <c r="U5256" s="91"/>
      <c r="V5256" s="41"/>
      <c r="W5256" s="37"/>
      <c r="X5256" s="37"/>
      <c r="Y5256" s="43"/>
      <c r="Z5256" s="37"/>
      <c r="AA5256" s="37"/>
      <c r="AD5256" s="37"/>
      <c r="AE5256" s="37"/>
      <c r="AF5256" s="37"/>
    </row>
    <row r="5257" spans="1:32" x14ac:dyDescent="0.25">
      <c r="A5257" s="37"/>
      <c r="B5257" s="37"/>
      <c r="C5257" s="37"/>
      <c r="F5257" s="38"/>
      <c r="G5257" s="38"/>
      <c r="H5257" s="38"/>
      <c r="I5257" s="37"/>
      <c r="J5257" s="38"/>
      <c r="K5257" s="38"/>
      <c r="L5257" s="42"/>
      <c r="M5257" s="42"/>
      <c r="N5257" s="42"/>
      <c r="O5257" s="42"/>
      <c r="R5257" s="37"/>
      <c r="S5257" s="37"/>
      <c r="T5257" s="91"/>
      <c r="U5257" s="91"/>
      <c r="V5257" s="41"/>
      <c r="W5257" s="37"/>
      <c r="X5257" s="37"/>
      <c r="Y5257" s="43"/>
      <c r="Z5257" s="37"/>
      <c r="AA5257" s="37"/>
      <c r="AD5257" s="37"/>
      <c r="AE5257" s="37"/>
      <c r="AF5257" s="37"/>
    </row>
    <row r="5258" spans="1:32" x14ac:dyDescent="0.25">
      <c r="A5258" s="37"/>
      <c r="B5258" s="37"/>
      <c r="C5258" s="37"/>
      <c r="F5258" s="38"/>
      <c r="G5258" s="38"/>
      <c r="H5258" s="38"/>
      <c r="I5258" s="37"/>
      <c r="J5258" s="38"/>
      <c r="K5258" s="38"/>
      <c r="L5258" s="42"/>
      <c r="M5258" s="42"/>
      <c r="N5258" s="42"/>
      <c r="O5258" s="42"/>
      <c r="R5258" s="37"/>
      <c r="S5258" s="37"/>
      <c r="T5258" s="91"/>
      <c r="U5258" s="91"/>
      <c r="V5258" s="41"/>
      <c r="W5258" s="37"/>
      <c r="X5258" s="37"/>
      <c r="Y5258" s="43"/>
      <c r="Z5258" s="37"/>
      <c r="AA5258" s="37"/>
      <c r="AD5258" s="37"/>
      <c r="AE5258" s="37"/>
      <c r="AF5258" s="37"/>
    </row>
    <row r="5259" spans="1:32" x14ac:dyDescent="0.25">
      <c r="A5259" s="37"/>
      <c r="B5259" s="37"/>
      <c r="C5259" s="37"/>
      <c r="F5259" s="38"/>
      <c r="G5259" s="38"/>
      <c r="H5259" s="38"/>
      <c r="I5259" s="37"/>
      <c r="J5259" s="38"/>
      <c r="K5259" s="38"/>
      <c r="L5259" s="42"/>
      <c r="M5259" s="42"/>
      <c r="N5259" s="42"/>
      <c r="O5259" s="42"/>
      <c r="R5259" s="37"/>
      <c r="S5259" s="37"/>
      <c r="T5259" s="91"/>
      <c r="U5259" s="91"/>
      <c r="V5259" s="41"/>
      <c r="W5259" s="37"/>
      <c r="X5259" s="37"/>
      <c r="Y5259" s="43"/>
      <c r="Z5259" s="37"/>
      <c r="AA5259" s="37"/>
      <c r="AD5259" s="37"/>
      <c r="AE5259" s="37"/>
      <c r="AF5259" s="37"/>
    </row>
    <row r="5260" spans="1:32" x14ac:dyDescent="0.25">
      <c r="A5260" s="37"/>
      <c r="B5260" s="37"/>
      <c r="C5260" s="37"/>
      <c r="F5260" s="38"/>
      <c r="G5260" s="38"/>
      <c r="H5260" s="38"/>
      <c r="I5260" s="37"/>
      <c r="J5260" s="38"/>
      <c r="K5260" s="38"/>
      <c r="L5260" s="42"/>
      <c r="M5260" s="42"/>
      <c r="N5260" s="42"/>
      <c r="O5260" s="42"/>
      <c r="R5260" s="37"/>
      <c r="S5260" s="37"/>
      <c r="T5260" s="91"/>
      <c r="U5260" s="91"/>
      <c r="V5260" s="41"/>
      <c r="W5260" s="37"/>
      <c r="X5260" s="37"/>
      <c r="Y5260" s="43"/>
      <c r="Z5260" s="37"/>
      <c r="AA5260" s="37"/>
      <c r="AD5260" s="37"/>
      <c r="AE5260" s="37"/>
      <c r="AF5260" s="37"/>
    </row>
    <row r="5261" spans="1:32" x14ac:dyDescent="0.25">
      <c r="A5261" s="37"/>
      <c r="B5261" s="37"/>
      <c r="C5261" s="37"/>
      <c r="F5261" s="38"/>
      <c r="G5261" s="38"/>
      <c r="H5261" s="38"/>
      <c r="I5261" s="37"/>
      <c r="J5261" s="38"/>
      <c r="K5261" s="38"/>
      <c r="L5261" s="42"/>
      <c r="M5261" s="42"/>
      <c r="N5261" s="42"/>
      <c r="O5261" s="42"/>
      <c r="R5261" s="37"/>
      <c r="S5261" s="37"/>
      <c r="T5261" s="91"/>
      <c r="U5261" s="91"/>
      <c r="V5261" s="41"/>
      <c r="W5261" s="37"/>
      <c r="X5261" s="37"/>
      <c r="Y5261" s="43"/>
      <c r="Z5261" s="37"/>
      <c r="AA5261" s="37"/>
      <c r="AD5261" s="37"/>
      <c r="AE5261" s="37"/>
      <c r="AF5261" s="37"/>
    </row>
    <row r="5262" spans="1:32" x14ac:dyDescent="0.25">
      <c r="A5262" s="37"/>
      <c r="B5262" s="37"/>
      <c r="C5262" s="37"/>
      <c r="F5262" s="38"/>
      <c r="G5262" s="38"/>
      <c r="H5262" s="38"/>
      <c r="I5262" s="37"/>
      <c r="J5262" s="38"/>
      <c r="K5262" s="38"/>
      <c r="L5262" s="42"/>
      <c r="M5262" s="42"/>
      <c r="N5262" s="42"/>
      <c r="O5262" s="42"/>
      <c r="R5262" s="37"/>
      <c r="S5262" s="37"/>
      <c r="T5262" s="91"/>
      <c r="U5262" s="91"/>
      <c r="V5262" s="41"/>
      <c r="W5262" s="37"/>
      <c r="X5262" s="37"/>
      <c r="Y5262" s="43"/>
      <c r="Z5262" s="37"/>
      <c r="AA5262" s="37"/>
      <c r="AD5262" s="37"/>
      <c r="AE5262" s="37"/>
      <c r="AF5262" s="37"/>
    </row>
    <row r="5263" spans="1:32" x14ac:dyDescent="0.25">
      <c r="A5263" s="37"/>
      <c r="B5263" s="37"/>
      <c r="C5263" s="37"/>
      <c r="F5263" s="38"/>
      <c r="G5263" s="38"/>
      <c r="H5263" s="38"/>
      <c r="I5263" s="37"/>
      <c r="J5263" s="38"/>
      <c r="K5263" s="38"/>
      <c r="L5263" s="42"/>
      <c r="M5263" s="42"/>
      <c r="N5263" s="42"/>
      <c r="O5263" s="42"/>
      <c r="R5263" s="37"/>
      <c r="S5263" s="37"/>
      <c r="T5263" s="91"/>
      <c r="U5263" s="91"/>
      <c r="V5263" s="41"/>
      <c r="W5263" s="37"/>
      <c r="X5263" s="37"/>
      <c r="Y5263" s="43"/>
      <c r="Z5263" s="37"/>
      <c r="AA5263" s="37"/>
      <c r="AD5263" s="37"/>
      <c r="AE5263" s="37"/>
      <c r="AF5263" s="37"/>
    </row>
    <row r="5264" spans="1:32" x14ac:dyDescent="0.25">
      <c r="A5264" s="37"/>
      <c r="B5264" s="37"/>
      <c r="C5264" s="37"/>
      <c r="F5264" s="38"/>
      <c r="G5264" s="38"/>
      <c r="H5264" s="38"/>
      <c r="I5264" s="37"/>
      <c r="J5264" s="38"/>
      <c r="K5264" s="38"/>
      <c r="L5264" s="42"/>
      <c r="M5264" s="42"/>
      <c r="N5264" s="42"/>
      <c r="O5264" s="42"/>
      <c r="R5264" s="37"/>
      <c r="S5264" s="37"/>
      <c r="T5264" s="91"/>
      <c r="U5264" s="91"/>
      <c r="V5264" s="41"/>
      <c r="W5264" s="37"/>
      <c r="X5264" s="37"/>
      <c r="Y5264" s="43"/>
      <c r="Z5264" s="37"/>
      <c r="AA5264" s="37"/>
      <c r="AD5264" s="37"/>
      <c r="AE5264" s="37"/>
      <c r="AF5264" s="37"/>
    </row>
    <row r="5265" spans="1:32" x14ac:dyDescent="0.25">
      <c r="A5265" s="37"/>
      <c r="B5265" s="37"/>
      <c r="C5265" s="37"/>
      <c r="F5265" s="38"/>
      <c r="G5265" s="38"/>
      <c r="H5265" s="38"/>
      <c r="I5265" s="37"/>
      <c r="J5265" s="38"/>
      <c r="K5265" s="38"/>
      <c r="L5265" s="42"/>
      <c r="M5265" s="42"/>
      <c r="N5265" s="42"/>
      <c r="O5265" s="42"/>
      <c r="R5265" s="37"/>
      <c r="S5265" s="37"/>
      <c r="T5265" s="91"/>
      <c r="U5265" s="91"/>
      <c r="V5265" s="41"/>
      <c r="W5265" s="37"/>
      <c r="X5265" s="37"/>
      <c r="Y5265" s="43"/>
      <c r="Z5265" s="37"/>
      <c r="AA5265" s="37"/>
      <c r="AD5265" s="37"/>
      <c r="AE5265" s="37"/>
      <c r="AF5265" s="37"/>
    </row>
    <row r="5266" spans="1:32" x14ac:dyDescent="0.25">
      <c r="A5266" s="37"/>
      <c r="B5266" s="37"/>
      <c r="C5266" s="37"/>
      <c r="F5266" s="38"/>
      <c r="G5266" s="38"/>
      <c r="H5266" s="38"/>
      <c r="I5266" s="37"/>
      <c r="J5266" s="38"/>
      <c r="K5266" s="38"/>
      <c r="L5266" s="42"/>
      <c r="M5266" s="42"/>
      <c r="N5266" s="42"/>
      <c r="O5266" s="42"/>
      <c r="R5266" s="37"/>
      <c r="S5266" s="37"/>
      <c r="T5266" s="91"/>
      <c r="U5266" s="91"/>
      <c r="V5266" s="41"/>
      <c r="W5266" s="37"/>
      <c r="X5266" s="37"/>
      <c r="Y5266" s="43"/>
      <c r="Z5266" s="37"/>
      <c r="AA5266" s="37"/>
      <c r="AD5266" s="37"/>
      <c r="AE5266" s="37"/>
      <c r="AF5266" s="37"/>
    </row>
    <row r="5267" spans="1:32" x14ac:dyDescent="0.25">
      <c r="A5267" s="37"/>
      <c r="B5267" s="37"/>
      <c r="C5267" s="37"/>
      <c r="F5267" s="38"/>
      <c r="G5267" s="38"/>
      <c r="H5267" s="38"/>
      <c r="I5267" s="37"/>
      <c r="J5267" s="38"/>
      <c r="K5267" s="38"/>
      <c r="L5267" s="42"/>
      <c r="M5267" s="42"/>
      <c r="N5267" s="42"/>
      <c r="O5267" s="42"/>
      <c r="R5267" s="37"/>
      <c r="S5267" s="37"/>
      <c r="T5267" s="91"/>
      <c r="U5267" s="91"/>
      <c r="V5267" s="41"/>
      <c r="W5267" s="37"/>
      <c r="X5267" s="37"/>
      <c r="Y5267" s="43"/>
      <c r="Z5267" s="37"/>
      <c r="AA5267" s="37"/>
      <c r="AD5267" s="37"/>
      <c r="AE5267" s="37"/>
      <c r="AF5267" s="37"/>
    </row>
    <row r="5268" spans="1:32" x14ac:dyDescent="0.25">
      <c r="A5268" s="37"/>
      <c r="B5268" s="37"/>
      <c r="C5268" s="37"/>
      <c r="F5268" s="38"/>
      <c r="G5268" s="38"/>
      <c r="H5268" s="38"/>
      <c r="I5268" s="37"/>
      <c r="J5268" s="38"/>
      <c r="K5268" s="38"/>
      <c r="L5268" s="42"/>
      <c r="M5268" s="42"/>
      <c r="N5268" s="42"/>
      <c r="O5268" s="42"/>
      <c r="R5268" s="37"/>
      <c r="S5268" s="37"/>
      <c r="T5268" s="91"/>
      <c r="U5268" s="91"/>
      <c r="V5268" s="41"/>
      <c r="W5268" s="37"/>
      <c r="X5268" s="37"/>
      <c r="Y5268" s="43"/>
      <c r="Z5268" s="37"/>
      <c r="AA5268" s="37"/>
      <c r="AD5268" s="37"/>
      <c r="AE5268" s="37"/>
      <c r="AF5268" s="37"/>
    </row>
    <row r="5269" spans="1:32" x14ac:dyDescent="0.25">
      <c r="A5269" s="37"/>
      <c r="B5269" s="37"/>
      <c r="C5269" s="37"/>
      <c r="F5269" s="38"/>
      <c r="G5269" s="38"/>
      <c r="H5269" s="38"/>
      <c r="I5269" s="37"/>
      <c r="J5269" s="38"/>
      <c r="K5269" s="38"/>
      <c r="L5269" s="42"/>
      <c r="M5269" s="42"/>
      <c r="N5269" s="42"/>
      <c r="O5269" s="42"/>
      <c r="R5269" s="37"/>
      <c r="S5269" s="37"/>
      <c r="T5269" s="91"/>
      <c r="U5269" s="91"/>
      <c r="V5269" s="41"/>
      <c r="W5269" s="37"/>
      <c r="X5269" s="37"/>
      <c r="Y5269" s="43"/>
      <c r="Z5269" s="37"/>
      <c r="AA5269" s="37"/>
      <c r="AD5269" s="37"/>
      <c r="AE5269" s="37"/>
      <c r="AF5269" s="37"/>
    </row>
    <row r="5270" spans="1:32" x14ac:dyDescent="0.25">
      <c r="A5270" s="37"/>
      <c r="B5270" s="37"/>
      <c r="C5270" s="37"/>
      <c r="F5270" s="38"/>
      <c r="G5270" s="38"/>
      <c r="H5270" s="38"/>
      <c r="I5270" s="37"/>
      <c r="J5270" s="38"/>
      <c r="K5270" s="38"/>
      <c r="L5270" s="42"/>
      <c r="M5270" s="42"/>
      <c r="N5270" s="42"/>
      <c r="O5270" s="42"/>
      <c r="R5270" s="37"/>
      <c r="S5270" s="37"/>
      <c r="T5270" s="91"/>
      <c r="U5270" s="91"/>
      <c r="V5270" s="41"/>
      <c r="W5270" s="37"/>
      <c r="X5270" s="37"/>
      <c r="Y5270" s="43"/>
      <c r="Z5270" s="37"/>
      <c r="AA5270" s="37"/>
      <c r="AD5270" s="37"/>
      <c r="AE5270" s="37"/>
      <c r="AF5270" s="37"/>
    </row>
    <row r="5271" spans="1:32" x14ac:dyDescent="0.25">
      <c r="A5271" s="37"/>
      <c r="B5271" s="37"/>
      <c r="C5271" s="37"/>
      <c r="F5271" s="38"/>
      <c r="G5271" s="38"/>
      <c r="H5271" s="38"/>
      <c r="I5271" s="37"/>
      <c r="J5271" s="38"/>
      <c r="K5271" s="38"/>
      <c r="L5271" s="42"/>
      <c r="M5271" s="42"/>
      <c r="N5271" s="42"/>
      <c r="O5271" s="42"/>
      <c r="R5271" s="37"/>
      <c r="S5271" s="37"/>
      <c r="T5271" s="91"/>
      <c r="U5271" s="91"/>
      <c r="V5271" s="41"/>
      <c r="W5271" s="37"/>
      <c r="X5271" s="37"/>
      <c r="Y5271" s="43"/>
      <c r="Z5271" s="37"/>
      <c r="AA5271" s="37"/>
      <c r="AD5271" s="37"/>
      <c r="AE5271" s="37"/>
      <c r="AF5271" s="37"/>
    </row>
    <row r="5272" spans="1:32" x14ac:dyDescent="0.25">
      <c r="A5272" s="37"/>
      <c r="B5272" s="37"/>
      <c r="C5272" s="37"/>
      <c r="F5272" s="38"/>
      <c r="G5272" s="38"/>
      <c r="H5272" s="38"/>
      <c r="I5272" s="37"/>
      <c r="J5272" s="38"/>
      <c r="K5272" s="38"/>
      <c r="L5272" s="42"/>
      <c r="M5272" s="42"/>
      <c r="N5272" s="42"/>
      <c r="O5272" s="42"/>
      <c r="R5272" s="37"/>
      <c r="S5272" s="37"/>
      <c r="T5272" s="91"/>
      <c r="U5272" s="91"/>
      <c r="V5272" s="41"/>
      <c r="W5272" s="37"/>
      <c r="X5272" s="37"/>
      <c r="Y5272" s="43"/>
      <c r="Z5272" s="37"/>
      <c r="AA5272" s="37"/>
      <c r="AD5272" s="37"/>
      <c r="AE5272" s="37"/>
      <c r="AF5272" s="37"/>
    </row>
    <row r="5273" spans="1:32" x14ac:dyDescent="0.25">
      <c r="A5273" s="37"/>
      <c r="B5273" s="37"/>
      <c r="C5273" s="37"/>
      <c r="F5273" s="38"/>
      <c r="G5273" s="38"/>
      <c r="H5273" s="38"/>
      <c r="I5273" s="37"/>
      <c r="J5273" s="38"/>
      <c r="K5273" s="38"/>
      <c r="L5273" s="42"/>
      <c r="M5273" s="42"/>
      <c r="N5273" s="42"/>
      <c r="O5273" s="42"/>
      <c r="R5273" s="37"/>
      <c r="S5273" s="37"/>
      <c r="T5273" s="91"/>
      <c r="U5273" s="91"/>
      <c r="V5273" s="41"/>
      <c r="W5273" s="37"/>
      <c r="X5273" s="37"/>
      <c r="Y5273" s="43"/>
      <c r="Z5273" s="37"/>
      <c r="AA5273" s="37"/>
      <c r="AD5273" s="37"/>
      <c r="AE5273" s="37"/>
      <c r="AF5273" s="37"/>
    </row>
    <row r="5274" spans="1:32" x14ac:dyDescent="0.25">
      <c r="A5274" s="37"/>
      <c r="B5274" s="37"/>
      <c r="C5274" s="37"/>
      <c r="F5274" s="38"/>
      <c r="G5274" s="38"/>
      <c r="H5274" s="38"/>
      <c r="I5274" s="37"/>
      <c r="J5274" s="38"/>
      <c r="K5274" s="38"/>
      <c r="L5274" s="42"/>
      <c r="M5274" s="42"/>
      <c r="N5274" s="42"/>
      <c r="O5274" s="42"/>
      <c r="R5274" s="37"/>
      <c r="S5274" s="37"/>
      <c r="T5274" s="91"/>
      <c r="U5274" s="91"/>
      <c r="V5274" s="41"/>
      <c r="W5274" s="37"/>
      <c r="X5274" s="37"/>
      <c r="Y5274" s="43"/>
      <c r="Z5274" s="37"/>
      <c r="AA5274" s="37"/>
      <c r="AD5274" s="37"/>
      <c r="AE5274" s="37"/>
      <c r="AF5274" s="37"/>
    </row>
    <row r="5275" spans="1:32" x14ac:dyDescent="0.25">
      <c r="A5275" s="37"/>
      <c r="B5275" s="37"/>
      <c r="C5275" s="37"/>
      <c r="F5275" s="38"/>
      <c r="G5275" s="38"/>
      <c r="H5275" s="38"/>
      <c r="I5275" s="37"/>
      <c r="J5275" s="38"/>
      <c r="K5275" s="38"/>
      <c r="L5275" s="42"/>
      <c r="M5275" s="42"/>
      <c r="N5275" s="42"/>
      <c r="O5275" s="42"/>
      <c r="R5275" s="37"/>
      <c r="S5275" s="37"/>
      <c r="T5275" s="91"/>
      <c r="U5275" s="91"/>
      <c r="V5275" s="41"/>
      <c r="W5275" s="37"/>
      <c r="X5275" s="37"/>
      <c r="Y5275" s="43"/>
      <c r="Z5275" s="37"/>
      <c r="AA5275" s="37"/>
      <c r="AD5275" s="37"/>
      <c r="AE5275" s="37"/>
      <c r="AF5275" s="37"/>
    </row>
    <row r="5276" spans="1:32" x14ac:dyDescent="0.25">
      <c r="A5276" s="37"/>
      <c r="B5276" s="37"/>
      <c r="C5276" s="37"/>
      <c r="F5276" s="38"/>
      <c r="G5276" s="38"/>
      <c r="H5276" s="38"/>
      <c r="I5276" s="37"/>
      <c r="J5276" s="38"/>
      <c r="K5276" s="38"/>
      <c r="L5276" s="42"/>
      <c r="M5276" s="42"/>
      <c r="N5276" s="42"/>
      <c r="O5276" s="42"/>
      <c r="R5276" s="37"/>
      <c r="S5276" s="37"/>
      <c r="T5276" s="91"/>
      <c r="U5276" s="91"/>
      <c r="V5276" s="41"/>
      <c r="W5276" s="37"/>
      <c r="X5276" s="37"/>
      <c r="Y5276" s="43"/>
      <c r="Z5276" s="37"/>
      <c r="AA5276" s="37"/>
      <c r="AD5276" s="37"/>
      <c r="AE5276" s="37"/>
      <c r="AF5276" s="37"/>
    </row>
    <row r="5277" spans="1:32" x14ac:dyDescent="0.25">
      <c r="A5277" s="37"/>
      <c r="B5277" s="37"/>
      <c r="C5277" s="37"/>
      <c r="F5277" s="38"/>
      <c r="G5277" s="38"/>
      <c r="H5277" s="38"/>
      <c r="I5277" s="37"/>
      <c r="J5277" s="38"/>
      <c r="K5277" s="38"/>
      <c r="L5277" s="42"/>
      <c r="M5277" s="42"/>
      <c r="N5277" s="42"/>
      <c r="O5277" s="42"/>
      <c r="R5277" s="37"/>
      <c r="S5277" s="37"/>
      <c r="T5277" s="91"/>
      <c r="U5277" s="91"/>
      <c r="V5277" s="41"/>
      <c r="W5277" s="37"/>
      <c r="X5277" s="37"/>
      <c r="Y5277" s="43"/>
      <c r="Z5277" s="37"/>
      <c r="AA5277" s="37"/>
      <c r="AD5277" s="37"/>
      <c r="AE5277" s="37"/>
      <c r="AF5277" s="37"/>
    </row>
    <row r="5278" spans="1:32" x14ac:dyDescent="0.25">
      <c r="A5278" s="37"/>
      <c r="B5278" s="37"/>
      <c r="C5278" s="37"/>
      <c r="F5278" s="38"/>
      <c r="G5278" s="38"/>
      <c r="H5278" s="38"/>
      <c r="I5278" s="37"/>
      <c r="J5278" s="38"/>
      <c r="K5278" s="38"/>
      <c r="L5278" s="42"/>
      <c r="M5278" s="42"/>
      <c r="N5278" s="42"/>
      <c r="O5278" s="42"/>
      <c r="R5278" s="37"/>
      <c r="S5278" s="37"/>
      <c r="T5278" s="91"/>
      <c r="U5278" s="91"/>
      <c r="V5278" s="41"/>
      <c r="W5278" s="37"/>
      <c r="X5278" s="37"/>
      <c r="Y5278" s="43"/>
      <c r="Z5278" s="37"/>
      <c r="AA5278" s="37"/>
      <c r="AD5278" s="37"/>
      <c r="AE5278" s="37"/>
      <c r="AF5278" s="37"/>
    </row>
    <row r="5279" spans="1:32" x14ac:dyDescent="0.25">
      <c r="A5279" s="37"/>
      <c r="B5279" s="37"/>
      <c r="C5279" s="37"/>
      <c r="F5279" s="38"/>
      <c r="G5279" s="38"/>
      <c r="H5279" s="38"/>
      <c r="I5279" s="37"/>
      <c r="J5279" s="38"/>
      <c r="K5279" s="38"/>
      <c r="L5279" s="42"/>
      <c r="M5279" s="42"/>
      <c r="N5279" s="42"/>
      <c r="O5279" s="42"/>
      <c r="R5279" s="37"/>
      <c r="S5279" s="37"/>
      <c r="T5279" s="91"/>
      <c r="U5279" s="91"/>
      <c r="V5279" s="41"/>
      <c r="W5279" s="37"/>
      <c r="X5279" s="37"/>
      <c r="Y5279" s="43"/>
      <c r="Z5279" s="37"/>
      <c r="AA5279" s="37"/>
      <c r="AD5279" s="37"/>
      <c r="AE5279" s="37"/>
      <c r="AF5279" s="37"/>
    </row>
    <row r="5280" spans="1:32" x14ac:dyDescent="0.25">
      <c r="A5280" s="37"/>
      <c r="B5280" s="37"/>
      <c r="C5280" s="37"/>
      <c r="F5280" s="38"/>
      <c r="G5280" s="38"/>
      <c r="H5280" s="38"/>
      <c r="I5280" s="37"/>
      <c r="J5280" s="38"/>
      <c r="K5280" s="38"/>
      <c r="L5280" s="42"/>
      <c r="M5280" s="42"/>
      <c r="N5280" s="42"/>
      <c r="O5280" s="42"/>
      <c r="R5280" s="37"/>
      <c r="S5280" s="37"/>
      <c r="T5280" s="91"/>
      <c r="U5280" s="91"/>
      <c r="V5280" s="41"/>
      <c r="W5280" s="37"/>
      <c r="X5280" s="37"/>
      <c r="Y5280" s="43"/>
      <c r="Z5280" s="37"/>
      <c r="AA5280" s="37"/>
      <c r="AD5280" s="37"/>
      <c r="AE5280" s="37"/>
      <c r="AF5280" s="37"/>
    </row>
    <row r="5281" spans="1:32" x14ac:dyDescent="0.25">
      <c r="A5281" s="37"/>
      <c r="B5281" s="37"/>
      <c r="C5281" s="37"/>
      <c r="F5281" s="38"/>
      <c r="G5281" s="38"/>
      <c r="H5281" s="38"/>
      <c r="I5281" s="37"/>
      <c r="J5281" s="38"/>
      <c r="K5281" s="38"/>
      <c r="L5281" s="42"/>
      <c r="M5281" s="42"/>
      <c r="N5281" s="42"/>
      <c r="O5281" s="42"/>
      <c r="R5281" s="37"/>
      <c r="S5281" s="37"/>
      <c r="T5281" s="91"/>
      <c r="U5281" s="91"/>
      <c r="V5281" s="41"/>
      <c r="W5281" s="37"/>
      <c r="X5281" s="37"/>
      <c r="Y5281" s="43"/>
      <c r="Z5281" s="37"/>
      <c r="AA5281" s="37"/>
      <c r="AD5281" s="37"/>
      <c r="AE5281" s="37"/>
      <c r="AF5281" s="37"/>
    </row>
    <row r="5282" spans="1:32" x14ac:dyDescent="0.25">
      <c r="A5282" s="37"/>
      <c r="B5282" s="37"/>
      <c r="C5282" s="37"/>
      <c r="F5282" s="38"/>
      <c r="G5282" s="38"/>
      <c r="H5282" s="38"/>
      <c r="I5282" s="37"/>
      <c r="J5282" s="38"/>
      <c r="K5282" s="38"/>
      <c r="L5282" s="42"/>
      <c r="M5282" s="42"/>
      <c r="N5282" s="42"/>
      <c r="O5282" s="42"/>
      <c r="R5282" s="37"/>
      <c r="S5282" s="37"/>
      <c r="T5282" s="91"/>
      <c r="U5282" s="91"/>
      <c r="V5282" s="41"/>
      <c r="W5282" s="37"/>
      <c r="X5282" s="37"/>
      <c r="Y5282" s="43"/>
      <c r="Z5282" s="37"/>
      <c r="AA5282" s="37"/>
      <c r="AD5282" s="37"/>
      <c r="AE5282" s="37"/>
      <c r="AF5282" s="37"/>
    </row>
    <row r="5283" spans="1:32" x14ac:dyDescent="0.25">
      <c r="A5283" s="37"/>
      <c r="B5283" s="37"/>
      <c r="C5283" s="37"/>
      <c r="F5283" s="38"/>
      <c r="G5283" s="38"/>
      <c r="H5283" s="38"/>
      <c r="I5283" s="37"/>
      <c r="J5283" s="38"/>
      <c r="K5283" s="38"/>
      <c r="L5283" s="42"/>
      <c r="M5283" s="42"/>
      <c r="N5283" s="42"/>
      <c r="O5283" s="42"/>
      <c r="R5283" s="37"/>
      <c r="S5283" s="37"/>
      <c r="T5283" s="91"/>
      <c r="U5283" s="91"/>
      <c r="V5283" s="41"/>
      <c r="W5283" s="37"/>
      <c r="X5283" s="37"/>
      <c r="Y5283" s="43"/>
      <c r="Z5283" s="37"/>
      <c r="AA5283" s="37"/>
      <c r="AD5283" s="37"/>
      <c r="AE5283" s="37"/>
      <c r="AF5283" s="37"/>
    </row>
    <row r="5284" spans="1:32" x14ac:dyDescent="0.25">
      <c r="A5284" s="37"/>
      <c r="B5284" s="37"/>
      <c r="C5284" s="37"/>
      <c r="F5284" s="38"/>
      <c r="G5284" s="38"/>
      <c r="H5284" s="38"/>
      <c r="I5284" s="37"/>
      <c r="J5284" s="38"/>
      <c r="K5284" s="38"/>
      <c r="L5284" s="42"/>
      <c r="M5284" s="42"/>
      <c r="N5284" s="42"/>
      <c r="O5284" s="42"/>
      <c r="R5284" s="37"/>
      <c r="S5284" s="37"/>
      <c r="T5284" s="91"/>
      <c r="U5284" s="91"/>
      <c r="V5284" s="41"/>
      <c r="W5284" s="37"/>
      <c r="X5284" s="37"/>
      <c r="Y5284" s="43"/>
      <c r="Z5284" s="37"/>
      <c r="AA5284" s="37"/>
      <c r="AD5284" s="37"/>
      <c r="AE5284" s="37"/>
      <c r="AF5284" s="37"/>
    </row>
    <row r="5285" spans="1:32" x14ac:dyDescent="0.25">
      <c r="A5285" s="37"/>
      <c r="B5285" s="37"/>
      <c r="C5285" s="37"/>
      <c r="F5285" s="38"/>
      <c r="G5285" s="38"/>
      <c r="H5285" s="38"/>
      <c r="I5285" s="37"/>
      <c r="J5285" s="38"/>
      <c r="K5285" s="38"/>
      <c r="L5285" s="42"/>
      <c r="M5285" s="42"/>
      <c r="N5285" s="42"/>
      <c r="O5285" s="42"/>
      <c r="R5285" s="37"/>
      <c r="S5285" s="37"/>
      <c r="T5285" s="91"/>
      <c r="U5285" s="91"/>
      <c r="V5285" s="41"/>
      <c r="W5285" s="37"/>
      <c r="X5285" s="37"/>
      <c r="Y5285" s="43"/>
      <c r="Z5285" s="37"/>
      <c r="AA5285" s="37"/>
      <c r="AD5285" s="37"/>
      <c r="AE5285" s="37"/>
      <c r="AF5285" s="37"/>
    </row>
    <row r="5286" spans="1:32" x14ac:dyDescent="0.25">
      <c r="A5286" s="37"/>
      <c r="B5286" s="37"/>
      <c r="C5286" s="37"/>
      <c r="F5286" s="38"/>
      <c r="G5286" s="38"/>
      <c r="H5286" s="38"/>
      <c r="I5286" s="37"/>
      <c r="J5286" s="38"/>
      <c r="K5286" s="38"/>
      <c r="L5286" s="42"/>
      <c r="M5286" s="42"/>
      <c r="N5286" s="42"/>
      <c r="O5286" s="42"/>
      <c r="R5286" s="37"/>
      <c r="S5286" s="37"/>
      <c r="T5286" s="91"/>
      <c r="U5286" s="91"/>
      <c r="V5286" s="41"/>
      <c r="W5286" s="37"/>
      <c r="X5286" s="37"/>
      <c r="Y5286" s="43"/>
      <c r="Z5286" s="37"/>
      <c r="AA5286" s="37"/>
      <c r="AD5286" s="37"/>
      <c r="AE5286" s="37"/>
      <c r="AF5286" s="37"/>
    </row>
    <row r="5287" spans="1:32" x14ac:dyDescent="0.25">
      <c r="A5287" s="37"/>
      <c r="B5287" s="37"/>
      <c r="C5287" s="37"/>
      <c r="F5287" s="38"/>
      <c r="G5287" s="38"/>
      <c r="H5287" s="38"/>
      <c r="I5287" s="37"/>
      <c r="J5287" s="38"/>
      <c r="K5287" s="38"/>
      <c r="L5287" s="42"/>
      <c r="M5287" s="42"/>
      <c r="N5287" s="42"/>
      <c r="O5287" s="42"/>
      <c r="R5287" s="37"/>
      <c r="S5287" s="37"/>
      <c r="T5287" s="91"/>
      <c r="U5287" s="91"/>
      <c r="V5287" s="41"/>
      <c r="W5287" s="37"/>
      <c r="X5287" s="37"/>
      <c r="Y5287" s="43"/>
      <c r="Z5287" s="37"/>
      <c r="AA5287" s="37"/>
      <c r="AD5287" s="37"/>
      <c r="AE5287" s="37"/>
      <c r="AF5287" s="37"/>
    </row>
    <row r="5288" spans="1:32" x14ac:dyDescent="0.25">
      <c r="A5288" s="37"/>
      <c r="B5288" s="37"/>
      <c r="C5288" s="37"/>
      <c r="F5288" s="38"/>
      <c r="G5288" s="38"/>
      <c r="H5288" s="38"/>
      <c r="I5288" s="37"/>
      <c r="J5288" s="38"/>
      <c r="K5288" s="38"/>
      <c r="L5288" s="42"/>
      <c r="M5288" s="42"/>
      <c r="N5288" s="42"/>
      <c r="O5288" s="42"/>
      <c r="R5288" s="37"/>
      <c r="S5288" s="37"/>
      <c r="T5288" s="91"/>
      <c r="U5288" s="91"/>
      <c r="V5288" s="41"/>
      <c r="W5288" s="37"/>
      <c r="X5288" s="37"/>
      <c r="Y5288" s="43"/>
      <c r="Z5288" s="37"/>
      <c r="AA5288" s="37"/>
      <c r="AD5288" s="37"/>
      <c r="AE5288" s="37"/>
      <c r="AF5288" s="37"/>
    </row>
    <row r="5289" spans="1:32" x14ac:dyDescent="0.25">
      <c r="A5289" s="37"/>
      <c r="B5289" s="37"/>
      <c r="C5289" s="37"/>
      <c r="F5289" s="38"/>
      <c r="G5289" s="38"/>
      <c r="H5289" s="38"/>
      <c r="I5289" s="37"/>
      <c r="J5289" s="38"/>
      <c r="K5289" s="38"/>
      <c r="L5289" s="42"/>
      <c r="M5289" s="42"/>
      <c r="N5289" s="42"/>
      <c r="O5289" s="42"/>
      <c r="R5289" s="37"/>
      <c r="S5289" s="37"/>
      <c r="T5289" s="91"/>
      <c r="U5289" s="91"/>
      <c r="V5289" s="41"/>
      <c r="W5289" s="37"/>
      <c r="X5289" s="37"/>
      <c r="Y5289" s="43"/>
      <c r="Z5289" s="37"/>
      <c r="AA5289" s="37"/>
      <c r="AD5289" s="37"/>
      <c r="AE5289" s="37"/>
      <c r="AF5289" s="37"/>
    </row>
    <row r="5290" spans="1:32" x14ac:dyDescent="0.25">
      <c r="A5290" s="37"/>
      <c r="B5290" s="37"/>
      <c r="C5290" s="37"/>
      <c r="F5290" s="38"/>
      <c r="G5290" s="38"/>
      <c r="H5290" s="38"/>
      <c r="I5290" s="37"/>
      <c r="J5290" s="38"/>
      <c r="K5290" s="38"/>
      <c r="L5290" s="42"/>
      <c r="M5290" s="42"/>
      <c r="N5290" s="42"/>
      <c r="O5290" s="42"/>
      <c r="R5290" s="37"/>
      <c r="S5290" s="37"/>
      <c r="T5290" s="91"/>
      <c r="U5290" s="91"/>
      <c r="V5290" s="41"/>
      <c r="W5290" s="37"/>
      <c r="X5290" s="37"/>
      <c r="Y5290" s="43"/>
      <c r="Z5290" s="37"/>
      <c r="AA5290" s="37"/>
      <c r="AD5290" s="37"/>
      <c r="AE5290" s="37"/>
      <c r="AF5290" s="37"/>
    </row>
    <row r="5291" spans="1:32" x14ac:dyDescent="0.25">
      <c r="A5291" s="37"/>
      <c r="B5291" s="37"/>
      <c r="C5291" s="37"/>
      <c r="F5291" s="38"/>
      <c r="G5291" s="38"/>
      <c r="H5291" s="38"/>
      <c r="I5291" s="37"/>
      <c r="J5291" s="38"/>
      <c r="K5291" s="38"/>
      <c r="L5291" s="42"/>
      <c r="M5291" s="42"/>
      <c r="N5291" s="42"/>
      <c r="O5291" s="42"/>
      <c r="R5291" s="37"/>
      <c r="S5291" s="37"/>
      <c r="T5291" s="91"/>
      <c r="U5291" s="91"/>
      <c r="V5291" s="41"/>
      <c r="W5291" s="37"/>
      <c r="X5291" s="37"/>
      <c r="Y5291" s="43"/>
      <c r="Z5291" s="37"/>
      <c r="AA5291" s="37"/>
      <c r="AD5291" s="37"/>
      <c r="AE5291" s="37"/>
      <c r="AF5291" s="37"/>
    </row>
    <row r="5292" spans="1:32" x14ac:dyDescent="0.25">
      <c r="A5292" s="37"/>
      <c r="B5292" s="37"/>
      <c r="C5292" s="37"/>
      <c r="F5292" s="38"/>
      <c r="G5292" s="38"/>
      <c r="H5292" s="38"/>
      <c r="I5292" s="37"/>
      <c r="J5292" s="38"/>
      <c r="K5292" s="38"/>
      <c r="L5292" s="42"/>
      <c r="M5292" s="42"/>
      <c r="N5292" s="42"/>
      <c r="O5292" s="42"/>
      <c r="R5292" s="37"/>
      <c r="S5292" s="37"/>
      <c r="T5292" s="91"/>
      <c r="U5292" s="91"/>
      <c r="V5292" s="41"/>
      <c r="W5292" s="37"/>
      <c r="X5292" s="37"/>
      <c r="Y5292" s="43"/>
      <c r="Z5292" s="37"/>
      <c r="AA5292" s="37"/>
      <c r="AD5292" s="37"/>
      <c r="AE5292" s="37"/>
      <c r="AF5292" s="37"/>
    </row>
    <row r="5293" spans="1:32" x14ac:dyDescent="0.25">
      <c r="A5293" s="37"/>
      <c r="B5293" s="37"/>
      <c r="C5293" s="37"/>
      <c r="F5293" s="38"/>
      <c r="G5293" s="38"/>
      <c r="H5293" s="38"/>
      <c r="I5293" s="37"/>
      <c r="J5293" s="38"/>
      <c r="K5293" s="38"/>
      <c r="L5293" s="42"/>
      <c r="M5293" s="42"/>
      <c r="N5293" s="42"/>
      <c r="O5293" s="42"/>
      <c r="R5293" s="37"/>
      <c r="S5293" s="37"/>
      <c r="T5293" s="91"/>
      <c r="U5293" s="91"/>
      <c r="V5293" s="41"/>
      <c r="W5293" s="37"/>
      <c r="X5293" s="37"/>
      <c r="Y5293" s="43"/>
      <c r="Z5293" s="37"/>
      <c r="AA5293" s="37"/>
      <c r="AD5293" s="37"/>
      <c r="AE5293" s="37"/>
      <c r="AF5293" s="37"/>
    </row>
    <row r="5294" spans="1:32" x14ac:dyDescent="0.25">
      <c r="A5294" s="37"/>
      <c r="B5294" s="37"/>
      <c r="C5294" s="37"/>
      <c r="F5294" s="38"/>
      <c r="G5294" s="38"/>
      <c r="H5294" s="38"/>
      <c r="I5294" s="37"/>
      <c r="J5294" s="38"/>
      <c r="K5294" s="38"/>
      <c r="L5294" s="42"/>
      <c r="M5294" s="42"/>
      <c r="N5294" s="42"/>
      <c r="O5294" s="42"/>
      <c r="R5294" s="37"/>
      <c r="S5294" s="37"/>
      <c r="T5294" s="91"/>
      <c r="U5294" s="91"/>
      <c r="V5294" s="41"/>
      <c r="W5294" s="37"/>
      <c r="X5294" s="37"/>
      <c r="Y5294" s="43"/>
      <c r="Z5294" s="37"/>
      <c r="AA5294" s="37"/>
      <c r="AD5294" s="37"/>
      <c r="AE5294" s="37"/>
      <c r="AF5294" s="37"/>
    </row>
    <row r="5295" spans="1:32" x14ac:dyDescent="0.25">
      <c r="A5295" s="37"/>
      <c r="B5295" s="37"/>
      <c r="C5295" s="37"/>
      <c r="F5295" s="38"/>
      <c r="G5295" s="38"/>
      <c r="H5295" s="38"/>
      <c r="I5295" s="37"/>
      <c r="J5295" s="38"/>
      <c r="K5295" s="38"/>
      <c r="L5295" s="42"/>
      <c r="M5295" s="42"/>
      <c r="N5295" s="42"/>
      <c r="O5295" s="42"/>
      <c r="R5295" s="37"/>
      <c r="S5295" s="37"/>
      <c r="T5295" s="91"/>
      <c r="U5295" s="91"/>
      <c r="V5295" s="41"/>
      <c r="W5295" s="37"/>
      <c r="X5295" s="37"/>
      <c r="Y5295" s="43"/>
      <c r="Z5295" s="37"/>
      <c r="AA5295" s="37"/>
      <c r="AD5295" s="37"/>
      <c r="AE5295" s="37"/>
      <c r="AF5295" s="37"/>
    </row>
    <row r="5296" spans="1:32" x14ac:dyDescent="0.25">
      <c r="A5296" s="37"/>
      <c r="B5296" s="37"/>
      <c r="C5296" s="37"/>
      <c r="F5296" s="38"/>
      <c r="G5296" s="38"/>
      <c r="H5296" s="38"/>
      <c r="I5296" s="37"/>
      <c r="J5296" s="38"/>
      <c r="K5296" s="38"/>
      <c r="L5296" s="42"/>
      <c r="M5296" s="42"/>
      <c r="N5296" s="42"/>
      <c r="O5296" s="42"/>
      <c r="R5296" s="37"/>
      <c r="S5296" s="37"/>
      <c r="T5296" s="91"/>
      <c r="U5296" s="91"/>
      <c r="V5296" s="41"/>
      <c r="W5296" s="37"/>
      <c r="X5296" s="37"/>
      <c r="Y5296" s="43"/>
      <c r="Z5296" s="37"/>
      <c r="AA5296" s="37"/>
      <c r="AD5296" s="37"/>
      <c r="AE5296" s="37"/>
      <c r="AF5296" s="37"/>
    </row>
    <row r="5297" spans="1:32" x14ac:dyDescent="0.25">
      <c r="A5297" s="37"/>
      <c r="B5297" s="37"/>
      <c r="C5297" s="37"/>
      <c r="F5297" s="38"/>
      <c r="G5297" s="38"/>
      <c r="H5297" s="38"/>
      <c r="I5297" s="37"/>
      <c r="J5297" s="38"/>
      <c r="K5297" s="38"/>
      <c r="L5297" s="42"/>
      <c r="M5297" s="42"/>
      <c r="N5297" s="42"/>
      <c r="O5297" s="42"/>
      <c r="R5297" s="37"/>
      <c r="S5297" s="37"/>
      <c r="T5297" s="91"/>
      <c r="U5297" s="91"/>
      <c r="V5297" s="41"/>
      <c r="W5297" s="37"/>
      <c r="X5297" s="37"/>
      <c r="Y5297" s="43"/>
      <c r="Z5297" s="37"/>
      <c r="AA5297" s="37"/>
      <c r="AD5297" s="37"/>
      <c r="AE5297" s="37"/>
      <c r="AF5297" s="37"/>
    </row>
    <row r="5298" spans="1:32" x14ac:dyDescent="0.25">
      <c r="A5298" s="37"/>
      <c r="B5298" s="37"/>
      <c r="C5298" s="37"/>
      <c r="F5298" s="38"/>
      <c r="G5298" s="38"/>
      <c r="H5298" s="38"/>
      <c r="I5298" s="37"/>
      <c r="J5298" s="38"/>
      <c r="K5298" s="38"/>
      <c r="L5298" s="42"/>
      <c r="M5298" s="42"/>
      <c r="N5298" s="42"/>
      <c r="O5298" s="42"/>
      <c r="R5298" s="37"/>
      <c r="S5298" s="37"/>
      <c r="T5298" s="91"/>
      <c r="U5298" s="91"/>
      <c r="V5298" s="41"/>
      <c r="W5298" s="37"/>
      <c r="X5298" s="37"/>
      <c r="Y5298" s="43"/>
      <c r="Z5298" s="37"/>
      <c r="AA5298" s="37"/>
      <c r="AD5298" s="37"/>
      <c r="AE5298" s="37"/>
      <c r="AF5298" s="37"/>
    </row>
    <row r="5299" spans="1:32" x14ac:dyDescent="0.25">
      <c r="A5299" s="37"/>
      <c r="B5299" s="37"/>
      <c r="C5299" s="37"/>
      <c r="F5299" s="38"/>
      <c r="G5299" s="38"/>
      <c r="H5299" s="38"/>
      <c r="I5299" s="37"/>
      <c r="J5299" s="38"/>
      <c r="K5299" s="38"/>
      <c r="L5299" s="42"/>
      <c r="M5299" s="42"/>
      <c r="N5299" s="42"/>
      <c r="O5299" s="42"/>
      <c r="R5299" s="37"/>
      <c r="S5299" s="37"/>
      <c r="T5299" s="91"/>
      <c r="U5299" s="91"/>
      <c r="V5299" s="41"/>
      <c r="W5299" s="37"/>
      <c r="X5299" s="37"/>
      <c r="Y5299" s="43"/>
      <c r="Z5299" s="37"/>
      <c r="AA5299" s="37"/>
      <c r="AD5299" s="37"/>
      <c r="AE5299" s="37"/>
      <c r="AF5299" s="37"/>
    </row>
    <row r="5300" spans="1:32" x14ac:dyDescent="0.25">
      <c r="A5300" s="37"/>
      <c r="B5300" s="37"/>
      <c r="C5300" s="37"/>
      <c r="F5300" s="38"/>
      <c r="G5300" s="38"/>
      <c r="H5300" s="38"/>
      <c r="I5300" s="37"/>
      <c r="J5300" s="38"/>
      <c r="K5300" s="38"/>
      <c r="L5300" s="42"/>
      <c r="M5300" s="42"/>
      <c r="N5300" s="42"/>
      <c r="O5300" s="42"/>
      <c r="R5300" s="37"/>
      <c r="S5300" s="37"/>
      <c r="T5300" s="91"/>
      <c r="U5300" s="91"/>
      <c r="V5300" s="41"/>
      <c r="W5300" s="37"/>
      <c r="X5300" s="37"/>
      <c r="Y5300" s="43"/>
      <c r="Z5300" s="37"/>
      <c r="AA5300" s="37"/>
      <c r="AD5300" s="37"/>
      <c r="AE5300" s="37"/>
      <c r="AF5300" s="37"/>
    </row>
    <row r="5301" spans="1:32" x14ac:dyDescent="0.25">
      <c r="A5301" s="37"/>
      <c r="B5301" s="37"/>
      <c r="C5301" s="37"/>
      <c r="F5301" s="38"/>
      <c r="G5301" s="38"/>
      <c r="H5301" s="38"/>
      <c r="I5301" s="37"/>
      <c r="J5301" s="38"/>
      <c r="K5301" s="38"/>
      <c r="L5301" s="42"/>
      <c r="M5301" s="42"/>
      <c r="N5301" s="42"/>
      <c r="O5301" s="42"/>
      <c r="R5301" s="37"/>
      <c r="S5301" s="37"/>
      <c r="T5301" s="91"/>
      <c r="U5301" s="91"/>
      <c r="V5301" s="41"/>
      <c r="W5301" s="37"/>
      <c r="X5301" s="37"/>
      <c r="Y5301" s="43"/>
      <c r="Z5301" s="37"/>
      <c r="AA5301" s="37"/>
      <c r="AD5301" s="37"/>
      <c r="AE5301" s="37"/>
      <c r="AF5301" s="37"/>
    </row>
    <row r="5302" spans="1:32" x14ac:dyDescent="0.25">
      <c r="A5302" s="37"/>
      <c r="B5302" s="37"/>
      <c r="C5302" s="37"/>
      <c r="F5302" s="38"/>
      <c r="G5302" s="38"/>
      <c r="H5302" s="38"/>
      <c r="I5302" s="37"/>
      <c r="J5302" s="38"/>
      <c r="K5302" s="38"/>
      <c r="L5302" s="42"/>
      <c r="M5302" s="42"/>
      <c r="N5302" s="42"/>
      <c r="O5302" s="42"/>
      <c r="R5302" s="37"/>
      <c r="S5302" s="37"/>
      <c r="T5302" s="91"/>
      <c r="U5302" s="91"/>
      <c r="V5302" s="41"/>
      <c r="W5302" s="37"/>
      <c r="X5302" s="37"/>
      <c r="Y5302" s="43"/>
      <c r="Z5302" s="37"/>
      <c r="AA5302" s="37"/>
      <c r="AD5302" s="37"/>
      <c r="AE5302" s="37"/>
      <c r="AF5302" s="37"/>
    </row>
    <row r="5303" spans="1:32" x14ac:dyDescent="0.25">
      <c r="A5303" s="37"/>
      <c r="B5303" s="37"/>
      <c r="C5303" s="37"/>
      <c r="F5303" s="38"/>
      <c r="G5303" s="38"/>
      <c r="H5303" s="38"/>
      <c r="I5303" s="37"/>
      <c r="J5303" s="38"/>
      <c r="K5303" s="38"/>
      <c r="L5303" s="42"/>
      <c r="M5303" s="42"/>
      <c r="N5303" s="42"/>
      <c r="O5303" s="42"/>
      <c r="R5303" s="37"/>
      <c r="S5303" s="37"/>
      <c r="T5303" s="91"/>
      <c r="U5303" s="91"/>
      <c r="V5303" s="41"/>
      <c r="W5303" s="37"/>
      <c r="X5303" s="37"/>
      <c r="Y5303" s="43"/>
      <c r="Z5303" s="37"/>
      <c r="AA5303" s="37"/>
      <c r="AD5303" s="37"/>
      <c r="AE5303" s="37"/>
      <c r="AF5303" s="37"/>
    </row>
    <row r="5304" spans="1:32" x14ac:dyDescent="0.25">
      <c r="A5304" s="37"/>
      <c r="B5304" s="37"/>
      <c r="C5304" s="37"/>
      <c r="F5304" s="38"/>
      <c r="G5304" s="38"/>
      <c r="H5304" s="38"/>
      <c r="I5304" s="37"/>
      <c r="J5304" s="38"/>
      <c r="K5304" s="38"/>
      <c r="L5304" s="42"/>
      <c r="M5304" s="42"/>
      <c r="N5304" s="42"/>
      <c r="O5304" s="42"/>
      <c r="R5304" s="37"/>
      <c r="S5304" s="37"/>
      <c r="T5304" s="91"/>
      <c r="U5304" s="91"/>
      <c r="V5304" s="41"/>
      <c r="W5304" s="37"/>
      <c r="X5304" s="37"/>
      <c r="Y5304" s="43"/>
      <c r="Z5304" s="37"/>
      <c r="AA5304" s="37"/>
      <c r="AD5304" s="37"/>
      <c r="AE5304" s="37"/>
      <c r="AF5304" s="37"/>
    </row>
    <row r="5305" spans="1:32" x14ac:dyDescent="0.25">
      <c r="A5305" s="37"/>
      <c r="B5305" s="37"/>
      <c r="C5305" s="37"/>
      <c r="F5305" s="38"/>
      <c r="G5305" s="38"/>
      <c r="H5305" s="38"/>
      <c r="I5305" s="37"/>
      <c r="J5305" s="38"/>
      <c r="K5305" s="38"/>
      <c r="L5305" s="42"/>
      <c r="M5305" s="42"/>
      <c r="N5305" s="42"/>
      <c r="O5305" s="42"/>
      <c r="R5305" s="37"/>
      <c r="S5305" s="37"/>
      <c r="T5305" s="91"/>
      <c r="U5305" s="91"/>
      <c r="V5305" s="41"/>
      <c r="W5305" s="37"/>
      <c r="X5305" s="37"/>
      <c r="Y5305" s="43"/>
      <c r="Z5305" s="37"/>
      <c r="AA5305" s="37"/>
      <c r="AD5305" s="37"/>
      <c r="AE5305" s="37"/>
      <c r="AF5305" s="37"/>
    </row>
    <row r="5306" spans="1:32" x14ac:dyDescent="0.25">
      <c r="A5306" s="37"/>
      <c r="B5306" s="37"/>
      <c r="C5306" s="37"/>
      <c r="F5306" s="38"/>
      <c r="G5306" s="38"/>
      <c r="H5306" s="38"/>
      <c r="I5306" s="37"/>
      <c r="J5306" s="38"/>
      <c r="K5306" s="38"/>
      <c r="L5306" s="42"/>
      <c r="M5306" s="42"/>
      <c r="N5306" s="42"/>
      <c r="O5306" s="42"/>
      <c r="R5306" s="37"/>
      <c r="S5306" s="37"/>
      <c r="T5306" s="91"/>
      <c r="U5306" s="91"/>
      <c r="V5306" s="41"/>
      <c r="W5306" s="37"/>
      <c r="X5306" s="37"/>
      <c r="Y5306" s="43"/>
      <c r="Z5306" s="37"/>
      <c r="AA5306" s="37"/>
      <c r="AD5306" s="37"/>
      <c r="AE5306" s="37"/>
      <c r="AF5306" s="37"/>
    </row>
    <row r="5307" spans="1:32" x14ac:dyDescent="0.25">
      <c r="A5307" s="37"/>
      <c r="B5307" s="37"/>
      <c r="C5307" s="37"/>
      <c r="F5307" s="38"/>
      <c r="G5307" s="38"/>
      <c r="H5307" s="38"/>
      <c r="I5307" s="37"/>
      <c r="J5307" s="38"/>
      <c r="K5307" s="38"/>
      <c r="L5307" s="42"/>
      <c r="M5307" s="42"/>
      <c r="N5307" s="42"/>
      <c r="O5307" s="42"/>
      <c r="R5307" s="37"/>
      <c r="S5307" s="37"/>
      <c r="T5307" s="91"/>
      <c r="U5307" s="91"/>
      <c r="V5307" s="41"/>
      <c r="W5307" s="37"/>
      <c r="X5307" s="37"/>
      <c r="Y5307" s="43"/>
      <c r="Z5307" s="37"/>
      <c r="AA5307" s="37"/>
      <c r="AD5307" s="37"/>
      <c r="AE5307" s="37"/>
      <c r="AF5307" s="37"/>
    </row>
    <row r="5308" spans="1:32" x14ac:dyDescent="0.25">
      <c r="A5308" s="37"/>
      <c r="B5308" s="37"/>
      <c r="C5308" s="37"/>
      <c r="F5308" s="38"/>
      <c r="G5308" s="38"/>
      <c r="H5308" s="38"/>
      <c r="I5308" s="37"/>
      <c r="J5308" s="38"/>
      <c r="K5308" s="38"/>
      <c r="L5308" s="42"/>
      <c r="M5308" s="42"/>
      <c r="N5308" s="42"/>
      <c r="O5308" s="42"/>
      <c r="R5308" s="37"/>
      <c r="S5308" s="37"/>
      <c r="T5308" s="91"/>
      <c r="U5308" s="91"/>
      <c r="V5308" s="41"/>
      <c r="W5308" s="37"/>
      <c r="X5308" s="37"/>
      <c r="Y5308" s="43"/>
      <c r="Z5308" s="37"/>
      <c r="AA5308" s="37"/>
      <c r="AD5308" s="37"/>
      <c r="AE5308" s="37"/>
      <c r="AF5308" s="37"/>
    </row>
    <row r="5309" spans="1:32" x14ac:dyDescent="0.25">
      <c r="A5309" s="37"/>
      <c r="B5309" s="37"/>
      <c r="C5309" s="37"/>
      <c r="F5309" s="38"/>
      <c r="G5309" s="38"/>
      <c r="H5309" s="38"/>
      <c r="I5309" s="37"/>
      <c r="J5309" s="38"/>
      <c r="K5309" s="38"/>
      <c r="L5309" s="42"/>
      <c r="M5309" s="42"/>
      <c r="N5309" s="42"/>
      <c r="O5309" s="42"/>
      <c r="R5309" s="37"/>
      <c r="S5309" s="37"/>
      <c r="T5309" s="91"/>
      <c r="U5309" s="91"/>
      <c r="V5309" s="41"/>
      <c r="W5309" s="37"/>
      <c r="X5309" s="37"/>
      <c r="Y5309" s="43"/>
      <c r="Z5309" s="37"/>
      <c r="AA5309" s="37"/>
      <c r="AD5309" s="37"/>
      <c r="AE5309" s="37"/>
      <c r="AF5309" s="37"/>
    </row>
    <row r="5310" spans="1:32" x14ac:dyDescent="0.25">
      <c r="A5310" s="37"/>
      <c r="B5310" s="37"/>
      <c r="C5310" s="37"/>
      <c r="F5310" s="38"/>
      <c r="G5310" s="38"/>
      <c r="H5310" s="38"/>
      <c r="I5310" s="37"/>
      <c r="J5310" s="38"/>
      <c r="K5310" s="38"/>
      <c r="L5310" s="42"/>
      <c r="M5310" s="42"/>
      <c r="N5310" s="42"/>
      <c r="O5310" s="42"/>
      <c r="R5310" s="37"/>
      <c r="S5310" s="37"/>
      <c r="T5310" s="91"/>
      <c r="U5310" s="91"/>
      <c r="V5310" s="41"/>
      <c r="W5310" s="37"/>
      <c r="X5310" s="37"/>
      <c r="Y5310" s="43"/>
      <c r="Z5310" s="37"/>
      <c r="AA5310" s="37"/>
      <c r="AD5310" s="37"/>
      <c r="AE5310" s="37"/>
      <c r="AF5310" s="37"/>
    </row>
    <row r="5311" spans="1:32" x14ac:dyDescent="0.25">
      <c r="A5311" s="37"/>
      <c r="B5311" s="37"/>
      <c r="C5311" s="37"/>
      <c r="F5311" s="38"/>
      <c r="G5311" s="38"/>
      <c r="H5311" s="38"/>
      <c r="I5311" s="37"/>
      <c r="J5311" s="38"/>
      <c r="K5311" s="38"/>
      <c r="L5311" s="42"/>
      <c r="M5311" s="42"/>
      <c r="N5311" s="42"/>
      <c r="O5311" s="42"/>
      <c r="R5311" s="37"/>
      <c r="S5311" s="37"/>
      <c r="T5311" s="91"/>
      <c r="U5311" s="91"/>
      <c r="V5311" s="41"/>
      <c r="W5311" s="37"/>
      <c r="X5311" s="37"/>
      <c r="Y5311" s="43"/>
      <c r="Z5311" s="37"/>
      <c r="AA5311" s="37"/>
      <c r="AD5311" s="37"/>
      <c r="AE5311" s="37"/>
      <c r="AF5311" s="37"/>
    </row>
    <row r="5312" spans="1:32" x14ac:dyDescent="0.25">
      <c r="A5312" s="37"/>
      <c r="B5312" s="37"/>
      <c r="C5312" s="37"/>
      <c r="F5312" s="38"/>
      <c r="G5312" s="38"/>
      <c r="H5312" s="38"/>
      <c r="I5312" s="37"/>
      <c r="J5312" s="38"/>
      <c r="K5312" s="38"/>
      <c r="L5312" s="42"/>
      <c r="M5312" s="42"/>
      <c r="N5312" s="42"/>
      <c r="O5312" s="42"/>
      <c r="R5312" s="37"/>
      <c r="S5312" s="37"/>
      <c r="T5312" s="91"/>
      <c r="U5312" s="91"/>
      <c r="V5312" s="41"/>
      <c r="W5312" s="37"/>
      <c r="X5312" s="37"/>
      <c r="Y5312" s="43"/>
      <c r="Z5312" s="37"/>
      <c r="AA5312" s="37"/>
      <c r="AD5312" s="37"/>
      <c r="AE5312" s="37"/>
      <c r="AF5312" s="37"/>
    </row>
    <row r="5313" spans="1:32" x14ac:dyDescent="0.25">
      <c r="A5313" s="37"/>
      <c r="B5313" s="37"/>
      <c r="C5313" s="37"/>
      <c r="F5313" s="38"/>
      <c r="G5313" s="38"/>
      <c r="H5313" s="38"/>
      <c r="I5313" s="37"/>
      <c r="J5313" s="38"/>
      <c r="K5313" s="38"/>
      <c r="L5313" s="42"/>
      <c r="M5313" s="42"/>
      <c r="N5313" s="42"/>
      <c r="O5313" s="42"/>
      <c r="R5313" s="37"/>
      <c r="S5313" s="37"/>
      <c r="T5313" s="91"/>
      <c r="U5313" s="91"/>
      <c r="V5313" s="41"/>
      <c r="W5313" s="37"/>
      <c r="X5313" s="37"/>
      <c r="Y5313" s="43"/>
      <c r="Z5313" s="37"/>
      <c r="AA5313" s="37"/>
      <c r="AD5313" s="37"/>
      <c r="AE5313" s="37"/>
      <c r="AF5313" s="37"/>
    </row>
    <row r="5314" spans="1:32" x14ac:dyDescent="0.25">
      <c r="A5314" s="37"/>
      <c r="B5314" s="37"/>
      <c r="C5314" s="37"/>
      <c r="F5314" s="38"/>
      <c r="G5314" s="38"/>
      <c r="H5314" s="38"/>
      <c r="I5314" s="37"/>
      <c r="J5314" s="38"/>
      <c r="K5314" s="38"/>
      <c r="L5314" s="42"/>
      <c r="M5314" s="42"/>
      <c r="N5314" s="42"/>
      <c r="O5314" s="42"/>
      <c r="R5314" s="37"/>
      <c r="S5314" s="37"/>
      <c r="T5314" s="91"/>
      <c r="U5314" s="91"/>
      <c r="V5314" s="41"/>
      <c r="W5314" s="37"/>
      <c r="X5314" s="37"/>
      <c r="Y5314" s="43"/>
      <c r="Z5314" s="37"/>
      <c r="AA5314" s="37"/>
      <c r="AD5314" s="37"/>
      <c r="AE5314" s="37"/>
      <c r="AF5314" s="37"/>
    </row>
    <row r="5315" spans="1:32" x14ac:dyDescent="0.25">
      <c r="A5315" s="37"/>
      <c r="B5315" s="37"/>
      <c r="C5315" s="37"/>
      <c r="F5315" s="38"/>
      <c r="G5315" s="38"/>
      <c r="H5315" s="38"/>
      <c r="I5315" s="37"/>
      <c r="J5315" s="38"/>
      <c r="K5315" s="38"/>
      <c r="L5315" s="42"/>
      <c r="M5315" s="42"/>
      <c r="N5315" s="42"/>
      <c r="O5315" s="42"/>
      <c r="R5315" s="37"/>
      <c r="S5315" s="37"/>
      <c r="T5315" s="91"/>
      <c r="U5315" s="91"/>
      <c r="V5315" s="41"/>
      <c r="W5315" s="37"/>
      <c r="X5315" s="37"/>
      <c r="Y5315" s="43"/>
      <c r="Z5315" s="37"/>
      <c r="AA5315" s="37"/>
      <c r="AD5315" s="37"/>
      <c r="AE5315" s="37"/>
      <c r="AF5315" s="37"/>
    </row>
    <row r="5316" spans="1:32" x14ac:dyDescent="0.25">
      <c r="A5316" s="37"/>
      <c r="B5316" s="37"/>
      <c r="C5316" s="37"/>
      <c r="F5316" s="38"/>
      <c r="G5316" s="38"/>
      <c r="H5316" s="38"/>
      <c r="I5316" s="37"/>
      <c r="J5316" s="38"/>
      <c r="K5316" s="38"/>
      <c r="L5316" s="42"/>
      <c r="M5316" s="42"/>
      <c r="N5316" s="42"/>
      <c r="O5316" s="42"/>
      <c r="R5316" s="37"/>
      <c r="S5316" s="37"/>
      <c r="T5316" s="91"/>
      <c r="U5316" s="91"/>
      <c r="V5316" s="41"/>
      <c r="W5316" s="37"/>
      <c r="X5316" s="37"/>
      <c r="Y5316" s="43"/>
      <c r="Z5316" s="37"/>
      <c r="AA5316" s="37"/>
      <c r="AD5316" s="37"/>
      <c r="AE5316" s="37"/>
      <c r="AF5316" s="37"/>
    </row>
    <row r="5317" spans="1:32" x14ac:dyDescent="0.25">
      <c r="A5317" s="37"/>
      <c r="B5317" s="37"/>
      <c r="C5317" s="37"/>
      <c r="F5317" s="38"/>
      <c r="G5317" s="38"/>
      <c r="H5317" s="38"/>
      <c r="I5317" s="37"/>
      <c r="J5317" s="38"/>
      <c r="K5317" s="38"/>
      <c r="L5317" s="42"/>
      <c r="M5317" s="42"/>
      <c r="N5317" s="42"/>
      <c r="O5317" s="42"/>
      <c r="R5317" s="37"/>
      <c r="S5317" s="37"/>
      <c r="T5317" s="91"/>
      <c r="U5317" s="91"/>
      <c r="V5317" s="41"/>
      <c r="W5317" s="37"/>
      <c r="X5317" s="37"/>
      <c r="Y5317" s="43"/>
      <c r="Z5317" s="37"/>
      <c r="AA5317" s="37"/>
      <c r="AD5317" s="37"/>
      <c r="AE5317" s="37"/>
      <c r="AF5317" s="37"/>
    </row>
    <row r="5318" spans="1:32" x14ac:dyDescent="0.25">
      <c r="A5318" s="37"/>
      <c r="B5318" s="37"/>
      <c r="C5318" s="37"/>
      <c r="F5318" s="38"/>
      <c r="G5318" s="38"/>
      <c r="H5318" s="38"/>
      <c r="I5318" s="37"/>
      <c r="J5318" s="38"/>
      <c r="K5318" s="38"/>
      <c r="L5318" s="42"/>
      <c r="M5318" s="42"/>
      <c r="N5318" s="42"/>
      <c r="O5318" s="42"/>
      <c r="R5318" s="37"/>
      <c r="S5318" s="37"/>
      <c r="T5318" s="91"/>
      <c r="U5318" s="91"/>
      <c r="V5318" s="41"/>
      <c r="W5318" s="37"/>
      <c r="X5318" s="37"/>
      <c r="Y5318" s="43"/>
      <c r="Z5318" s="37"/>
      <c r="AA5318" s="37"/>
      <c r="AD5318" s="37"/>
      <c r="AE5318" s="37"/>
      <c r="AF5318" s="37"/>
    </row>
    <row r="5319" spans="1:32" x14ac:dyDescent="0.25">
      <c r="A5319" s="37"/>
      <c r="B5319" s="37"/>
      <c r="C5319" s="37"/>
      <c r="F5319" s="38"/>
      <c r="G5319" s="38"/>
      <c r="H5319" s="38"/>
      <c r="I5319" s="37"/>
      <c r="J5319" s="38"/>
      <c r="K5319" s="38"/>
      <c r="L5319" s="42"/>
      <c r="M5319" s="42"/>
      <c r="N5319" s="42"/>
      <c r="O5319" s="42"/>
      <c r="R5319" s="37"/>
      <c r="S5319" s="37"/>
      <c r="T5319" s="91"/>
      <c r="U5319" s="91"/>
      <c r="V5319" s="41"/>
      <c r="W5319" s="37"/>
      <c r="X5319" s="37"/>
      <c r="Y5319" s="43"/>
      <c r="Z5319" s="37"/>
      <c r="AA5319" s="37"/>
      <c r="AD5319" s="37"/>
      <c r="AE5319" s="37"/>
      <c r="AF5319" s="37"/>
    </row>
    <row r="5320" spans="1:32" x14ac:dyDescent="0.25">
      <c r="A5320" s="37"/>
      <c r="B5320" s="37"/>
      <c r="C5320" s="37"/>
      <c r="F5320" s="38"/>
      <c r="G5320" s="38"/>
      <c r="H5320" s="38"/>
      <c r="I5320" s="37"/>
      <c r="J5320" s="38"/>
      <c r="K5320" s="38"/>
      <c r="L5320" s="42"/>
      <c r="M5320" s="42"/>
      <c r="N5320" s="42"/>
      <c r="O5320" s="42"/>
      <c r="R5320" s="37"/>
      <c r="S5320" s="37"/>
      <c r="T5320" s="91"/>
      <c r="U5320" s="91"/>
      <c r="V5320" s="41"/>
      <c r="W5320" s="37"/>
      <c r="X5320" s="37"/>
      <c r="Y5320" s="43"/>
      <c r="Z5320" s="37"/>
      <c r="AA5320" s="37"/>
      <c r="AD5320" s="37"/>
      <c r="AE5320" s="37"/>
      <c r="AF5320" s="37"/>
    </row>
    <row r="5321" spans="1:32" x14ac:dyDescent="0.25">
      <c r="A5321" s="37"/>
      <c r="B5321" s="37"/>
      <c r="C5321" s="37"/>
      <c r="F5321" s="38"/>
      <c r="G5321" s="38"/>
      <c r="H5321" s="38"/>
      <c r="I5321" s="37"/>
      <c r="J5321" s="38"/>
      <c r="K5321" s="38"/>
      <c r="L5321" s="42"/>
      <c r="M5321" s="42"/>
      <c r="N5321" s="42"/>
      <c r="O5321" s="42"/>
      <c r="R5321" s="37"/>
      <c r="S5321" s="37"/>
      <c r="T5321" s="91"/>
      <c r="U5321" s="91"/>
      <c r="V5321" s="41"/>
      <c r="W5321" s="37"/>
      <c r="X5321" s="37"/>
      <c r="Y5321" s="43"/>
      <c r="Z5321" s="37"/>
      <c r="AA5321" s="37"/>
      <c r="AD5321" s="37"/>
      <c r="AE5321" s="37"/>
      <c r="AF5321" s="37"/>
    </row>
    <row r="5322" spans="1:32" x14ac:dyDescent="0.25">
      <c r="A5322" s="37"/>
      <c r="B5322" s="37"/>
      <c r="C5322" s="37"/>
      <c r="F5322" s="38"/>
      <c r="G5322" s="38"/>
      <c r="H5322" s="38"/>
      <c r="I5322" s="37"/>
      <c r="J5322" s="38"/>
      <c r="K5322" s="38"/>
      <c r="L5322" s="42"/>
      <c r="M5322" s="42"/>
      <c r="N5322" s="42"/>
      <c r="O5322" s="42"/>
      <c r="R5322" s="37"/>
      <c r="S5322" s="37"/>
      <c r="T5322" s="91"/>
      <c r="U5322" s="91"/>
      <c r="V5322" s="41"/>
      <c r="W5322" s="37"/>
      <c r="X5322" s="37"/>
      <c r="Y5322" s="43"/>
      <c r="Z5322" s="37"/>
      <c r="AA5322" s="37"/>
      <c r="AD5322" s="37"/>
      <c r="AE5322" s="37"/>
      <c r="AF5322" s="37"/>
    </row>
    <row r="5323" spans="1:32" x14ac:dyDescent="0.25">
      <c r="A5323" s="37"/>
      <c r="B5323" s="37"/>
      <c r="C5323" s="37"/>
      <c r="F5323" s="38"/>
      <c r="G5323" s="38"/>
      <c r="H5323" s="38"/>
      <c r="I5323" s="37"/>
      <c r="J5323" s="38"/>
      <c r="K5323" s="38"/>
      <c r="L5323" s="42"/>
      <c r="M5323" s="42"/>
      <c r="N5323" s="42"/>
      <c r="O5323" s="42"/>
      <c r="R5323" s="37"/>
      <c r="S5323" s="37"/>
      <c r="T5323" s="91"/>
      <c r="U5323" s="91"/>
      <c r="V5323" s="41"/>
      <c r="W5323" s="37"/>
      <c r="X5323" s="37"/>
      <c r="Y5323" s="43"/>
      <c r="Z5323" s="37"/>
      <c r="AA5323" s="37"/>
      <c r="AD5323" s="37"/>
      <c r="AE5323" s="37"/>
      <c r="AF5323" s="37"/>
    </row>
    <row r="5324" spans="1:32" x14ac:dyDescent="0.25">
      <c r="A5324" s="37"/>
      <c r="B5324" s="37"/>
      <c r="C5324" s="37"/>
      <c r="F5324" s="38"/>
      <c r="G5324" s="38"/>
      <c r="H5324" s="38"/>
      <c r="I5324" s="37"/>
      <c r="J5324" s="38"/>
      <c r="K5324" s="38"/>
      <c r="L5324" s="42"/>
      <c r="M5324" s="42"/>
      <c r="N5324" s="42"/>
      <c r="O5324" s="42"/>
      <c r="R5324" s="37"/>
      <c r="S5324" s="37"/>
      <c r="T5324" s="91"/>
      <c r="U5324" s="91"/>
      <c r="V5324" s="41"/>
      <c r="W5324" s="37"/>
      <c r="X5324" s="37"/>
      <c r="Y5324" s="43"/>
      <c r="Z5324" s="37"/>
      <c r="AA5324" s="37"/>
      <c r="AD5324" s="37"/>
      <c r="AE5324" s="37"/>
      <c r="AF5324" s="37"/>
    </row>
    <row r="5325" spans="1:32" x14ac:dyDescent="0.25">
      <c r="A5325" s="37"/>
      <c r="B5325" s="37"/>
      <c r="C5325" s="37"/>
      <c r="F5325" s="38"/>
      <c r="G5325" s="38"/>
      <c r="H5325" s="38"/>
      <c r="I5325" s="37"/>
      <c r="J5325" s="38"/>
      <c r="K5325" s="38"/>
      <c r="L5325" s="42"/>
      <c r="M5325" s="42"/>
      <c r="N5325" s="42"/>
      <c r="O5325" s="42"/>
      <c r="R5325" s="37"/>
      <c r="S5325" s="37"/>
      <c r="T5325" s="91"/>
      <c r="U5325" s="91"/>
      <c r="V5325" s="41"/>
      <c r="W5325" s="37"/>
      <c r="X5325" s="37"/>
      <c r="Y5325" s="43"/>
      <c r="Z5325" s="37"/>
      <c r="AA5325" s="37"/>
      <c r="AD5325" s="37"/>
      <c r="AE5325" s="37"/>
      <c r="AF5325" s="37"/>
    </row>
    <row r="5326" spans="1:32" x14ac:dyDescent="0.25">
      <c r="A5326" s="37"/>
      <c r="B5326" s="37"/>
      <c r="C5326" s="37"/>
      <c r="F5326" s="38"/>
      <c r="G5326" s="38"/>
      <c r="H5326" s="38"/>
      <c r="I5326" s="37"/>
      <c r="J5326" s="38"/>
      <c r="K5326" s="38"/>
      <c r="L5326" s="42"/>
      <c r="M5326" s="42"/>
      <c r="N5326" s="42"/>
      <c r="O5326" s="42"/>
      <c r="R5326" s="37"/>
      <c r="S5326" s="37"/>
      <c r="T5326" s="91"/>
      <c r="U5326" s="91"/>
      <c r="V5326" s="41"/>
      <c r="W5326" s="37"/>
      <c r="X5326" s="37"/>
      <c r="Y5326" s="43"/>
      <c r="Z5326" s="37"/>
      <c r="AA5326" s="37"/>
      <c r="AD5326" s="37"/>
      <c r="AE5326" s="37"/>
      <c r="AF5326" s="37"/>
    </row>
    <row r="5327" spans="1:32" x14ac:dyDescent="0.25">
      <c r="A5327" s="37"/>
      <c r="B5327" s="37"/>
      <c r="C5327" s="37"/>
      <c r="F5327" s="38"/>
      <c r="G5327" s="38"/>
      <c r="H5327" s="38"/>
      <c r="I5327" s="37"/>
      <c r="J5327" s="38"/>
      <c r="K5327" s="38"/>
      <c r="L5327" s="42"/>
      <c r="M5327" s="42"/>
      <c r="N5327" s="42"/>
      <c r="O5327" s="42"/>
      <c r="R5327" s="37"/>
      <c r="S5327" s="37"/>
      <c r="T5327" s="91"/>
      <c r="U5327" s="91"/>
      <c r="V5327" s="41"/>
      <c r="W5327" s="37"/>
      <c r="X5327" s="37"/>
      <c r="Y5327" s="43"/>
      <c r="Z5327" s="37"/>
      <c r="AA5327" s="37"/>
      <c r="AD5327" s="37"/>
      <c r="AE5327" s="37"/>
      <c r="AF5327" s="37"/>
    </row>
    <row r="5328" spans="1:32" x14ac:dyDescent="0.25">
      <c r="A5328" s="37"/>
      <c r="B5328" s="37"/>
      <c r="C5328" s="37"/>
      <c r="F5328" s="38"/>
      <c r="G5328" s="38"/>
      <c r="H5328" s="38"/>
      <c r="I5328" s="37"/>
      <c r="J5328" s="38"/>
      <c r="K5328" s="38"/>
      <c r="L5328" s="42"/>
      <c r="M5328" s="42"/>
      <c r="N5328" s="42"/>
      <c r="O5328" s="42"/>
      <c r="R5328" s="37"/>
      <c r="S5328" s="37"/>
      <c r="T5328" s="91"/>
      <c r="U5328" s="91"/>
      <c r="V5328" s="41"/>
      <c r="W5328" s="37"/>
      <c r="X5328" s="37"/>
      <c r="Y5328" s="43"/>
      <c r="Z5328" s="37"/>
      <c r="AA5328" s="37"/>
      <c r="AD5328" s="37"/>
      <c r="AE5328" s="37"/>
      <c r="AF5328" s="37"/>
    </row>
    <row r="5329" spans="1:32" x14ac:dyDescent="0.25">
      <c r="A5329" s="37"/>
      <c r="B5329" s="37"/>
      <c r="C5329" s="37"/>
      <c r="F5329" s="38"/>
      <c r="G5329" s="38"/>
      <c r="H5329" s="38"/>
      <c r="I5329" s="37"/>
      <c r="J5329" s="38"/>
      <c r="K5329" s="38"/>
      <c r="L5329" s="42"/>
      <c r="M5329" s="42"/>
      <c r="N5329" s="42"/>
      <c r="O5329" s="42"/>
      <c r="R5329" s="37"/>
      <c r="S5329" s="37"/>
      <c r="T5329" s="91"/>
      <c r="U5329" s="91"/>
      <c r="V5329" s="41"/>
      <c r="W5329" s="37"/>
      <c r="X5329" s="37"/>
      <c r="Y5329" s="43"/>
      <c r="Z5329" s="37"/>
      <c r="AA5329" s="37"/>
      <c r="AD5329" s="37"/>
      <c r="AE5329" s="37"/>
      <c r="AF5329" s="37"/>
    </row>
    <row r="5330" spans="1:32" x14ac:dyDescent="0.25">
      <c r="A5330" s="37"/>
      <c r="B5330" s="37"/>
      <c r="C5330" s="37"/>
      <c r="F5330" s="38"/>
      <c r="G5330" s="38"/>
      <c r="H5330" s="38"/>
      <c r="I5330" s="37"/>
      <c r="J5330" s="38"/>
      <c r="K5330" s="38"/>
      <c r="L5330" s="42"/>
      <c r="M5330" s="42"/>
      <c r="N5330" s="42"/>
      <c r="O5330" s="42"/>
      <c r="R5330" s="37"/>
      <c r="S5330" s="37"/>
      <c r="T5330" s="91"/>
      <c r="U5330" s="91"/>
      <c r="V5330" s="41"/>
      <c r="W5330" s="37"/>
      <c r="X5330" s="37"/>
      <c r="Y5330" s="43"/>
      <c r="Z5330" s="37"/>
      <c r="AA5330" s="37"/>
      <c r="AD5330" s="37"/>
      <c r="AE5330" s="37"/>
      <c r="AF5330" s="37"/>
    </row>
    <row r="5331" spans="1:32" x14ac:dyDescent="0.25">
      <c r="A5331" s="37"/>
      <c r="B5331" s="37"/>
      <c r="C5331" s="37"/>
      <c r="F5331" s="38"/>
      <c r="G5331" s="38"/>
      <c r="H5331" s="38"/>
      <c r="I5331" s="37"/>
      <c r="J5331" s="38"/>
      <c r="K5331" s="38"/>
      <c r="L5331" s="42"/>
      <c r="M5331" s="42"/>
      <c r="N5331" s="42"/>
      <c r="O5331" s="42"/>
      <c r="R5331" s="37"/>
      <c r="S5331" s="37"/>
      <c r="T5331" s="91"/>
      <c r="U5331" s="91"/>
      <c r="V5331" s="41"/>
      <c r="W5331" s="37"/>
      <c r="X5331" s="37"/>
      <c r="Y5331" s="43"/>
      <c r="Z5331" s="37"/>
      <c r="AA5331" s="37"/>
      <c r="AD5331" s="37"/>
      <c r="AE5331" s="37"/>
      <c r="AF5331" s="37"/>
    </row>
    <row r="5332" spans="1:32" x14ac:dyDescent="0.25">
      <c r="A5332" s="37"/>
      <c r="B5332" s="37"/>
      <c r="C5332" s="37"/>
      <c r="F5332" s="38"/>
      <c r="G5332" s="38"/>
      <c r="H5332" s="38"/>
      <c r="I5332" s="37"/>
      <c r="J5332" s="38"/>
      <c r="K5332" s="38"/>
      <c r="L5332" s="42"/>
      <c r="M5332" s="42"/>
      <c r="N5332" s="42"/>
      <c r="O5332" s="42"/>
      <c r="R5332" s="37"/>
      <c r="S5332" s="37"/>
      <c r="T5332" s="91"/>
      <c r="U5332" s="91"/>
      <c r="V5332" s="41"/>
      <c r="W5332" s="37"/>
      <c r="X5332" s="37"/>
      <c r="Y5332" s="43"/>
      <c r="Z5332" s="37"/>
      <c r="AA5332" s="37"/>
      <c r="AD5332" s="37"/>
      <c r="AE5332" s="37"/>
      <c r="AF5332" s="37"/>
    </row>
    <row r="5333" spans="1:32" x14ac:dyDescent="0.25">
      <c r="A5333" s="37"/>
      <c r="B5333" s="37"/>
      <c r="C5333" s="37"/>
      <c r="F5333" s="38"/>
      <c r="G5333" s="38"/>
      <c r="H5333" s="38"/>
      <c r="I5333" s="37"/>
      <c r="J5333" s="38"/>
      <c r="K5333" s="38"/>
      <c r="L5333" s="42"/>
      <c r="M5333" s="42"/>
      <c r="N5333" s="42"/>
      <c r="O5333" s="42"/>
      <c r="R5333" s="37"/>
      <c r="S5333" s="37"/>
      <c r="T5333" s="91"/>
      <c r="U5333" s="91"/>
      <c r="V5333" s="41"/>
      <c r="W5333" s="37"/>
      <c r="X5333" s="37"/>
      <c r="Y5333" s="43"/>
      <c r="Z5333" s="37"/>
      <c r="AA5333" s="37"/>
      <c r="AD5333" s="37"/>
      <c r="AE5333" s="37"/>
      <c r="AF5333" s="37"/>
    </row>
    <row r="5334" spans="1:32" x14ac:dyDescent="0.25">
      <c r="A5334" s="37"/>
      <c r="B5334" s="37"/>
      <c r="C5334" s="37"/>
      <c r="F5334" s="38"/>
      <c r="G5334" s="38"/>
      <c r="H5334" s="38"/>
      <c r="I5334" s="37"/>
      <c r="J5334" s="38"/>
      <c r="K5334" s="38"/>
      <c r="L5334" s="42"/>
      <c r="M5334" s="42"/>
      <c r="N5334" s="42"/>
      <c r="O5334" s="42"/>
      <c r="R5334" s="37"/>
      <c r="S5334" s="37"/>
      <c r="T5334" s="91"/>
      <c r="U5334" s="91"/>
      <c r="V5334" s="41"/>
      <c r="W5334" s="37"/>
      <c r="X5334" s="37"/>
      <c r="Y5334" s="43"/>
      <c r="Z5334" s="37"/>
      <c r="AA5334" s="37"/>
      <c r="AD5334" s="37"/>
      <c r="AE5334" s="37"/>
      <c r="AF5334" s="37"/>
    </row>
    <row r="5335" spans="1:32" x14ac:dyDescent="0.25">
      <c r="A5335" s="37"/>
      <c r="B5335" s="37"/>
      <c r="C5335" s="37"/>
      <c r="F5335" s="38"/>
      <c r="G5335" s="38"/>
      <c r="H5335" s="38"/>
      <c r="I5335" s="37"/>
      <c r="J5335" s="38"/>
      <c r="K5335" s="38"/>
      <c r="L5335" s="42"/>
      <c r="M5335" s="42"/>
      <c r="N5335" s="42"/>
      <c r="O5335" s="42"/>
      <c r="R5335" s="37"/>
      <c r="S5335" s="37"/>
      <c r="T5335" s="91"/>
      <c r="U5335" s="91"/>
      <c r="V5335" s="41"/>
      <c r="W5335" s="37"/>
      <c r="X5335" s="37"/>
      <c r="Y5335" s="43"/>
      <c r="Z5335" s="37"/>
      <c r="AA5335" s="37"/>
      <c r="AD5335" s="37"/>
      <c r="AE5335" s="37"/>
      <c r="AF5335" s="37"/>
    </row>
    <row r="5336" spans="1:32" x14ac:dyDescent="0.25">
      <c r="A5336" s="37"/>
      <c r="B5336" s="37"/>
      <c r="C5336" s="37"/>
      <c r="F5336" s="38"/>
      <c r="G5336" s="38"/>
      <c r="H5336" s="38"/>
      <c r="I5336" s="37"/>
      <c r="J5336" s="38"/>
      <c r="K5336" s="38"/>
      <c r="L5336" s="42"/>
      <c r="M5336" s="42"/>
      <c r="N5336" s="42"/>
      <c r="O5336" s="42"/>
      <c r="R5336" s="37"/>
      <c r="S5336" s="37"/>
      <c r="T5336" s="91"/>
      <c r="U5336" s="91"/>
      <c r="V5336" s="41"/>
      <c r="W5336" s="37"/>
      <c r="X5336" s="37"/>
      <c r="Y5336" s="43"/>
      <c r="Z5336" s="37"/>
      <c r="AA5336" s="37"/>
      <c r="AD5336" s="37"/>
      <c r="AE5336" s="37"/>
      <c r="AF5336" s="37"/>
    </row>
    <row r="5337" spans="1:32" x14ac:dyDescent="0.25">
      <c r="A5337" s="37"/>
      <c r="B5337" s="37"/>
      <c r="C5337" s="37"/>
      <c r="F5337" s="38"/>
      <c r="G5337" s="38"/>
      <c r="H5337" s="38"/>
      <c r="I5337" s="37"/>
      <c r="J5337" s="38"/>
      <c r="K5337" s="38"/>
      <c r="L5337" s="42"/>
      <c r="M5337" s="42"/>
      <c r="N5337" s="42"/>
      <c r="O5337" s="42"/>
      <c r="R5337" s="37"/>
      <c r="S5337" s="37"/>
      <c r="T5337" s="91"/>
      <c r="U5337" s="91"/>
      <c r="V5337" s="41"/>
      <c r="W5337" s="37"/>
      <c r="X5337" s="37"/>
      <c r="Y5337" s="43"/>
      <c r="Z5337" s="37"/>
      <c r="AA5337" s="37"/>
      <c r="AD5337" s="37"/>
      <c r="AE5337" s="37"/>
      <c r="AF5337" s="37"/>
    </row>
    <row r="5338" spans="1:32" x14ac:dyDescent="0.25">
      <c r="A5338" s="37"/>
      <c r="B5338" s="37"/>
      <c r="C5338" s="37"/>
      <c r="F5338" s="38"/>
      <c r="G5338" s="38"/>
      <c r="H5338" s="38"/>
      <c r="I5338" s="37"/>
      <c r="J5338" s="38"/>
      <c r="K5338" s="38"/>
      <c r="L5338" s="42"/>
      <c r="M5338" s="42"/>
      <c r="N5338" s="42"/>
      <c r="O5338" s="42"/>
      <c r="R5338" s="37"/>
      <c r="S5338" s="37"/>
      <c r="T5338" s="91"/>
      <c r="U5338" s="91"/>
      <c r="V5338" s="41"/>
      <c r="W5338" s="37"/>
      <c r="X5338" s="37"/>
      <c r="Y5338" s="43"/>
      <c r="Z5338" s="37"/>
      <c r="AA5338" s="37"/>
      <c r="AD5338" s="37"/>
      <c r="AE5338" s="37"/>
      <c r="AF5338" s="37"/>
    </row>
    <row r="5339" spans="1:32" x14ac:dyDescent="0.25">
      <c r="A5339" s="37"/>
      <c r="B5339" s="37"/>
      <c r="C5339" s="37"/>
      <c r="F5339" s="38"/>
      <c r="G5339" s="38"/>
      <c r="H5339" s="38"/>
      <c r="I5339" s="37"/>
      <c r="J5339" s="38"/>
      <c r="K5339" s="38"/>
      <c r="L5339" s="42"/>
      <c r="M5339" s="42"/>
      <c r="N5339" s="42"/>
      <c r="O5339" s="42"/>
      <c r="R5339" s="37"/>
      <c r="S5339" s="37"/>
      <c r="T5339" s="91"/>
      <c r="U5339" s="91"/>
      <c r="V5339" s="41"/>
      <c r="W5339" s="37"/>
      <c r="X5339" s="37"/>
      <c r="Y5339" s="43"/>
      <c r="Z5339" s="37"/>
      <c r="AA5339" s="37"/>
      <c r="AD5339" s="37"/>
      <c r="AE5339" s="37"/>
      <c r="AF5339" s="37"/>
    </row>
    <row r="5340" spans="1:32" x14ac:dyDescent="0.25">
      <c r="A5340" s="37"/>
      <c r="B5340" s="37"/>
      <c r="C5340" s="37"/>
      <c r="F5340" s="38"/>
      <c r="G5340" s="38"/>
      <c r="H5340" s="38"/>
      <c r="I5340" s="37"/>
      <c r="J5340" s="38"/>
      <c r="K5340" s="38"/>
      <c r="L5340" s="42"/>
      <c r="M5340" s="42"/>
      <c r="N5340" s="42"/>
      <c r="O5340" s="42"/>
      <c r="R5340" s="37"/>
      <c r="S5340" s="37"/>
      <c r="T5340" s="91"/>
      <c r="U5340" s="91"/>
      <c r="V5340" s="41"/>
      <c r="W5340" s="37"/>
      <c r="X5340" s="37"/>
      <c r="Y5340" s="43"/>
      <c r="Z5340" s="37"/>
      <c r="AA5340" s="37"/>
      <c r="AD5340" s="37"/>
      <c r="AE5340" s="37"/>
      <c r="AF5340" s="37"/>
    </row>
    <row r="5341" spans="1:32" x14ac:dyDescent="0.25">
      <c r="A5341" s="37"/>
      <c r="B5341" s="37"/>
      <c r="C5341" s="37"/>
      <c r="F5341" s="38"/>
      <c r="G5341" s="38"/>
      <c r="H5341" s="38"/>
      <c r="I5341" s="37"/>
      <c r="J5341" s="38"/>
      <c r="K5341" s="38"/>
      <c r="L5341" s="42"/>
      <c r="M5341" s="42"/>
      <c r="N5341" s="42"/>
      <c r="O5341" s="42"/>
      <c r="R5341" s="37"/>
      <c r="S5341" s="37"/>
      <c r="T5341" s="91"/>
      <c r="U5341" s="91"/>
      <c r="V5341" s="41"/>
      <c r="W5341" s="37"/>
      <c r="X5341" s="37"/>
      <c r="Y5341" s="43"/>
      <c r="Z5341" s="37"/>
      <c r="AA5341" s="37"/>
      <c r="AD5341" s="37"/>
      <c r="AE5341" s="37"/>
      <c r="AF5341" s="37"/>
    </row>
    <row r="5342" spans="1:32" x14ac:dyDescent="0.25">
      <c r="A5342" s="37"/>
      <c r="B5342" s="37"/>
      <c r="C5342" s="37"/>
      <c r="F5342" s="38"/>
      <c r="G5342" s="38"/>
      <c r="H5342" s="38"/>
      <c r="I5342" s="37"/>
      <c r="J5342" s="38"/>
      <c r="K5342" s="38"/>
      <c r="L5342" s="42"/>
      <c r="M5342" s="42"/>
      <c r="N5342" s="42"/>
      <c r="O5342" s="42"/>
      <c r="R5342" s="37"/>
      <c r="S5342" s="37"/>
      <c r="T5342" s="91"/>
      <c r="U5342" s="91"/>
      <c r="V5342" s="41"/>
      <c r="W5342" s="37"/>
      <c r="X5342" s="37"/>
      <c r="Y5342" s="43"/>
      <c r="Z5342" s="37"/>
      <c r="AA5342" s="37"/>
      <c r="AD5342" s="37"/>
      <c r="AE5342" s="37"/>
      <c r="AF5342" s="37"/>
    </row>
    <row r="5343" spans="1:32" x14ac:dyDescent="0.25">
      <c r="A5343" s="37"/>
      <c r="B5343" s="37"/>
      <c r="C5343" s="37"/>
      <c r="F5343" s="38"/>
      <c r="G5343" s="38"/>
      <c r="H5343" s="38"/>
      <c r="I5343" s="37"/>
      <c r="J5343" s="38"/>
      <c r="K5343" s="38"/>
      <c r="L5343" s="42"/>
      <c r="M5343" s="42"/>
      <c r="N5343" s="42"/>
      <c r="O5343" s="42"/>
      <c r="R5343" s="37"/>
      <c r="S5343" s="37"/>
      <c r="T5343" s="91"/>
      <c r="U5343" s="91"/>
      <c r="V5343" s="41"/>
      <c r="W5343" s="37"/>
      <c r="X5343" s="37"/>
      <c r="Y5343" s="43"/>
      <c r="Z5343" s="37"/>
      <c r="AA5343" s="37"/>
      <c r="AD5343" s="37"/>
      <c r="AE5343" s="37"/>
      <c r="AF5343" s="37"/>
    </row>
    <row r="5344" spans="1:32" x14ac:dyDescent="0.25">
      <c r="A5344" s="37"/>
      <c r="B5344" s="37"/>
      <c r="C5344" s="37"/>
      <c r="F5344" s="38"/>
      <c r="G5344" s="38"/>
      <c r="H5344" s="38"/>
      <c r="I5344" s="37"/>
      <c r="J5344" s="38"/>
      <c r="K5344" s="38"/>
      <c r="L5344" s="42"/>
      <c r="M5344" s="42"/>
      <c r="N5344" s="42"/>
      <c r="O5344" s="42"/>
      <c r="R5344" s="37"/>
      <c r="S5344" s="37"/>
      <c r="T5344" s="91"/>
      <c r="U5344" s="91"/>
      <c r="V5344" s="41"/>
      <c r="W5344" s="37"/>
      <c r="X5344" s="37"/>
      <c r="Y5344" s="43"/>
      <c r="Z5344" s="37"/>
      <c r="AA5344" s="37"/>
      <c r="AD5344" s="37"/>
      <c r="AE5344" s="37"/>
      <c r="AF5344" s="37"/>
    </row>
    <row r="5345" spans="1:32" x14ac:dyDescent="0.25">
      <c r="A5345" s="37"/>
      <c r="B5345" s="37"/>
      <c r="C5345" s="37"/>
      <c r="F5345" s="38"/>
      <c r="G5345" s="38"/>
      <c r="H5345" s="38"/>
      <c r="I5345" s="37"/>
      <c r="J5345" s="38"/>
      <c r="K5345" s="38"/>
      <c r="L5345" s="42"/>
      <c r="M5345" s="42"/>
      <c r="N5345" s="42"/>
      <c r="O5345" s="42"/>
      <c r="R5345" s="37"/>
      <c r="S5345" s="37"/>
      <c r="T5345" s="91"/>
      <c r="U5345" s="91"/>
      <c r="V5345" s="41"/>
      <c r="W5345" s="37"/>
      <c r="X5345" s="37"/>
      <c r="Y5345" s="43"/>
      <c r="Z5345" s="37"/>
      <c r="AA5345" s="37"/>
      <c r="AD5345" s="37"/>
      <c r="AE5345" s="37"/>
      <c r="AF5345" s="37"/>
    </row>
    <row r="5346" spans="1:32" x14ac:dyDescent="0.25">
      <c r="A5346" s="37"/>
      <c r="B5346" s="37"/>
      <c r="C5346" s="37"/>
      <c r="F5346" s="38"/>
      <c r="G5346" s="38"/>
      <c r="H5346" s="38"/>
      <c r="I5346" s="37"/>
      <c r="J5346" s="38"/>
      <c r="K5346" s="38"/>
      <c r="L5346" s="42"/>
      <c r="M5346" s="42"/>
      <c r="N5346" s="42"/>
      <c r="O5346" s="42"/>
      <c r="R5346" s="37"/>
      <c r="S5346" s="37"/>
      <c r="T5346" s="91"/>
      <c r="U5346" s="91"/>
      <c r="V5346" s="41"/>
      <c r="W5346" s="37"/>
      <c r="X5346" s="37"/>
      <c r="Y5346" s="43"/>
      <c r="Z5346" s="37"/>
      <c r="AA5346" s="37"/>
      <c r="AD5346" s="37"/>
      <c r="AE5346" s="37"/>
      <c r="AF5346" s="37"/>
    </row>
    <row r="5347" spans="1:32" x14ac:dyDescent="0.25">
      <c r="A5347" s="37"/>
      <c r="B5347" s="37"/>
      <c r="C5347" s="37"/>
      <c r="F5347" s="38"/>
      <c r="G5347" s="38"/>
      <c r="H5347" s="38"/>
      <c r="I5347" s="37"/>
      <c r="J5347" s="38"/>
      <c r="K5347" s="38"/>
      <c r="L5347" s="42"/>
      <c r="M5347" s="42"/>
      <c r="N5347" s="42"/>
      <c r="O5347" s="42"/>
      <c r="R5347" s="37"/>
      <c r="S5347" s="37"/>
      <c r="T5347" s="91"/>
      <c r="U5347" s="91"/>
      <c r="V5347" s="41"/>
      <c r="W5347" s="37"/>
      <c r="X5347" s="37"/>
      <c r="Y5347" s="43"/>
      <c r="Z5347" s="37"/>
      <c r="AA5347" s="37"/>
      <c r="AD5347" s="37"/>
      <c r="AE5347" s="37"/>
      <c r="AF5347" s="37"/>
    </row>
    <row r="5348" spans="1:32" x14ac:dyDescent="0.25">
      <c r="A5348" s="37"/>
      <c r="B5348" s="37"/>
      <c r="C5348" s="37"/>
      <c r="F5348" s="38"/>
      <c r="G5348" s="38"/>
      <c r="H5348" s="38"/>
      <c r="I5348" s="37"/>
      <c r="J5348" s="38"/>
      <c r="K5348" s="38"/>
      <c r="L5348" s="42"/>
      <c r="M5348" s="42"/>
      <c r="N5348" s="42"/>
      <c r="O5348" s="42"/>
      <c r="R5348" s="37"/>
      <c r="S5348" s="37"/>
      <c r="T5348" s="91"/>
      <c r="U5348" s="91"/>
      <c r="V5348" s="41"/>
      <c r="W5348" s="37"/>
      <c r="X5348" s="37"/>
      <c r="Y5348" s="43"/>
      <c r="Z5348" s="37"/>
      <c r="AA5348" s="37"/>
      <c r="AD5348" s="37"/>
      <c r="AE5348" s="37"/>
      <c r="AF5348" s="37"/>
    </row>
    <row r="5349" spans="1:32" x14ac:dyDescent="0.25">
      <c r="A5349" s="37"/>
      <c r="B5349" s="37"/>
      <c r="C5349" s="37"/>
      <c r="F5349" s="38"/>
      <c r="G5349" s="38"/>
      <c r="H5349" s="38"/>
      <c r="I5349" s="37"/>
      <c r="J5349" s="38"/>
      <c r="K5349" s="38"/>
      <c r="L5349" s="42"/>
      <c r="M5349" s="42"/>
      <c r="N5349" s="42"/>
      <c r="O5349" s="42"/>
      <c r="R5349" s="37"/>
      <c r="S5349" s="37"/>
      <c r="T5349" s="91"/>
      <c r="U5349" s="91"/>
      <c r="V5349" s="41"/>
      <c r="W5349" s="37"/>
      <c r="X5349" s="37"/>
      <c r="Y5349" s="43"/>
      <c r="Z5349" s="37"/>
      <c r="AA5349" s="37"/>
      <c r="AD5349" s="37"/>
      <c r="AE5349" s="37"/>
      <c r="AF5349" s="37"/>
    </row>
    <row r="5350" spans="1:32" x14ac:dyDescent="0.25">
      <c r="A5350" s="37"/>
      <c r="B5350" s="37"/>
      <c r="C5350" s="37"/>
      <c r="F5350" s="38"/>
      <c r="G5350" s="38"/>
      <c r="H5350" s="38"/>
      <c r="I5350" s="37"/>
      <c r="J5350" s="38"/>
      <c r="K5350" s="38"/>
      <c r="L5350" s="42"/>
      <c r="M5350" s="42"/>
      <c r="N5350" s="42"/>
      <c r="O5350" s="42"/>
      <c r="R5350" s="37"/>
      <c r="S5350" s="37"/>
      <c r="T5350" s="91"/>
      <c r="U5350" s="91"/>
      <c r="V5350" s="41"/>
      <c r="W5350" s="37"/>
      <c r="X5350" s="37"/>
      <c r="Y5350" s="43"/>
      <c r="Z5350" s="37"/>
      <c r="AA5350" s="37"/>
      <c r="AD5350" s="37"/>
      <c r="AE5350" s="37"/>
      <c r="AF5350" s="37"/>
    </row>
    <row r="5351" spans="1:32" x14ac:dyDescent="0.25">
      <c r="A5351" s="37"/>
      <c r="B5351" s="37"/>
      <c r="C5351" s="37"/>
      <c r="F5351" s="38"/>
      <c r="G5351" s="38"/>
      <c r="H5351" s="38"/>
      <c r="I5351" s="37"/>
      <c r="J5351" s="38"/>
      <c r="K5351" s="38"/>
      <c r="L5351" s="42"/>
      <c r="M5351" s="42"/>
      <c r="N5351" s="42"/>
      <c r="O5351" s="42"/>
      <c r="R5351" s="37"/>
      <c r="S5351" s="37"/>
      <c r="T5351" s="91"/>
      <c r="U5351" s="91"/>
      <c r="V5351" s="41"/>
      <c r="W5351" s="37"/>
      <c r="X5351" s="37"/>
      <c r="Y5351" s="43"/>
      <c r="Z5351" s="37"/>
      <c r="AA5351" s="37"/>
      <c r="AD5351" s="37"/>
      <c r="AE5351" s="37"/>
      <c r="AF5351" s="37"/>
    </row>
    <row r="5352" spans="1:32" x14ac:dyDescent="0.25">
      <c r="A5352" s="37"/>
      <c r="B5352" s="37"/>
      <c r="C5352" s="37"/>
      <c r="F5352" s="38"/>
      <c r="G5352" s="38"/>
      <c r="H5352" s="38"/>
      <c r="I5352" s="37"/>
      <c r="J5352" s="38"/>
      <c r="K5352" s="38"/>
      <c r="L5352" s="42"/>
      <c r="M5352" s="42"/>
      <c r="N5352" s="42"/>
      <c r="O5352" s="42"/>
      <c r="R5352" s="37"/>
      <c r="S5352" s="37"/>
      <c r="T5352" s="91"/>
      <c r="U5352" s="91"/>
      <c r="V5352" s="41"/>
      <c r="W5352" s="37"/>
      <c r="X5352" s="37"/>
      <c r="Y5352" s="43"/>
      <c r="Z5352" s="37"/>
      <c r="AA5352" s="37"/>
      <c r="AD5352" s="37"/>
      <c r="AE5352" s="37"/>
      <c r="AF5352" s="37"/>
    </row>
    <row r="5353" spans="1:32" x14ac:dyDescent="0.25">
      <c r="A5353" s="37"/>
      <c r="B5353" s="37"/>
      <c r="C5353" s="37"/>
      <c r="F5353" s="38"/>
      <c r="G5353" s="38"/>
      <c r="H5353" s="38"/>
      <c r="I5353" s="37"/>
      <c r="J5353" s="38"/>
      <c r="K5353" s="38"/>
      <c r="L5353" s="42"/>
      <c r="M5353" s="42"/>
      <c r="N5353" s="42"/>
      <c r="O5353" s="42"/>
      <c r="R5353" s="37"/>
      <c r="S5353" s="37"/>
      <c r="T5353" s="91"/>
      <c r="U5353" s="91"/>
      <c r="V5353" s="41"/>
      <c r="W5353" s="37"/>
      <c r="X5353" s="37"/>
      <c r="Y5353" s="43"/>
      <c r="Z5353" s="37"/>
      <c r="AA5353" s="37"/>
      <c r="AD5353" s="37"/>
      <c r="AE5353" s="37"/>
      <c r="AF5353" s="37"/>
    </row>
    <row r="5354" spans="1:32" x14ac:dyDescent="0.25">
      <c r="A5354" s="37"/>
      <c r="B5354" s="37"/>
      <c r="C5354" s="37"/>
      <c r="F5354" s="38"/>
      <c r="G5354" s="38"/>
      <c r="H5354" s="38"/>
      <c r="I5354" s="37"/>
      <c r="J5354" s="38"/>
      <c r="K5354" s="38"/>
      <c r="L5354" s="42"/>
      <c r="M5354" s="42"/>
      <c r="N5354" s="42"/>
      <c r="O5354" s="42"/>
      <c r="R5354" s="37"/>
      <c r="S5354" s="37"/>
      <c r="T5354" s="91"/>
      <c r="U5354" s="91"/>
      <c r="V5354" s="41"/>
      <c r="W5354" s="37"/>
      <c r="X5354" s="37"/>
      <c r="Y5354" s="43"/>
      <c r="Z5354" s="37"/>
      <c r="AA5354" s="37"/>
      <c r="AD5354" s="37"/>
      <c r="AE5354" s="37"/>
      <c r="AF5354" s="37"/>
    </row>
    <row r="5355" spans="1:32" x14ac:dyDescent="0.25">
      <c r="A5355" s="37"/>
      <c r="B5355" s="37"/>
      <c r="C5355" s="37"/>
      <c r="F5355" s="38"/>
      <c r="G5355" s="38"/>
      <c r="H5355" s="38"/>
      <c r="I5355" s="37"/>
      <c r="J5355" s="38"/>
      <c r="K5355" s="38"/>
      <c r="L5355" s="42"/>
      <c r="M5355" s="42"/>
      <c r="N5355" s="42"/>
      <c r="O5355" s="42"/>
      <c r="R5355" s="37"/>
      <c r="S5355" s="37"/>
      <c r="T5355" s="91"/>
      <c r="U5355" s="91"/>
      <c r="V5355" s="41"/>
      <c r="W5355" s="37"/>
      <c r="X5355" s="37"/>
      <c r="Y5355" s="43"/>
      <c r="Z5355" s="37"/>
      <c r="AA5355" s="37"/>
      <c r="AD5355" s="37"/>
      <c r="AE5355" s="37"/>
      <c r="AF5355" s="37"/>
    </row>
    <row r="5356" spans="1:32" x14ac:dyDescent="0.25">
      <c r="A5356" s="37"/>
      <c r="B5356" s="37"/>
      <c r="C5356" s="37"/>
      <c r="F5356" s="38"/>
      <c r="G5356" s="38"/>
      <c r="H5356" s="38"/>
      <c r="I5356" s="37"/>
      <c r="J5356" s="38"/>
      <c r="K5356" s="38"/>
      <c r="L5356" s="42"/>
      <c r="M5356" s="42"/>
      <c r="N5356" s="42"/>
      <c r="O5356" s="42"/>
      <c r="R5356" s="37"/>
      <c r="S5356" s="37"/>
      <c r="T5356" s="91"/>
      <c r="U5356" s="91"/>
      <c r="V5356" s="41"/>
      <c r="W5356" s="37"/>
      <c r="X5356" s="37"/>
      <c r="Y5356" s="43"/>
      <c r="Z5356" s="37"/>
      <c r="AA5356" s="37"/>
      <c r="AD5356" s="37"/>
      <c r="AE5356" s="37"/>
      <c r="AF5356" s="37"/>
    </row>
    <row r="5357" spans="1:32" x14ac:dyDescent="0.25">
      <c r="A5357" s="37"/>
      <c r="B5357" s="37"/>
      <c r="C5357" s="37"/>
      <c r="F5357" s="38"/>
      <c r="G5357" s="38"/>
      <c r="H5357" s="38"/>
      <c r="I5357" s="37"/>
      <c r="J5357" s="38"/>
      <c r="K5357" s="38"/>
      <c r="L5357" s="42"/>
      <c r="M5357" s="42"/>
      <c r="N5357" s="42"/>
      <c r="O5357" s="42"/>
      <c r="R5357" s="37"/>
      <c r="S5357" s="37"/>
      <c r="T5357" s="91"/>
      <c r="U5357" s="91"/>
      <c r="V5357" s="41"/>
      <c r="W5357" s="37"/>
      <c r="X5357" s="37"/>
      <c r="Y5357" s="43"/>
      <c r="Z5357" s="37"/>
      <c r="AA5357" s="37"/>
      <c r="AD5357" s="37"/>
      <c r="AE5357" s="37"/>
      <c r="AF5357" s="37"/>
    </row>
    <row r="5358" spans="1:32" x14ac:dyDescent="0.25">
      <c r="A5358" s="37"/>
      <c r="B5358" s="37"/>
      <c r="C5358" s="37"/>
      <c r="F5358" s="38"/>
      <c r="G5358" s="38"/>
      <c r="H5358" s="38"/>
      <c r="I5358" s="37"/>
      <c r="J5358" s="38"/>
      <c r="K5358" s="38"/>
      <c r="L5358" s="42"/>
      <c r="M5358" s="42"/>
      <c r="N5358" s="42"/>
      <c r="O5358" s="42"/>
      <c r="R5358" s="37"/>
      <c r="S5358" s="37"/>
      <c r="T5358" s="91"/>
      <c r="U5358" s="91"/>
      <c r="V5358" s="41"/>
      <c r="W5358" s="37"/>
      <c r="X5358" s="37"/>
      <c r="Y5358" s="43"/>
      <c r="Z5358" s="37"/>
      <c r="AA5358" s="37"/>
      <c r="AD5358" s="37"/>
      <c r="AE5358" s="37"/>
      <c r="AF5358" s="37"/>
    </row>
    <row r="5359" spans="1:32" x14ac:dyDescent="0.25">
      <c r="A5359" s="37"/>
      <c r="B5359" s="37"/>
      <c r="C5359" s="37"/>
      <c r="F5359" s="38"/>
      <c r="G5359" s="38"/>
      <c r="H5359" s="38"/>
      <c r="I5359" s="37"/>
      <c r="J5359" s="38"/>
      <c r="K5359" s="38"/>
      <c r="L5359" s="42"/>
      <c r="M5359" s="42"/>
      <c r="N5359" s="42"/>
      <c r="O5359" s="42"/>
      <c r="R5359" s="37"/>
      <c r="S5359" s="37"/>
      <c r="T5359" s="91"/>
      <c r="U5359" s="91"/>
      <c r="V5359" s="41"/>
      <c r="W5359" s="37"/>
      <c r="X5359" s="37"/>
      <c r="Y5359" s="43"/>
      <c r="Z5359" s="37"/>
      <c r="AA5359" s="37"/>
      <c r="AD5359" s="37"/>
      <c r="AE5359" s="37"/>
      <c r="AF5359" s="37"/>
    </row>
    <row r="5360" spans="1:32" x14ac:dyDescent="0.25">
      <c r="A5360" s="37"/>
      <c r="B5360" s="37"/>
      <c r="C5360" s="37"/>
      <c r="F5360" s="38"/>
      <c r="G5360" s="38"/>
      <c r="H5360" s="38"/>
      <c r="I5360" s="37"/>
      <c r="J5360" s="38"/>
      <c r="K5360" s="38"/>
      <c r="L5360" s="42"/>
      <c r="M5360" s="42"/>
      <c r="N5360" s="42"/>
      <c r="O5360" s="42"/>
      <c r="R5360" s="37"/>
      <c r="S5360" s="37"/>
      <c r="T5360" s="91"/>
      <c r="U5360" s="91"/>
      <c r="V5360" s="41"/>
      <c r="W5360" s="37"/>
      <c r="X5360" s="37"/>
      <c r="Y5360" s="43"/>
      <c r="Z5360" s="37"/>
      <c r="AA5360" s="37"/>
      <c r="AD5360" s="37"/>
      <c r="AE5360" s="37"/>
      <c r="AF5360" s="37"/>
    </row>
    <row r="5361" spans="1:32" x14ac:dyDescent="0.25">
      <c r="A5361" s="37"/>
      <c r="B5361" s="37"/>
      <c r="C5361" s="37"/>
      <c r="F5361" s="38"/>
      <c r="G5361" s="38"/>
      <c r="H5361" s="38"/>
      <c r="I5361" s="37"/>
      <c r="J5361" s="38"/>
      <c r="K5361" s="38"/>
      <c r="L5361" s="42"/>
      <c r="M5361" s="42"/>
      <c r="N5361" s="42"/>
      <c r="O5361" s="42"/>
      <c r="R5361" s="37"/>
      <c r="S5361" s="37"/>
      <c r="T5361" s="91"/>
      <c r="U5361" s="91"/>
      <c r="V5361" s="41"/>
      <c r="W5361" s="37"/>
      <c r="X5361" s="37"/>
      <c r="Y5361" s="43"/>
      <c r="Z5361" s="37"/>
      <c r="AA5361" s="37"/>
      <c r="AD5361" s="37"/>
      <c r="AE5361" s="37"/>
      <c r="AF5361" s="37"/>
    </row>
    <row r="5362" spans="1:32" x14ac:dyDescent="0.25">
      <c r="A5362" s="37"/>
      <c r="B5362" s="37"/>
      <c r="C5362" s="37"/>
      <c r="F5362" s="38"/>
      <c r="G5362" s="38"/>
      <c r="H5362" s="38"/>
      <c r="I5362" s="37"/>
      <c r="J5362" s="38"/>
      <c r="K5362" s="38"/>
      <c r="L5362" s="42"/>
      <c r="M5362" s="42"/>
      <c r="N5362" s="42"/>
      <c r="O5362" s="42"/>
      <c r="R5362" s="37"/>
      <c r="S5362" s="37"/>
      <c r="T5362" s="91"/>
      <c r="U5362" s="91"/>
      <c r="V5362" s="41"/>
      <c r="W5362" s="37"/>
      <c r="X5362" s="37"/>
      <c r="Y5362" s="43"/>
      <c r="Z5362" s="37"/>
      <c r="AA5362" s="37"/>
      <c r="AD5362" s="37"/>
      <c r="AE5362" s="37"/>
      <c r="AF5362" s="37"/>
    </row>
    <row r="5363" spans="1:32" x14ac:dyDescent="0.25">
      <c r="A5363" s="37"/>
      <c r="B5363" s="37"/>
      <c r="C5363" s="37"/>
      <c r="F5363" s="38"/>
      <c r="G5363" s="38"/>
      <c r="H5363" s="38"/>
      <c r="I5363" s="37"/>
      <c r="J5363" s="38"/>
      <c r="K5363" s="38"/>
      <c r="L5363" s="42"/>
      <c r="M5363" s="42"/>
      <c r="N5363" s="42"/>
      <c r="O5363" s="42"/>
      <c r="R5363" s="37"/>
      <c r="S5363" s="37"/>
      <c r="T5363" s="91"/>
      <c r="U5363" s="91"/>
      <c r="V5363" s="41"/>
      <c r="W5363" s="37"/>
      <c r="X5363" s="37"/>
      <c r="Y5363" s="43"/>
      <c r="Z5363" s="37"/>
      <c r="AA5363" s="37"/>
      <c r="AD5363" s="37"/>
      <c r="AE5363" s="37"/>
      <c r="AF5363" s="37"/>
    </row>
    <row r="5364" spans="1:32" x14ac:dyDescent="0.25">
      <c r="A5364" s="37"/>
      <c r="B5364" s="37"/>
      <c r="C5364" s="37"/>
      <c r="F5364" s="38"/>
      <c r="G5364" s="38"/>
      <c r="H5364" s="38"/>
      <c r="I5364" s="37"/>
      <c r="J5364" s="38"/>
      <c r="K5364" s="38"/>
      <c r="L5364" s="42"/>
      <c r="M5364" s="42"/>
      <c r="N5364" s="42"/>
      <c r="O5364" s="42"/>
      <c r="R5364" s="37"/>
      <c r="S5364" s="37"/>
      <c r="T5364" s="91"/>
      <c r="U5364" s="91"/>
      <c r="V5364" s="41"/>
      <c r="W5364" s="37"/>
      <c r="X5364" s="37"/>
      <c r="Y5364" s="43"/>
      <c r="Z5364" s="37"/>
      <c r="AA5364" s="37"/>
      <c r="AD5364" s="37"/>
      <c r="AE5364" s="37"/>
      <c r="AF5364" s="37"/>
    </row>
    <row r="5365" spans="1:32" x14ac:dyDescent="0.25">
      <c r="A5365" s="37"/>
      <c r="B5365" s="37"/>
      <c r="C5365" s="37"/>
      <c r="F5365" s="38"/>
      <c r="G5365" s="38"/>
      <c r="H5365" s="38"/>
      <c r="I5365" s="37"/>
      <c r="J5365" s="38"/>
      <c r="K5365" s="38"/>
      <c r="L5365" s="42"/>
      <c r="M5365" s="42"/>
      <c r="N5365" s="42"/>
      <c r="O5365" s="42"/>
      <c r="R5365" s="37"/>
      <c r="S5365" s="37"/>
      <c r="T5365" s="91"/>
      <c r="U5365" s="91"/>
      <c r="V5365" s="41"/>
      <c r="W5365" s="37"/>
      <c r="X5365" s="37"/>
      <c r="Y5365" s="43"/>
      <c r="Z5365" s="37"/>
      <c r="AA5365" s="37"/>
      <c r="AD5365" s="37"/>
      <c r="AE5365" s="37"/>
      <c r="AF5365" s="37"/>
    </row>
    <row r="5366" spans="1:32" x14ac:dyDescent="0.25">
      <c r="A5366" s="37"/>
      <c r="B5366" s="37"/>
      <c r="C5366" s="37"/>
      <c r="F5366" s="38"/>
      <c r="G5366" s="38"/>
      <c r="H5366" s="38"/>
      <c r="I5366" s="37"/>
      <c r="J5366" s="38"/>
      <c r="K5366" s="38"/>
      <c r="L5366" s="42"/>
      <c r="M5366" s="42"/>
      <c r="N5366" s="42"/>
      <c r="O5366" s="42"/>
      <c r="R5366" s="37"/>
      <c r="S5366" s="37"/>
      <c r="T5366" s="91"/>
      <c r="U5366" s="91"/>
      <c r="V5366" s="41"/>
      <c r="W5366" s="37"/>
      <c r="X5366" s="37"/>
      <c r="Y5366" s="43"/>
      <c r="Z5366" s="37"/>
      <c r="AA5366" s="37"/>
      <c r="AD5366" s="37"/>
      <c r="AE5366" s="37"/>
      <c r="AF5366" s="37"/>
    </row>
    <row r="5367" spans="1:32" x14ac:dyDescent="0.25">
      <c r="A5367" s="37"/>
      <c r="B5367" s="37"/>
      <c r="C5367" s="37"/>
      <c r="F5367" s="38"/>
      <c r="G5367" s="38"/>
      <c r="H5367" s="38"/>
      <c r="I5367" s="37"/>
      <c r="J5367" s="38"/>
      <c r="K5367" s="38"/>
      <c r="L5367" s="42"/>
      <c r="M5367" s="42"/>
      <c r="N5367" s="42"/>
      <c r="O5367" s="42"/>
      <c r="R5367" s="37"/>
      <c r="S5367" s="37"/>
      <c r="T5367" s="91"/>
      <c r="U5367" s="91"/>
      <c r="V5367" s="41"/>
      <c r="W5367" s="37"/>
      <c r="X5367" s="37"/>
      <c r="Y5367" s="43"/>
      <c r="Z5367" s="37"/>
      <c r="AA5367" s="37"/>
      <c r="AD5367" s="37"/>
      <c r="AE5367" s="37"/>
      <c r="AF5367" s="37"/>
    </row>
    <row r="5368" spans="1:32" x14ac:dyDescent="0.25">
      <c r="A5368" s="37"/>
      <c r="B5368" s="37"/>
      <c r="C5368" s="37"/>
      <c r="F5368" s="38"/>
      <c r="G5368" s="38"/>
      <c r="H5368" s="38"/>
      <c r="I5368" s="37"/>
      <c r="J5368" s="38"/>
      <c r="K5368" s="38"/>
      <c r="L5368" s="42"/>
      <c r="M5368" s="42"/>
      <c r="N5368" s="42"/>
      <c r="O5368" s="42"/>
      <c r="R5368" s="37"/>
      <c r="S5368" s="37"/>
      <c r="T5368" s="91"/>
      <c r="U5368" s="91"/>
      <c r="V5368" s="41"/>
      <c r="W5368" s="37"/>
      <c r="X5368" s="37"/>
      <c r="Y5368" s="43"/>
      <c r="Z5368" s="37"/>
      <c r="AA5368" s="37"/>
      <c r="AD5368" s="37"/>
      <c r="AE5368" s="37"/>
      <c r="AF5368" s="37"/>
    </row>
    <row r="5369" spans="1:32" x14ac:dyDescent="0.25">
      <c r="A5369" s="37"/>
      <c r="B5369" s="37"/>
      <c r="C5369" s="37"/>
      <c r="F5369" s="38"/>
      <c r="G5369" s="38"/>
      <c r="H5369" s="38"/>
      <c r="I5369" s="37"/>
      <c r="J5369" s="38"/>
      <c r="K5369" s="38"/>
      <c r="L5369" s="42"/>
      <c r="M5369" s="42"/>
      <c r="N5369" s="42"/>
      <c r="O5369" s="42"/>
      <c r="R5369" s="37"/>
      <c r="S5369" s="37"/>
      <c r="T5369" s="91"/>
      <c r="U5369" s="91"/>
      <c r="V5369" s="41"/>
      <c r="W5369" s="37"/>
      <c r="X5369" s="37"/>
      <c r="Y5369" s="43"/>
      <c r="Z5369" s="37"/>
      <c r="AA5369" s="37"/>
      <c r="AD5369" s="37"/>
      <c r="AE5369" s="37"/>
      <c r="AF5369" s="37"/>
    </row>
    <row r="5370" spans="1:32" x14ac:dyDescent="0.25">
      <c r="A5370" s="37"/>
      <c r="B5370" s="37"/>
      <c r="C5370" s="37"/>
      <c r="F5370" s="38"/>
      <c r="G5370" s="38"/>
      <c r="H5370" s="38"/>
      <c r="I5370" s="37"/>
      <c r="J5370" s="38"/>
      <c r="K5370" s="38"/>
      <c r="L5370" s="42"/>
      <c r="M5370" s="42"/>
      <c r="N5370" s="42"/>
      <c r="O5370" s="42"/>
      <c r="R5370" s="37"/>
      <c r="S5370" s="37"/>
      <c r="T5370" s="91"/>
      <c r="U5370" s="91"/>
      <c r="V5370" s="41"/>
      <c r="W5370" s="37"/>
      <c r="X5370" s="37"/>
      <c r="Y5370" s="43"/>
      <c r="Z5370" s="37"/>
      <c r="AA5370" s="37"/>
      <c r="AD5370" s="37"/>
      <c r="AE5370" s="37"/>
      <c r="AF5370" s="37"/>
    </row>
    <row r="5371" spans="1:32" x14ac:dyDescent="0.25">
      <c r="A5371" s="37"/>
      <c r="B5371" s="37"/>
      <c r="C5371" s="37"/>
      <c r="F5371" s="38"/>
      <c r="G5371" s="38"/>
      <c r="H5371" s="38"/>
      <c r="I5371" s="37"/>
      <c r="J5371" s="38"/>
      <c r="K5371" s="38"/>
      <c r="L5371" s="42"/>
      <c r="M5371" s="42"/>
      <c r="N5371" s="42"/>
      <c r="O5371" s="42"/>
      <c r="R5371" s="37"/>
      <c r="S5371" s="37"/>
      <c r="T5371" s="91"/>
      <c r="U5371" s="91"/>
      <c r="V5371" s="41"/>
      <c r="W5371" s="37"/>
      <c r="X5371" s="37"/>
      <c r="Y5371" s="43"/>
      <c r="Z5371" s="37"/>
      <c r="AA5371" s="37"/>
      <c r="AD5371" s="37"/>
      <c r="AE5371" s="37"/>
      <c r="AF5371" s="37"/>
    </row>
    <row r="5372" spans="1:32" x14ac:dyDescent="0.25">
      <c r="A5372" s="37"/>
      <c r="B5372" s="37"/>
      <c r="C5372" s="37"/>
      <c r="F5372" s="38"/>
      <c r="G5372" s="38"/>
      <c r="H5372" s="38"/>
      <c r="I5372" s="37"/>
      <c r="J5372" s="38"/>
      <c r="K5372" s="38"/>
      <c r="L5372" s="42"/>
      <c r="M5372" s="42"/>
      <c r="N5372" s="42"/>
      <c r="O5372" s="42"/>
      <c r="R5372" s="37"/>
      <c r="S5372" s="37"/>
      <c r="T5372" s="91"/>
      <c r="U5372" s="91"/>
      <c r="V5372" s="41"/>
      <c r="W5372" s="37"/>
      <c r="X5372" s="37"/>
      <c r="Y5372" s="43"/>
      <c r="Z5372" s="37"/>
      <c r="AA5372" s="37"/>
      <c r="AD5372" s="37"/>
      <c r="AE5372" s="37"/>
      <c r="AF5372" s="37"/>
    </row>
    <row r="5373" spans="1:32" x14ac:dyDescent="0.25">
      <c r="A5373" s="37"/>
      <c r="B5373" s="37"/>
      <c r="C5373" s="37"/>
      <c r="F5373" s="38"/>
      <c r="G5373" s="38"/>
      <c r="H5373" s="38"/>
      <c r="I5373" s="37"/>
      <c r="J5373" s="38"/>
      <c r="K5373" s="38"/>
      <c r="L5373" s="42"/>
      <c r="M5373" s="42"/>
      <c r="N5373" s="42"/>
      <c r="O5373" s="42"/>
      <c r="R5373" s="37"/>
      <c r="S5373" s="37"/>
      <c r="T5373" s="91"/>
      <c r="U5373" s="91"/>
      <c r="V5373" s="41"/>
      <c r="W5373" s="37"/>
      <c r="X5373" s="37"/>
      <c r="Y5373" s="43"/>
      <c r="Z5373" s="37"/>
      <c r="AA5373" s="37"/>
      <c r="AD5373" s="37"/>
      <c r="AE5373" s="37"/>
      <c r="AF5373" s="37"/>
    </row>
    <row r="5374" spans="1:32" x14ac:dyDescent="0.25">
      <c r="A5374" s="37"/>
      <c r="B5374" s="37"/>
      <c r="C5374" s="37"/>
      <c r="F5374" s="38"/>
      <c r="G5374" s="38"/>
      <c r="H5374" s="38"/>
      <c r="I5374" s="37"/>
      <c r="J5374" s="38"/>
      <c r="K5374" s="38"/>
      <c r="L5374" s="42"/>
      <c r="M5374" s="42"/>
      <c r="N5374" s="42"/>
      <c r="O5374" s="42"/>
      <c r="R5374" s="37"/>
      <c r="S5374" s="37"/>
      <c r="T5374" s="91"/>
      <c r="U5374" s="91"/>
      <c r="V5374" s="41"/>
      <c r="W5374" s="37"/>
      <c r="X5374" s="37"/>
      <c r="Y5374" s="43"/>
      <c r="Z5374" s="37"/>
      <c r="AA5374" s="37"/>
      <c r="AD5374" s="37"/>
      <c r="AE5374" s="37"/>
      <c r="AF5374" s="37"/>
    </row>
    <row r="5375" spans="1:32" x14ac:dyDescent="0.25">
      <c r="A5375" s="37"/>
      <c r="B5375" s="37"/>
      <c r="C5375" s="37"/>
      <c r="F5375" s="38"/>
      <c r="G5375" s="38"/>
      <c r="H5375" s="38"/>
      <c r="I5375" s="37"/>
      <c r="J5375" s="38"/>
      <c r="K5375" s="38"/>
      <c r="L5375" s="42"/>
      <c r="M5375" s="42"/>
      <c r="N5375" s="42"/>
      <c r="O5375" s="42"/>
      <c r="R5375" s="37"/>
      <c r="S5375" s="37"/>
      <c r="T5375" s="91"/>
      <c r="U5375" s="91"/>
      <c r="V5375" s="41"/>
      <c r="W5375" s="37"/>
      <c r="X5375" s="37"/>
      <c r="Y5375" s="43"/>
      <c r="Z5375" s="37"/>
      <c r="AA5375" s="37"/>
      <c r="AD5375" s="37"/>
      <c r="AE5375" s="37"/>
      <c r="AF5375" s="37"/>
    </row>
    <row r="5376" spans="1:32" x14ac:dyDescent="0.25">
      <c r="A5376" s="37"/>
      <c r="B5376" s="37"/>
      <c r="C5376" s="37"/>
      <c r="F5376" s="38"/>
      <c r="G5376" s="38"/>
      <c r="H5376" s="38"/>
      <c r="I5376" s="37"/>
      <c r="J5376" s="38"/>
      <c r="K5376" s="38"/>
      <c r="L5376" s="42"/>
      <c r="M5376" s="42"/>
      <c r="N5376" s="42"/>
      <c r="O5376" s="42"/>
      <c r="R5376" s="37"/>
      <c r="S5376" s="37"/>
      <c r="T5376" s="91"/>
      <c r="U5376" s="91"/>
      <c r="V5376" s="41"/>
      <c r="W5376" s="37"/>
      <c r="X5376" s="37"/>
      <c r="Y5376" s="43"/>
      <c r="Z5376" s="37"/>
      <c r="AA5376" s="37"/>
      <c r="AD5376" s="37"/>
      <c r="AE5376" s="37"/>
      <c r="AF5376" s="37"/>
    </row>
    <row r="5377" spans="1:32" x14ac:dyDescent="0.25">
      <c r="A5377" s="37"/>
      <c r="B5377" s="37"/>
      <c r="C5377" s="37"/>
      <c r="F5377" s="38"/>
      <c r="G5377" s="38"/>
      <c r="H5377" s="38"/>
      <c r="I5377" s="37"/>
      <c r="J5377" s="38"/>
      <c r="K5377" s="38"/>
      <c r="L5377" s="42"/>
      <c r="M5377" s="42"/>
      <c r="N5377" s="42"/>
      <c r="O5377" s="42"/>
      <c r="R5377" s="37"/>
      <c r="S5377" s="37"/>
      <c r="T5377" s="91"/>
      <c r="U5377" s="91"/>
      <c r="V5377" s="41"/>
      <c r="W5377" s="37"/>
      <c r="X5377" s="37"/>
      <c r="Y5377" s="43"/>
      <c r="Z5377" s="37"/>
      <c r="AA5377" s="37"/>
      <c r="AD5377" s="37"/>
      <c r="AE5377" s="37"/>
      <c r="AF5377" s="37"/>
    </row>
    <row r="5378" spans="1:32" x14ac:dyDescent="0.25">
      <c r="A5378" s="37"/>
      <c r="B5378" s="37"/>
      <c r="C5378" s="37"/>
      <c r="F5378" s="38"/>
      <c r="G5378" s="38"/>
      <c r="H5378" s="38"/>
      <c r="I5378" s="37"/>
      <c r="J5378" s="38"/>
      <c r="K5378" s="38"/>
      <c r="L5378" s="42"/>
      <c r="M5378" s="42"/>
      <c r="N5378" s="42"/>
      <c r="O5378" s="42"/>
      <c r="R5378" s="37"/>
      <c r="S5378" s="37"/>
      <c r="T5378" s="91"/>
      <c r="U5378" s="91"/>
      <c r="V5378" s="41"/>
      <c r="W5378" s="37"/>
      <c r="X5378" s="37"/>
      <c r="Y5378" s="43"/>
      <c r="Z5378" s="37"/>
      <c r="AA5378" s="37"/>
      <c r="AD5378" s="37"/>
      <c r="AE5378" s="37"/>
      <c r="AF5378" s="37"/>
    </row>
    <row r="5379" spans="1:32" x14ac:dyDescent="0.25">
      <c r="A5379" s="37"/>
      <c r="B5379" s="37"/>
      <c r="C5379" s="37"/>
      <c r="F5379" s="38"/>
      <c r="G5379" s="38"/>
      <c r="H5379" s="38"/>
      <c r="I5379" s="37"/>
      <c r="J5379" s="38"/>
      <c r="K5379" s="38"/>
      <c r="L5379" s="42"/>
      <c r="M5379" s="42"/>
      <c r="N5379" s="42"/>
      <c r="O5379" s="42"/>
      <c r="R5379" s="37"/>
      <c r="S5379" s="37"/>
      <c r="T5379" s="91"/>
      <c r="U5379" s="91"/>
      <c r="V5379" s="41"/>
      <c r="W5379" s="37"/>
      <c r="X5379" s="37"/>
      <c r="Y5379" s="43"/>
      <c r="Z5379" s="37"/>
      <c r="AA5379" s="37"/>
      <c r="AD5379" s="37"/>
      <c r="AE5379" s="37"/>
      <c r="AF5379" s="37"/>
    </row>
    <row r="5380" spans="1:32" x14ac:dyDescent="0.25">
      <c r="A5380" s="37"/>
      <c r="B5380" s="37"/>
      <c r="C5380" s="37"/>
      <c r="F5380" s="38"/>
      <c r="G5380" s="38"/>
      <c r="H5380" s="38"/>
      <c r="I5380" s="37"/>
      <c r="J5380" s="38"/>
      <c r="K5380" s="38"/>
      <c r="L5380" s="42"/>
      <c r="M5380" s="42"/>
      <c r="N5380" s="42"/>
      <c r="O5380" s="42"/>
      <c r="R5380" s="37"/>
      <c r="S5380" s="37"/>
      <c r="T5380" s="91"/>
      <c r="U5380" s="91"/>
      <c r="V5380" s="41"/>
      <c r="W5380" s="37"/>
      <c r="X5380" s="37"/>
      <c r="Y5380" s="43"/>
      <c r="Z5380" s="37"/>
      <c r="AA5380" s="37"/>
      <c r="AD5380" s="37"/>
      <c r="AE5380" s="37"/>
      <c r="AF5380" s="37"/>
    </row>
    <row r="5381" spans="1:32" x14ac:dyDescent="0.25">
      <c r="A5381" s="37"/>
      <c r="B5381" s="37"/>
      <c r="C5381" s="37"/>
      <c r="F5381" s="38"/>
      <c r="G5381" s="38"/>
      <c r="H5381" s="38"/>
      <c r="I5381" s="37"/>
      <c r="J5381" s="38"/>
      <c r="K5381" s="38"/>
      <c r="L5381" s="42"/>
      <c r="M5381" s="42"/>
      <c r="N5381" s="42"/>
      <c r="O5381" s="42"/>
      <c r="R5381" s="37"/>
      <c r="S5381" s="37"/>
      <c r="T5381" s="91"/>
      <c r="U5381" s="91"/>
      <c r="V5381" s="41"/>
      <c r="W5381" s="37"/>
      <c r="X5381" s="37"/>
      <c r="Y5381" s="43"/>
      <c r="Z5381" s="37"/>
      <c r="AA5381" s="37"/>
      <c r="AD5381" s="37"/>
      <c r="AE5381" s="37"/>
      <c r="AF5381" s="37"/>
    </row>
    <row r="5382" spans="1:32" x14ac:dyDescent="0.25">
      <c r="A5382" s="37"/>
      <c r="B5382" s="37"/>
      <c r="C5382" s="37"/>
      <c r="F5382" s="38"/>
      <c r="G5382" s="38"/>
      <c r="H5382" s="38"/>
      <c r="I5382" s="37"/>
      <c r="J5382" s="38"/>
      <c r="K5382" s="38"/>
      <c r="L5382" s="42"/>
      <c r="M5382" s="42"/>
      <c r="N5382" s="42"/>
      <c r="O5382" s="42"/>
      <c r="R5382" s="37"/>
      <c r="S5382" s="37"/>
      <c r="T5382" s="91"/>
      <c r="U5382" s="91"/>
      <c r="V5382" s="41"/>
      <c r="W5382" s="37"/>
      <c r="X5382" s="37"/>
      <c r="Y5382" s="43"/>
      <c r="Z5382" s="37"/>
      <c r="AA5382" s="37"/>
      <c r="AD5382" s="37"/>
      <c r="AE5382" s="37"/>
      <c r="AF5382" s="37"/>
    </row>
    <row r="5383" spans="1:32" x14ac:dyDescent="0.25">
      <c r="A5383" s="37"/>
      <c r="B5383" s="37"/>
      <c r="C5383" s="37"/>
      <c r="F5383" s="38"/>
      <c r="G5383" s="38"/>
      <c r="H5383" s="38"/>
      <c r="I5383" s="37"/>
      <c r="J5383" s="38"/>
      <c r="K5383" s="38"/>
      <c r="L5383" s="42"/>
      <c r="M5383" s="42"/>
      <c r="N5383" s="42"/>
      <c r="O5383" s="42"/>
      <c r="R5383" s="37"/>
      <c r="S5383" s="37"/>
      <c r="T5383" s="91"/>
      <c r="U5383" s="91"/>
      <c r="V5383" s="41"/>
      <c r="W5383" s="37"/>
      <c r="X5383" s="37"/>
      <c r="Y5383" s="43"/>
      <c r="Z5383" s="37"/>
      <c r="AA5383" s="37"/>
      <c r="AD5383" s="37"/>
      <c r="AE5383" s="37"/>
      <c r="AF5383" s="37"/>
    </row>
    <row r="5384" spans="1:32" x14ac:dyDescent="0.25">
      <c r="A5384" s="37"/>
      <c r="B5384" s="37"/>
      <c r="C5384" s="37"/>
      <c r="F5384" s="38"/>
      <c r="G5384" s="38"/>
      <c r="H5384" s="38"/>
      <c r="I5384" s="37"/>
      <c r="J5384" s="38"/>
      <c r="K5384" s="38"/>
      <c r="L5384" s="42"/>
      <c r="M5384" s="42"/>
      <c r="N5384" s="42"/>
      <c r="O5384" s="42"/>
      <c r="R5384" s="37"/>
      <c r="S5384" s="37"/>
      <c r="T5384" s="91"/>
      <c r="U5384" s="91"/>
      <c r="V5384" s="41"/>
      <c r="W5384" s="37"/>
      <c r="X5384" s="37"/>
      <c r="Y5384" s="43"/>
      <c r="Z5384" s="37"/>
      <c r="AA5384" s="37"/>
      <c r="AD5384" s="37"/>
      <c r="AE5384" s="37"/>
      <c r="AF5384" s="37"/>
    </row>
    <row r="5385" spans="1:32" x14ac:dyDescent="0.25">
      <c r="A5385" s="37"/>
      <c r="B5385" s="37"/>
      <c r="C5385" s="37"/>
      <c r="F5385" s="38"/>
      <c r="G5385" s="38"/>
      <c r="H5385" s="38"/>
      <c r="I5385" s="37"/>
      <c r="J5385" s="38"/>
      <c r="K5385" s="38"/>
      <c r="L5385" s="42"/>
      <c r="M5385" s="42"/>
      <c r="N5385" s="42"/>
      <c r="O5385" s="42"/>
      <c r="R5385" s="37"/>
      <c r="S5385" s="37"/>
      <c r="T5385" s="91"/>
      <c r="U5385" s="91"/>
      <c r="V5385" s="41"/>
      <c r="W5385" s="37"/>
      <c r="X5385" s="37"/>
      <c r="Y5385" s="43"/>
      <c r="Z5385" s="37"/>
      <c r="AA5385" s="37"/>
      <c r="AD5385" s="37"/>
      <c r="AE5385" s="37"/>
      <c r="AF5385" s="37"/>
    </row>
    <row r="5386" spans="1:32" x14ac:dyDescent="0.25">
      <c r="A5386" s="37"/>
      <c r="B5386" s="37"/>
      <c r="C5386" s="37"/>
      <c r="F5386" s="38"/>
      <c r="G5386" s="38"/>
      <c r="H5386" s="38"/>
      <c r="I5386" s="37"/>
      <c r="J5386" s="38"/>
      <c r="K5386" s="38"/>
      <c r="L5386" s="42"/>
      <c r="M5386" s="42"/>
      <c r="N5386" s="42"/>
      <c r="O5386" s="42"/>
      <c r="R5386" s="37"/>
      <c r="S5386" s="37"/>
      <c r="T5386" s="91"/>
      <c r="U5386" s="91"/>
      <c r="V5386" s="41"/>
      <c r="W5386" s="37"/>
      <c r="X5386" s="37"/>
      <c r="Y5386" s="43"/>
      <c r="Z5386" s="37"/>
      <c r="AA5386" s="37"/>
      <c r="AD5386" s="37"/>
      <c r="AE5386" s="37"/>
      <c r="AF5386" s="37"/>
    </row>
    <row r="5387" spans="1:32" x14ac:dyDescent="0.25">
      <c r="A5387" s="37"/>
      <c r="B5387" s="37"/>
      <c r="C5387" s="37"/>
      <c r="F5387" s="38"/>
      <c r="G5387" s="38"/>
      <c r="H5387" s="38"/>
      <c r="I5387" s="37"/>
      <c r="J5387" s="38"/>
      <c r="K5387" s="38"/>
      <c r="L5387" s="42"/>
      <c r="M5387" s="42"/>
      <c r="N5387" s="42"/>
      <c r="O5387" s="42"/>
      <c r="R5387" s="37"/>
      <c r="S5387" s="37"/>
      <c r="T5387" s="91"/>
      <c r="U5387" s="91"/>
      <c r="V5387" s="41"/>
      <c r="W5387" s="37"/>
      <c r="X5387" s="37"/>
      <c r="Y5387" s="43"/>
      <c r="Z5387" s="37"/>
      <c r="AA5387" s="37"/>
      <c r="AD5387" s="37"/>
      <c r="AE5387" s="37"/>
      <c r="AF5387" s="37"/>
    </row>
    <row r="5388" spans="1:32" x14ac:dyDescent="0.25">
      <c r="A5388" s="37"/>
      <c r="B5388" s="37"/>
      <c r="C5388" s="37"/>
      <c r="F5388" s="38"/>
      <c r="G5388" s="38"/>
      <c r="H5388" s="38"/>
      <c r="I5388" s="37"/>
      <c r="J5388" s="38"/>
      <c r="K5388" s="38"/>
      <c r="L5388" s="42"/>
      <c r="M5388" s="42"/>
      <c r="N5388" s="42"/>
      <c r="O5388" s="42"/>
      <c r="R5388" s="37"/>
      <c r="S5388" s="37"/>
      <c r="T5388" s="91"/>
      <c r="U5388" s="91"/>
      <c r="V5388" s="41"/>
      <c r="W5388" s="37"/>
      <c r="X5388" s="37"/>
      <c r="Y5388" s="43"/>
      <c r="Z5388" s="37"/>
      <c r="AA5388" s="37"/>
      <c r="AD5388" s="37"/>
      <c r="AE5388" s="37"/>
      <c r="AF5388" s="37"/>
    </row>
    <row r="5389" spans="1:32" x14ac:dyDescent="0.25">
      <c r="A5389" s="37"/>
      <c r="B5389" s="37"/>
      <c r="C5389" s="37"/>
      <c r="F5389" s="38"/>
      <c r="G5389" s="38"/>
      <c r="H5389" s="38"/>
      <c r="I5389" s="37"/>
      <c r="J5389" s="38"/>
      <c r="K5389" s="38"/>
      <c r="L5389" s="42"/>
      <c r="M5389" s="42"/>
      <c r="N5389" s="42"/>
      <c r="O5389" s="42"/>
      <c r="R5389" s="37"/>
      <c r="S5389" s="37"/>
      <c r="T5389" s="91"/>
      <c r="U5389" s="91"/>
      <c r="V5389" s="41"/>
      <c r="W5389" s="37"/>
      <c r="X5389" s="37"/>
      <c r="Y5389" s="43"/>
      <c r="Z5389" s="37"/>
      <c r="AA5389" s="37"/>
      <c r="AD5389" s="37"/>
      <c r="AE5389" s="37"/>
      <c r="AF5389" s="37"/>
    </row>
    <row r="5390" spans="1:32" x14ac:dyDescent="0.25">
      <c r="A5390" s="37"/>
      <c r="B5390" s="37"/>
      <c r="C5390" s="37"/>
      <c r="F5390" s="38"/>
      <c r="G5390" s="38"/>
      <c r="H5390" s="38"/>
      <c r="I5390" s="37"/>
      <c r="J5390" s="38"/>
      <c r="K5390" s="38"/>
      <c r="L5390" s="42"/>
      <c r="M5390" s="42"/>
      <c r="N5390" s="42"/>
      <c r="O5390" s="42"/>
      <c r="R5390" s="37"/>
      <c r="S5390" s="37"/>
      <c r="T5390" s="91"/>
      <c r="U5390" s="91"/>
      <c r="V5390" s="41"/>
      <c r="W5390" s="37"/>
      <c r="X5390" s="37"/>
      <c r="Y5390" s="43"/>
      <c r="Z5390" s="37"/>
      <c r="AA5390" s="37"/>
      <c r="AD5390" s="37"/>
      <c r="AE5390" s="37"/>
      <c r="AF5390" s="37"/>
    </row>
    <row r="5391" spans="1:32" x14ac:dyDescent="0.25">
      <c r="A5391" s="37"/>
      <c r="B5391" s="37"/>
      <c r="C5391" s="37"/>
      <c r="F5391" s="38"/>
      <c r="G5391" s="38"/>
      <c r="H5391" s="38"/>
      <c r="I5391" s="37"/>
      <c r="J5391" s="38"/>
      <c r="K5391" s="38"/>
      <c r="L5391" s="42"/>
      <c r="M5391" s="42"/>
      <c r="N5391" s="42"/>
      <c r="O5391" s="42"/>
      <c r="R5391" s="37"/>
      <c r="S5391" s="37"/>
      <c r="T5391" s="91"/>
      <c r="U5391" s="91"/>
      <c r="V5391" s="41"/>
      <c r="W5391" s="37"/>
      <c r="X5391" s="37"/>
      <c r="Y5391" s="43"/>
      <c r="Z5391" s="37"/>
      <c r="AA5391" s="37"/>
      <c r="AD5391" s="37"/>
      <c r="AE5391" s="37"/>
      <c r="AF5391" s="37"/>
    </row>
    <row r="5392" spans="1:32" x14ac:dyDescent="0.25">
      <c r="A5392" s="37"/>
      <c r="B5392" s="37"/>
      <c r="C5392" s="37"/>
      <c r="F5392" s="38"/>
      <c r="G5392" s="38"/>
      <c r="H5392" s="38"/>
      <c r="I5392" s="37"/>
      <c r="J5392" s="38"/>
      <c r="K5392" s="38"/>
      <c r="L5392" s="42"/>
      <c r="M5392" s="42"/>
      <c r="N5392" s="42"/>
      <c r="O5392" s="42"/>
      <c r="R5392" s="37"/>
      <c r="S5392" s="37"/>
      <c r="T5392" s="91"/>
      <c r="U5392" s="91"/>
      <c r="V5392" s="41"/>
      <c r="W5392" s="37"/>
      <c r="X5392" s="37"/>
      <c r="Y5392" s="43"/>
      <c r="Z5392" s="37"/>
      <c r="AA5392" s="37"/>
      <c r="AD5392" s="37"/>
      <c r="AE5392" s="37"/>
      <c r="AF5392" s="37"/>
    </row>
    <row r="5393" spans="1:32" x14ac:dyDescent="0.25">
      <c r="A5393" s="37"/>
      <c r="B5393" s="37"/>
      <c r="C5393" s="37"/>
      <c r="F5393" s="38"/>
      <c r="G5393" s="38"/>
      <c r="H5393" s="38"/>
      <c r="I5393" s="37"/>
      <c r="J5393" s="38"/>
      <c r="K5393" s="38"/>
      <c r="L5393" s="42"/>
      <c r="M5393" s="42"/>
      <c r="N5393" s="42"/>
      <c r="O5393" s="42"/>
      <c r="R5393" s="37"/>
      <c r="S5393" s="37"/>
      <c r="T5393" s="91"/>
      <c r="U5393" s="91"/>
      <c r="V5393" s="41"/>
      <c r="W5393" s="37"/>
      <c r="X5393" s="37"/>
      <c r="Y5393" s="43"/>
      <c r="Z5393" s="37"/>
      <c r="AA5393" s="37"/>
      <c r="AD5393" s="37"/>
      <c r="AE5393" s="37"/>
      <c r="AF5393" s="37"/>
    </row>
    <row r="5394" spans="1:32" x14ac:dyDescent="0.25">
      <c r="A5394" s="37"/>
      <c r="B5394" s="37"/>
      <c r="C5394" s="37"/>
      <c r="F5394" s="38"/>
      <c r="G5394" s="38"/>
      <c r="H5394" s="38"/>
      <c r="I5394" s="37"/>
      <c r="J5394" s="38"/>
      <c r="K5394" s="38"/>
      <c r="L5394" s="42"/>
      <c r="M5394" s="42"/>
      <c r="N5394" s="42"/>
      <c r="O5394" s="42"/>
      <c r="R5394" s="37"/>
      <c r="S5394" s="37"/>
      <c r="T5394" s="91"/>
      <c r="U5394" s="91"/>
      <c r="V5394" s="41"/>
      <c r="W5394" s="37"/>
      <c r="X5394" s="37"/>
      <c r="Y5394" s="43"/>
      <c r="Z5394" s="37"/>
      <c r="AA5394" s="37"/>
      <c r="AD5394" s="37"/>
      <c r="AE5394" s="37"/>
      <c r="AF5394" s="37"/>
    </row>
    <row r="5395" spans="1:32" x14ac:dyDescent="0.25">
      <c r="A5395" s="37"/>
      <c r="B5395" s="37"/>
      <c r="C5395" s="37"/>
      <c r="F5395" s="38"/>
      <c r="G5395" s="38"/>
      <c r="H5395" s="38"/>
      <c r="I5395" s="37"/>
      <c r="J5395" s="38"/>
      <c r="K5395" s="38"/>
      <c r="L5395" s="42"/>
      <c r="M5395" s="42"/>
      <c r="N5395" s="42"/>
      <c r="O5395" s="42"/>
      <c r="R5395" s="37"/>
      <c r="S5395" s="37"/>
      <c r="T5395" s="91"/>
      <c r="U5395" s="91"/>
      <c r="V5395" s="41"/>
      <c r="W5395" s="37"/>
      <c r="X5395" s="37"/>
      <c r="Y5395" s="43"/>
      <c r="Z5395" s="37"/>
      <c r="AA5395" s="37"/>
      <c r="AD5395" s="37"/>
      <c r="AE5395" s="37"/>
      <c r="AF5395" s="37"/>
    </row>
    <row r="5396" spans="1:32" x14ac:dyDescent="0.25">
      <c r="A5396" s="37"/>
      <c r="B5396" s="37"/>
      <c r="C5396" s="37"/>
      <c r="F5396" s="38"/>
      <c r="G5396" s="38"/>
      <c r="H5396" s="38"/>
      <c r="I5396" s="37"/>
      <c r="J5396" s="38"/>
      <c r="K5396" s="38"/>
      <c r="L5396" s="42"/>
      <c r="M5396" s="42"/>
      <c r="N5396" s="42"/>
      <c r="O5396" s="42"/>
      <c r="R5396" s="37"/>
      <c r="S5396" s="37"/>
      <c r="T5396" s="91"/>
      <c r="U5396" s="91"/>
      <c r="V5396" s="41"/>
      <c r="W5396" s="37"/>
      <c r="X5396" s="37"/>
      <c r="Y5396" s="43"/>
      <c r="Z5396" s="37"/>
      <c r="AA5396" s="37"/>
      <c r="AD5396" s="37"/>
      <c r="AE5396" s="37"/>
      <c r="AF5396" s="37"/>
    </row>
    <row r="5397" spans="1:32" x14ac:dyDescent="0.25">
      <c r="A5397" s="37"/>
      <c r="B5397" s="37"/>
      <c r="C5397" s="37"/>
      <c r="F5397" s="38"/>
      <c r="G5397" s="38"/>
      <c r="H5397" s="38"/>
      <c r="I5397" s="37"/>
      <c r="J5397" s="38"/>
      <c r="K5397" s="38"/>
      <c r="L5397" s="42"/>
      <c r="M5397" s="42"/>
      <c r="N5397" s="42"/>
      <c r="O5397" s="42"/>
      <c r="R5397" s="37"/>
      <c r="S5397" s="37"/>
      <c r="T5397" s="91"/>
      <c r="U5397" s="91"/>
      <c r="V5397" s="41"/>
      <c r="W5397" s="37"/>
      <c r="X5397" s="37"/>
      <c r="Y5397" s="43"/>
      <c r="Z5397" s="37"/>
      <c r="AA5397" s="37"/>
      <c r="AD5397" s="37"/>
      <c r="AE5397" s="37"/>
      <c r="AF5397" s="37"/>
    </row>
    <row r="5398" spans="1:32" x14ac:dyDescent="0.25">
      <c r="A5398" s="37"/>
      <c r="B5398" s="37"/>
      <c r="C5398" s="37"/>
      <c r="F5398" s="38"/>
      <c r="G5398" s="38"/>
      <c r="H5398" s="38"/>
      <c r="I5398" s="37"/>
      <c r="J5398" s="38"/>
      <c r="K5398" s="38"/>
      <c r="L5398" s="42"/>
      <c r="M5398" s="42"/>
      <c r="N5398" s="42"/>
      <c r="O5398" s="42"/>
      <c r="R5398" s="37"/>
      <c r="S5398" s="37"/>
      <c r="T5398" s="91"/>
      <c r="U5398" s="91"/>
      <c r="V5398" s="41"/>
      <c r="W5398" s="37"/>
      <c r="X5398" s="37"/>
      <c r="Y5398" s="43"/>
      <c r="Z5398" s="37"/>
      <c r="AA5398" s="37"/>
      <c r="AD5398" s="37"/>
      <c r="AE5398" s="37"/>
      <c r="AF5398" s="37"/>
    </row>
    <row r="5399" spans="1:32" x14ac:dyDescent="0.25">
      <c r="A5399" s="37"/>
      <c r="B5399" s="37"/>
      <c r="C5399" s="37"/>
      <c r="F5399" s="38"/>
      <c r="G5399" s="38"/>
      <c r="H5399" s="38"/>
      <c r="I5399" s="37"/>
      <c r="J5399" s="38"/>
      <c r="K5399" s="38"/>
      <c r="L5399" s="42"/>
      <c r="M5399" s="42"/>
      <c r="N5399" s="42"/>
      <c r="O5399" s="42"/>
      <c r="R5399" s="37"/>
      <c r="S5399" s="37"/>
      <c r="T5399" s="91"/>
      <c r="U5399" s="91"/>
      <c r="V5399" s="41"/>
      <c r="W5399" s="37"/>
      <c r="X5399" s="37"/>
      <c r="Y5399" s="43"/>
      <c r="Z5399" s="37"/>
      <c r="AA5399" s="37"/>
      <c r="AD5399" s="37"/>
      <c r="AE5399" s="37"/>
      <c r="AF5399" s="37"/>
    </row>
    <row r="5400" spans="1:32" x14ac:dyDescent="0.25">
      <c r="A5400" s="37"/>
      <c r="B5400" s="37"/>
      <c r="C5400" s="37"/>
      <c r="F5400" s="38"/>
      <c r="G5400" s="38"/>
      <c r="H5400" s="38"/>
      <c r="I5400" s="37"/>
      <c r="J5400" s="38"/>
      <c r="K5400" s="38"/>
      <c r="L5400" s="42"/>
      <c r="M5400" s="42"/>
      <c r="N5400" s="42"/>
      <c r="O5400" s="42"/>
      <c r="R5400" s="37"/>
      <c r="S5400" s="37"/>
      <c r="T5400" s="91"/>
      <c r="U5400" s="91"/>
      <c r="V5400" s="41"/>
      <c r="W5400" s="37"/>
      <c r="X5400" s="37"/>
      <c r="Y5400" s="43"/>
      <c r="Z5400" s="37"/>
      <c r="AA5400" s="37"/>
      <c r="AD5400" s="37"/>
      <c r="AE5400" s="37"/>
      <c r="AF5400" s="37"/>
    </row>
    <row r="5401" spans="1:32" x14ac:dyDescent="0.25">
      <c r="A5401" s="37"/>
      <c r="B5401" s="37"/>
      <c r="C5401" s="37"/>
      <c r="F5401" s="38"/>
      <c r="G5401" s="38"/>
      <c r="H5401" s="38"/>
      <c r="I5401" s="37"/>
      <c r="J5401" s="38"/>
      <c r="K5401" s="38"/>
      <c r="L5401" s="42"/>
      <c r="M5401" s="42"/>
      <c r="N5401" s="42"/>
      <c r="O5401" s="42"/>
      <c r="R5401" s="37"/>
      <c r="S5401" s="37"/>
      <c r="T5401" s="91"/>
      <c r="U5401" s="91"/>
      <c r="V5401" s="41"/>
      <c r="W5401" s="37"/>
      <c r="X5401" s="37"/>
      <c r="Y5401" s="43"/>
      <c r="Z5401" s="37"/>
      <c r="AA5401" s="37"/>
      <c r="AD5401" s="37"/>
      <c r="AE5401" s="37"/>
      <c r="AF5401" s="37"/>
    </row>
    <row r="5402" spans="1:32" x14ac:dyDescent="0.25">
      <c r="A5402" s="37"/>
      <c r="B5402" s="37"/>
      <c r="C5402" s="37"/>
      <c r="F5402" s="38"/>
      <c r="G5402" s="38"/>
      <c r="H5402" s="38"/>
      <c r="I5402" s="37"/>
      <c r="J5402" s="38"/>
      <c r="K5402" s="38"/>
      <c r="L5402" s="42"/>
      <c r="M5402" s="42"/>
      <c r="N5402" s="42"/>
      <c r="O5402" s="42"/>
      <c r="R5402" s="37"/>
      <c r="S5402" s="37"/>
      <c r="T5402" s="91"/>
      <c r="U5402" s="91"/>
      <c r="V5402" s="41"/>
      <c r="W5402" s="37"/>
      <c r="X5402" s="37"/>
      <c r="Y5402" s="43"/>
      <c r="Z5402" s="37"/>
      <c r="AA5402" s="37"/>
      <c r="AD5402" s="37"/>
      <c r="AE5402" s="37"/>
      <c r="AF5402" s="37"/>
    </row>
    <row r="5403" spans="1:32" x14ac:dyDescent="0.25">
      <c r="A5403" s="37"/>
      <c r="B5403" s="37"/>
      <c r="C5403" s="37"/>
      <c r="F5403" s="38"/>
      <c r="G5403" s="38"/>
      <c r="H5403" s="38"/>
      <c r="I5403" s="37"/>
      <c r="J5403" s="38"/>
      <c r="K5403" s="38"/>
      <c r="L5403" s="42"/>
      <c r="M5403" s="42"/>
      <c r="N5403" s="42"/>
      <c r="O5403" s="42"/>
      <c r="R5403" s="37"/>
      <c r="S5403" s="37"/>
      <c r="T5403" s="91"/>
      <c r="U5403" s="91"/>
      <c r="V5403" s="41"/>
      <c r="W5403" s="37"/>
      <c r="X5403" s="37"/>
      <c r="Y5403" s="43"/>
      <c r="Z5403" s="37"/>
      <c r="AA5403" s="37"/>
      <c r="AD5403" s="37"/>
      <c r="AE5403" s="37"/>
      <c r="AF5403" s="37"/>
    </row>
    <row r="5404" spans="1:32" x14ac:dyDescent="0.25">
      <c r="A5404" s="37"/>
      <c r="B5404" s="37"/>
      <c r="C5404" s="37"/>
      <c r="F5404" s="38"/>
      <c r="G5404" s="38"/>
      <c r="H5404" s="38"/>
      <c r="I5404" s="37"/>
      <c r="J5404" s="38"/>
      <c r="K5404" s="38"/>
      <c r="L5404" s="42"/>
      <c r="M5404" s="42"/>
      <c r="N5404" s="42"/>
      <c r="O5404" s="42"/>
      <c r="R5404" s="37"/>
      <c r="S5404" s="37"/>
      <c r="T5404" s="91"/>
      <c r="U5404" s="91"/>
      <c r="V5404" s="41"/>
      <c r="W5404" s="37"/>
      <c r="X5404" s="37"/>
      <c r="Y5404" s="43"/>
      <c r="Z5404" s="37"/>
      <c r="AA5404" s="37"/>
      <c r="AD5404" s="37"/>
      <c r="AE5404" s="37"/>
      <c r="AF5404" s="37"/>
    </row>
    <row r="5405" spans="1:32" x14ac:dyDescent="0.25">
      <c r="A5405" s="37"/>
      <c r="B5405" s="37"/>
      <c r="C5405" s="37"/>
      <c r="F5405" s="38"/>
      <c r="G5405" s="38"/>
      <c r="H5405" s="38"/>
      <c r="I5405" s="37"/>
      <c r="J5405" s="38"/>
      <c r="K5405" s="38"/>
      <c r="L5405" s="42"/>
      <c r="M5405" s="42"/>
      <c r="N5405" s="42"/>
      <c r="O5405" s="42"/>
      <c r="R5405" s="37"/>
      <c r="S5405" s="37"/>
      <c r="T5405" s="91"/>
      <c r="U5405" s="91"/>
      <c r="V5405" s="41"/>
      <c r="W5405" s="37"/>
      <c r="X5405" s="37"/>
      <c r="Y5405" s="43"/>
      <c r="Z5405" s="37"/>
      <c r="AA5405" s="37"/>
      <c r="AD5405" s="37"/>
      <c r="AE5405" s="37"/>
      <c r="AF5405" s="37"/>
    </row>
    <row r="5406" spans="1:32" x14ac:dyDescent="0.25">
      <c r="A5406" s="37"/>
      <c r="B5406" s="37"/>
      <c r="C5406" s="37"/>
      <c r="F5406" s="38"/>
      <c r="G5406" s="38"/>
      <c r="H5406" s="38"/>
      <c r="I5406" s="37"/>
      <c r="J5406" s="38"/>
      <c r="K5406" s="38"/>
      <c r="L5406" s="42"/>
      <c r="M5406" s="42"/>
      <c r="N5406" s="42"/>
      <c r="O5406" s="42"/>
      <c r="R5406" s="37"/>
      <c r="S5406" s="37"/>
      <c r="T5406" s="91"/>
      <c r="U5406" s="91"/>
      <c r="V5406" s="41"/>
      <c r="W5406" s="37"/>
      <c r="X5406" s="37"/>
      <c r="Y5406" s="43"/>
      <c r="Z5406" s="37"/>
      <c r="AA5406" s="37"/>
      <c r="AD5406" s="37"/>
      <c r="AE5406" s="37"/>
      <c r="AF5406" s="37"/>
    </row>
    <row r="5407" spans="1:32" x14ac:dyDescent="0.25">
      <c r="A5407" s="37"/>
      <c r="B5407" s="37"/>
      <c r="C5407" s="37"/>
      <c r="F5407" s="38"/>
      <c r="G5407" s="38"/>
      <c r="H5407" s="38"/>
      <c r="I5407" s="37"/>
      <c r="J5407" s="38"/>
      <c r="K5407" s="38"/>
      <c r="L5407" s="42"/>
      <c r="M5407" s="42"/>
      <c r="N5407" s="42"/>
      <c r="O5407" s="42"/>
      <c r="R5407" s="37"/>
      <c r="S5407" s="37"/>
      <c r="T5407" s="91"/>
      <c r="U5407" s="91"/>
      <c r="V5407" s="41"/>
      <c r="W5407" s="37"/>
      <c r="X5407" s="37"/>
      <c r="Y5407" s="43"/>
      <c r="Z5407" s="37"/>
      <c r="AA5407" s="37"/>
      <c r="AD5407" s="37"/>
      <c r="AE5407" s="37"/>
      <c r="AF5407" s="37"/>
    </row>
    <row r="5408" spans="1:32" x14ac:dyDescent="0.25">
      <c r="A5408" s="37"/>
      <c r="B5408" s="37"/>
      <c r="C5408" s="37"/>
      <c r="F5408" s="38"/>
      <c r="G5408" s="38"/>
      <c r="H5408" s="38"/>
      <c r="I5408" s="37"/>
      <c r="J5408" s="38"/>
      <c r="K5408" s="38"/>
      <c r="L5408" s="42"/>
      <c r="M5408" s="42"/>
      <c r="N5408" s="42"/>
      <c r="O5408" s="42"/>
      <c r="R5408" s="37"/>
      <c r="S5408" s="37"/>
      <c r="T5408" s="91"/>
      <c r="U5408" s="91"/>
      <c r="V5408" s="41"/>
      <c r="W5408" s="37"/>
      <c r="X5408" s="37"/>
      <c r="Y5408" s="43"/>
      <c r="Z5408" s="37"/>
      <c r="AA5408" s="37"/>
      <c r="AD5408" s="37"/>
      <c r="AE5408" s="37"/>
      <c r="AF5408" s="37"/>
    </row>
    <row r="5409" spans="1:32" x14ac:dyDescent="0.25">
      <c r="A5409" s="37"/>
      <c r="B5409" s="37"/>
      <c r="C5409" s="37"/>
      <c r="F5409" s="38"/>
      <c r="G5409" s="38"/>
      <c r="H5409" s="38"/>
      <c r="I5409" s="37"/>
      <c r="J5409" s="38"/>
      <c r="K5409" s="38"/>
      <c r="L5409" s="42"/>
      <c r="M5409" s="42"/>
      <c r="N5409" s="42"/>
      <c r="O5409" s="42"/>
      <c r="R5409" s="37"/>
      <c r="S5409" s="37"/>
      <c r="T5409" s="91"/>
      <c r="U5409" s="91"/>
      <c r="V5409" s="41"/>
      <c r="W5409" s="37"/>
      <c r="X5409" s="37"/>
      <c r="Y5409" s="43"/>
      <c r="Z5409" s="37"/>
      <c r="AA5409" s="37"/>
      <c r="AD5409" s="37"/>
      <c r="AE5409" s="37"/>
      <c r="AF5409" s="37"/>
    </row>
    <row r="5410" spans="1:32" x14ac:dyDescent="0.25">
      <c r="A5410" s="37"/>
      <c r="B5410" s="37"/>
      <c r="C5410" s="37"/>
      <c r="F5410" s="38"/>
      <c r="G5410" s="38"/>
      <c r="H5410" s="38"/>
      <c r="I5410" s="37"/>
      <c r="J5410" s="38"/>
      <c r="K5410" s="38"/>
      <c r="L5410" s="42"/>
      <c r="M5410" s="42"/>
      <c r="N5410" s="42"/>
      <c r="O5410" s="42"/>
      <c r="R5410" s="37"/>
      <c r="S5410" s="37"/>
      <c r="T5410" s="91"/>
      <c r="U5410" s="91"/>
      <c r="V5410" s="41"/>
      <c r="W5410" s="37"/>
      <c r="X5410" s="37"/>
      <c r="Y5410" s="43"/>
      <c r="Z5410" s="37"/>
      <c r="AA5410" s="37"/>
      <c r="AD5410" s="37"/>
      <c r="AE5410" s="37"/>
      <c r="AF5410" s="37"/>
    </row>
    <row r="5411" spans="1:32" x14ac:dyDescent="0.25">
      <c r="A5411" s="37"/>
      <c r="B5411" s="37"/>
      <c r="C5411" s="37"/>
      <c r="F5411" s="38"/>
      <c r="G5411" s="38"/>
      <c r="H5411" s="38"/>
      <c r="I5411" s="37"/>
      <c r="J5411" s="38"/>
      <c r="K5411" s="38"/>
      <c r="L5411" s="42"/>
      <c r="M5411" s="42"/>
      <c r="N5411" s="42"/>
      <c r="O5411" s="42"/>
      <c r="R5411" s="37"/>
      <c r="S5411" s="37"/>
      <c r="T5411" s="91"/>
      <c r="U5411" s="91"/>
      <c r="V5411" s="41"/>
      <c r="W5411" s="37"/>
      <c r="X5411" s="37"/>
      <c r="Y5411" s="43"/>
      <c r="Z5411" s="37"/>
      <c r="AA5411" s="37"/>
      <c r="AD5411" s="37"/>
      <c r="AE5411" s="37"/>
      <c r="AF5411" s="37"/>
    </row>
    <row r="5412" spans="1:32" x14ac:dyDescent="0.25">
      <c r="A5412" s="37"/>
      <c r="B5412" s="37"/>
      <c r="C5412" s="37"/>
      <c r="F5412" s="38"/>
      <c r="G5412" s="38"/>
      <c r="H5412" s="38"/>
      <c r="I5412" s="37"/>
      <c r="J5412" s="38"/>
      <c r="K5412" s="38"/>
      <c r="L5412" s="42"/>
      <c r="M5412" s="42"/>
      <c r="N5412" s="42"/>
      <c r="O5412" s="42"/>
      <c r="R5412" s="37"/>
      <c r="S5412" s="37"/>
      <c r="T5412" s="91"/>
      <c r="U5412" s="91"/>
      <c r="V5412" s="41"/>
      <c r="W5412" s="37"/>
      <c r="X5412" s="37"/>
      <c r="Y5412" s="43"/>
      <c r="Z5412" s="37"/>
      <c r="AA5412" s="37"/>
      <c r="AD5412" s="37"/>
      <c r="AE5412" s="37"/>
      <c r="AF5412" s="37"/>
    </row>
    <row r="5413" spans="1:32" x14ac:dyDescent="0.25">
      <c r="A5413" s="37"/>
      <c r="B5413" s="37"/>
      <c r="C5413" s="37"/>
      <c r="F5413" s="38"/>
      <c r="G5413" s="38"/>
      <c r="H5413" s="38"/>
      <c r="I5413" s="37"/>
      <c r="J5413" s="38"/>
      <c r="K5413" s="38"/>
      <c r="L5413" s="42"/>
      <c r="M5413" s="42"/>
      <c r="N5413" s="42"/>
      <c r="O5413" s="42"/>
      <c r="R5413" s="37"/>
      <c r="S5413" s="37"/>
      <c r="T5413" s="91"/>
      <c r="U5413" s="91"/>
      <c r="V5413" s="41"/>
      <c r="W5413" s="37"/>
      <c r="X5413" s="37"/>
      <c r="Y5413" s="43"/>
      <c r="Z5413" s="37"/>
      <c r="AA5413" s="37"/>
      <c r="AD5413" s="37"/>
      <c r="AE5413" s="37"/>
      <c r="AF5413" s="37"/>
    </row>
    <row r="5414" spans="1:32" x14ac:dyDescent="0.25">
      <c r="A5414" s="37"/>
      <c r="B5414" s="37"/>
      <c r="C5414" s="37"/>
      <c r="F5414" s="38"/>
      <c r="G5414" s="38"/>
      <c r="H5414" s="38"/>
      <c r="I5414" s="37"/>
      <c r="J5414" s="38"/>
      <c r="K5414" s="38"/>
      <c r="L5414" s="42"/>
      <c r="M5414" s="42"/>
      <c r="N5414" s="42"/>
      <c r="O5414" s="42"/>
      <c r="R5414" s="37"/>
      <c r="S5414" s="37"/>
      <c r="T5414" s="91"/>
      <c r="U5414" s="91"/>
      <c r="V5414" s="41"/>
      <c r="W5414" s="37"/>
      <c r="X5414" s="37"/>
      <c r="Y5414" s="43"/>
      <c r="Z5414" s="37"/>
      <c r="AA5414" s="37"/>
      <c r="AD5414" s="37"/>
      <c r="AE5414" s="37"/>
      <c r="AF5414" s="37"/>
    </row>
    <row r="5415" spans="1:32" x14ac:dyDescent="0.25">
      <c r="A5415" s="37"/>
      <c r="B5415" s="37"/>
      <c r="C5415" s="37"/>
      <c r="F5415" s="38"/>
      <c r="G5415" s="38"/>
      <c r="H5415" s="38"/>
      <c r="I5415" s="37"/>
      <c r="J5415" s="38"/>
      <c r="K5415" s="38"/>
      <c r="L5415" s="42"/>
      <c r="M5415" s="42"/>
      <c r="N5415" s="42"/>
      <c r="O5415" s="42"/>
      <c r="R5415" s="37"/>
      <c r="S5415" s="37"/>
      <c r="T5415" s="91"/>
      <c r="U5415" s="91"/>
      <c r="V5415" s="41"/>
      <c r="W5415" s="37"/>
      <c r="X5415" s="37"/>
      <c r="Y5415" s="43"/>
      <c r="Z5415" s="37"/>
      <c r="AA5415" s="37"/>
      <c r="AD5415" s="37"/>
      <c r="AE5415" s="37"/>
      <c r="AF5415" s="37"/>
    </row>
    <row r="5416" spans="1:32" x14ac:dyDescent="0.25">
      <c r="A5416" s="37"/>
      <c r="B5416" s="37"/>
      <c r="C5416" s="37"/>
      <c r="F5416" s="38"/>
      <c r="G5416" s="38"/>
      <c r="H5416" s="38"/>
      <c r="I5416" s="37"/>
      <c r="J5416" s="38"/>
      <c r="K5416" s="38"/>
      <c r="L5416" s="42"/>
      <c r="M5416" s="42"/>
      <c r="N5416" s="42"/>
      <c r="O5416" s="42"/>
      <c r="R5416" s="37"/>
      <c r="S5416" s="37"/>
      <c r="T5416" s="91"/>
      <c r="U5416" s="91"/>
      <c r="V5416" s="41"/>
      <c r="W5416" s="37"/>
      <c r="X5416" s="37"/>
      <c r="Y5416" s="43"/>
      <c r="Z5416" s="37"/>
      <c r="AA5416" s="37"/>
      <c r="AD5416" s="37"/>
      <c r="AE5416" s="37"/>
      <c r="AF5416" s="37"/>
    </row>
    <row r="5417" spans="1:32" x14ac:dyDescent="0.25">
      <c r="A5417" s="37"/>
      <c r="B5417" s="37"/>
      <c r="C5417" s="37"/>
      <c r="F5417" s="38"/>
      <c r="G5417" s="38"/>
      <c r="H5417" s="38"/>
      <c r="I5417" s="37"/>
      <c r="J5417" s="38"/>
      <c r="K5417" s="38"/>
      <c r="L5417" s="42"/>
      <c r="M5417" s="42"/>
      <c r="N5417" s="42"/>
      <c r="O5417" s="42"/>
      <c r="R5417" s="37"/>
      <c r="S5417" s="37"/>
      <c r="T5417" s="91"/>
      <c r="U5417" s="91"/>
      <c r="V5417" s="41"/>
      <c r="W5417" s="37"/>
      <c r="X5417" s="37"/>
      <c r="Y5417" s="43"/>
      <c r="Z5417" s="37"/>
      <c r="AA5417" s="37"/>
      <c r="AD5417" s="37"/>
      <c r="AE5417" s="37"/>
      <c r="AF5417" s="37"/>
    </row>
    <row r="5418" spans="1:32" x14ac:dyDescent="0.25">
      <c r="A5418" s="37"/>
      <c r="B5418" s="37"/>
      <c r="C5418" s="37"/>
      <c r="F5418" s="38"/>
      <c r="G5418" s="38"/>
      <c r="H5418" s="38"/>
      <c r="I5418" s="37"/>
      <c r="J5418" s="38"/>
      <c r="K5418" s="38"/>
      <c r="L5418" s="42"/>
      <c r="M5418" s="42"/>
      <c r="N5418" s="42"/>
      <c r="O5418" s="42"/>
      <c r="R5418" s="37"/>
      <c r="S5418" s="37"/>
      <c r="T5418" s="91"/>
      <c r="U5418" s="91"/>
      <c r="V5418" s="41"/>
      <c r="W5418" s="37"/>
      <c r="X5418" s="37"/>
      <c r="Y5418" s="43"/>
      <c r="Z5418" s="37"/>
      <c r="AA5418" s="37"/>
      <c r="AD5418" s="37"/>
      <c r="AE5418" s="37"/>
      <c r="AF5418" s="37"/>
    </row>
    <row r="5419" spans="1:32" x14ac:dyDescent="0.25">
      <c r="A5419" s="37"/>
      <c r="B5419" s="37"/>
      <c r="C5419" s="37"/>
      <c r="F5419" s="38"/>
      <c r="G5419" s="38"/>
      <c r="H5419" s="38"/>
      <c r="I5419" s="37"/>
      <c r="J5419" s="38"/>
      <c r="K5419" s="38"/>
      <c r="L5419" s="42"/>
      <c r="M5419" s="42"/>
      <c r="N5419" s="42"/>
      <c r="O5419" s="42"/>
      <c r="R5419" s="37"/>
      <c r="S5419" s="37"/>
      <c r="T5419" s="91"/>
      <c r="U5419" s="91"/>
      <c r="V5419" s="41"/>
      <c r="W5419" s="37"/>
      <c r="X5419" s="37"/>
      <c r="Y5419" s="43"/>
      <c r="Z5419" s="37"/>
      <c r="AA5419" s="37"/>
      <c r="AD5419" s="37"/>
      <c r="AE5419" s="37"/>
      <c r="AF5419" s="37"/>
    </row>
    <row r="5420" spans="1:32" x14ac:dyDescent="0.25">
      <c r="A5420" s="37"/>
      <c r="B5420" s="37"/>
      <c r="C5420" s="37"/>
      <c r="F5420" s="38"/>
      <c r="G5420" s="38"/>
      <c r="H5420" s="38"/>
      <c r="I5420" s="37"/>
      <c r="J5420" s="38"/>
      <c r="K5420" s="38"/>
      <c r="L5420" s="42"/>
      <c r="M5420" s="42"/>
      <c r="N5420" s="42"/>
      <c r="O5420" s="42"/>
      <c r="R5420" s="37"/>
      <c r="S5420" s="37"/>
      <c r="T5420" s="91"/>
      <c r="U5420" s="91"/>
      <c r="V5420" s="41"/>
      <c r="W5420" s="37"/>
      <c r="X5420" s="37"/>
      <c r="Y5420" s="43"/>
      <c r="Z5420" s="37"/>
      <c r="AA5420" s="37"/>
      <c r="AD5420" s="37"/>
      <c r="AE5420" s="37"/>
      <c r="AF5420" s="37"/>
    </row>
    <row r="5421" spans="1:32" x14ac:dyDescent="0.25">
      <c r="A5421" s="37"/>
      <c r="B5421" s="37"/>
      <c r="C5421" s="37"/>
      <c r="F5421" s="38"/>
      <c r="G5421" s="38"/>
      <c r="H5421" s="38"/>
      <c r="I5421" s="37"/>
      <c r="J5421" s="38"/>
      <c r="K5421" s="38"/>
      <c r="L5421" s="42"/>
      <c r="M5421" s="42"/>
      <c r="N5421" s="42"/>
      <c r="O5421" s="42"/>
      <c r="R5421" s="37"/>
      <c r="S5421" s="37"/>
      <c r="T5421" s="91"/>
      <c r="U5421" s="91"/>
      <c r="V5421" s="41"/>
      <c r="W5421" s="37"/>
      <c r="X5421" s="37"/>
      <c r="Y5421" s="43"/>
      <c r="Z5421" s="37"/>
      <c r="AA5421" s="37"/>
      <c r="AD5421" s="37"/>
      <c r="AE5421" s="37"/>
      <c r="AF5421" s="37"/>
    </row>
    <row r="5422" spans="1:32" x14ac:dyDescent="0.25">
      <c r="A5422" s="37"/>
      <c r="B5422" s="37"/>
      <c r="C5422" s="37"/>
      <c r="F5422" s="38"/>
      <c r="G5422" s="38"/>
      <c r="H5422" s="38"/>
      <c r="I5422" s="37"/>
      <c r="J5422" s="38"/>
      <c r="K5422" s="38"/>
      <c r="L5422" s="42"/>
      <c r="M5422" s="42"/>
      <c r="N5422" s="42"/>
      <c r="O5422" s="42"/>
      <c r="R5422" s="37"/>
      <c r="S5422" s="37"/>
      <c r="T5422" s="91"/>
      <c r="U5422" s="91"/>
      <c r="V5422" s="41"/>
      <c r="W5422" s="37"/>
      <c r="X5422" s="37"/>
      <c r="Y5422" s="43"/>
      <c r="Z5422" s="37"/>
      <c r="AA5422" s="37"/>
      <c r="AD5422" s="37"/>
      <c r="AE5422" s="37"/>
      <c r="AF5422" s="37"/>
    </row>
    <row r="5423" spans="1:32" x14ac:dyDescent="0.25">
      <c r="A5423" s="37"/>
      <c r="B5423" s="37"/>
      <c r="C5423" s="37"/>
      <c r="F5423" s="38"/>
      <c r="G5423" s="38"/>
      <c r="H5423" s="38"/>
      <c r="I5423" s="37"/>
      <c r="J5423" s="38"/>
      <c r="K5423" s="38"/>
      <c r="L5423" s="42"/>
      <c r="M5423" s="42"/>
      <c r="N5423" s="42"/>
      <c r="O5423" s="42"/>
      <c r="R5423" s="37"/>
      <c r="S5423" s="37"/>
      <c r="T5423" s="91"/>
      <c r="U5423" s="91"/>
      <c r="V5423" s="41"/>
      <c r="W5423" s="37"/>
      <c r="X5423" s="37"/>
      <c r="Y5423" s="43"/>
      <c r="Z5423" s="37"/>
      <c r="AA5423" s="37"/>
      <c r="AD5423" s="37"/>
      <c r="AE5423" s="37"/>
      <c r="AF5423" s="37"/>
    </row>
    <row r="5424" spans="1:32" x14ac:dyDescent="0.25">
      <c r="A5424" s="37"/>
      <c r="B5424" s="37"/>
      <c r="C5424" s="37"/>
      <c r="F5424" s="38"/>
      <c r="G5424" s="38"/>
      <c r="H5424" s="38"/>
      <c r="I5424" s="37"/>
      <c r="J5424" s="38"/>
      <c r="K5424" s="38"/>
      <c r="L5424" s="42"/>
      <c r="M5424" s="42"/>
      <c r="N5424" s="42"/>
      <c r="O5424" s="42"/>
      <c r="R5424" s="37"/>
      <c r="S5424" s="37"/>
      <c r="T5424" s="91"/>
      <c r="U5424" s="91"/>
      <c r="V5424" s="41"/>
      <c r="W5424" s="37"/>
      <c r="X5424" s="37"/>
      <c r="Y5424" s="43"/>
      <c r="Z5424" s="37"/>
      <c r="AA5424" s="37"/>
      <c r="AD5424" s="37"/>
      <c r="AE5424" s="37"/>
      <c r="AF5424" s="37"/>
    </row>
    <row r="5425" spans="1:32" x14ac:dyDescent="0.25">
      <c r="A5425" s="37"/>
      <c r="B5425" s="37"/>
      <c r="C5425" s="37"/>
      <c r="F5425" s="38"/>
      <c r="G5425" s="38"/>
      <c r="H5425" s="38"/>
      <c r="I5425" s="37"/>
      <c r="J5425" s="38"/>
      <c r="K5425" s="38"/>
      <c r="L5425" s="42"/>
      <c r="M5425" s="42"/>
      <c r="N5425" s="42"/>
      <c r="O5425" s="42"/>
      <c r="R5425" s="37"/>
      <c r="S5425" s="37"/>
      <c r="T5425" s="91"/>
      <c r="U5425" s="91"/>
      <c r="V5425" s="41"/>
      <c r="W5425" s="37"/>
      <c r="X5425" s="37"/>
      <c r="Y5425" s="43"/>
      <c r="Z5425" s="37"/>
      <c r="AA5425" s="37"/>
      <c r="AD5425" s="37"/>
      <c r="AE5425" s="37"/>
      <c r="AF5425" s="37"/>
    </row>
    <row r="5426" spans="1:32" x14ac:dyDescent="0.25">
      <c r="A5426" s="37"/>
      <c r="B5426" s="37"/>
      <c r="C5426" s="37"/>
      <c r="F5426" s="38"/>
      <c r="G5426" s="38"/>
      <c r="H5426" s="38"/>
      <c r="I5426" s="37"/>
      <c r="J5426" s="38"/>
      <c r="K5426" s="38"/>
      <c r="L5426" s="42"/>
      <c r="M5426" s="42"/>
      <c r="N5426" s="42"/>
      <c r="O5426" s="42"/>
      <c r="R5426" s="37"/>
      <c r="S5426" s="37"/>
      <c r="T5426" s="91"/>
      <c r="U5426" s="91"/>
      <c r="V5426" s="41"/>
      <c r="W5426" s="37"/>
      <c r="X5426" s="37"/>
      <c r="Y5426" s="43"/>
      <c r="Z5426" s="37"/>
      <c r="AA5426" s="37"/>
      <c r="AD5426" s="37"/>
      <c r="AE5426" s="37"/>
      <c r="AF5426" s="37"/>
    </row>
    <row r="5427" spans="1:32" x14ac:dyDescent="0.25">
      <c r="A5427" s="37"/>
      <c r="B5427" s="37"/>
      <c r="C5427" s="37"/>
      <c r="F5427" s="38"/>
      <c r="G5427" s="38"/>
      <c r="H5427" s="38"/>
      <c r="I5427" s="37"/>
      <c r="J5427" s="38"/>
      <c r="K5427" s="38"/>
      <c r="L5427" s="42"/>
      <c r="M5427" s="42"/>
      <c r="N5427" s="42"/>
      <c r="O5427" s="42"/>
      <c r="R5427" s="37"/>
      <c r="S5427" s="37"/>
      <c r="T5427" s="91"/>
      <c r="U5427" s="91"/>
      <c r="V5427" s="41"/>
      <c r="W5427" s="37"/>
      <c r="X5427" s="37"/>
      <c r="Y5427" s="43"/>
      <c r="Z5427" s="37"/>
      <c r="AA5427" s="37"/>
      <c r="AD5427" s="37"/>
      <c r="AE5427" s="37"/>
      <c r="AF5427" s="37"/>
    </row>
    <row r="5428" spans="1:32" x14ac:dyDescent="0.25">
      <c r="A5428" s="37"/>
      <c r="B5428" s="37"/>
      <c r="C5428" s="37"/>
      <c r="F5428" s="38"/>
      <c r="G5428" s="38"/>
      <c r="H5428" s="38"/>
      <c r="I5428" s="37"/>
      <c r="J5428" s="38"/>
      <c r="K5428" s="38"/>
      <c r="L5428" s="42"/>
      <c r="M5428" s="42"/>
      <c r="N5428" s="42"/>
      <c r="O5428" s="42"/>
      <c r="R5428" s="37"/>
      <c r="S5428" s="37"/>
      <c r="T5428" s="91"/>
      <c r="U5428" s="91"/>
      <c r="V5428" s="41"/>
      <c r="W5428" s="37"/>
      <c r="X5428" s="37"/>
      <c r="Y5428" s="43"/>
      <c r="Z5428" s="37"/>
      <c r="AA5428" s="37"/>
      <c r="AD5428" s="37"/>
      <c r="AE5428" s="37"/>
      <c r="AF5428" s="37"/>
    </row>
    <row r="5429" spans="1:32" x14ac:dyDescent="0.25">
      <c r="A5429" s="37"/>
      <c r="B5429" s="37"/>
      <c r="C5429" s="37"/>
      <c r="F5429" s="38"/>
      <c r="G5429" s="38"/>
      <c r="H5429" s="38"/>
      <c r="I5429" s="37"/>
      <c r="J5429" s="38"/>
      <c r="K5429" s="38"/>
      <c r="L5429" s="42"/>
      <c r="M5429" s="42"/>
      <c r="N5429" s="42"/>
      <c r="O5429" s="42"/>
      <c r="R5429" s="37"/>
      <c r="S5429" s="37"/>
      <c r="T5429" s="91"/>
      <c r="U5429" s="91"/>
      <c r="V5429" s="41"/>
      <c r="W5429" s="37"/>
      <c r="X5429" s="37"/>
      <c r="Y5429" s="43"/>
      <c r="Z5429" s="37"/>
      <c r="AA5429" s="37"/>
      <c r="AD5429" s="37"/>
      <c r="AE5429" s="37"/>
      <c r="AF5429" s="37"/>
    </row>
    <row r="5430" spans="1:32" x14ac:dyDescent="0.25">
      <c r="A5430" s="37"/>
      <c r="B5430" s="37"/>
      <c r="C5430" s="37"/>
      <c r="F5430" s="38"/>
      <c r="G5430" s="38"/>
      <c r="H5430" s="38"/>
      <c r="I5430" s="37"/>
      <c r="J5430" s="38"/>
      <c r="K5430" s="38"/>
      <c r="L5430" s="42"/>
      <c r="M5430" s="42"/>
      <c r="N5430" s="42"/>
      <c r="O5430" s="42"/>
      <c r="R5430" s="37"/>
      <c r="S5430" s="37"/>
      <c r="T5430" s="91"/>
      <c r="U5430" s="91"/>
      <c r="V5430" s="41"/>
      <c r="W5430" s="37"/>
      <c r="X5430" s="37"/>
      <c r="Y5430" s="43"/>
      <c r="Z5430" s="37"/>
      <c r="AA5430" s="37"/>
      <c r="AD5430" s="37"/>
      <c r="AE5430" s="37"/>
      <c r="AF5430" s="37"/>
    </row>
    <row r="5431" spans="1:32" x14ac:dyDescent="0.25">
      <c r="A5431" s="37"/>
      <c r="B5431" s="37"/>
      <c r="C5431" s="37"/>
      <c r="F5431" s="38"/>
      <c r="G5431" s="38"/>
      <c r="H5431" s="38"/>
      <c r="I5431" s="37"/>
      <c r="J5431" s="38"/>
      <c r="K5431" s="38"/>
      <c r="L5431" s="42"/>
      <c r="M5431" s="42"/>
      <c r="N5431" s="42"/>
      <c r="O5431" s="42"/>
      <c r="R5431" s="37"/>
      <c r="S5431" s="37"/>
      <c r="T5431" s="91"/>
      <c r="U5431" s="91"/>
      <c r="V5431" s="41"/>
      <c r="W5431" s="37"/>
      <c r="X5431" s="37"/>
      <c r="Y5431" s="43"/>
      <c r="Z5431" s="37"/>
      <c r="AA5431" s="37"/>
      <c r="AD5431" s="37"/>
      <c r="AE5431" s="37"/>
      <c r="AF5431" s="37"/>
    </row>
    <row r="5432" spans="1:32" x14ac:dyDescent="0.25">
      <c r="A5432" s="37"/>
      <c r="B5432" s="37"/>
      <c r="C5432" s="37"/>
      <c r="F5432" s="38"/>
      <c r="G5432" s="38"/>
      <c r="H5432" s="38"/>
      <c r="I5432" s="37"/>
      <c r="J5432" s="38"/>
      <c r="K5432" s="38"/>
      <c r="L5432" s="42"/>
      <c r="M5432" s="42"/>
      <c r="N5432" s="42"/>
      <c r="O5432" s="42"/>
      <c r="R5432" s="37"/>
      <c r="S5432" s="37"/>
      <c r="T5432" s="91"/>
      <c r="U5432" s="91"/>
      <c r="V5432" s="41"/>
      <c r="W5432" s="37"/>
      <c r="X5432" s="37"/>
      <c r="Y5432" s="43"/>
      <c r="Z5432" s="37"/>
      <c r="AA5432" s="37"/>
      <c r="AD5432" s="37"/>
      <c r="AE5432" s="37"/>
      <c r="AF5432" s="37"/>
    </row>
    <row r="5433" spans="1:32" x14ac:dyDescent="0.25">
      <c r="A5433" s="37"/>
      <c r="B5433" s="37"/>
      <c r="C5433" s="37"/>
      <c r="F5433" s="38"/>
      <c r="G5433" s="38"/>
      <c r="H5433" s="38"/>
      <c r="I5433" s="37"/>
      <c r="J5433" s="38"/>
      <c r="K5433" s="38"/>
      <c r="L5433" s="42"/>
      <c r="M5433" s="42"/>
      <c r="N5433" s="42"/>
      <c r="O5433" s="42"/>
      <c r="R5433" s="37"/>
      <c r="S5433" s="37"/>
      <c r="T5433" s="91"/>
      <c r="U5433" s="91"/>
      <c r="V5433" s="41"/>
      <c r="W5433" s="37"/>
      <c r="X5433" s="37"/>
      <c r="Y5433" s="43"/>
      <c r="Z5433" s="37"/>
      <c r="AA5433" s="37"/>
      <c r="AD5433" s="37"/>
      <c r="AE5433" s="37"/>
      <c r="AF5433" s="37"/>
    </row>
    <row r="5434" spans="1:32" x14ac:dyDescent="0.25">
      <c r="A5434" s="37"/>
      <c r="B5434" s="37"/>
      <c r="C5434" s="37"/>
      <c r="F5434" s="38"/>
      <c r="G5434" s="38"/>
      <c r="H5434" s="38"/>
      <c r="I5434" s="37"/>
      <c r="J5434" s="38"/>
      <c r="K5434" s="38"/>
      <c r="L5434" s="42"/>
      <c r="M5434" s="42"/>
      <c r="N5434" s="42"/>
      <c r="O5434" s="42"/>
      <c r="R5434" s="37"/>
      <c r="S5434" s="37"/>
      <c r="T5434" s="91"/>
      <c r="U5434" s="91"/>
      <c r="V5434" s="41"/>
      <c r="W5434" s="37"/>
      <c r="X5434" s="37"/>
      <c r="Y5434" s="43"/>
      <c r="Z5434" s="37"/>
      <c r="AA5434" s="37"/>
      <c r="AD5434" s="37"/>
      <c r="AE5434" s="37"/>
      <c r="AF5434" s="37"/>
    </row>
    <row r="5435" spans="1:32" x14ac:dyDescent="0.25">
      <c r="A5435" s="37"/>
      <c r="B5435" s="37"/>
      <c r="C5435" s="37"/>
      <c r="F5435" s="38"/>
      <c r="G5435" s="38"/>
      <c r="H5435" s="38"/>
      <c r="I5435" s="37"/>
      <c r="J5435" s="38"/>
      <c r="K5435" s="38"/>
      <c r="L5435" s="42"/>
      <c r="M5435" s="42"/>
      <c r="N5435" s="42"/>
      <c r="O5435" s="42"/>
      <c r="R5435" s="37"/>
      <c r="S5435" s="37"/>
      <c r="T5435" s="91"/>
      <c r="U5435" s="91"/>
      <c r="V5435" s="41"/>
      <c r="W5435" s="37"/>
      <c r="X5435" s="37"/>
      <c r="Y5435" s="43"/>
      <c r="Z5435" s="37"/>
      <c r="AA5435" s="37"/>
      <c r="AD5435" s="37"/>
      <c r="AE5435" s="37"/>
      <c r="AF5435" s="37"/>
    </row>
    <row r="5436" spans="1:32" x14ac:dyDescent="0.25">
      <c r="A5436" s="37"/>
      <c r="B5436" s="37"/>
      <c r="C5436" s="37"/>
      <c r="F5436" s="38"/>
      <c r="G5436" s="38"/>
      <c r="H5436" s="38"/>
      <c r="I5436" s="37"/>
      <c r="J5436" s="38"/>
      <c r="K5436" s="38"/>
      <c r="L5436" s="42"/>
      <c r="M5436" s="42"/>
      <c r="N5436" s="42"/>
      <c r="O5436" s="42"/>
      <c r="R5436" s="37"/>
      <c r="S5436" s="37"/>
      <c r="T5436" s="91"/>
      <c r="U5436" s="91"/>
      <c r="V5436" s="41"/>
      <c r="W5436" s="37"/>
      <c r="X5436" s="37"/>
      <c r="Y5436" s="43"/>
      <c r="Z5436" s="37"/>
      <c r="AA5436" s="37"/>
      <c r="AD5436" s="37"/>
      <c r="AE5436" s="37"/>
      <c r="AF5436" s="37"/>
    </row>
    <row r="5437" spans="1:32" x14ac:dyDescent="0.25">
      <c r="A5437" s="37"/>
      <c r="B5437" s="37"/>
      <c r="C5437" s="37"/>
      <c r="F5437" s="38"/>
      <c r="G5437" s="38"/>
      <c r="H5437" s="38"/>
      <c r="I5437" s="37"/>
      <c r="J5437" s="38"/>
      <c r="K5437" s="38"/>
      <c r="L5437" s="42"/>
      <c r="M5437" s="42"/>
      <c r="N5437" s="42"/>
      <c r="O5437" s="42"/>
      <c r="R5437" s="37"/>
      <c r="S5437" s="37"/>
      <c r="T5437" s="91"/>
      <c r="U5437" s="91"/>
      <c r="V5437" s="41"/>
      <c r="W5437" s="37"/>
      <c r="X5437" s="37"/>
      <c r="Y5437" s="43"/>
      <c r="Z5437" s="37"/>
      <c r="AA5437" s="37"/>
      <c r="AD5437" s="37"/>
      <c r="AE5437" s="37"/>
      <c r="AF5437" s="37"/>
    </row>
    <row r="5438" spans="1:32" x14ac:dyDescent="0.25">
      <c r="A5438" s="37"/>
      <c r="B5438" s="37"/>
      <c r="C5438" s="37"/>
      <c r="F5438" s="38"/>
      <c r="G5438" s="38"/>
      <c r="H5438" s="38"/>
      <c r="I5438" s="37"/>
      <c r="J5438" s="38"/>
      <c r="K5438" s="38"/>
      <c r="L5438" s="42"/>
      <c r="M5438" s="42"/>
      <c r="N5438" s="42"/>
      <c r="O5438" s="42"/>
      <c r="R5438" s="37"/>
      <c r="S5438" s="37"/>
      <c r="T5438" s="91"/>
      <c r="U5438" s="91"/>
      <c r="V5438" s="41"/>
      <c r="W5438" s="37"/>
      <c r="X5438" s="37"/>
      <c r="Y5438" s="43"/>
      <c r="Z5438" s="37"/>
      <c r="AA5438" s="37"/>
      <c r="AD5438" s="37"/>
      <c r="AE5438" s="37"/>
      <c r="AF5438" s="37"/>
    </row>
    <row r="5439" spans="1:32" x14ac:dyDescent="0.25">
      <c r="A5439" s="37"/>
      <c r="B5439" s="37"/>
      <c r="C5439" s="37"/>
      <c r="F5439" s="38"/>
      <c r="G5439" s="38"/>
      <c r="H5439" s="38"/>
      <c r="I5439" s="37"/>
      <c r="J5439" s="38"/>
      <c r="K5439" s="38"/>
      <c r="L5439" s="42"/>
      <c r="M5439" s="42"/>
      <c r="N5439" s="42"/>
      <c r="O5439" s="42"/>
      <c r="R5439" s="37"/>
      <c r="S5439" s="37"/>
      <c r="T5439" s="91"/>
      <c r="U5439" s="91"/>
      <c r="V5439" s="41"/>
      <c r="W5439" s="37"/>
      <c r="X5439" s="37"/>
      <c r="Y5439" s="43"/>
      <c r="Z5439" s="37"/>
      <c r="AA5439" s="37"/>
      <c r="AD5439" s="37"/>
      <c r="AE5439" s="37"/>
      <c r="AF5439" s="37"/>
    </row>
    <row r="5440" spans="1:32" x14ac:dyDescent="0.25">
      <c r="A5440" s="37"/>
      <c r="B5440" s="37"/>
      <c r="C5440" s="37"/>
      <c r="F5440" s="38"/>
      <c r="G5440" s="38"/>
      <c r="H5440" s="38"/>
      <c r="I5440" s="37"/>
      <c r="J5440" s="38"/>
      <c r="K5440" s="38"/>
      <c r="L5440" s="42"/>
      <c r="M5440" s="42"/>
      <c r="N5440" s="42"/>
      <c r="O5440" s="42"/>
      <c r="R5440" s="37"/>
      <c r="S5440" s="37"/>
      <c r="T5440" s="91"/>
      <c r="U5440" s="91"/>
      <c r="V5440" s="41"/>
      <c r="W5440" s="37"/>
      <c r="X5440" s="37"/>
      <c r="Y5440" s="43"/>
      <c r="Z5440" s="37"/>
      <c r="AA5440" s="37"/>
      <c r="AD5440" s="37"/>
      <c r="AE5440" s="37"/>
      <c r="AF5440" s="37"/>
    </row>
    <row r="5441" spans="1:32" x14ac:dyDescent="0.25">
      <c r="A5441" s="37"/>
      <c r="B5441" s="37"/>
      <c r="C5441" s="37"/>
      <c r="F5441" s="38"/>
      <c r="G5441" s="38"/>
      <c r="H5441" s="38"/>
      <c r="I5441" s="37"/>
      <c r="J5441" s="38"/>
      <c r="K5441" s="38"/>
      <c r="L5441" s="42"/>
      <c r="M5441" s="42"/>
      <c r="N5441" s="42"/>
      <c r="O5441" s="42"/>
      <c r="R5441" s="37"/>
      <c r="S5441" s="37"/>
      <c r="T5441" s="91"/>
      <c r="U5441" s="91"/>
      <c r="V5441" s="41"/>
      <c r="W5441" s="37"/>
      <c r="X5441" s="37"/>
      <c r="Y5441" s="43"/>
      <c r="Z5441" s="37"/>
      <c r="AA5441" s="37"/>
      <c r="AD5441" s="37"/>
      <c r="AE5441" s="37"/>
      <c r="AF5441" s="37"/>
    </row>
    <row r="5442" spans="1:32" x14ac:dyDescent="0.25">
      <c r="A5442" s="37"/>
      <c r="B5442" s="37"/>
      <c r="C5442" s="37"/>
      <c r="F5442" s="38"/>
      <c r="G5442" s="38"/>
      <c r="H5442" s="38"/>
      <c r="I5442" s="37"/>
      <c r="J5442" s="38"/>
      <c r="K5442" s="38"/>
      <c r="L5442" s="42"/>
      <c r="M5442" s="42"/>
      <c r="N5442" s="42"/>
      <c r="O5442" s="42"/>
      <c r="R5442" s="37"/>
      <c r="S5442" s="37"/>
      <c r="T5442" s="91"/>
      <c r="U5442" s="91"/>
      <c r="V5442" s="41"/>
      <c r="W5442" s="37"/>
      <c r="X5442" s="37"/>
      <c r="Y5442" s="43"/>
      <c r="Z5442" s="37"/>
      <c r="AA5442" s="37"/>
      <c r="AD5442" s="37"/>
      <c r="AE5442" s="37"/>
      <c r="AF5442" s="37"/>
    </row>
    <row r="5443" spans="1:32" x14ac:dyDescent="0.25">
      <c r="A5443" s="37"/>
      <c r="B5443" s="37"/>
      <c r="C5443" s="37"/>
      <c r="F5443" s="38"/>
      <c r="G5443" s="38"/>
      <c r="H5443" s="38"/>
      <c r="I5443" s="37"/>
      <c r="J5443" s="38"/>
      <c r="K5443" s="38"/>
      <c r="L5443" s="42"/>
      <c r="M5443" s="42"/>
      <c r="N5443" s="42"/>
      <c r="O5443" s="42"/>
      <c r="R5443" s="37"/>
      <c r="S5443" s="37"/>
      <c r="T5443" s="91"/>
      <c r="U5443" s="91"/>
      <c r="V5443" s="41"/>
      <c r="W5443" s="37"/>
      <c r="X5443" s="37"/>
      <c r="Y5443" s="43"/>
      <c r="Z5443" s="37"/>
      <c r="AA5443" s="37"/>
      <c r="AD5443" s="37"/>
      <c r="AE5443" s="37"/>
      <c r="AF5443" s="37"/>
    </row>
    <row r="5444" spans="1:32" x14ac:dyDescent="0.25">
      <c r="A5444" s="37"/>
      <c r="B5444" s="37"/>
      <c r="C5444" s="37"/>
      <c r="F5444" s="38"/>
      <c r="G5444" s="38"/>
      <c r="H5444" s="38"/>
      <c r="I5444" s="37"/>
      <c r="J5444" s="38"/>
      <c r="K5444" s="38"/>
      <c r="L5444" s="42"/>
      <c r="M5444" s="42"/>
      <c r="N5444" s="42"/>
      <c r="O5444" s="42"/>
      <c r="R5444" s="37"/>
      <c r="S5444" s="37"/>
      <c r="T5444" s="91"/>
      <c r="U5444" s="91"/>
      <c r="V5444" s="41"/>
      <c r="W5444" s="37"/>
      <c r="X5444" s="37"/>
      <c r="Y5444" s="43"/>
      <c r="Z5444" s="37"/>
      <c r="AA5444" s="37"/>
      <c r="AD5444" s="37"/>
      <c r="AE5444" s="37"/>
      <c r="AF5444" s="37"/>
    </row>
    <row r="5445" spans="1:32" x14ac:dyDescent="0.25">
      <c r="A5445" s="37"/>
      <c r="B5445" s="37"/>
      <c r="C5445" s="37"/>
      <c r="F5445" s="38"/>
      <c r="G5445" s="38"/>
      <c r="H5445" s="38"/>
      <c r="I5445" s="37"/>
      <c r="J5445" s="38"/>
      <c r="K5445" s="38"/>
      <c r="L5445" s="42"/>
      <c r="M5445" s="42"/>
      <c r="N5445" s="42"/>
      <c r="O5445" s="42"/>
      <c r="R5445" s="37"/>
      <c r="S5445" s="37"/>
      <c r="T5445" s="91"/>
      <c r="U5445" s="91"/>
      <c r="V5445" s="41"/>
      <c r="W5445" s="37"/>
      <c r="X5445" s="37"/>
      <c r="Y5445" s="43"/>
      <c r="Z5445" s="37"/>
      <c r="AA5445" s="37"/>
      <c r="AD5445" s="37"/>
      <c r="AE5445" s="37"/>
      <c r="AF5445" s="37"/>
    </row>
    <row r="5446" spans="1:32" x14ac:dyDescent="0.25">
      <c r="A5446" s="37"/>
      <c r="B5446" s="37"/>
      <c r="C5446" s="37"/>
      <c r="F5446" s="38"/>
      <c r="G5446" s="38"/>
      <c r="H5446" s="38"/>
      <c r="I5446" s="37"/>
      <c r="J5446" s="38"/>
      <c r="K5446" s="38"/>
      <c r="L5446" s="42"/>
      <c r="M5446" s="42"/>
      <c r="N5446" s="42"/>
      <c r="O5446" s="42"/>
      <c r="R5446" s="37"/>
      <c r="S5446" s="37"/>
      <c r="T5446" s="91"/>
      <c r="U5446" s="91"/>
      <c r="V5446" s="41"/>
      <c r="W5446" s="37"/>
      <c r="X5446" s="37"/>
      <c r="Y5446" s="43"/>
      <c r="Z5446" s="37"/>
      <c r="AA5446" s="37"/>
      <c r="AD5446" s="37"/>
      <c r="AE5446" s="37"/>
      <c r="AF5446" s="37"/>
    </row>
    <row r="5447" spans="1:32" x14ac:dyDescent="0.25">
      <c r="A5447" s="37"/>
      <c r="B5447" s="37"/>
      <c r="C5447" s="37"/>
      <c r="F5447" s="38"/>
      <c r="G5447" s="38"/>
      <c r="H5447" s="38"/>
      <c r="I5447" s="37"/>
      <c r="J5447" s="38"/>
      <c r="K5447" s="38"/>
      <c r="L5447" s="42"/>
      <c r="M5447" s="42"/>
      <c r="N5447" s="42"/>
      <c r="O5447" s="42"/>
      <c r="R5447" s="37"/>
      <c r="S5447" s="37"/>
      <c r="T5447" s="91"/>
      <c r="U5447" s="91"/>
      <c r="V5447" s="41"/>
      <c r="W5447" s="37"/>
      <c r="X5447" s="37"/>
      <c r="Y5447" s="43"/>
      <c r="Z5447" s="37"/>
      <c r="AA5447" s="37"/>
      <c r="AD5447" s="37"/>
      <c r="AE5447" s="37"/>
      <c r="AF5447" s="37"/>
    </row>
    <row r="5448" spans="1:32" x14ac:dyDescent="0.25">
      <c r="A5448" s="37"/>
      <c r="B5448" s="37"/>
      <c r="C5448" s="37"/>
      <c r="F5448" s="38"/>
      <c r="G5448" s="38"/>
      <c r="H5448" s="38"/>
      <c r="I5448" s="37"/>
      <c r="J5448" s="38"/>
      <c r="K5448" s="38"/>
      <c r="L5448" s="42"/>
      <c r="M5448" s="42"/>
      <c r="N5448" s="42"/>
      <c r="O5448" s="42"/>
      <c r="R5448" s="37"/>
      <c r="S5448" s="37"/>
      <c r="T5448" s="91"/>
      <c r="U5448" s="91"/>
      <c r="V5448" s="41"/>
      <c r="W5448" s="37"/>
      <c r="X5448" s="37"/>
      <c r="Y5448" s="43"/>
      <c r="Z5448" s="37"/>
      <c r="AA5448" s="37"/>
      <c r="AD5448" s="37"/>
      <c r="AE5448" s="37"/>
      <c r="AF5448" s="37"/>
    </row>
    <row r="5449" spans="1:32" x14ac:dyDescent="0.25">
      <c r="A5449" s="37"/>
      <c r="B5449" s="37"/>
      <c r="C5449" s="37"/>
      <c r="F5449" s="38"/>
      <c r="G5449" s="38"/>
      <c r="H5449" s="38"/>
      <c r="I5449" s="37"/>
      <c r="J5449" s="38"/>
      <c r="K5449" s="38"/>
      <c r="L5449" s="42"/>
      <c r="M5449" s="42"/>
      <c r="N5449" s="42"/>
      <c r="O5449" s="42"/>
      <c r="R5449" s="37"/>
      <c r="S5449" s="37"/>
      <c r="T5449" s="91"/>
      <c r="U5449" s="91"/>
      <c r="V5449" s="41"/>
      <c r="W5449" s="37"/>
      <c r="X5449" s="37"/>
      <c r="Y5449" s="43"/>
      <c r="Z5449" s="37"/>
      <c r="AA5449" s="37"/>
      <c r="AD5449" s="37"/>
      <c r="AE5449" s="37"/>
      <c r="AF5449" s="37"/>
    </row>
    <row r="5450" spans="1:32" x14ac:dyDescent="0.25">
      <c r="A5450" s="37"/>
      <c r="B5450" s="37"/>
      <c r="C5450" s="37"/>
      <c r="F5450" s="38"/>
      <c r="G5450" s="38"/>
      <c r="H5450" s="38"/>
      <c r="I5450" s="37"/>
      <c r="J5450" s="38"/>
      <c r="K5450" s="38"/>
      <c r="L5450" s="42"/>
      <c r="M5450" s="42"/>
      <c r="N5450" s="42"/>
      <c r="O5450" s="42"/>
      <c r="R5450" s="37"/>
      <c r="S5450" s="37"/>
      <c r="T5450" s="91"/>
      <c r="U5450" s="91"/>
      <c r="V5450" s="41"/>
      <c r="W5450" s="37"/>
      <c r="X5450" s="37"/>
      <c r="Y5450" s="43"/>
      <c r="Z5450" s="37"/>
      <c r="AA5450" s="37"/>
      <c r="AD5450" s="37"/>
      <c r="AE5450" s="37"/>
      <c r="AF5450" s="37"/>
    </row>
    <row r="5451" spans="1:32" x14ac:dyDescent="0.25">
      <c r="A5451" s="37"/>
      <c r="B5451" s="37"/>
      <c r="C5451" s="37"/>
      <c r="F5451" s="38"/>
      <c r="G5451" s="38"/>
      <c r="H5451" s="38"/>
      <c r="I5451" s="37"/>
      <c r="J5451" s="38"/>
      <c r="K5451" s="38"/>
      <c r="L5451" s="42"/>
      <c r="M5451" s="42"/>
      <c r="N5451" s="42"/>
      <c r="O5451" s="42"/>
      <c r="R5451" s="37"/>
      <c r="S5451" s="37"/>
      <c r="T5451" s="91"/>
      <c r="U5451" s="91"/>
      <c r="V5451" s="41"/>
      <c r="W5451" s="37"/>
      <c r="X5451" s="37"/>
      <c r="Y5451" s="43"/>
      <c r="Z5451" s="37"/>
      <c r="AA5451" s="37"/>
      <c r="AD5451" s="37"/>
      <c r="AE5451" s="37"/>
      <c r="AF5451" s="37"/>
    </row>
    <row r="5452" spans="1:32" x14ac:dyDescent="0.25">
      <c r="A5452" s="37"/>
      <c r="B5452" s="37"/>
      <c r="C5452" s="37"/>
      <c r="F5452" s="38"/>
      <c r="G5452" s="38"/>
      <c r="H5452" s="38"/>
      <c r="I5452" s="37"/>
      <c r="J5452" s="38"/>
      <c r="K5452" s="38"/>
      <c r="L5452" s="42"/>
      <c r="M5452" s="42"/>
      <c r="N5452" s="42"/>
      <c r="O5452" s="42"/>
      <c r="R5452" s="37"/>
      <c r="S5452" s="37"/>
      <c r="T5452" s="91"/>
      <c r="U5452" s="91"/>
      <c r="V5452" s="41"/>
      <c r="W5452" s="37"/>
      <c r="X5452" s="37"/>
      <c r="Y5452" s="43"/>
      <c r="Z5452" s="37"/>
      <c r="AA5452" s="37"/>
      <c r="AD5452" s="37"/>
      <c r="AE5452" s="37"/>
      <c r="AF5452" s="37"/>
    </row>
    <row r="5453" spans="1:32" x14ac:dyDescent="0.25">
      <c r="A5453" s="37"/>
      <c r="B5453" s="37"/>
      <c r="C5453" s="37"/>
      <c r="F5453" s="38"/>
      <c r="G5453" s="38"/>
      <c r="H5453" s="38"/>
      <c r="I5453" s="37"/>
      <c r="J5453" s="38"/>
      <c r="K5453" s="38"/>
      <c r="L5453" s="42"/>
      <c r="M5453" s="42"/>
      <c r="N5453" s="42"/>
      <c r="O5453" s="42"/>
      <c r="R5453" s="37"/>
      <c r="S5453" s="37"/>
      <c r="T5453" s="91"/>
      <c r="U5453" s="91"/>
      <c r="V5453" s="41"/>
      <c r="W5453" s="37"/>
      <c r="X5453" s="37"/>
      <c r="Y5453" s="43"/>
      <c r="Z5453" s="37"/>
      <c r="AA5453" s="37"/>
      <c r="AD5453" s="37"/>
      <c r="AE5453" s="37"/>
      <c r="AF5453" s="37"/>
    </row>
    <row r="5454" spans="1:32" x14ac:dyDescent="0.25">
      <c r="A5454" s="37"/>
      <c r="B5454" s="37"/>
      <c r="C5454" s="37"/>
      <c r="F5454" s="38"/>
      <c r="G5454" s="38"/>
      <c r="H5454" s="38"/>
      <c r="I5454" s="37"/>
      <c r="J5454" s="38"/>
      <c r="K5454" s="38"/>
      <c r="L5454" s="42"/>
      <c r="M5454" s="42"/>
      <c r="N5454" s="42"/>
      <c r="O5454" s="42"/>
      <c r="R5454" s="37"/>
      <c r="S5454" s="37"/>
      <c r="T5454" s="91"/>
      <c r="U5454" s="91"/>
      <c r="V5454" s="41"/>
      <c r="W5454" s="37"/>
      <c r="X5454" s="37"/>
      <c r="Y5454" s="43"/>
      <c r="Z5454" s="37"/>
      <c r="AA5454" s="37"/>
      <c r="AD5454" s="37"/>
      <c r="AE5454" s="37"/>
      <c r="AF5454" s="37"/>
    </row>
    <row r="5455" spans="1:32" x14ac:dyDescent="0.25">
      <c r="A5455" s="37"/>
      <c r="B5455" s="37"/>
      <c r="C5455" s="37"/>
      <c r="F5455" s="38"/>
      <c r="G5455" s="38"/>
      <c r="H5455" s="38"/>
      <c r="I5455" s="37"/>
      <c r="J5455" s="38"/>
      <c r="K5455" s="38"/>
      <c r="L5455" s="42"/>
      <c r="M5455" s="42"/>
      <c r="N5455" s="42"/>
      <c r="O5455" s="42"/>
      <c r="R5455" s="37"/>
      <c r="S5455" s="37"/>
      <c r="T5455" s="91"/>
      <c r="U5455" s="91"/>
      <c r="V5455" s="41"/>
      <c r="W5455" s="37"/>
      <c r="X5455" s="37"/>
      <c r="Y5455" s="43"/>
      <c r="Z5455" s="37"/>
      <c r="AA5455" s="37"/>
      <c r="AD5455" s="37"/>
      <c r="AE5455" s="37"/>
      <c r="AF5455" s="37"/>
    </row>
    <row r="5456" spans="1:32" x14ac:dyDescent="0.25">
      <c r="A5456" s="37"/>
      <c r="B5456" s="37"/>
      <c r="C5456" s="37"/>
      <c r="F5456" s="38"/>
      <c r="G5456" s="38"/>
      <c r="H5456" s="38"/>
      <c r="I5456" s="37"/>
      <c r="J5456" s="38"/>
      <c r="K5456" s="38"/>
      <c r="L5456" s="42"/>
      <c r="M5456" s="42"/>
      <c r="N5456" s="42"/>
      <c r="O5456" s="42"/>
      <c r="R5456" s="37"/>
      <c r="S5456" s="37"/>
      <c r="T5456" s="91"/>
      <c r="U5456" s="91"/>
      <c r="V5456" s="41"/>
      <c r="W5456" s="37"/>
      <c r="X5456" s="37"/>
      <c r="Y5456" s="43"/>
      <c r="Z5456" s="37"/>
      <c r="AA5456" s="37"/>
      <c r="AD5456" s="37"/>
      <c r="AE5456" s="37"/>
      <c r="AF5456" s="37"/>
    </row>
    <row r="5457" spans="1:32" x14ac:dyDescent="0.25">
      <c r="A5457" s="37"/>
      <c r="B5457" s="37"/>
      <c r="C5457" s="37"/>
      <c r="F5457" s="38"/>
      <c r="G5457" s="38"/>
      <c r="H5457" s="38"/>
      <c r="I5457" s="37"/>
      <c r="J5457" s="38"/>
      <c r="K5457" s="38"/>
      <c r="L5457" s="42"/>
      <c r="M5457" s="42"/>
      <c r="N5457" s="42"/>
      <c r="O5457" s="42"/>
      <c r="R5457" s="37"/>
      <c r="S5457" s="37"/>
      <c r="T5457" s="91"/>
      <c r="U5457" s="91"/>
      <c r="V5457" s="41"/>
      <c r="W5457" s="37"/>
      <c r="X5457" s="37"/>
      <c r="Y5457" s="43"/>
      <c r="Z5457" s="37"/>
      <c r="AA5457" s="37"/>
      <c r="AD5457" s="37"/>
      <c r="AE5457" s="37"/>
      <c r="AF5457" s="37"/>
    </row>
    <row r="5458" spans="1:32" x14ac:dyDescent="0.25">
      <c r="A5458" s="37"/>
      <c r="B5458" s="37"/>
      <c r="C5458" s="37"/>
      <c r="F5458" s="38"/>
      <c r="G5458" s="38"/>
      <c r="H5458" s="38"/>
      <c r="I5458" s="37"/>
      <c r="J5458" s="38"/>
      <c r="K5458" s="38"/>
      <c r="L5458" s="42"/>
      <c r="M5458" s="42"/>
      <c r="N5458" s="42"/>
      <c r="O5458" s="42"/>
      <c r="R5458" s="37"/>
      <c r="S5458" s="37"/>
      <c r="T5458" s="91"/>
      <c r="U5458" s="91"/>
      <c r="V5458" s="41"/>
      <c r="W5458" s="37"/>
      <c r="X5458" s="37"/>
      <c r="Y5458" s="43"/>
      <c r="Z5458" s="37"/>
      <c r="AA5458" s="37"/>
      <c r="AD5458" s="37"/>
      <c r="AE5458" s="37"/>
      <c r="AF5458" s="37"/>
    </row>
    <row r="5459" spans="1:32" x14ac:dyDescent="0.25">
      <c r="A5459" s="37"/>
      <c r="B5459" s="37"/>
      <c r="C5459" s="37"/>
      <c r="F5459" s="38"/>
      <c r="G5459" s="38"/>
      <c r="H5459" s="38"/>
      <c r="I5459" s="37"/>
      <c r="J5459" s="38"/>
      <c r="K5459" s="38"/>
      <c r="L5459" s="42"/>
      <c r="M5459" s="42"/>
      <c r="N5459" s="42"/>
      <c r="O5459" s="42"/>
      <c r="R5459" s="37"/>
      <c r="S5459" s="37"/>
      <c r="T5459" s="91"/>
      <c r="U5459" s="91"/>
      <c r="V5459" s="41"/>
      <c r="W5459" s="37"/>
      <c r="X5459" s="37"/>
      <c r="Y5459" s="43"/>
      <c r="Z5459" s="37"/>
      <c r="AA5459" s="37"/>
      <c r="AD5459" s="37"/>
      <c r="AE5459" s="37"/>
      <c r="AF5459" s="37"/>
    </row>
    <row r="5460" spans="1:32" x14ac:dyDescent="0.25">
      <c r="A5460" s="37"/>
      <c r="B5460" s="37"/>
      <c r="C5460" s="37"/>
      <c r="F5460" s="38"/>
      <c r="G5460" s="38"/>
      <c r="H5460" s="38"/>
      <c r="I5460" s="37"/>
      <c r="J5460" s="38"/>
      <c r="K5460" s="38"/>
      <c r="L5460" s="42"/>
      <c r="M5460" s="42"/>
      <c r="N5460" s="42"/>
      <c r="O5460" s="42"/>
      <c r="R5460" s="37"/>
      <c r="S5460" s="37"/>
      <c r="T5460" s="91"/>
      <c r="U5460" s="91"/>
      <c r="V5460" s="41"/>
      <c r="W5460" s="37"/>
      <c r="X5460" s="37"/>
      <c r="Y5460" s="43"/>
      <c r="Z5460" s="37"/>
      <c r="AA5460" s="37"/>
      <c r="AD5460" s="37"/>
      <c r="AE5460" s="37"/>
      <c r="AF5460" s="37"/>
    </row>
    <row r="5461" spans="1:32" x14ac:dyDescent="0.25">
      <c r="A5461" s="37"/>
      <c r="B5461" s="37"/>
      <c r="C5461" s="37"/>
      <c r="F5461" s="38"/>
      <c r="G5461" s="38"/>
      <c r="H5461" s="38"/>
      <c r="I5461" s="37"/>
      <c r="J5461" s="38"/>
      <c r="K5461" s="38"/>
      <c r="L5461" s="42"/>
      <c r="M5461" s="42"/>
      <c r="N5461" s="42"/>
      <c r="O5461" s="42"/>
      <c r="R5461" s="37"/>
      <c r="S5461" s="37"/>
      <c r="T5461" s="91"/>
      <c r="U5461" s="91"/>
      <c r="V5461" s="41"/>
      <c r="W5461" s="37"/>
      <c r="X5461" s="37"/>
      <c r="Y5461" s="43"/>
      <c r="Z5461" s="37"/>
      <c r="AA5461" s="37"/>
      <c r="AD5461" s="37"/>
      <c r="AE5461" s="37"/>
      <c r="AF5461" s="37"/>
    </row>
    <row r="5462" spans="1:32" x14ac:dyDescent="0.25">
      <c r="A5462" s="37"/>
      <c r="B5462" s="37"/>
      <c r="C5462" s="37"/>
      <c r="F5462" s="38"/>
      <c r="G5462" s="38"/>
      <c r="H5462" s="38"/>
      <c r="I5462" s="37"/>
      <c r="J5462" s="38"/>
      <c r="K5462" s="38"/>
      <c r="L5462" s="42"/>
      <c r="M5462" s="42"/>
      <c r="N5462" s="42"/>
      <c r="O5462" s="42"/>
      <c r="R5462" s="37"/>
      <c r="S5462" s="37"/>
      <c r="T5462" s="91"/>
      <c r="U5462" s="91"/>
      <c r="V5462" s="41"/>
      <c r="W5462" s="37"/>
      <c r="X5462" s="37"/>
      <c r="Y5462" s="43"/>
      <c r="Z5462" s="37"/>
      <c r="AA5462" s="37"/>
      <c r="AD5462" s="37"/>
      <c r="AE5462" s="37"/>
      <c r="AF5462" s="37"/>
    </row>
    <row r="5463" spans="1:32" x14ac:dyDescent="0.25">
      <c r="A5463" s="37"/>
      <c r="B5463" s="37"/>
      <c r="C5463" s="37"/>
      <c r="F5463" s="38"/>
      <c r="G5463" s="38"/>
      <c r="H5463" s="38"/>
      <c r="I5463" s="37"/>
      <c r="J5463" s="38"/>
      <c r="K5463" s="38"/>
      <c r="L5463" s="42"/>
      <c r="M5463" s="42"/>
      <c r="N5463" s="42"/>
      <c r="O5463" s="42"/>
      <c r="R5463" s="37"/>
      <c r="S5463" s="37"/>
      <c r="T5463" s="91"/>
      <c r="U5463" s="91"/>
      <c r="V5463" s="41"/>
      <c r="W5463" s="37"/>
      <c r="X5463" s="37"/>
      <c r="Y5463" s="43"/>
      <c r="Z5463" s="37"/>
      <c r="AA5463" s="37"/>
      <c r="AD5463" s="37"/>
      <c r="AE5463" s="37"/>
      <c r="AF5463" s="37"/>
    </row>
    <row r="5464" spans="1:32" x14ac:dyDescent="0.25">
      <c r="A5464" s="37"/>
      <c r="B5464" s="37"/>
      <c r="C5464" s="37"/>
      <c r="F5464" s="38"/>
      <c r="G5464" s="38"/>
      <c r="H5464" s="38"/>
      <c r="I5464" s="37"/>
      <c r="J5464" s="38"/>
      <c r="K5464" s="38"/>
      <c r="L5464" s="42"/>
      <c r="M5464" s="42"/>
      <c r="N5464" s="42"/>
      <c r="O5464" s="42"/>
      <c r="R5464" s="37"/>
      <c r="S5464" s="37"/>
      <c r="T5464" s="91"/>
      <c r="U5464" s="91"/>
      <c r="V5464" s="41"/>
      <c r="W5464" s="37"/>
      <c r="X5464" s="37"/>
      <c r="Y5464" s="43"/>
      <c r="Z5464" s="37"/>
      <c r="AA5464" s="37"/>
      <c r="AD5464" s="37"/>
      <c r="AE5464" s="37"/>
      <c r="AF5464" s="37"/>
    </row>
    <row r="5465" spans="1:32" x14ac:dyDescent="0.25">
      <c r="A5465" s="37"/>
      <c r="B5465" s="37"/>
      <c r="C5465" s="37"/>
      <c r="F5465" s="38"/>
      <c r="G5465" s="38"/>
      <c r="H5465" s="38"/>
      <c r="I5465" s="37"/>
      <c r="J5465" s="38"/>
      <c r="K5465" s="38"/>
      <c r="L5465" s="42"/>
      <c r="M5465" s="42"/>
      <c r="N5465" s="42"/>
      <c r="O5465" s="42"/>
      <c r="R5465" s="37"/>
      <c r="S5465" s="37"/>
      <c r="T5465" s="91"/>
      <c r="U5465" s="91"/>
      <c r="V5465" s="41"/>
      <c r="W5465" s="37"/>
      <c r="X5465" s="37"/>
      <c r="Y5465" s="43"/>
      <c r="Z5465" s="37"/>
      <c r="AA5465" s="37"/>
      <c r="AD5465" s="37"/>
      <c r="AE5465" s="37"/>
      <c r="AF5465" s="37"/>
    </row>
    <row r="5466" spans="1:32" x14ac:dyDescent="0.25">
      <c r="A5466" s="37"/>
      <c r="B5466" s="37"/>
      <c r="C5466" s="37"/>
      <c r="F5466" s="38"/>
      <c r="G5466" s="38"/>
      <c r="H5466" s="38"/>
      <c r="I5466" s="37"/>
      <c r="J5466" s="38"/>
      <c r="K5466" s="38"/>
      <c r="L5466" s="42"/>
      <c r="M5466" s="42"/>
      <c r="N5466" s="42"/>
      <c r="O5466" s="42"/>
      <c r="R5466" s="37"/>
      <c r="S5466" s="37"/>
      <c r="T5466" s="91"/>
      <c r="U5466" s="91"/>
      <c r="V5466" s="41"/>
      <c r="W5466" s="37"/>
      <c r="X5466" s="37"/>
      <c r="Y5466" s="43"/>
      <c r="Z5466" s="37"/>
      <c r="AA5466" s="37"/>
      <c r="AD5466" s="37"/>
      <c r="AE5466" s="37"/>
      <c r="AF5466" s="37"/>
    </row>
    <row r="5467" spans="1:32" x14ac:dyDescent="0.25">
      <c r="A5467" s="37"/>
      <c r="B5467" s="37"/>
      <c r="C5467" s="37"/>
      <c r="F5467" s="38"/>
      <c r="G5467" s="38"/>
      <c r="H5467" s="38"/>
      <c r="I5467" s="37"/>
      <c r="J5467" s="38"/>
      <c r="K5467" s="38"/>
      <c r="L5467" s="42"/>
      <c r="M5467" s="42"/>
      <c r="N5467" s="42"/>
      <c r="O5467" s="42"/>
      <c r="R5467" s="37"/>
      <c r="S5467" s="37"/>
      <c r="T5467" s="91"/>
      <c r="U5467" s="91"/>
      <c r="V5467" s="41"/>
      <c r="W5467" s="37"/>
      <c r="X5467" s="37"/>
      <c r="Y5467" s="43"/>
      <c r="Z5467" s="37"/>
      <c r="AA5467" s="37"/>
      <c r="AD5467" s="37"/>
      <c r="AE5467" s="37"/>
      <c r="AF5467" s="37"/>
    </row>
    <row r="5468" spans="1:32" x14ac:dyDescent="0.25">
      <c r="A5468" s="37"/>
      <c r="B5468" s="37"/>
      <c r="C5468" s="37"/>
      <c r="F5468" s="38"/>
      <c r="G5468" s="38"/>
      <c r="H5468" s="38"/>
      <c r="I5468" s="37"/>
      <c r="J5468" s="38"/>
      <c r="K5468" s="38"/>
      <c r="L5468" s="42"/>
      <c r="M5468" s="42"/>
      <c r="N5468" s="42"/>
      <c r="O5468" s="42"/>
      <c r="R5468" s="37"/>
      <c r="S5468" s="37"/>
      <c r="T5468" s="91"/>
      <c r="U5468" s="91"/>
      <c r="V5468" s="41"/>
      <c r="W5468" s="37"/>
      <c r="X5468" s="37"/>
      <c r="Y5468" s="43"/>
      <c r="Z5468" s="37"/>
      <c r="AA5468" s="37"/>
      <c r="AD5468" s="37"/>
      <c r="AE5468" s="37"/>
      <c r="AF5468" s="37"/>
    </row>
    <row r="5469" spans="1:32" x14ac:dyDescent="0.25">
      <c r="A5469" s="37"/>
      <c r="B5469" s="37"/>
      <c r="C5469" s="37"/>
      <c r="F5469" s="38"/>
      <c r="G5469" s="38"/>
      <c r="H5469" s="38"/>
      <c r="I5469" s="37"/>
      <c r="J5469" s="38"/>
      <c r="K5469" s="38"/>
      <c r="L5469" s="42"/>
      <c r="M5469" s="42"/>
      <c r="N5469" s="42"/>
      <c r="O5469" s="42"/>
      <c r="R5469" s="37"/>
      <c r="S5469" s="37"/>
      <c r="T5469" s="91"/>
      <c r="U5469" s="91"/>
      <c r="V5469" s="41"/>
      <c r="W5469" s="37"/>
      <c r="X5469" s="37"/>
      <c r="Y5469" s="43"/>
      <c r="Z5469" s="37"/>
      <c r="AA5469" s="37"/>
      <c r="AD5469" s="37"/>
      <c r="AE5469" s="37"/>
      <c r="AF5469" s="37"/>
    </row>
    <row r="5470" spans="1:32" x14ac:dyDescent="0.25">
      <c r="A5470" s="37"/>
      <c r="B5470" s="37"/>
      <c r="C5470" s="37"/>
      <c r="F5470" s="38"/>
      <c r="G5470" s="38"/>
      <c r="H5470" s="38"/>
      <c r="I5470" s="37"/>
      <c r="J5470" s="38"/>
      <c r="K5470" s="38"/>
      <c r="L5470" s="42"/>
      <c r="M5470" s="42"/>
      <c r="N5470" s="42"/>
      <c r="O5470" s="42"/>
      <c r="R5470" s="37"/>
      <c r="S5470" s="37"/>
      <c r="T5470" s="91"/>
      <c r="U5470" s="91"/>
      <c r="V5470" s="41"/>
      <c r="W5470" s="37"/>
      <c r="X5470" s="37"/>
      <c r="Y5470" s="43"/>
      <c r="Z5470" s="37"/>
      <c r="AA5470" s="37"/>
      <c r="AD5470" s="37"/>
      <c r="AE5470" s="37"/>
      <c r="AF5470" s="37"/>
    </row>
    <row r="5471" spans="1:32" x14ac:dyDescent="0.25">
      <c r="A5471" s="37"/>
      <c r="B5471" s="37"/>
      <c r="C5471" s="37"/>
      <c r="F5471" s="38"/>
      <c r="G5471" s="38"/>
      <c r="H5471" s="38"/>
      <c r="I5471" s="37"/>
      <c r="J5471" s="38"/>
      <c r="K5471" s="38"/>
      <c r="L5471" s="42"/>
      <c r="M5471" s="42"/>
      <c r="N5471" s="42"/>
      <c r="O5471" s="42"/>
      <c r="R5471" s="37"/>
      <c r="S5471" s="37"/>
      <c r="T5471" s="91"/>
      <c r="U5471" s="91"/>
      <c r="V5471" s="41"/>
      <c r="W5471" s="37"/>
      <c r="X5471" s="37"/>
      <c r="Y5471" s="43"/>
      <c r="Z5471" s="37"/>
      <c r="AA5471" s="37"/>
      <c r="AD5471" s="37"/>
      <c r="AE5471" s="37"/>
      <c r="AF5471" s="37"/>
    </row>
    <row r="5472" spans="1:32" x14ac:dyDescent="0.25">
      <c r="A5472" s="37"/>
      <c r="B5472" s="37"/>
      <c r="C5472" s="37"/>
      <c r="F5472" s="38"/>
      <c r="G5472" s="38"/>
      <c r="H5472" s="38"/>
      <c r="I5472" s="37"/>
      <c r="J5472" s="38"/>
      <c r="K5472" s="38"/>
      <c r="L5472" s="42"/>
      <c r="M5472" s="42"/>
      <c r="N5472" s="42"/>
      <c r="O5472" s="42"/>
      <c r="R5472" s="37"/>
      <c r="S5472" s="37"/>
      <c r="T5472" s="91"/>
      <c r="U5472" s="91"/>
      <c r="V5472" s="41"/>
      <c r="W5472" s="37"/>
      <c r="X5472" s="37"/>
      <c r="Y5472" s="43"/>
      <c r="Z5472" s="37"/>
      <c r="AA5472" s="37"/>
      <c r="AD5472" s="37"/>
      <c r="AE5472" s="37"/>
      <c r="AF5472" s="37"/>
    </row>
    <row r="5473" spans="1:32" x14ac:dyDescent="0.25">
      <c r="A5473" s="37"/>
      <c r="B5473" s="37"/>
      <c r="C5473" s="37"/>
      <c r="F5473" s="38"/>
      <c r="G5473" s="38"/>
      <c r="H5473" s="38"/>
      <c r="I5473" s="37"/>
      <c r="J5473" s="38"/>
      <c r="K5473" s="38"/>
      <c r="L5473" s="42"/>
      <c r="M5473" s="42"/>
      <c r="N5473" s="42"/>
      <c r="O5473" s="42"/>
      <c r="R5473" s="37"/>
      <c r="S5473" s="37"/>
      <c r="T5473" s="91"/>
      <c r="U5473" s="91"/>
      <c r="V5473" s="41"/>
      <c r="W5473" s="37"/>
      <c r="X5473" s="37"/>
      <c r="Y5473" s="43"/>
      <c r="Z5473" s="37"/>
      <c r="AA5473" s="37"/>
      <c r="AD5473" s="37"/>
      <c r="AE5473" s="37"/>
      <c r="AF5473" s="37"/>
    </row>
    <row r="5474" spans="1:32" x14ac:dyDescent="0.25">
      <c r="A5474" s="37"/>
      <c r="B5474" s="37"/>
      <c r="C5474" s="37"/>
      <c r="F5474" s="38"/>
      <c r="G5474" s="38"/>
      <c r="H5474" s="38"/>
      <c r="I5474" s="37"/>
      <c r="J5474" s="38"/>
      <c r="K5474" s="38"/>
      <c r="L5474" s="42"/>
      <c r="M5474" s="42"/>
      <c r="N5474" s="42"/>
      <c r="O5474" s="42"/>
      <c r="R5474" s="37"/>
      <c r="S5474" s="37"/>
      <c r="T5474" s="91"/>
      <c r="U5474" s="91"/>
      <c r="V5474" s="41"/>
      <c r="W5474" s="37"/>
      <c r="X5474" s="37"/>
      <c r="Y5474" s="43"/>
      <c r="Z5474" s="37"/>
      <c r="AA5474" s="37"/>
      <c r="AD5474" s="37"/>
      <c r="AE5474" s="37"/>
      <c r="AF5474" s="37"/>
    </row>
    <row r="5475" spans="1:32" x14ac:dyDescent="0.25">
      <c r="A5475" s="37"/>
      <c r="B5475" s="37"/>
      <c r="C5475" s="37"/>
      <c r="F5475" s="38"/>
      <c r="G5475" s="38"/>
      <c r="H5475" s="38"/>
      <c r="I5475" s="37"/>
      <c r="J5475" s="38"/>
      <c r="K5475" s="38"/>
      <c r="L5475" s="42"/>
      <c r="M5475" s="42"/>
      <c r="N5475" s="42"/>
      <c r="O5475" s="42"/>
      <c r="R5475" s="37"/>
      <c r="S5475" s="37"/>
      <c r="T5475" s="91"/>
      <c r="U5475" s="91"/>
      <c r="V5475" s="41"/>
      <c r="W5475" s="37"/>
      <c r="X5475" s="37"/>
      <c r="Y5475" s="43"/>
      <c r="Z5475" s="37"/>
      <c r="AA5475" s="37"/>
      <c r="AD5475" s="37"/>
      <c r="AE5475" s="37"/>
      <c r="AF5475" s="37"/>
    </row>
    <row r="5476" spans="1:32" x14ac:dyDescent="0.25">
      <c r="A5476" s="37"/>
      <c r="B5476" s="37"/>
      <c r="C5476" s="37"/>
      <c r="F5476" s="38"/>
      <c r="G5476" s="38"/>
      <c r="H5476" s="38"/>
      <c r="I5476" s="37"/>
      <c r="J5476" s="38"/>
      <c r="K5476" s="38"/>
      <c r="L5476" s="42"/>
      <c r="M5476" s="42"/>
      <c r="N5476" s="42"/>
      <c r="O5476" s="42"/>
      <c r="R5476" s="37"/>
      <c r="S5476" s="37"/>
      <c r="T5476" s="91"/>
      <c r="U5476" s="91"/>
      <c r="V5476" s="41"/>
      <c r="W5476" s="37"/>
      <c r="X5476" s="37"/>
      <c r="Y5476" s="43"/>
      <c r="Z5476" s="37"/>
      <c r="AA5476" s="37"/>
      <c r="AD5476" s="37"/>
      <c r="AE5476" s="37"/>
      <c r="AF5476" s="37"/>
    </row>
    <row r="5477" spans="1:32" x14ac:dyDescent="0.25">
      <c r="A5477" s="37"/>
      <c r="B5477" s="37"/>
      <c r="C5477" s="37"/>
      <c r="F5477" s="38"/>
      <c r="G5477" s="38"/>
      <c r="H5477" s="38"/>
      <c r="I5477" s="37"/>
      <c r="J5477" s="38"/>
      <c r="K5477" s="38"/>
      <c r="L5477" s="42"/>
      <c r="M5477" s="42"/>
      <c r="N5477" s="42"/>
      <c r="O5477" s="42"/>
      <c r="R5477" s="37"/>
      <c r="S5477" s="37"/>
      <c r="T5477" s="91"/>
      <c r="U5477" s="91"/>
      <c r="V5477" s="41"/>
      <c r="W5477" s="37"/>
      <c r="X5477" s="37"/>
      <c r="Y5477" s="43"/>
      <c r="Z5477" s="37"/>
      <c r="AA5477" s="37"/>
      <c r="AD5477" s="37"/>
      <c r="AE5477" s="37"/>
      <c r="AF5477" s="37"/>
    </row>
    <row r="5478" spans="1:32" x14ac:dyDescent="0.25">
      <c r="A5478" s="37"/>
      <c r="B5478" s="37"/>
      <c r="C5478" s="37"/>
      <c r="F5478" s="38"/>
      <c r="G5478" s="38"/>
      <c r="H5478" s="38"/>
      <c r="I5478" s="37"/>
      <c r="J5478" s="38"/>
      <c r="K5478" s="38"/>
      <c r="L5478" s="42"/>
      <c r="M5478" s="42"/>
      <c r="N5478" s="42"/>
      <c r="O5478" s="42"/>
      <c r="R5478" s="37"/>
      <c r="S5478" s="37"/>
      <c r="T5478" s="91"/>
      <c r="U5478" s="91"/>
      <c r="V5478" s="41"/>
      <c r="W5478" s="37"/>
      <c r="X5478" s="37"/>
      <c r="Y5478" s="43"/>
      <c r="Z5478" s="37"/>
      <c r="AA5478" s="37"/>
      <c r="AD5478" s="37"/>
      <c r="AE5478" s="37"/>
      <c r="AF5478" s="37"/>
    </row>
    <row r="5479" spans="1:32" x14ac:dyDescent="0.25">
      <c r="A5479" s="37"/>
      <c r="B5479" s="37"/>
      <c r="C5479" s="37"/>
      <c r="F5479" s="38"/>
      <c r="G5479" s="38"/>
      <c r="H5479" s="38"/>
      <c r="I5479" s="37"/>
      <c r="J5479" s="38"/>
      <c r="K5479" s="38"/>
      <c r="L5479" s="42"/>
      <c r="M5479" s="42"/>
      <c r="N5479" s="42"/>
      <c r="O5479" s="42"/>
      <c r="R5479" s="37"/>
      <c r="S5479" s="37"/>
      <c r="T5479" s="91"/>
      <c r="U5479" s="91"/>
      <c r="V5479" s="41"/>
      <c r="W5479" s="37"/>
      <c r="X5479" s="37"/>
      <c r="Y5479" s="43"/>
      <c r="Z5479" s="37"/>
      <c r="AA5479" s="37"/>
      <c r="AD5479" s="37"/>
      <c r="AE5479" s="37"/>
      <c r="AF5479" s="37"/>
    </row>
    <row r="5480" spans="1:32" x14ac:dyDescent="0.25">
      <c r="A5480" s="37"/>
      <c r="B5480" s="37"/>
      <c r="C5480" s="37"/>
      <c r="F5480" s="38"/>
      <c r="G5480" s="38"/>
      <c r="H5480" s="38"/>
      <c r="I5480" s="37"/>
      <c r="J5480" s="38"/>
      <c r="K5480" s="38"/>
      <c r="L5480" s="42"/>
      <c r="M5480" s="42"/>
      <c r="N5480" s="42"/>
      <c r="O5480" s="42"/>
      <c r="R5480" s="37"/>
      <c r="S5480" s="37"/>
      <c r="T5480" s="91"/>
      <c r="U5480" s="91"/>
      <c r="V5480" s="41"/>
      <c r="W5480" s="37"/>
      <c r="X5480" s="37"/>
      <c r="Y5480" s="43"/>
      <c r="Z5480" s="37"/>
      <c r="AA5480" s="37"/>
      <c r="AD5480" s="37"/>
      <c r="AE5480" s="37"/>
      <c r="AF5480" s="37"/>
    </row>
    <row r="5481" spans="1:32" x14ac:dyDescent="0.25">
      <c r="A5481" s="37"/>
      <c r="B5481" s="37"/>
      <c r="C5481" s="37"/>
      <c r="F5481" s="38"/>
      <c r="G5481" s="38"/>
      <c r="H5481" s="38"/>
      <c r="I5481" s="37"/>
      <c r="J5481" s="38"/>
      <c r="K5481" s="38"/>
      <c r="L5481" s="42"/>
      <c r="M5481" s="42"/>
      <c r="N5481" s="42"/>
      <c r="O5481" s="42"/>
      <c r="R5481" s="37"/>
      <c r="S5481" s="37"/>
      <c r="T5481" s="91"/>
      <c r="U5481" s="91"/>
      <c r="V5481" s="41"/>
      <c r="W5481" s="37"/>
      <c r="X5481" s="37"/>
      <c r="Y5481" s="43"/>
      <c r="Z5481" s="37"/>
      <c r="AA5481" s="37"/>
      <c r="AD5481" s="37"/>
      <c r="AE5481" s="37"/>
      <c r="AF5481" s="37"/>
    </row>
    <row r="5482" spans="1:32" x14ac:dyDescent="0.25">
      <c r="A5482" s="37"/>
      <c r="B5482" s="37"/>
      <c r="C5482" s="37"/>
      <c r="F5482" s="38"/>
      <c r="G5482" s="38"/>
      <c r="H5482" s="38"/>
      <c r="I5482" s="37"/>
      <c r="J5482" s="38"/>
      <c r="K5482" s="38"/>
      <c r="L5482" s="42"/>
      <c r="M5482" s="42"/>
      <c r="N5482" s="42"/>
      <c r="O5482" s="42"/>
      <c r="R5482" s="37"/>
      <c r="S5482" s="37"/>
      <c r="T5482" s="91"/>
      <c r="U5482" s="91"/>
      <c r="V5482" s="41"/>
      <c r="W5482" s="37"/>
      <c r="X5482" s="37"/>
      <c r="Y5482" s="43"/>
      <c r="Z5482" s="37"/>
      <c r="AA5482" s="37"/>
      <c r="AD5482" s="37"/>
      <c r="AE5482" s="37"/>
      <c r="AF5482" s="37"/>
    </row>
    <row r="5483" spans="1:32" x14ac:dyDescent="0.25">
      <c r="A5483" s="37"/>
      <c r="B5483" s="37"/>
      <c r="C5483" s="37"/>
      <c r="F5483" s="38"/>
      <c r="G5483" s="38"/>
      <c r="H5483" s="38"/>
      <c r="I5483" s="37"/>
      <c r="J5483" s="38"/>
      <c r="K5483" s="38"/>
      <c r="L5483" s="42"/>
      <c r="M5483" s="42"/>
      <c r="N5483" s="42"/>
      <c r="O5483" s="42"/>
      <c r="R5483" s="37"/>
      <c r="S5483" s="37"/>
      <c r="T5483" s="91"/>
      <c r="U5483" s="91"/>
      <c r="V5483" s="41"/>
      <c r="W5483" s="37"/>
      <c r="X5483" s="37"/>
      <c r="Y5483" s="43"/>
      <c r="Z5483" s="37"/>
      <c r="AA5483" s="37"/>
      <c r="AD5483" s="37"/>
      <c r="AE5483" s="37"/>
      <c r="AF5483" s="37"/>
    </row>
    <row r="5484" spans="1:32" x14ac:dyDescent="0.25">
      <c r="A5484" s="37"/>
      <c r="B5484" s="37"/>
      <c r="C5484" s="37"/>
      <c r="F5484" s="38"/>
      <c r="G5484" s="38"/>
      <c r="H5484" s="38"/>
      <c r="I5484" s="37"/>
      <c r="J5484" s="38"/>
      <c r="K5484" s="38"/>
      <c r="L5484" s="42"/>
      <c r="M5484" s="42"/>
      <c r="N5484" s="42"/>
      <c r="O5484" s="42"/>
      <c r="R5484" s="37"/>
      <c r="S5484" s="37"/>
      <c r="T5484" s="91"/>
      <c r="U5484" s="91"/>
      <c r="V5484" s="41"/>
      <c r="W5484" s="37"/>
      <c r="X5484" s="37"/>
      <c r="Y5484" s="43"/>
      <c r="Z5484" s="37"/>
      <c r="AA5484" s="37"/>
      <c r="AD5484" s="37"/>
      <c r="AE5484" s="37"/>
      <c r="AF5484" s="37"/>
    </row>
    <row r="5485" spans="1:32" x14ac:dyDescent="0.25">
      <c r="A5485" s="37"/>
      <c r="B5485" s="37"/>
      <c r="C5485" s="37"/>
      <c r="F5485" s="38"/>
      <c r="G5485" s="38"/>
      <c r="H5485" s="38"/>
      <c r="I5485" s="37"/>
      <c r="J5485" s="38"/>
      <c r="K5485" s="38"/>
      <c r="L5485" s="42"/>
      <c r="M5485" s="42"/>
      <c r="N5485" s="42"/>
      <c r="O5485" s="42"/>
      <c r="R5485" s="37"/>
      <c r="S5485" s="37"/>
      <c r="T5485" s="91"/>
      <c r="U5485" s="91"/>
      <c r="V5485" s="41"/>
      <c r="W5485" s="37"/>
      <c r="X5485" s="37"/>
      <c r="Y5485" s="43"/>
      <c r="Z5485" s="37"/>
      <c r="AA5485" s="37"/>
      <c r="AD5485" s="37"/>
      <c r="AE5485" s="37"/>
      <c r="AF5485" s="37"/>
    </row>
    <row r="5486" spans="1:32" x14ac:dyDescent="0.25">
      <c r="A5486" s="37"/>
      <c r="B5486" s="37"/>
      <c r="C5486" s="37"/>
      <c r="F5486" s="38"/>
      <c r="G5486" s="38"/>
      <c r="H5486" s="38"/>
      <c r="I5486" s="37"/>
      <c r="J5486" s="38"/>
      <c r="K5486" s="38"/>
      <c r="L5486" s="42"/>
      <c r="M5486" s="42"/>
      <c r="N5486" s="42"/>
      <c r="O5486" s="42"/>
      <c r="R5486" s="37"/>
      <c r="S5486" s="37"/>
      <c r="T5486" s="91"/>
      <c r="U5486" s="91"/>
      <c r="V5486" s="41"/>
      <c r="W5486" s="37"/>
      <c r="X5486" s="37"/>
      <c r="Y5486" s="43"/>
      <c r="Z5486" s="37"/>
      <c r="AA5486" s="37"/>
      <c r="AD5486" s="37"/>
      <c r="AE5486" s="37"/>
      <c r="AF5486" s="37"/>
    </row>
    <row r="5487" spans="1:32" x14ac:dyDescent="0.25">
      <c r="A5487" s="37"/>
      <c r="B5487" s="37"/>
      <c r="C5487" s="37"/>
      <c r="F5487" s="38"/>
      <c r="G5487" s="38"/>
      <c r="H5487" s="38"/>
      <c r="I5487" s="37"/>
      <c r="J5487" s="38"/>
      <c r="K5487" s="38"/>
      <c r="L5487" s="42"/>
      <c r="M5487" s="42"/>
      <c r="N5487" s="42"/>
      <c r="O5487" s="42"/>
      <c r="R5487" s="37"/>
      <c r="S5487" s="37"/>
      <c r="T5487" s="91"/>
      <c r="U5487" s="91"/>
      <c r="V5487" s="41"/>
      <c r="W5487" s="37"/>
      <c r="X5487" s="37"/>
      <c r="Y5487" s="43"/>
      <c r="Z5487" s="37"/>
      <c r="AA5487" s="37"/>
      <c r="AD5487" s="37"/>
      <c r="AE5487" s="37"/>
      <c r="AF5487" s="37"/>
    </row>
    <row r="5488" spans="1:32" x14ac:dyDescent="0.25">
      <c r="A5488" s="37"/>
      <c r="B5488" s="37"/>
      <c r="C5488" s="37"/>
      <c r="F5488" s="38"/>
      <c r="G5488" s="38"/>
      <c r="H5488" s="38"/>
      <c r="I5488" s="37"/>
      <c r="J5488" s="38"/>
      <c r="K5488" s="38"/>
      <c r="L5488" s="42"/>
      <c r="M5488" s="42"/>
      <c r="N5488" s="42"/>
      <c r="O5488" s="42"/>
      <c r="R5488" s="37"/>
      <c r="S5488" s="37"/>
      <c r="T5488" s="91"/>
      <c r="U5488" s="91"/>
      <c r="V5488" s="41"/>
      <c r="W5488" s="37"/>
      <c r="X5488" s="37"/>
      <c r="Y5488" s="43"/>
      <c r="Z5488" s="37"/>
      <c r="AA5488" s="37"/>
      <c r="AD5488" s="37"/>
      <c r="AE5488" s="37"/>
      <c r="AF5488" s="37"/>
    </row>
    <row r="5489" spans="1:32" x14ac:dyDescent="0.25">
      <c r="A5489" s="37"/>
      <c r="B5489" s="37"/>
      <c r="C5489" s="37"/>
      <c r="F5489" s="38"/>
      <c r="G5489" s="38"/>
      <c r="H5489" s="38"/>
      <c r="I5489" s="37"/>
      <c r="J5489" s="38"/>
      <c r="K5489" s="38"/>
      <c r="L5489" s="42"/>
      <c r="M5489" s="42"/>
      <c r="N5489" s="42"/>
      <c r="O5489" s="42"/>
      <c r="R5489" s="37"/>
      <c r="S5489" s="37"/>
      <c r="T5489" s="91"/>
      <c r="U5489" s="91"/>
      <c r="V5489" s="41"/>
      <c r="W5489" s="37"/>
      <c r="X5489" s="37"/>
      <c r="Y5489" s="43"/>
      <c r="Z5489" s="37"/>
      <c r="AA5489" s="37"/>
      <c r="AD5489" s="37"/>
      <c r="AE5489" s="37"/>
      <c r="AF5489" s="37"/>
    </row>
    <row r="5490" spans="1:32" x14ac:dyDescent="0.25">
      <c r="A5490" s="37"/>
      <c r="B5490" s="37"/>
      <c r="C5490" s="37"/>
      <c r="F5490" s="38"/>
      <c r="G5490" s="38"/>
      <c r="H5490" s="38"/>
      <c r="I5490" s="37"/>
      <c r="J5490" s="38"/>
      <c r="K5490" s="38"/>
      <c r="L5490" s="42"/>
      <c r="M5490" s="42"/>
      <c r="N5490" s="42"/>
      <c r="O5490" s="42"/>
      <c r="R5490" s="37"/>
      <c r="S5490" s="37"/>
      <c r="T5490" s="91"/>
      <c r="U5490" s="91"/>
      <c r="V5490" s="41"/>
      <c r="W5490" s="37"/>
      <c r="X5490" s="37"/>
      <c r="Y5490" s="43"/>
      <c r="Z5490" s="37"/>
      <c r="AA5490" s="37"/>
      <c r="AD5490" s="37"/>
      <c r="AE5490" s="37"/>
      <c r="AF5490" s="37"/>
    </row>
    <row r="5491" spans="1:32" x14ac:dyDescent="0.25">
      <c r="A5491" s="37"/>
      <c r="B5491" s="37"/>
      <c r="C5491" s="37"/>
      <c r="F5491" s="38"/>
      <c r="G5491" s="38"/>
      <c r="H5491" s="38"/>
      <c r="I5491" s="37"/>
      <c r="J5491" s="38"/>
      <c r="K5491" s="38"/>
      <c r="L5491" s="42"/>
      <c r="M5491" s="42"/>
      <c r="N5491" s="42"/>
      <c r="O5491" s="42"/>
      <c r="R5491" s="37"/>
      <c r="S5491" s="37"/>
      <c r="T5491" s="91"/>
      <c r="U5491" s="91"/>
      <c r="V5491" s="41"/>
      <c r="W5491" s="37"/>
      <c r="X5491" s="37"/>
      <c r="Y5491" s="43"/>
      <c r="Z5491" s="37"/>
      <c r="AA5491" s="37"/>
      <c r="AD5491" s="37"/>
      <c r="AE5491" s="37"/>
      <c r="AF5491" s="37"/>
    </row>
    <row r="5492" spans="1:32" x14ac:dyDescent="0.25">
      <c r="A5492" s="37"/>
      <c r="B5492" s="37"/>
      <c r="C5492" s="37"/>
      <c r="F5492" s="38"/>
      <c r="G5492" s="38"/>
      <c r="H5492" s="38"/>
      <c r="I5492" s="37"/>
      <c r="J5492" s="38"/>
      <c r="K5492" s="38"/>
      <c r="L5492" s="42"/>
      <c r="M5492" s="42"/>
      <c r="N5492" s="42"/>
      <c r="O5492" s="42"/>
      <c r="R5492" s="37"/>
      <c r="S5492" s="37"/>
      <c r="T5492" s="91"/>
      <c r="U5492" s="91"/>
      <c r="V5492" s="41"/>
      <c r="W5492" s="37"/>
      <c r="X5492" s="37"/>
      <c r="Y5492" s="43"/>
      <c r="Z5492" s="37"/>
      <c r="AA5492" s="37"/>
      <c r="AD5492" s="37"/>
      <c r="AE5492" s="37"/>
      <c r="AF5492" s="37"/>
    </row>
    <row r="5493" spans="1:32" x14ac:dyDescent="0.25">
      <c r="A5493" s="37"/>
      <c r="B5493" s="37"/>
      <c r="C5493" s="37"/>
      <c r="F5493" s="38"/>
      <c r="G5493" s="38"/>
      <c r="H5493" s="38"/>
      <c r="I5493" s="37"/>
      <c r="J5493" s="38"/>
      <c r="K5493" s="38"/>
      <c r="L5493" s="42"/>
      <c r="M5493" s="42"/>
      <c r="N5493" s="42"/>
      <c r="O5493" s="42"/>
      <c r="R5493" s="37"/>
      <c r="S5493" s="37"/>
      <c r="T5493" s="91"/>
      <c r="U5493" s="91"/>
      <c r="V5493" s="41"/>
      <c r="W5493" s="37"/>
      <c r="X5493" s="37"/>
      <c r="Y5493" s="43"/>
      <c r="Z5493" s="37"/>
      <c r="AA5493" s="37"/>
      <c r="AD5493" s="37"/>
      <c r="AE5493" s="37"/>
      <c r="AF5493" s="37"/>
    </row>
    <row r="5494" spans="1:32" x14ac:dyDescent="0.25">
      <c r="A5494" s="37"/>
      <c r="B5494" s="37"/>
      <c r="C5494" s="37"/>
      <c r="F5494" s="38"/>
      <c r="G5494" s="38"/>
      <c r="H5494" s="38"/>
      <c r="I5494" s="37"/>
      <c r="J5494" s="38"/>
      <c r="K5494" s="38"/>
      <c r="L5494" s="42"/>
      <c r="M5494" s="42"/>
      <c r="N5494" s="42"/>
      <c r="O5494" s="42"/>
      <c r="R5494" s="37"/>
      <c r="S5494" s="37"/>
      <c r="T5494" s="91"/>
      <c r="U5494" s="91"/>
      <c r="V5494" s="41"/>
      <c r="W5494" s="37"/>
      <c r="X5494" s="37"/>
      <c r="Y5494" s="43"/>
      <c r="Z5494" s="37"/>
      <c r="AA5494" s="37"/>
      <c r="AD5494" s="37"/>
      <c r="AE5494" s="37"/>
      <c r="AF5494" s="37"/>
    </row>
    <row r="5495" spans="1:32" x14ac:dyDescent="0.25">
      <c r="A5495" s="37"/>
      <c r="B5495" s="37"/>
      <c r="C5495" s="37"/>
      <c r="F5495" s="38"/>
      <c r="G5495" s="38"/>
      <c r="H5495" s="38"/>
      <c r="I5495" s="37"/>
      <c r="J5495" s="38"/>
      <c r="K5495" s="38"/>
      <c r="L5495" s="42"/>
      <c r="M5495" s="42"/>
      <c r="N5495" s="42"/>
      <c r="O5495" s="42"/>
      <c r="R5495" s="37"/>
      <c r="S5495" s="37"/>
      <c r="T5495" s="91"/>
      <c r="U5495" s="91"/>
      <c r="V5495" s="41"/>
      <c r="W5495" s="37"/>
      <c r="X5495" s="37"/>
      <c r="Y5495" s="43"/>
      <c r="Z5495" s="37"/>
      <c r="AA5495" s="37"/>
      <c r="AD5495" s="37"/>
      <c r="AE5495" s="37"/>
      <c r="AF5495" s="37"/>
    </row>
    <row r="5496" spans="1:32" x14ac:dyDescent="0.25">
      <c r="A5496" s="37"/>
      <c r="B5496" s="37"/>
      <c r="C5496" s="37"/>
      <c r="F5496" s="38"/>
      <c r="G5496" s="38"/>
      <c r="H5496" s="38"/>
      <c r="I5496" s="37"/>
      <c r="J5496" s="38"/>
      <c r="K5496" s="38"/>
      <c r="L5496" s="42"/>
      <c r="M5496" s="42"/>
      <c r="N5496" s="42"/>
      <c r="O5496" s="42"/>
      <c r="R5496" s="37"/>
      <c r="S5496" s="37"/>
      <c r="T5496" s="91"/>
      <c r="U5496" s="91"/>
      <c r="V5496" s="41"/>
      <c r="W5496" s="37"/>
      <c r="X5496" s="37"/>
      <c r="Y5496" s="43"/>
      <c r="Z5496" s="37"/>
      <c r="AA5496" s="37"/>
      <c r="AD5496" s="37"/>
      <c r="AE5496" s="37"/>
      <c r="AF5496" s="37"/>
    </row>
    <row r="5497" spans="1:32" x14ac:dyDescent="0.25">
      <c r="A5497" s="37"/>
      <c r="B5497" s="37"/>
      <c r="C5497" s="37"/>
      <c r="F5497" s="38"/>
      <c r="G5497" s="38"/>
      <c r="H5497" s="38"/>
      <c r="I5497" s="37"/>
      <c r="J5497" s="38"/>
      <c r="K5497" s="38"/>
      <c r="L5497" s="42"/>
      <c r="M5497" s="42"/>
      <c r="N5497" s="42"/>
      <c r="O5497" s="42"/>
      <c r="R5497" s="37"/>
      <c r="S5497" s="37"/>
      <c r="T5497" s="91"/>
      <c r="U5497" s="91"/>
      <c r="V5497" s="41"/>
      <c r="W5497" s="37"/>
      <c r="X5497" s="37"/>
      <c r="Y5497" s="43"/>
      <c r="Z5497" s="37"/>
      <c r="AA5497" s="37"/>
      <c r="AD5497" s="37"/>
      <c r="AE5497" s="37"/>
      <c r="AF5497" s="37"/>
    </row>
    <row r="5498" spans="1:32" x14ac:dyDescent="0.25">
      <c r="A5498" s="37"/>
      <c r="B5498" s="37"/>
      <c r="C5498" s="37"/>
      <c r="F5498" s="38"/>
      <c r="G5498" s="38"/>
      <c r="H5498" s="38"/>
      <c r="I5498" s="37"/>
      <c r="J5498" s="38"/>
      <c r="K5498" s="38"/>
      <c r="L5498" s="42"/>
      <c r="M5498" s="42"/>
      <c r="N5498" s="42"/>
      <c r="O5498" s="42"/>
      <c r="R5498" s="37"/>
      <c r="S5498" s="37"/>
      <c r="T5498" s="91"/>
      <c r="U5498" s="91"/>
      <c r="V5498" s="41"/>
      <c r="W5498" s="37"/>
      <c r="X5498" s="37"/>
      <c r="Y5498" s="43"/>
      <c r="Z5498" s="37"/>
      <c r="AA5498" s="37"/>
      <c r="AD5498" s="37"/>
      <c r="AE5498" s="37"/>
      <c r="AF5498" s="37"/>
    </row>
    <row r="5499" spans="1:32" x14ac:dyDescent="0.25">
      <c r="A5499" s="37"/>
      <c r="B5499" s="37"/>
      <c r="C5499" s="37"/>
      <c r="F5499" s="38"/>
      <c r="G5499" s="38"/>
      <c r="H5499" s="38"/>
      <c r="I5499" s="37"/>
      <c r="J5499" s="38"/>
      <c r="K5499" s="38"/>
      <c r="L5499" s="42"/>
      <c r="M5499" s="42"/>
      <c r="N5499" s="42"/>
      <c r="O5499" s="42"/>
      <c r="R5499" s="37"/>
      <c r="S5499" s="37"/>
      <c r="T5499" s="91"/>
      <c r="U5499" s="91"/>
      <c r="V5499" s="41"/>
      <c r="W5499" s="37"/>
      <c r="X5499" s="37"/>
      <c r="Y5499" s="43"/>
      <c r="Z5499" s="37"/>
      <c r="AA5499" s="37"/>
      <c r="AD5499" s="37"/>
      <c r="AE5499" s="37"/>
      <c r="AF5499" s="37"/>
    </row>
    <row r="5500" spans="1:32" x14ac:dyDescent="0.25">
      <c r="A5500" s="37"/>
      <c r="B5500" s="37"/>
      <c r="C5500" s="37"/>
      <c r="F5500" s="38"/>
      <c r="G5500" s="38"/>
      <c r="H5500" s="38"/>
      <c r="I5500" s="37"/>
      <c r="J5500" s="38"/>
      <c r="K5500" s="38"/>
      <c r="L5500" s="42"/>
      <c r="M5500" s="42"/>
      <c r="N5500" s="42"/>
      <c r="O5500" s="42"/>
      <c r="R5500" s="37"/>
      <c r="S5500" s="37"/>
      <c r="T5500" s="91"/>
      <c r="U5500" s="91"/>
      <c r="V5500" s="41"/>
      <c r="W5500" s="37"/>
      <c r="X5500" s="37"/>
      <c r="Y5500" s="43"/>
      <c r="Z5500" s="37"/>
      <c r="AA5500" s="37"/>
      <c r="AD5500" s="37"/>
      <c r="AE5500" s="37"/>
      <c r="AF5500" s="37"/>
    </row>
    <row r="5501" spans="1:32" x14ac:dyDescent="0.25">
      <c r="A5501" s="37"/>
      <c r="B5501" s="37"/>
      <c r="C5501" s="37"/>
      <c r="F5501" s="38"/>
      <c r="G5501" s="38"/>
      <c r="H5501" s="38"/>
      <c r="I5501" s="37"/>
      <c r="J5501" s="38"/>
      <c r="K5501" s="38"/>
      <c r="L5501" s="42"/>
      <c r="M5501" s="42"/>
      <c r="N5501" s="42"/>
      <c r="O5501" s="42"/>
      <c r="R5501" s="37"/>
      <c r="S5501" s="37"/>
      <c r="T5501" s="91"/>
      <c r="U5501" s="91"/>
      <c r="V5501" s="41"/>
      <c r="W5501" s="37"/>
      <c r="X5501" s="37"/>
      <c r="Y5501" s="43"/>
      <c r="Z5501" s="37"/>
      <c r="AA5501" s="37"/>
      <c r="AD5501" s="37"/>
      <c r="AE5501" s="37"/>
      <c r="AF5501" s="37"/>
    </row>
    <row r="5502" spans="1:32" x14ac:dyDescent="0.25">
      <c r="A5502" s="37"/>
      <c r="B5502" s="37"/>
      <c r="C5502" s="37"/>
      <c r="F5502" s="38"/>
      <c r="G5502" s="38"/>
      <c r="H5502" s="38"/>
      <c r="I5502" s="37"/>
      <c r="J5502" s="38"/>
      <c r="K5502" s="38"/>
      <c r="L5502" s="42"/>
      <c r="M5502" s="42"/>
      <c r="N5502" s="42"/>
      <c r="O5502" s="42"/>
      <c r="R5502" s="37"/>
      <c r="S5502" s="37"/>
      <c r="T5502" s="91"/>
      <c r="U5502" s="91"/>
      <c r="V5502" s="41"/>
      <c r="W5502" s="37"/>
      <c r="X5502" s="37"/>
      <c r="Y5502" s="43"/>
      <c r="Z5502" s="37"/>
      <c r="AA5502" s="37"/>
      <c r="AD5502" s="37"/>
      <c r="AE5502" s="37"/>
      <c r="AF5502" s="37"/>
    </row>
    <row r="5503" spans="1:32" x14ac:dyDescent="0.25">
      <c r="A5503" s="37"/>
      <c r="B5503" s="37"/>
      <c r="C5503" s="37"/>
      <c r="F5503" s="38"/>
      <c r="G5503" s="38"/>
      <c r="H5503" s="38"/>
      <c r="I5503" s="37"/>
      <c r="J5503" s="38"/>
      <c r="K5503" s="38"/>
      <c r="L5503" s="42"/>
      <c r="M5503" s="42"/>
      <c r="N5503" s="42"/>
      <c r="O5503" s="42"/>
      <c r="R5503" s="37"/>
      <c r="S5503" s="37"/>
      <c r="T5503" s="91"/>
      <c r="U5503" s="91"/>
      <c r="V5503" s="41"/>
      <c r="W5503" s="37"/>
      <c r="X5503" s="37"/>
      <c r="Y5503" s="43"/>
      <c r="Z5503" s="37"/>
      <c r="AA5503" s="37"/>
      <c r="AD5503" s="37"/>
      <c r="AE5503" s="37"/>
      <c r="AF5503" s="37"/>
    </row>
    <row r="5504" spans="1:32" x14ac:dyDescent="0.25">
      <c r="A5504" s="37"/>
      <c r="B5504" s="37"/>
      <c r="C5504" s="37"/>
      <c r="F5504" s="38"/>
      <c r="G5504" s="38"/>
      <c r="H5504" s="38"/>
      <c r="I5504" s="37"/>
      <c r="J5504" s="38"/>
      <c r="K5504" s="38"/>
      <c r="L5504" s="42"/>
      <c r="M5504" s="42"/>
      <c r="N5504" s="42"/>
      <c r="O5504" s="42"/>
      <c r="R5504" s="37"/>
      <c r="S5504" s="37"/>
      <c r="T5504" s="91"/>
      <c r="U5504" s="91"/>
      <c r="V5504" s="41"/>
      <c r="W5504" s="37"/>
      <c r="X5504" s="37"/>
      <c r="Y5504" s="43"/>
      <c r="Z5504" s="37"/>
      <c r="AA5504" s="37"/>
      <c r="AD5504" s="37"/>
      <c r="AE5504" s="37"/>
      <c r="AF5504" s="37"/>
    </row>
    <row r="5505" spans="1:32" x14ac:dyDescent="0.25">
      <c r="A5505" s="37"/>
      <c r="B5505" s="37"/>
      <c r="C5505" s="37"/>
      <c r="F5505" s="38"/>
      <c r="G5505" s="38"/>
      <c r="H5505" s="38"/>
      <c r="I5505" s="37"/>
      <c r="J5505" s="38"/>
      <c r="K5505" s="38"/>
      <c r="L5505" s="42"/>
      <c r="M5505" s="42"/>
      <c r="N5505" s="42"/>
      <c r="O5505" s="42"/>
      <c r="R5505" s="37"/>
      <c r="S5505" s="37"/>
      <c r="T5505" s="91"/>
      <c r="U5505" s="91"/>
      <c r="V5505" s="41"/>
      <c r="W5505" s="37"/>
      <c r="X5505" s="37"/>
      <c r="Y5505" s="43"/>
      <c r="Z5505" s="37"/>
      <c r="AA5505" s="37"/>
      <c r="AD5505" s="37"/>
      <c r="AE5505" s="37"/>
      <c r="AF5505" s="37"/>
    </row>
    <row r="5506" spans="1:32" x14ac:dyDescent="0.25">
      <c r="A5506" s="37"/>
      <c r="B5506" s="37"/>
      <c r="C5506" s="37"/>
      <c r="F5506" s="38"/>
      <c r="G5506" s="38"/>
      <c r="H5506" s="38"/>
      <c r="I5506" s="37"/>
      <c r="J5506" s="38"/>
      <c r="K5506" s="38"/>
      <c r="L5506" s="42"/>
      <c r="M5506" s="42"/>
      <c r="N5506" s="42"/>
      <c r="O5506" s="42"/>
      <c r="R5506" s="37"/>
      <c r="S5506" s="37"/>
      <c r="T5506" s="91"/>
      <c r="U5506" s="91"/>
      <c r="V5506" s="41"/>
      <c r="W5506" s="37"/>
      <c r="X5506" s="37"/>
      <c r="Y5506" s="43"/>
      <c r="Z5506" s="37"/>
      <c r="AA5506" s="37"/>
      <c r="AD5506" s="37"/>
      <c r="AE5506" s="37"/>
      <c r="AF5506" s="37"/>
    </row>
    <row r="5507" spans="1:32" x14ac:dyDescent="0.25">
      <c r="A5507" s="37"/>
      <c r="B5507" s="37"/>
      <c r="C5507" s="37"/>
      <c r="F5507" s="38"/>
      <c r="G5507" s="38"/>
      <c r="H5507" s="38"/>
      <c r="I5507" s="37"/>
      <c r="J5507" s="38"/>
      <c r="K5507" s="38"/>
      <c r="L5507" s="42"/>
      <c r="M5507" s="42"/>
      <c r="N5507" s="42"/>
      <c r="O5507" s="42"/>
      <c r="R5507" s="37"/>
      <c r="S5507" s="37"/>
      <c r="T5507" s="91"/>
      <c r="U5507" s="91"/>
      <c r="V5507" s="41"/>
      <c r="W5507" s="37"/>
      <c r="X5507" s="37"/>
      <c r="Y5507" s="43"/>
      <c r="Z5507" s="37"/>
      <c r="AA5507" s="37"/>
      <c r="AD5507" s="37"/>
      <c r="AE5507" s="37"/>
      <c r="AF5507" s="37"/>
    </row>
    <row r="5508" spans="1:32" x14ac:dyDescent="0.25">
      <c r="A5508" s="37"/>
      <c r="B5508" s="37"/>
      <c r="C5508" s="37"/>
      <c r="F5508" s="38"/>
      <c r="G5508" s="38"/>
      <c r="H5508" s="38"/>
      <c r="I5508" s="37"/>
      <c r="J5508" s="38"/>
      <c r="K5508" s="38"/>
      <c r="L5508" s="42"/>
      <c r="M5508" s="42"/>
      <c r="N5508" s="42"/>
      <c r="O5508" s="42"/>
      <c r="R5508" s="37"/>
      <c r="S5508" s="37"/>
      <c r="T5508" s="91"/>
      <c r="U5508" s="91"/>
      <c r="V5508" s="41"/>
      <c r="W5508" s="37"/>
      <c r="X5508" s="37"/>
      <c r="Y5508" s="43"/>
      <c r="Z5508" s="37"/>
      <c r="AA5508" s="37"/>
      <c r="AD5508" s="37"/>
      <c r="AE5508" s="37"/>
      <c r="AF5508" s="37"/>
    </row>
    <row r="5509" spans="1:32" x14ac:dyDescent="0.25">
      <c r="A5509" s="37"/>
      <c r="B5509" s="37"/>
      <c r="C5509" s="37"/>
      <c r="F5509" s="38"/>
      <c r="G5509" s="38"/>
      <c r="H5509" s="38"/>
      <c r="I5509" s="37"/>
      <c r="J5509" s="38"/>
      <c r="K5509" s="38"/>
      <c r="L5509" s="42"/>
      <c r="M5509" s="42"/>
      <c r="N5509" s="42"/>
      <c r="O5509" s="42"/>
      <c r="R5509" s="37"/>
      <c r="S5509" s="37"/>
      <c r="T5509" s="91"/>
      <c r="U5509" s="91"/>
      <c r="V5509" s="41"/>
      <c r="W5509" s="37"/>
      <c r="X5509" s="37"/>
      <c r="Y5509" s="43"/>
      <c r="Z5509" s="37"/>
      <c r="AA5509" s="37"/>
      <c r="AD5509" s="37"/>
      <c r="AE5509" s="37"/>
      <c r="AF5509" s="37"/>
    </row>
    <row r="5510" spans="1:32" x14ac:dyDescent="0.25">
      <c r="A5510" s="37"/>
      <c r="B5510" s="37"/>
      <c r="C5510" s="37"/>
      <c r="F5510" s="38"/>
      <c r="G5510" s="38"/>
      <c r="H5510" s="38"/>
      <c r="I5510" s="37"/>
      <c r="J5510" s="38"/>
      <c r="K5510" s="38"/>
      <c r="L5510" s="42"/>
      <c r="M5510" s="42"/>
      <c r="N5510" s="42"/>
      <c r="O5510" s="42"/>
      <c r="R5510" s="37"/>
      <c r="S5510" s="37"/>
      <c r="T5510" s="91"/>
      <c r="U5510" s="91"/>
      <c r="V5510" s="41"/>
      <c r="W5510" s="37"/>
      <c r="X5510" s="37"/>
      <c r="Y5510" s="43"/>
      <c r="Z5510" s="37"/>
      <c r="AA5510" s="37"/>
      <c r="AD5510" s="37"/>
      <c r="AE5510" s="37"/>
      <c r="AF5510" s="37"/>
    </row>
    <row r="5511" spans="1:32" x14ac:dyDescent="0.25">
      <c r="A5511" s="37"/>
      <c r="B5511" s="37"/>
      <c r="C5511" s="37"/>
      <c r="F5511" s="38"/>
      <c r="G5511" s="38"/>
      <c r="H5511" s="38"/>
      <c r="I5511" s="37"/>
      <c r="J5511" s="38"/>
      <c r="K5511" s="38"/>
      <c r="L5511" s="42"/>
      <c r="M5511" s="42"/>
      <c r="N5511" s="42"/>
      <c r="O5511" s="42"/>
      <c r="R5511" s="37"/>
      <c r="S5511" s="37"/>
      <c r="T5511" s="91"/>
      <c r="U5511" s="91"/>
      <c r="V5511" s="41"/>
      <c r="W5511" s="37"/>
      <c r="X5511" s="37"/>
      <c r="Y5511" s="43"/>
      <c r="Z5511" s="37"/>
      <c r="AA5511" s="37"/>
      <c r="AD5511" s="37"/>
      <c r="AE5511" s="37"/>
      <c r="AF5511" s="37"/>
    </row>
    <row r="5512" spans="1:32" x14ac:dyDescent="0.25">
      <c r="A5512" s="37"/>
      <c r="B5512" s="37"/>
      <c r="C5512" s="37"/>
      <c r="F5512" s="38"/>
      <c r="G5512" s="38"/>
      <c r="H5512" s="38"/>
      <c r="I5512" s="37"/>
      <c r="J5512" s="38"/>
      <c r="K5512" s="38"/>
      <c r="L5512" s="42"/>
      <c r="M5512" s="42"/>
      <c r="N5512" s="42"/>
      <c r="O5512" s="42"/>
      <c r="R5512" s="37"/>
      <c r="S5512" s="37"/>
      <c r="T5512" s="91"/>
      <c r="U5512" s="91"/>
      <c r="V5512" s="41"/>
      <c r="W5512" s="37"/>
      <c r="X5512" s="37"/>
      <c r="Y5512" s="43"/>
      <c r="Z5512" s="37"/>
      <c r="AA5512" s="37"/>
      <c r="AD5512" s="37"/>
      <c r="AE5512" s="37"/>
      <c r="AF5512" s="37"/>
    </row>
    <row r="5513" spans="1:32" x14ac:dyDescent="0.25">
      <c r="A5513" s="37"/>
      <c r="B5513" s="37"/>
      <c r="C5513" s="37"/>
      <c r="F5513" s="38"/>
      <c r="G5513" s="38"/>
      <c r="H5513" s="38"/>
      <c r="I5513" s="37"/>
      <c r="J5513" s="38"/>
      <c r="K5513" s="38"/>
      <c r="L5513" s="42"/>
      <c r="M5513" s="42"/>
      <c r="N5513" s="42"/>
      <c r="O5513" s="42"/>
      <c r="R5513" s="37"/>
      <c r="S5513" s="37"/>
      <c r="T5513" s="91"/>
      <c r="U5513" s="91"/>
      <c r="V5513" s="41"/>
      <c r="W5513" s="37"/>
      <c r="X5513" s="37"/>
      <c r="Y5513" s="43"/>
      <c r="Z5513" s="37"/>
      <c r="AA5513" s="37"/>
      <c r="AD5513" s="37"/>
      <c r="AE5513" s="37"/>
      <c r="AF5513" s="37"/>
    </row>
    <row r="5514" spans="1:32" x14ac:dyDescent="0.25">
      <c r="A5514" s="37"/>
      <c r="B5514" s="37"/>
      <c r="C5514" s="37"/>
      <c r="F5514" s="38"/>
      <c r="G5514" s="38"/>
      <c r="H5514" s="38"/>
      <c r="I5514" s="37"/>
      <c r="J5514" s="38"/>
      <c r="K5514" s="38"/>
      <c r="L5514" s="42"/>
      <c r="M5514" s="42"/>
      <c r="N5514" s="42"/>
      <c r="O5514" s="42"/>
      <c r="R5514" s="37"/>
      <c r="S5514" s="37"/>
      <c r="T5514" s="91"/>
      <c r="U5514" s="91"/>
      <c r="V5514" s="41"/>
      <c r="W5514" s="37"/>
      <c r="X5514" s="37"/>
      <c r="Y5514" s="43"/>
      <c r="Z5514" s="37"/>
      <c r="AA5514" s="37"/>
      <c r="AD5514" s="37"/>
      <c r="AE5514" s="37"/>
      <c r="AF5514" s="37"/>
    </row>
    <row r="5515" spans="1:32" x14ac:dyDescent="0.25">
      <c r="A5515" s="37"/>
      <c r="B5515" s="37"/>
      <c r="C5515" s="37"/>
      <c r="F5515" s="38"/>
      <c r="G5515" s="38"/>
      <c r="H5515" s="38"/>
      <c r="I5515" s="37"/>
      <c r="J5515" s="38"/>
      <c r="K5515" s="38"/>
      <c r="L5515" s="42"/>
      <c r="M5515" s="42"/>
      <c r="N5515" s="42"/>
      <c r="O5515" s="42"/>
      <c r="R5515" s="37"/>
      <c r="S5515" s="37"/>
      <c r="T5515" s="91"/>
      <c r="U5515" s="91"/>
      <c r="V5515" s="41"/>
      <c r="W5515" s="37"/>
      <c r="X5515" s="37"/>
      <c r="Y5515" s="43"/>
      <c r="Z5515" s="37"/>
      <c r="AA5515" s="37"/>
      <c r="AD5515" s="37"/>
      <c r="AE5515" s="37"/>
      <c r="AF5515" s="37"/>
    </row>
    <row r="5516" spans="1:32" x14ac:dyDescent="0.25">
      <c r="A5516" s="37"/>
      <c r="B5516" s="37"/>
      <c r="C5516" s="37"/>
      <c r="F5516" s="38"/>
      <c r="G5516" s="38"/>
      <c r="H5516" s="38"/>
      <c r="I5516" s="37"/>
      <c r="J5516" s="38"/>
      <c r="K5516" s="38"/>
      <c r="L5516" s="42"/>
      <c r="M5516" s="42"/>
      <c r="N5516" s="42"/>
      <c r="O5516" s="42"/>
      <c r="R5516" s="37"/>
      <c r="S5516" s="37"/>
      <c r="T5516" s="91"/>
      <c r="U5516" s="91"/>
      <c r="V5516" s="41"/>
      <c r="W5516" s="37"/>
      <c r="X5516" s="37"/>
      <c r="Y5516" s="43"/>
      <c r="Z5516" s="37"/>
      <c r="AA5516" s="37"/>
      <c r="AD5516" s="37"/>
      <c r="AE5516" s="37"/>
      <c r="AF5516" s="37"/>
    </row>
    <row r="5517" spans="1:32" x14ac:dyDescent="0.25">
      <c r="A5517" s="37"/>
      <c r="B5517" s="37"/>
      <c r="C5517" s="37"/>
      <c r="F5517" s="38"/>
      <c r="G5517" s="38"/>
      <c r="H5517" s="38"/>
      <c r="I5517" s="37"/>
      <c r="J5517" s="38"/>
      <c r="K5517" s="38"/>
      <c r="L5517" s="42"/>
      <c r="M5517" s="42"/>
      <c r="N5517" s="42"/>
      <c r="O5517" s="42"/>
      <c r="R5517" s="37"/>
      <c r="S5517" s="37"/>
      <c r="T5517" s="91"/>
      <c r="U5517" s="91"/>
      <c r="V5517" s="41"/>
      <c r="W5517" s="37"/>
      <c r="X5517" s="37"/>
      <c r="Y5517" s="43"/>
      <c r="Z5517" s="37"/>
      <c r="AA5517" s="37"/>
      <c r="AD5517" s="37"/>
      <c r="AE5517" s="37"/>
      <c r="AF5517" s="37"/>
    </row>
    <row r="5518" spans="1:32" x14ac:dyDescent="0.25">
      <c r="A5518" s="37"/>
      <c r="B5518" s="37"/>
      <c r="C5518" s="37"/>
      <c r="F5518" s="38"/>
      <c r="G5518" s="38"/>
      <c r="H5518" s="38"/>
      <c r="I5518" s="37"/>
      <c r="J5518" s="38"/>
      <c r="K5518" s="38"/>
      <c r="L5518" s="42"/>
      <c r="M5518" s="42"/>
      <c r="N5518" s="42"/>
      <c r="O5518" s="42"/>
      <c r="R5518" s="37"/>
      <c r="S5518" s="37"/>
      <c r="T5518" s="91"/>
      <c r="U5518" s="91"/>
      <c r="V5518" s="41"/>
      <c r="W5518" s="37"/>
      <c r="X5518" s="37"/>
      <c r="Y5518" s="43"/>
      <c r="Z5518" s="37"/>
      <c r="AA5518" s="37"/>
      <c r="AD5518" s="37"/>
      <c r="AE5518" s="37"/>
      <c r="AF5518" s="37"/>
    </row>
    <row r="5519" spans="1:32" x14ac:dyDescent="0.25">
      <c r="A5519" s="37"/>
      <c r="B5519" s="37"/>
      <c r="C5519" s="37"/>
      <c r="F5519" s="38"/>
      <c r="G5519" s="38"/>
      <c r="H5519" s="38"/>
      <c r="I5519" s="37"/>
      <c r="J5519" s="38"/>
      <c r="K5519" s="38"/>
      <c r="L5519" s="42"/>
      <c r="M5519" s="42"/>
      <c r="N5519" s="42"/>
      <c r="O5519" s="42"/>
      <c r="R5519" s="37"/>
      <c r="S5519" s="37"/>
      <c r="T5519" s="91"/>
      <c r="U5519" s="91"/>
      <c r="V5519" s="41"/>
      <c r="W5519" s="37"/>
      <c r="X5519" s="37"/>
      <c r="Y5519" s="43"/>
      <c r="Z5519" s="37"/>
      <c r="AA5519" s="37"/>
      <c r="AD5519" s="37"/>
      <c r="AE5519" s="37"/>
      <c r="AF5519" s="37"/>
    </row>
    <row r="5520" spans="1:32" x14ac:dyDescent="0.25">
      <c r="A5520" s="37"/>
      <c r="B5520" s="37"/>
      <c r="C5520" s="37"/>
      <c r="F5520" s="38"/>
      <c r="G5520" s="38"/>
      <c r="H5520" s="38"/>
      <c r="I5520" s="37"/>
      <c r="J5520" s="38"/>
      <c r="K5520" s="38"/>
      <c r="L5520" s="42"/>
      <c r="M5520" s="42"/>
      <c r="N5520" s="42"/>
      <c r="O5520" s="42"/>
      <c r="R5520" s="37"/>
      <c r="S5520" s="37"/>
      <c r="T5520" s="91"/>
      <c r="U5520" s="91"/>
      <c r="V5520" s="41"/>
      <c r="W5520" s="37"/>
      <c r="X5520" s="37"/>
      <c r="Y5520" s="43"/>
      <c r="Z5520" s="37"/>
      <c r="AA5520" s="37"/>
      <c r="AD5520" s="37"/>
      <c r="AE5520" s="37"/>
      <c r="AF5520" s="37"/>
    </row>
    <row r="5521" spans="1:32" x14ac:dyDescent="0.25">
      <c r="A5521" s="37"/>
      <c r="B5521" s="37"/>
      <c r="C5521" s="37"/>
      <c r="F5521" s="38"/>
      <c r="G5521" s="38"/>
      <c r="H5521" s="38"/>
      <c r="I5521" s="37"/>
      <c r="J5521" s="38"/>
      <c r="K5521" s="38"/>
      <c r="L5521" s="42"/>
      <c r="M5521" s="42"/>
      <c r="N5521" s="42"/>
      <c r="O5521" s="42"/>
      <c r="R5521" s="37"/>
      <c r="S5521" s="37"/>
      <c r="T5521" s="91"/>
      <c r="U5521" s="91"/>
      <c r="V5521" s="41"/>
      <c r="W5521" s="37"/>
      <c r="X5521" s="37"/>
      <c r="Y5521" s="43"/>
      <c r="Z5521" s="37"/>
      <c r="AA5521" s="37"/>
      <c r="AD5521" s="37"/>
      <c r="AE5521" s="37"/>
      <c r="AF5521" s="37"/>
    </row>
    <row r="5522" spans="1:32" x14ac:dyDescent="0.25">
      <c r="A5522" s="37"/>
      <c r="B5522" s="37"/>
      <c r="C5522" s="37"/>
      <c r="F5522" s="38"/>
      <c r="G5522" s="38"/>
      <c r="H5522" s="38"/>
      <c r="I5522" s="37"/>
      <c r="J5522" s="38"/>
      <c r="K5522" s="38"/>
      <c r="L5522" s="42"/>
      <c r="M5522" s="42"/>
      <c r="N5522" s="42"/>
      <c r="O5522" s="42"/>
      <c r="R5522" s="37"/>
      <c r="S5522" s="37"/>
      <c r="T5522" s="91"/>
      <c r="U5522" s="91"/>
      <c r="V5522" s="41"/>
      <c r="W5522" s="37"/>
      <c r="X5522" s="37"/>
      <c r="Y5522" s="43"/>
      <c r="Z5522" s="37"/>
      <c r="AA5522" s="37"/>
      <c r="AD5522" s="37"/>
      <c r="AE5522" s="37"/>
      <c r="AF5522" s="37"/>
    </row>
    <row r="5523" spans="1:32" x14ac:dyDescent="0.25">
      <c r="A5523" s="37"/>
      <c r="B5523" s="37"/>
      <c r="C5523" s="37"/>
      <c r="F5523" s="38"/>
      <c r="G5523" s="38"/>
      <c r="H5523" s="38"/>
      <c r="I5523" s="37"/>
      <c r="J5523" s="38"/>
      <c r="K5523" s="38"/>
      <c r="L5523" s="42"/>
      <c r="M5523" s="42"/>
      <c r="N5523" s="42"/>
      <c r="O5523" s="42"/>
      <c r="R5523" s="37"/>
      <c r="S5523" s="37"/>
      <c r="T5523" s="91"/>
      <c r="U5523" s="91"/>
      <c r="V5523" s="41"/>
      <c r="W5523" s="37"/>
      <c r="X5523" s="37"/>
      <c r="Y5523" s="43"/>
      <c r="Z5523" s="37"/>
      <c r="AA5523" s="37"/>
      <c r="AD5523" s="37"/>
      <c r="AE5523" s="37"/>
      <c r="AF5523" s="37"/>
    </row>
    <row r="5524" spans="1:32" x14ac:dyDescent="0.25">
      <c r="A5524" s="37"/>
      <c r="B5524" s="37"/>
      <c r="C5524" s="37"/>
      <c r="F5524" s="38"/>
      <c r="G5524" s="38"/>
      <c r="H5524" s="38"/>
      <c r="I5524" s="37"/>
      <c r="J5524" s="38"/>
      <c r="K5524" s="38"/>
      <c r="L5524" s="42"/>
      <c r="M5524" s="42"/>
      <c r="N5524" s="42"/>
      <c r="O5524" s="42"/>
      <c r="R5524" s="37"/>
      <c r="S5524" s="37"/>
      <c r="T5524" s="91"/>
      <c r="U5524" s="91"/>
      <c r="V5524" s="41"/>
      <c r="W5524" s="37"/>
      <c r="X5524" s="37"/>
      <c r="Y5524" s="43"/>
      <c r="Z5524" s="37"/>
      <c r="AA5524" s="37"/>
      <c r="AD5524" s="37"/>
      <c r="AE5524" s="37"/>
      <c r="AF5524" s="37"/>
    </row>
    <row r="5525" spans="1:32" x14ac:dyDescent="0.25">
      <c r="A5525" s="37"/>
      <c r="B5525" s="37"/>
      <c r="C5525" s="37"/>
      <c r="F5525" s="38"/>
      <c r="G5525" s="38"/>
      <c r="H5525" s="38"/>
      <c r="I5525" s="37"/>
      <c r="J5525" s="38"/>
      <c r="K5525" s="38"/>
      <c r="L5525" s="42"/>
      <c r="M5525" s="42"/>
      <c r="N5525" s="42"/>
      <c r="O5525" s="42"/>
      <c r="R5525" s="37"/>
      <c r="S5525" s="37"/>
      <c r="T5525" s="91"/>
      <c r="U5525" s="91"/>
      <c r="V5525" s="41"/>
      <c r="W5525" s="37"/>
      <c r="X5525" s="37"/>
      <c r="Y5525" s="43"/>
      <c r="Z5525" s="37"/>
      <c r="AA5525" s="37"/>
      <c r="AD5525" s="37"/>
      <c r="AE5525" s="37"/>
      <c r="AF5525" s="37"/>
    </row>
    <row r="5526" spans="1:32" x14ac:dyDescent="0.25">
      <c r="A5526" s="37"/>
      <c r="B5526" s="37"/>
      <c r="C5526" s="37"/>
      <c r="F5526" s="38"/>
      <c r="G5526" s="38"/>
      <c r="H5526" s="38"/>
      <c r="I5526" s="37"/>
      <c r="J5526" s="38"/>
      <c r="K5526" s="38"/>
      <c r="L5526" s="42"/>
      <c r="M5526" s="42"/>
      <c r="N5526" s="42"/>
      <c r="O5526" s="42"/>
      <c r="R5526" s="37"/>
      <c r="S5526" s="37"/>
      <c r="T5526" s="91"/>
      <c r="U5526" s="91"/>
      <c r="V5526" s="41"/>
      <c r="W5526" s="37"/>
      <c r="X5526" s="37"/>
      <c r="Y5526" s="43"/>
      <c r="Z5526" s="37"/>
      <c r="AA5526" s="37"/>
      <c r="AD5526" s="37"/>
      <c r="AE5526" s="37"/>
      <c r="AF5526" s="37"/>
    </row>
    <row r="5527" spans="1:32" x14ac:dyDescent="0.25">
      <c r="A5527" s="37"/>
      <c r="B5527" s="37"/>
      <c r="C5527" s="37"/>
      <c r="F5527" s="38"/>
      <c r="G5527" s="38"/>
      <c r="H5527" s="38"/>
      <c r="I5527" s="37"/>
      <c r="J5527" s="38"/>
      <c r="K5527" s="38"/>
      <c r="L5527" s="42"/>
      <c r="M5527" s="42"/>
      <c r="N5527" s="42"/>
      <c r="O5527" s="42"/>
      <c r="R5527" s="37"/>
      <c r="S5527" s="37"/>
      <c r="T5527" s="91"/>
      <c r="U5527" s="91"/>
      <c r="V5527" s="41"/>
      <c r="W5527" s="37"/>
      <c r="X5527" s="37"/>
      <c r="Y5527" s="43"/>
      <c r="Z5527" s="37"/>
      <c r="AA5527" s="37"/>
      <c r="AD5527" s="37"/>
      <c r="AE5527" s="37"/>
      <c r="AF5527" s="37"/>
    </row>
    <row r="5528" spans="1:32" x14ac:dyDescent="0.25">
      <c r="A5528" s="37"/>
      <c r="B5528" s="37"/>
      <c r="C5528" s="37"/>
      <c r="F5528" s="38"/>
      <c r="G5528" s="38"/>
      <c r="H5528" s="38"/>
      <c r="I5528" s="37"/>
      <c r="J5528" s="38"/>
      <c r="K5528" s="38"/>
      <c r="L5528" s="42"/>
      <c r="M5528" s="42"/>
      <c r="N5528" s="42"/>
      <c r="O5528" s="42"/>
      <c r="R5528" s="37"/>
      <c r="S5528" s="37"/>
      <c r="T5528" s="91"/>
      <c r="U5528" s="91"/>
      <c r="V5528" s="41"/>
      <c r="W5528" s="37"/>
      <c r="X5528" s="37"/>
      <c r="Y5528" s="43"/>
      <c r="Z5528" s="37"/>
      <c r="AA5528" s="37"/>
      <c r="AD5528" s="37"/>
      <c r="AE5528" s="37"/>
      <c r="AF5528" s="37"/>
    </row>
    <row r="5529" spans="1:32" x14ac:dyDescent="0.25">
      <c r="A5529" s="37"/>
      <c r="B5529" s="37"/>
      <c r="C5529" s="37"/>
      <c r="F5529" s="38"/>
      <c r="G5529" s="38"/>
      <c r="H5529" s="38"/>
      <c r="I5529" s="37"/>
      <c r="J5529" s="38"/>
      <c r="K5529" s="38"/>
      <c r="L5529" s="42"/>
      <c r="M5529" s="42"/>
      <c r="N5529" s="42"/>
      <c r="O5529" s="42"/>
      <c r="R5529" s="37"/>
      <c r="S5529" s="37"/>
      <c r="T5529" s="91"/>
      <c r="U5529" s="91"/>
      <c r="V5529" s="41"/>
      <c r="W5529" s="37"/>
      <c r="X5529" s="37"/>
      <c r="Y5529" s="43"/>
      <c r="Z5529" s="37"/>
      <c r="AA5529" s="37"/>
      <c r="AD5529" s="37"/>
      <c r="AE5529" s="37"/>
      <c r="AF5529" s="37"/>
    </row>
    <row r="5530" spans="1:32" x14ac:dyDescent="0.25">
      <c r="A5530" s="37"/>
      <c r="B5530" s="37"/>
      <c r="C5530" s="37"/>
      <c r="F5530" s="38"/>
      <c r="G5530" s="38"/>
      <c r="H5530" s="38"/>
      <c r="I5530" s="37"/>
      <c r="J5530" s="38"/>
      <c r="K5530" s="38"/>
      <c r="L5530" s="42"/>
      <c r="M5530" s="42"/>
      <c r="N5530" s="42"/>
      <c r="O5530" s="42"/>
      <c r="R5530" s="37"/>
      <c r="S5530" s="37"/>
      <c r="T5530" s="91"/>
      <c r="U5530" s="91"/>
      <c r="V5530" s="41"/>
      <c r="W5530" s="37"/>
      <c r="X5530" s="37"/>
      <c r="Y5530" s="43"/>
      <c r="Z5530" s="37"/>
      <c r="AA5530" s="37"/>
      <c r="AD5530" s="37"/>
      <c r="AE5530" s="37"/>
      <c r="AF5530" s="37"/>
    </row>
    <row r="5531" spans="1:32" x14ac:dyDescent="0.25">
      <c r="A5531" s="37"/>
      <c r="B5531" s="37"/>
      <c r="C5531" s="37"/>
      <c r="F5531" s="38"/>
      <c r="G5531" s="38"/>
      <c r="H5531" s="38"/>
      <c r="I5531" s="37"/>
      <c r="J5531" s="38"/>
      <c r="K5531" s="38"/>
      <c r="L5531" s="42"/>
      <c r="M5531" s="42"/>
      <c r="N5531" s="42"/>
      <c r="O5531" s="42"/>
      <c r="R5531" s="37"/>
      <c r="S5531" s="37"/>
      <c r="T5531" s="91"/>
      <c r="U5531" s="91"/>
      <c r="V5531" s="41"/>
      <c r="W5531" s="37"/>
      <c r="X5531" s="37"/>
      <c r="Y5531" s="43"/>
      <c r="Z5531" s="37"/>
      <c r="AA5531" s="37"/>
      <c r="AD5531" s="37"/>
      <c r="AE5531" s="37"/>
      <c r="AF5531" s="37"/>
    </row>
    <row r="5532" spans="1:32" x14ac:dyDescent="0.25">
      <c r="A5532" s="37"/>
      <c r="B5532" s="37"/>
      <c r="C5532" s="37"/>
      <c r="F5532" s="38"/>
      <c r="G5532" s="38"/>
      <c r="H5532" s="38"/>
      <c r="I5532" s="37"/>
      <c r="J5532" s="38"/>
      <c r="K5532" s="38"/>
      <c r="L5532" s="42"/>
      <c r="M5532" s="42"/>
      <c r="N5532" s="42"/>
      <c r="O5532" s="42"/>
      <c r="R5532" s="37"/>
      <c r="S5532" s="37"/>
      <c r="T5532" s="91"/>
      <c r="U5532" s="91"/>
      <c r="V5532" s="41"/>
      <c r="W5532" s="37"/>
      <c r="X5532" s="37"/>
      <c r="Y5532" s="43"/>
      <c r="Z5532" s="37"/>
      <c r="AA5532" s="37"/>
      <c r="AD5532" s="37"/>
      <c r="AE5532" s="37"/>
      <c r="AF5532" s="37"/>
    </row>
    <row r="5533" spans="1:32" x14ac:dyDescent="0.25">
      <c r="A5533" s="37"/>
      <c r="B5533" s="37"/>
      <c r="C5533" s="37"/>
      <c r="F5533" s="38"/>
      <c r="G5533" s="38"/>
      <c r="H5533" s="38"/>
      <c r="I5533" s="37"/>
      <c r="J5533" s="38"/>
      <c r="K5533" s="38"/>
      <c r="L5533" s="42"/>
      <c r="M5533" s="42"/>
      <c r="N5533" s="42"/>
      <c r="O5533" s="42"/>
      <c r="R5533" s="37"/>
      <c r="S5533" s="37"/>
      <c r="T5533" s="91"/>
      <c r="U5533" s="91"/>
      <c r="V5533" s="41"/>
      <c r="W5533" s="37"/>
      <c r="X5533" s="37"/>
      <c r="Y5533" s="43"/>
      <c r="Z5533" s="37"/>
      <c r="AA5533" s="37"/>
      <c r="AD5533" s="37"/>
      <c r="AE5533" s="37"/>
      <c r="AF5533" s="37"/>
    </row>
    <row r="5534" spans="1:32" x14ac:dyDescent="0.25">
      <c r="A5534" s="37"/>
      <c r="B5534" s="37"/>
      <c r="C5534" s="37"/>
      <c r="F5534" s="38"/>
      <c r="G5534" s="38"/>
      <c r="H5534" s="38"/>
      <c r="I5534" s="37"/>
      <c r="J5534" s="38"/>
      <c r="K5534" s="38"/>
      <c r="L5534" s="42"/>
      <c r="M5534" s="42"/>
      <c r="N5534" s="42"/>
      <c r="O5534" s="42"/>
      <c r="R5534" s="37"/>
      <c r="S5534" s="37"/>
      <c r="T5534" s="91"/>
      <c r="U5534" s="91"/>
      <c r="V5534" s="41"/>
      <c r="W5534" s="37"/>
      <c r="X5534" s="37"/>
      <c r="Y5534" s="43"/>
      <c r="Z5534" s="37"/>
      <c r="AA5534" s="37"/>
      <c r="AD5534" s="37"/>
      <c r="AE5534" s="37"/>
      <c r="AF5534" s="37"/>
    </row>
    <row r="5535" spans="1:32" x14ac:dyDescent="0.25">
      <c r="A5535" s="37"/>
      <c r="B5535" s="37"/>
      <c r="C5535" s="37"/>
      <c r="F5535" s="38"/>
      <c r="G5535" s="38"/>
      <c r="H5535" s="38"/>
      <c r="I5535" s="37"/>
      <c r="J5535" s="38"/>
      <c r="K5535" s="38"/>
      <c r="L5535" s="42"/>
      <c r="M5535" s="42"/>
      <c r="N5535" s="42"/>
      <c r="O5535" s="42"/>
      <c r="R5535" s="37"/>
      <c r="S5535" s="37"/>
      <c r="T5535" s="91"/>
      <c r="U5535" s="91"/>
      <c r="V5535" s="41"/>
      <c r="W5535" s="37"/>
      <c r="X5535" s="37"/>
      <c r="Y5535" s="43"/>
      <c r="Z5535" s="37"/>
      <c r="AA5535" s="37"/>
      <c r="AD5535" s="37"/>
      <c r="AE5535" s="37"/>
      <c r="AF5535" s="37"/>
    </row>
    <row r="5536" spans="1:32" x14ac:dyDescent="0.25">
      <c r="A5536" s="37"/>
      <c r="B5536" s="37"/>
      <c r="C5536" s="37"/>
      <c r="F5536" s="38"/>
      <c r="G5536" s="38"/>
      <c r="H5536" s="38"/>
      <c r="I5536" s="37"/>
      <c r="J5536" s="38"/>
      <c r="K5536" s="38"/>
      <c r="L5536" s="42"/>
      <c r="M5536" s="42"/>
      <c r="N5536" s="42"/>
      <c r="O5536" s="42"/>
      <c r="R5536" s="37"/>
      <c r="S5536" s="37"/>
      <c r="T5536" s="91"/>
      <c r="U5536" s="91"/>
      <c r="V5536" s="41"/>
      <c r="W5536" s="37"/>
      <c r="X5536" s="37"/>
      <c r="Y5536" s="43"/>
      <c r="Z5536" s="37"/>
      <c r="AA5536" s="37"/>
      <c r="AD5536" s="37"/>
      <c r="AE5536" s="37"/>
      <c r="AF5536" s="37"/>
    </row>
    <row r="5537" spans="1:32" x14ac:dyDescent="0.25">
      <c r="A5537" s="37"/>
      <c r="B5537" s="37"/>
      <c r="C5537" s="37"/>
      <c r="F5537" s="38"/>
      <c r="G5537" s="38"/>
      <c r="H5537" s="38"/>
      <c r="I5537" s="37"/>
      <c r="J5537" s="38"/>
      <c r="K5537" s="38"/>
      <c r="L5537" s="42"/>
      <c r="M5537" s="42"/>
      <c r="N5537" s="42"/>
      <c r="O5537" s="42"/>
      <c r="R5537" s="37"/>
      <c r="S5537" s="37"/>
      <c r="T5537" s="91"/>
      <c r="U5537" s="91"/>
      <c r="V5537" s="41"/>
      <c r="W5537" s="37"/>
      <c r="X5537" s="37"/>
      <c r="Y5537" s="43"/>
      <c r="Z5537" s="37"/>
      <c r="AA5537" s="37"/>
      <c r="AD5537" s="37"/>
      <c r="AE5537" s="37"/>
      <c r="AF5537" s="37"/>
    </row>
    <row r="5538" spans="1:32" x14ac:dyDescent="0.25">
      <c r="A5538" s="37"/>
      <c r="B5538" s="37"/>
      <c r="C5538" s="37"/>
      <c r="F5538" s="38"/>
      <c r="G5538" s="38"/>
      <c r="H5538" s="38"/>
      <c r="I5538" s="37"/>
      <c r="J5538" s="38"/>
      <c r="K5538" s="38"/>
      <c r="L5538" s="42"/>
      <c r="M5538" s="42"/>
      <c r="N5538" s="42"/>
      <c r="O5538" s="42"/>
      <c r="R5538" s="37"/>
      <c r="S5538" s="37"/>
      <c r="T5538" s="91"/>
      <c r="U5538" s="91"/>
      <c r="V5538" s="41"/>
      <c r="W5538" s="37"/>
      <c r="X5538" s="37"/>
      <c r="Y5538" s="43"/>
      <c r="Z5538" s="37"/>
      <c r="AA5538" s="37"/>
      <c r="AD5538" s="37"/>
      <c r="AE5538" s="37"/>
      <c r="AF5538" s="37"/>
    </row>
    <row r="5539" spans="1:32" x14ac:dyDescent="0.25">
      <c r="A5539" s="37"/>
      <c r="B5539" s="37"/>
      <c r="C5539" s="37"/>
      <c r="F5539" s="38"/>
      <c r="G5539" s="38"/>
      <c r="H5539" s="38"/>
      <c r="I5539" s="37"/>
      <c r="J5539" s="38"/>
      <c r="K5539" s="38"/>
      <c r="L5539" s="42"/>
      <c r="M5539" s="42"/>
      <c r="N5539" s="42"/>
      <c r="O5539" s="42"/>
      <c r="R5539" s="37"/>
      <c r="S5539" s="37"/>
      <c r="T5539" s="91"/>
      <c r="U5539" s="91"/>
      <c r="V5539" s="41"/>
      <c r="W5539" s="37"/>
      <c r="X5539" s="37"/>
      <c r="Y5539" s="43"/>
      <c r="Z5539" s="37"/>
      <c r="AA5539" s="37"/>
      <c r="AD5539" s="37"/>
      <c r="AE5539" s="37"/>
      <c r="AF5539" s="37"/>
    </row>
    <row r="5540" spans="1:32" x14ac:dyDescent="0.25">
      <c r="A5540" s="37"/>
      <c r="B5540" s="37"/>
      <c r="C5540" s="37"/>
      <c r="F5540" s="38"/>
      <c r="G5540" s="38"/>
      <c r="H5540" s="38"/>
      <c r="I5540" s="37"/>
      <c r="J5540" s="38"/>
      <c r="K5540" s="38"/>
      <c r="L5540" s="42"/>
      <c r="M5540" s="42"/>
      <c r="N5540" s="42"/>
      <c r="O5540" s="42"/>
      <c r="R5540" s="37"/>
      <c r="S5540" s="37"/>
      <c r="T5540" s="91"/>
      <c r="U5540" s="91"/>
      <c r="V5540" s="41"/>
      <c r="W5540" s="37"/>
      <c r="X5540" s="37"/>
      <c r="Y5540" s="43"/>
      <c r="Z5540" s="37"/>
      <c r="AA5540" s="37"/>
      <c r="AD5540" s="37"/>
      <c r="AE5540" s="37"/>
      <c r="AF5540" s="37"/>
    </row>
    <row r="5541" spans="1:32" x14ac:dyDescent="0.25">
      <c r="A5541" s="37"/>
      <c r="B5541" s="37"/>
      <c r="C5541" s="37"/>
      <c r="F5541" s="38"/>
      <c r="G5541" s="38"/>
      <c r="H5541" s="38"/>
      <c r="I5541" s="37"/>
      <c r="J5541" s="38"/>
      <c r="K5541" s="38"/>
      <c r="L5541" s="42"/>
      <c r="M5541" s="42"/>
      <c r="N5541" s="42"/>
      <c r="O5541" s="42"/>
      <c r="R5541" s="37"/>
      <c r="S5541" s="37"/>
      <c r="T5541" s="91"/>
      <c r="U5541" s="91"/>
      <c r="V5541" s="41"/>
      <c r="W5541" s="37"/>
      <c r="X5541" s="37"/>
      <c r="Y5541" s="43"/>
      <c r="Z5541" s="37"/>
      <c r="AA5541" s="37"/>
      <c r="AD5541" s="37"/>
      <c r="AE5541" s="37"/>
      <c r="AF5541" s="37"/>
    </row>
    <row r="5542" spans="1:32" x14ac:dyDescent="0.25">
      <c r="A5542" s="37"/>
      <c r="B5542" s="37"/>
      <c r="C5542" s="37"/>
      <c r="F5542" s="38"/>
      <c r="G5542" s="38"/>
      <c r="H5542" s="38"/>
      <c r="I5542" s="37"/>
      <c r="J5542" s="38"/>
      <c r="K5542" s="38"/>
      <c r="L5542" s="42"/>
      <c r="M5542" s="42"/>
      <c r="N5542" s="42"/>
      <c r="O5542" s="42"/>
      <c r="R5542" s="37"/>
      <c r="S5542" s="37"/>
      <c r="T5542" s="91"/>
      <c r="U5542" s="91"/>
      <c r="V5542" s="41"/>
      <c r="W5542" s="37"/>
      <c r="X5542" s="37"/>
      <c r="Y5542" s="43"/>
      <c r="Z5542" s="37"/>
      <c r="AA5542" s="37"/>
      <c r="AD5542" s="37"/>
      <c r="AE5542" s="37"/>
      <c r="AF5542" s="37"/>
    </row>
    <row r="5543" spans="1:32" x14ac:dyDescent="0.25">
      <c r="A5543" s="37"/>
      <c r="B5543" s="37"/>
      <c r="C5543" s="37"/>
      <c r="F5543" s="38"/>
      <c r="G5543" s="38"/>
      <c r="H5543" s="38"/>
      <c r="I5543" s="37"/>
      <c r="J5543" s="38"/>
      <c r="K5543" s="38"/>
      <c r="L5543" s="42"/>
      <c r="M5543" s="42"/>
      <c r="N5543" s="42"/>
      <c r="O5543" s="42"/>
      <c r="R5543" s="37"/>
      <c r="S5543" s="37"/>
      <c r="T5543" s="91"/>
      <c r="U5543" s="91"/>
      <c r="V5543" s="41"/>
      <c r="W5543" s="37"/>
      <c r="X5543" s="37"/>
      <c r="Y5543" s="43"/>
      <c r="Z5543" s="37"/>
      <c r="AA5543" s="37"/>
      <c r="AD5543" s="37"/>
      <c r="AE5543" s="37"/>
      <c r="AF5543" s="37"/>
    </row>
    <row r="5544" spans="1:32" x14ac:dyDescent="0.25">
      <c r="A5544" s="37"/>
      <c r="B5544" s="37"/>
      <c r="C5544" s="37"/>
      <c r="F5544" s="38"/>
      <c r="G5544" s="38"/>
      <c r="H5544" s="38"/>
      <c r="I5544" s="37"/>
      <c r="J5544" s="38"/>
      <c r="K5544" s="38"/>
      <c r="L5544" s="42"/>
      <c r="M5544" s="42"/>
      <c r="N5544" s="42"/>
      <c r="O5544" s="42"/>
      <c r="R5544" s="37"/>
      <c r="S5544" s="37"/>
      <c r="T5544" s="91"/>
      <c r="U5544" s="91"/>
      <c r="V5544" s="41"/>
      <c r="W5544" s="37"/>
      <c r="X5544" s="37"/>
      <c r="Y5544" s="43"/>
      <c r="Z5544" s="37"/>
      <c r="AA5544" s="37"/>
      <c r="AD5544" s="37"/>
      <c r="AE5544" s="37"/>
      <c r="AF5544" s="37"/>
    </row>
    <row r="5545" spans="1:32" x14ac:dyDescent="0.25">
      <c r="A5545" s="37"/>
      <c r="B5545" s="37"/>
      <c r="C5545" s="37"/>
      <c r="F5545" s="38"/>
      <c r="G5545" s="38"/>
      <c r="H5545" s="38"/>
      <c r="I5545" s="37"/>
      <c r="J5545" s="38"/>
      <c r="K5545" s="38"/>
      <c r="L5545" s="42"/>
      <c r="M5545" s="42"/>
      <c r="N5545" s="42"/>
      <c r="O5545" s="42"/>
      <c r="R5545" s="37"/>
      <c r="S5545" s="37"/>
      <c r="T5545" s="91"/>
      <c r="U5545" s="91"/>
      <c r="V5545" s="41"/>
      <c r="W5545" s="37"/>
      <c r="X5545" s="37"/>
      <c r="Y5545" s="43"/>
      <c r="Z5545" s="37"/>
      <c r="AA5545" s="37"/>
      <c r="AD5545" s="37"/>
      <c r="AE5545" s="37"/>
      <c r="AF5545" s="37"/>
    </row>
    <row r="5546" spans="1:32" x14ac:dyDescent="0.25">
      <c r="A5546" s="37"/>
      <c r="B5546" s="37"/>
      <c r="C5546" s="37"/>
      <c r="F5546" s="38"/>
      <c r="G5546" s="38"/>
      <c r="H5546" s="38"/>
      <c r="I5546" s="37"/>
      <c r="J5546" s="38"/>
      <c r="K5546" s="38"/>
      <c r="L5546" s="42"/>
      <c r="M5546" s="42"/>
      <c r="N5546" s="42"/>
      <c r="O5546" s="42"/>
      <c r="R5546" s="37"/>
      <c r="S5546" s="37"/>
      <c r="T5546" s="91"/>
      <c r="U5546" s="91"/>
      <c r="V5546" s="41"/>
      <c r="W5546" s="37"/>
      <c r="X5546" s="37"/>
      <c r="Y5546" s="43"/>
      <c r="Z5546" s="37"/>
      <c r="AA5546" s="37"/>
      <c r="AD5546" s="37"/>
      <c r="AE5546" s="37"/>
      <c r="AF5546" s="37"/>
    </row>
    <row r="5547" spans="1:32" x14ac:dyDescent="0.25">
      <c r="A5547" s="37"/>
      <c r="B5547" s="37"/>
      <c r="C5547" s="37"/>
      <c r="F5547" s="38"/>
      <c r="G5547" s="38"/>
      <c r="H5547" s="38"/>
      <c r="I5547" s="37"/>
      <c r="J5547" s="38"/>
      <c r="K5547" s="38"/>
      <c r="L5547" s="42"/>
      <c r="M5547" s="42"/>
      <c r="N5547" s="42"/>
      <c r="O5547" s="42"/>
      <c r="R5547" s="37"/>
      <c r="S5547" s="37"/>
      <c r="T5547" s="91"/>
      <c r="U5547" s="91"/>
      <c r="V5547" s="41"/>
      <c r="W5547" s="37"/>
      <c r="X5547" s="37"/>
      <c r="Y5547" s="43"/>
      <c r="Z5547" s="37"/>
      <c r="AA5547" s="37"/>
      <c r="AD5547" s="37"/>
      <c r="AE5547" s="37"/>
      <c r="AF5547" s="37"/>
    </row>
    <row r="5548" spans="1:32" x14ac:dyDescent="0.25">
      <c r="A5548" s="37"/>
      <c r="B5548" s="37"/>
      <c r="C5548" s="37"/>
      <c r="F5548" s="38"/>
      <c r="G5548" s="38"/>
      <c r="H5548" s="38"/>
      <c r="I5548" s="37"/>
      <c r="J5548" s="38"/>
      <c r="K5548" s="38"/>
      <c r="L5548" s="42"/>
      <c r="M5548" s="42"/>
      <c r="N5548" s="42"/>
      <c r="O5548" s="42"/>
      <c r="R5548" s="37"/>
      <c r="S5548" s="37"/>
      <c r="T5548" s="91"/>
      <c r="U5548" s="91"/>
      <c r="V5548" s="41"/>
      <c r="W5548" s="37"/>
      <c r="X5548" s="37"/>
      <c r="Y5548" s="43"/>
      <c r="Z5548" s="37"/>
      <c r="AA5548" s="37"/>
      <c r="AD5548" s="37"/>
      <c r="AE5548" s="37"/>
      <c r="AF5548" s="37"/>
    </row>
    <row r="5549" spans="1:32" x14ac:dyDescent="0.25">
      <c r="A5549" s="37"/>
      <c r="B5549" s="37"/>
      <c r="C5549" s="37"/>
      <c r="F5549" s="38"/>
      <c r="G5549" s="38"/>
      <c r="H5549" s="38"/>
      <c r="I5549" s="37"/>
      <c r="J5549" s="38"/>
      <c r="K5549" s="38"/>
      <c r="L5549" s="42"/>
      <c r="M5549" s="42"/>
      <c r="N5549" s="42"/>
      <c r="O5549" s="42"/>
      <c r="R5549" s="37"/>
      <c r="S5549" s="37"/>
      <c r="T5549" s="91"/>
      <c r="U5549" s="91"/>
      <c r="V5549" s="41"/>
      <c r="W5549" s="37"/>
      <c r="X5549" s="37"/>
      <c r="Y5549" s="43"/>
      <c r="Z5549" s="37"/>
      <c r="AA5549" s="37"/>
      <c r="AD5549" s="37"/>
      <c r="AE5549" s="37"/>
      <c r="AF5549" s="37"/>
    </row>
    <row r="5550" spans="1:32" x14ac:dyDescent="0.25">
      <c r="A5550" s="37"/>
      <c r="B5550" s="37"/>
      <c r="C5550" s="37"/>
      <c r="F5550" s="38"/>
      <c r="G5550" s="38"/>
      <c r="H5550" s="38"/>
      <c r="I5550" s="37"/>
      <c r="J5550" s="38"/>
      <c r="K5550" s="38"/>
      <c r="L5550" s="42"/>
      <c r="M5550" s="42"/>
      <c r="N5550" s="42"/>
      <c r="O5550" s="42"/>
      <c r="R5550" s="37"/>
      <c r="S5550" s="37"/>
      <c r="T5550" s="91"/>
      <c r="U5550" s="91"/>
      <c r="V5550" s="41"/>
      <c r="W5550" s="37"/>
      <c r="X5550" s="37"/>
      <c r="Y5550" s="43"/>
      <c r="Z5550" s="37"/>
      <c r="AA5550" s="37"/>
      <c r="AD5550" s="37"/>
      <c r="AE5550" s="37"/>
      <c r="AF5550" s="37"/>
    </row>
    <row r="5551" spans="1:32" x14ac:dyDescent="0.25">
      <c r="A5551" s="37"/>
      <c r="B5551" s="37"/>
      <c r="C5551" s="37"/>
      <c r="F5551" s="38"/>
      <c r="G5551" s="38"/>
      <c r="H5551" s="38"/>
      <c r="I5551" s="37"/>
      <c r="J5551" s="38"/>
      <c r="K5551" s="38"/>
      <c r="L5551" s="42"/>
      <c r="M5551" s="42"/>
      <c r="N5551" s="42"/>
      <c r="O5551" s="42"/>
      <c r="R5551" s="37"/>
      <c r="S5551" s="37"/>
      <c r="T5551" s="91"/>
      <c r="U5551" s="91"/>
      <c r="V5551" s="41"/>
      <c r="W5551" s="37"/>
      <c r="X5551" s="37"/>
      <c r="Y5551" s="43"/>
      <c r="Z5551" s="37"/>
      <c r="AA5551" s="37"/>
      <c r="AD5551" s="37"/>
      <c r="AE5551" s="37"/>
      <c r="AF5551" s="37"/>
    </row>
    <row r="5552" spans="1:32" x14ac:dyDescent="0.25">
      <c r="A5552" s="37"/>
      <c r="B5552" s="37"/>
      <c r="C5552" s="37"/>
      <c r="F5552" s="38"/>
      <c r="G5552" s="38"/>
      <c r="H5552" s="38"/>
      <c r="I5552" s="37"/>
      <c r="J5552" s="38"/>
      <c r="K5552" s="38"/>
      <c r="L5552" s="42"/>
      <c r="M5552" s="42"/>
      <c r="N5552" s="42"/>
      <c r="O5552" s="42"/>
      <c r="R5552" s="37"/>
      <c r="S5552" s="37"/>
      <c r="T5552" s="91"/>
      <c r="U5552" s="91"/>
      <c r="V5552" s="41"/>
      <c r="W5552" s="37"/>
      <c r="X5552" s="37"/>
      <c r="Y5552" s="43"/>
      <c r="Z5552" s="37"/>
      <c r="AA5552" s="37"/>
      <c r="AD5552" s="37"/>
      <c r="AE5552" s="37"/>
      <c r="AF5552" s="37"/>
    </row>
    <row r="5553" spans="1:32" x14ac:dyDescent="0.25">
      <c r="A5553" s="37"/>
      <c r="B5553" s="37"/>
      <c r="C5553" s="37"/>
      <c r="F5553" s="38"/>
      <c r="G5553" s="38"/>
      <c r="H5553" s="38"/>
      <c r="I5553" s="37"/>
      <c r="J5553" s="38"/>
      <c r="K5553" s="38"/>
      <c r="L5553" s="42"/>
      <c r="M5553" s="42"/>
      <c r="N5553" s="42"/>
      <c r="O5553" s="42"/>
      <c r="R5553" s="37"/>
      <c r="S5553" s="37"/>
      <c r="T5553" s="91"/>
      <c r="U5553" s="91"/>
      <c r="V5553" s="41"/>
      <c r="W5553" s="37"/>
      <c r="X5553" s="37"/>
      <c r="Y5553" s="43"/>
      <c r="Z5553" s="37"/>
      <c r="AA5553" s="37"/>
      <c r="AD5553" s="37"/>
      <c r="AE5553" s="37"/>
      <c r="AF5553" s="37"/>
    </row>
    <row r="5554" spans="1:32" x14ac:dyDescent="0.25">
      <c r="A5554" s="37"/>
      <c r="B5554" s="37"/>
      <c r="C5554" s="37"/>
      <c r="F5554" s="38"/>
      <c r="G5554" s="38"/>
      <c r="H5554" s="38"/>
      <c r="I5554" s="37"/>
      <c r="J5554" s="38"/>
      <c r="K5554" s="38"/>
      <c r="L5554" s="42"/>
      <c r="M5554" s="42"/>
      <c r="N5554" s="42"/>
      <c r="O5554" s="42"/>
      <c r="R5554" s="37"/>
      <c r="S5554" s="37"/>
      <c r="T5554" s="91"/>
      <c r="U5554" s="91"/>
      <c r="V5554" s="41"/>
      <c r="W5554" s="37"/>
      <c r="X5554" s="37"/>
      <c r="Y5554" s="43"/>
      <c r="Z5554" s="37"/>
      <c r="AA5554" s="37"/>
      <c r="AD5554" s="37"/>
      <c r="AE5554" s="37"/>
      <c r="AF5554" s="37"/>
    </row>
    <row r="5555" spans="1:32" x14ac:dyDescent="0.25">
      <c r="A5555" s="37"/>
      <c r="B5555" s="37"/>
      <c r="C5555" s="37"/>
      <c r="F5555" s="38"/>
      <c r="G5555" s="38"/>
      <c r="H5555" s="38"/>
      <c r="I5555" s="37"/>
      <c r="J5555" s="38"/>
      <c r="K5555" s="38"/>
      <c r="L5555" s="42"/>
      <c r="M5555" s="42"/>
      <c r="N5555" s="42"/>
      <c r="O5555" s="42"/>
      <c r="R5555" s="37"/>
      <c r="S5555" s="37"/>
      <c r="T5555" s="91"/>
      <c r="U5555" s="91"/>
      <c r="V5555" s="41"/>
      <c r="W5555" s="37"/>
      <c r="X5555" s="37"/>
      <c r="Y5555" s="43"/>
      <c r="Z5555" s="37"/>
      <c r="AA5555" s="37"/>
      <c r="AD5555" s="37"/>
      <c r="AE5555" s="37"/>
      <c r="AF5555" s="37"/>
    </row>
    <row r="5556" spans="1:32" x14ac:dyDescent="0.25">
      <c r="A5556" s="37"/>
      <c r="B5556" s="37"/>
      <c r="C5556" s="37"/>
      <c r="F5556" s="38"/>
      <c r="G5556" s="38"/>
      <c r="H5556" s="38"/>
      <c r="I5556" s="37"/>
      <c r="J5556" s="38"/>
      <c r="K5556" s="38"/>
      <c r="L5556" s="42"/>
      <c r="M5556" s="42"/>
      <c r="N5556" s="42"/>
      <c r="O5556" s="42"/>
      <c r="R5556" s="37"/>
      <c r="S5556" s="37"/>
      <c r="T5556" s="91"/>
      <c r="U5556" s="91"/>
      <c r="V5556" s="41"/>
      <c r="W5556" s="37"/>
      <c r="X5556" s="37"/>
      <c r="Y5556" s="43"/>
      <c r="Z5556" s="37"/>
      <c r="AA5556" s="37"/>
      <c r="AD5556" s="37"/>
      <c r="AE5556" s="37"/>
      <c r="AF5556" s="37"/>
    </row>
    <row r="5557" spans="1:32" x14ac:dyDescent="0.25">
      <c r="A5557" s="37"/>
      <c r="B5557" s="37"/>
      <c r="C5557" s="37"/>
      <c r="F5557" s="38"/>
      <c r="G5557" s="38"/>
      <c r="H5557" s="38"/>
      <c r="I5557" s="37"/>
      <c r="J5557" s="38"/>
      <c r="K5557" s="38"/>
      <c r="L5557" s="42"/>
      <c r="M5557" s="42"/>
      <c r="N5557" s="42"/>
      <c r="O5557" s="42"/>
      <c r="R5557" s="37"/>
      <c r="S5557" s="37"/>
      <c r="T5557" s="91"/>
      <c r="U5557" s="91"/>
      <c r="V5557" s="41"/>
      <c r="W5557" s="37"/>
      <c r="X5557" s="37"/>
      <c r="Y5557" s="43"/>
      <c r="Z5557" s="37"/>
      <c r="AA5557" s="37"/>
      <c r="AD5557" s="37"/>
      <c r="AE5557" s="37"/>
      <c r="AF5557" s="37"/>
    </row>
    <row r="5558" spans="1:32" x14ac:dyDescent="0.25">
      <c r="A5558" s="37"/>
      <c r="B5558" s="37"/>
      <c r="C5558" s="37"/>
      <c r="F5558" s="38"/>
      <c r="G5558" s="38"/>
      <c r="H5558" s="38"/>
      <c r="I5558" s="37"/>
      <c r="J5558" s="38"/>
      <c r="K5558" s="38"/>
      <c r="L5558" s="42"/>
      <c r="M5558" s="42"/>
      <c r="N5558" s="42"/>
      <c r="O5558" s="42"/>
      <c r="R5558" s="37"/>
      <c r="S5558" s="37"/>
      <c r="T5558" s="91"/>
      <c r="U5558" s="91"/>
      <c r="V5558" s="41"/>
      <c r="W5558" s="37"/>
      <c r="X5558" s="37"/>
      <c r="Y5558" s="43"/>
      <c r="Z5558" s="37"/>
      <c r="AA5558" s="37"/>
      <c r="AD5558" s="37"/>
      <c r="AE5558" s="37"/>
      <c r="AF5558" s="37"/>
    </row>
    <row r="5559" spans="1:32" x14ac:dyDescent="0.25">
      <c r="A5559" s="37"/>
      <c r="B5559" s="37"/>
      <c r="C5559" s="37"/>
      <c r="F5559" s="38"/>
      <c r="G5559" s="38"/>
      <c r="H5559" s="38"/>
      <c r="I5559" s="37"/>
      <c r="J5559" s="38"/>
      <c r="K5559" s="38"/>
      <c r="L5559" s="42"/>
      <c r="M5559" s="42"/>
      <c r="N5559" s="42"/>
      <c r="O5559" s="42"/>
      <c r="R5559" s="37"/>
      <c r="S5559" s="37"/>
      <c r="T5559" s="91"/>
      <c r="U5559" s="91"/>
      <c r="V5559" s="41"/>
      <c r="W5559" s="37"/>
      <c r="X5559" s="37"/>
      <c r="Y5559" s="43"/>
      <c r="Z5559" s="37"/>
      <c r="AA5559" s="37"/>
      <c r="AD5559" s="37"/>
      <c r="AE5559" s="37"/>
      <c r="AF5559" s="37"/>
    </row>
    <row r="5560" spans="1:32" x14ac:dyDescent="0.25">
      <c r="A5560" s="37"/>
      <c r="B5560" s="37"/>
      <c r="C5560" s="37"/>
      <c r="F5560" s="38"/>
      <c r="G5560" s="38"/>
      <c r="H5560" s="38"/>
      <c r="I5560" s="37"/>
      <c r="J5560" s="38"/>
      <c r="K5560" s="38"/>
      <c r="L5560" s="42"/>
      <c r="M5560" s="42"/>
      <c r="N5560" s="42"/>
      <c r="O5560" s="42"/>
      <c r="R5560" s="37"/>
      <c r="S5560" s="37"/>
      <c r="T5560" s="91"/>
      <c r="U5560" s="91"/>
      <c r="V5560" s="41"/>
      <c r="W5560" s="37"/>
      <c r="X5560" s="37"/>
      <c r="Y5560" s="43"/>
      <c r="Z5560" s="37"/>
      <c r="AA5560" s="37"/>
      <c r="AD5560" s="37"/>
      <c r="AE5560" s="37"/>
      <c r="AF5560" s="37"/>
    </row>
    <row r="5561" spans="1:32" x14ac:dyDescent="0.25">
      <c r="A5561" s="37"/>
      <c r="B5561" s="37"/>
      <c r="C5561" s="37"/>
      <c r="F5561" s="38"/>
      <c r="G5561" s="38"/>
      <c r="H5561" s="38"/>
      <c r="I5561" s="37"/>
      <c r="J5561" s="38"/>
      <c r="K5561" s="38"/>
      <c r="L5561" s="42"/>
      <c r="M5561" s="42"/>
      <c r="N5561" s="42"/>
      <c r="O5561" s="42"/>
      <c r="R5561" s="37"/>
      <c r="S5561" s="37"/>
      <c r="T5561" s="91"/>
      <c r="U5561" s="91"/>
      <c r="V5561" s="41"/>
      <c r="W5561" s="37"/>
      <c r="X5561" s="37"/>
      <c r="Y5561" s="43"/>
      <c r="Z5561" s="37"/>
      <c r="AA5561" s="37"/>
      <c r="AD5561" s="37"/>
      <c r="AE5561" s="37"/>
      <c r="AF5561" s="37"/>
    </row>
    <row r="5562" spans="1:32" x14ac:dyDescent="0.25">
      <c r="A5562" s="37"/>
      <c r="B5562" s="37"/>
      <c r="C5562" s="37"/>
      <c r="F5562" s="38"/>
      <c r="G5562" s="38"/>
      <c r="H5562" s="38"/>
      <c r="I5562" s="37"/>
      <c r="J5562" s="38"/>
      <c r="K5562" s="38"/>
      <c r="L5562" s="42"/>
      <c r="M5562" s="42"/>
      <c r="N5562" s="42"/>
      <c r="O5562" s="42"/>
      <c r="R5562" s="37"/>
      <c r="S5562" s="37"/>
      <c r="T5562" s="91"/>
      <c r="U5562" s="91"/>
      <c r="V5562" s="41"/>
      <c r="W5562" s="37"/>
      <c r="X5562" s="37"/>
      <c r="Y5562" s="43"/>
      <c r="Z5562" s="37"/>
      <c r="AA5562" s="37"/>
      <c r="AD5562" s="37"/>
      <c r="AE5562" s="37"/>
      <c r="AF5562" s="37"/>
    </row>
    <row r="5563" spans="1:32" x14ac:dyDescent="0.25">
      <c r="A5563" s="37"/>
      <c r="B5563" s="37"/>
      <c r="C5563" s="37"/>
      <c r="F5563" s="38"/>
      <c r="G5563" s="38"/>
      <c r="H5563" s="38"/>
      <c r="I5563" s="37"/>
      <c r="J5563" s="38"/>
      <c r="K5563" s="38"/>
      <c r="L5563" s="42"/>
      <c r="M5563" s="42"/>
      <c r="N5563" s="42"/>
      <c r="O5563" s="42"/>
      <c r="R5563" s="37"/>
      <c r="S5563" s="37"/>
      <c r="T5563" s="91"/>
      <c r="U5563" s="91"/>
      <c r="V5563" s="41"/>
      <c r="W5563" s="37"/>
      <c r="X5563" s="37"/>
      <c r="Y5563" s="43"/>
      <c r="Z5563" s="37"/>
      <c r="AA5563" s="37"/>
      <c r="AD5563" s="37"/>
      <c r="AE5563" s="37"/>
      <c r="AF5563" s="37"/>
    </row>
    <row r="5564" spans="1:32" x14ac:dyDescent="0.25">
      <c r="A5564" s="37"/>
      <c r="B5564" s="37"/>
      <c r="C5564" s="37"/>
      <c r="F5564" s="38"/>
      <c r="G5564" s="38"/>
      <c r="H5564" s="38"/>
      <c r="I5564" s="37"/>
      <c r="J5564" s="38"/>
      <c r="K5564" s="38"/>
      <c r="L5564" s="42"/>
      <c r="M5564" s="42"/>
      <c r="N5564" s="42"/>
      <c r="O5564" s="42"/>
      <c r="R5564" s="37"/>
      <c r="S5564" s="37"/>
      <c r="T5564" s="91"/>
      <c r="U5564" s="91"/>
      <c r="V5564" s="41"/>
      <c r="W5564" s="37"/>
      <c r="X5564" s="37"/>
      <c r="Y5564" s="43"/>
      <c r="Z5564" s="37"/>
      <c r="AA5564" s="37"/>
      <c r="AD5564" s="37"/>
      <c r="AE5564" s="37"/>
      <c r="AF5564" s="37"/>
    </row>
    <row r="5565" spans="1:32" x14ac:dyDescent="0.25">
      <c r="A5565" s="37"/>
      <c r="B5565" s="37"/>
      <c r="C5565" s="37"/>
      <c r="F5565" s="38"/>
      <c r="G5565" s="38"/>
      <c r="H5565" s="38"/>
      <c r="I5565" s="37"/>
      <c r="J5565" s="38"/>
      <c r="K5565" s="38"/>
      <c r="L5565" s="42"/>
      <c r="M5565" s="42"/>
      <c r="N5565" s="42"/>
      <c r="O5565" s="42"/>
      <c r="R5565" s="37"/>
      <c r="S5565" s="37"/>
      <c r="T5565" s="91"/>
      <c r="U5565" s="91"/>
      <c r="V5565" s="41"/>
      <c r="W5565" s="37"/>
      <c r="X5565" s="37"/>
      <c r="Y5565" s="43"/>
      <c r="Z5565" s="37"/>
      <c r="AA5565" s="37"/>
      <c r="AD5565" s="37"/>
      <c r="AE5565" s="37"/>
      <c r="AF5565" s="37"/>
    </row>
    <row r="5566" spans="1:32" x14ac:dyDescent="0.25">
      <c r="A5566" s="37"/>
      <c r="B5566" s="37"/>
      <c r="C5566" s="37"/>
      <c r="F5566" s="38"/>
      <c r="G5566" s="38"/>
      <c r="H5566" s="38"/>
      <c r="I5566" s="37"/>
      <c r="J5566" s="38"/>
      <c r="K5566" s="38"/>
      <c r="L5566" s="42"/>
      <c r="M5566" s="42"/>
      <c r="N5566" s="42"/>
      <c r="O5566" s="42"/>
      <c r="R5566" s="37"/>
      <c r="S5566" s="37"/>
      <c r="T5566" s="91"/>
      <c r="U5566" s="91"/>
      <c r="V5566" s="41"/>
      <c r="W5566" s="37"/>
      <c r="X5566" s="37"/>
      <c r="Y5566" s="43"/>
      <c r="Z5566" s="37"/>
      <c r="AA5566" s="37"/>
      <c r="AD5566" s="37"/>
      <c r="AE5566" s="37"/>
      <c r="AF5566" s="37"/>
    </row>
    <row r="5567" spans="1:32" x14ac:dyDescent="0.25">
      <c r="A5567" s="37"/>
      <c r="B5567" s="37"/>
      <c r="C5567" s="37"/>
      <c r="F5567" s="38"/>
      <c r="G5567" s="38"/>
      <c r="H5567" s="38"/>
      <c r="I5567" s="37"/>
      <c r="J5567" s="38"/>
      <c r="K5567" s="38"/>
      <c r="L5567" s="42"/>
      <c r="M5567" s="42"/>
      <c r="N5567" s="42"/>
      <c r="O5567" s="42"/>
      <c r="R5567" s="37"/>
      <c r="S5567" s="37"/>
      <c r="T5567" s="91"/>
      <c r="U5567" s="91"/>
      <c r="V5567" s="41"/>
      <c r="W5567" s="37"/>
      <c r="X5567" s="37"/>
      <c r="Y5567" s="43"/>
      <c r="Z5567" s="37"/>
      <c r="AA5567" s="37"/>
      <c r="AD5567" s="37"/>
      <c r="AE5567" s="37"/>
      <c r="AF5567" s="37"/>
    </row>
    <row r="5568" spans="1:32" x14ac:dyDescent="0.25">
      <c r="A5568" s="37"/>
      <c r="B5568" s="37"/>
      <c r="C5568" s="37"/>
      <c r="F5568" s="38"/>
      <c r="G5568" s="38"/>
      <c r="H5568" s="38"/>
      <c r="I5568" s="37"/>
      <c r="J5568" s="38"/>
      <c r="K5568" s="38"/>
      <c r="L5568" s="42"/>
      <c r="M5568" s="42"/>
      <c r="N5568" s="42"/>
      <c r="O5568" s="42"/>
      <c r="R5568" s="37"/>
      <c r="S5568" s="37"/>
      <c r="T5568" s="91"/>
      <c r="U5568" s="91"/>
      <c r="V5568" s="41"/>
      <c r="W5568" s="37"/>
      <c r="X5568" s="37"/>
      <c r="Y5568" s="43"/>
      <c r="Z5568" s="37"/>
      <c r="AA5568" s="37"/>
      <c r="AD5568" s="37"/>
      <c r="AE5568" s="37"/>
      <c r="AF5568" s="37"/>
    </row>
    <row r="5569" spans="1:32" x14ac:dyDescent="0.25">
      <c r="A5569" s="37"/>
      <c r="B5569" s="37"/>
      <c r="C5569" s="37"/>
      <c r="F5569" s="38"/>
      <c r="G5569" s="38"/>
      <c r="H5569" s="38"/>
      <c r="I5569" s="37"/>
      <c r="J5569" s="38"/>
      <c r="K5569" s="38"/>
      <c r="L5569" s="42"/>
      <c r="M5569" s="42"/>
      <c r="N5569" s="42"/>
      <c r="O5569" s="42"/>
      <c r="R5569" s="37"/>
      <c r="S5569" s="37"/>
      <c r="T5569" s="91"/>
      <c r="U5569" s="91"/>
      <c r="V5569" s="41"/>
      <c r="W5569" s="37"/>
      <c r="X5569" s="37"/>
      <c r="Y5569" s="43"/>
      <c r="Z5569" s="37"/>
      <c r="AA5569" s="37"/>
      <c r="AD5569" s="37"/>
      <c r="AE5569" s="37"/>
      <c r="AF5569" s="37"/>
    </row>
    <row r="5570" spans="1:32" x14ac:dyDescent="0.25">
      <c r="A5570" s="37"/>
      <c r="B5570" s="37"/>
      <c r="C5570" s="37"/>
      <c r="F5570" s="38"/>
      <c r="G5570" s="38"/>
      <c r="H5570" s="38"/>
      <c r="I5570" s="37"/>
      <c r="J5570" s="38"/>
      <c r="K5570" s="38"/>
      <c r="L5570" s="42"/>
      <c r="M5570" s="42"/>
      <c r="N5570" s="42"/>
      <c r="O5570" s="42"/>
      <c r="R5570" s="37"/>
      <c r="S5570" s="37"/>
      <c r="T5570" s="91"/>
      <c r="U5570" s="91"/>
      <c r="V5570" s="41"/>
      <c r="W5570" s="37"/>
      <c r="X5570" s="37"/>
      <c r="Y5570" s="43"/>
      <c r="Z5570" s="37"/>
      <c r="AA5570" s="37"/>
      <c r="AD5570" s="37"/>
      <c r="AE5570" s="37"/>
      <c r="AF5570" s="37"/>
    </row>
    <row r="5571" spans="1:32" x14ac:dyDescent="0.25">
      <c r="A5571" s="37"/>
      <c r="B5571" s="37"/>
      <c r="C5571" s="37"/>
      <c r="F5571" s="38"/>
      <c r="G5571" s="38"/>
      <c r="H5571" s="38"/>
      <c r="I5571" s="37"/>
      <c r="J5571" s="38"/>
      <c r="K5571" s="38"/>
      <c r="L5571" s="42"/>
      <c r="M5571" s="42"/>
      <c r="N5571" s="42"/>
      <c r="O5571" s="42"/>
      <c r="R5571" s="37"/>
      <c r="S5571" s="37"/>
      <c r="T5571" s="91"/>
      <c r="U5571" s="91"/>
      <c r="V5571" s="41"/>
      <c r="W5571" s="37"/>
      <c r="X5571" s="37"/>
      <c r="Y5571" s="43"/>
      <c r="Z5571" s="37"/>
      <c r="AA5571" s="37"/>
      <c r="AD5571" s="37"/>
      <c r="AE5571" s="37"/>
      <c r="AF5571" s="37"/>
    </row>
    <row r="5572" spans="1:32" x14ac:dyDescent="0.25">
      <c r="A5572" s="37"/>
      <c r="B5572" s="37"/>
      <c r="C5572" s="37"/>
      <c r="F5572" s="38"/>
      <c r="G5572" s="38"/>
      <c r="H5572" s="38"/>
      <c r="I5572" s="37"/>
      <c r="J5572" s="38"/>
      <c r="K5572" s="38"/>
      <c r="L5572" s="42"/>
      <c r="M5572" s="42"/>
      <c r="N5572" s="42"/>
      <c r="O5572" s="42"/>
      <c r="R5572" s="37"/>
      <c r="S5572" s="37"/>
      <c r="T5572" s="91"/>
      <c r="U5572" s="91"/>
      <c r="V5572" s="41"/>
      <c r="W5572" s="37"/>
      <c r="X5572" s="37"/>
      <c r="Y5572" s="43"/>
      <c r="Z5572" s="37"/>
      <c r="AA5572" s="37"/>
      <c r="AD5572" s="37"/>
      <c r="AE5572" s="37"/>
      <c r="AF5572" s="37"/>
    </row>
    <row r="5573" spans="1:32" x14ac:dyDescent="0.25">
      <c r="A5573" s="37"/>
      <c r="B5573" s="37"/>
      <c r="C5573" s="37"/>
      <c r="F5573" s="38"/>
      <c r="G5573" s="38"/>
      <c r="H5573" s="38"/>
      <c r="I5573" s="37"/>
      <c r="J5573" s="38"/>
      <c r="K5573" s="38"/>
      <c r="L5573" s="42"/>
      <c r="M5573" s="42"/>
      <c r="N5573" s="42"/>
      <c r="O5573" s="42"/>
      <c r="R5573" s="37"/>
      <c r="S5573" s="37"/>
      <c r="T5573" s="91"/>
      <c r="U5573" s="91"/>
      <c r="V5573" s="41"/>
      <c r="W5573" s="37"/>
      <c r="X5573" s="37"/>
      <c r="Y5573" s="43"/>
      <c r="Z5573" s="37"/>
      <c r="AA5573" s="37"/>
      <c r="AD5573" s="37"/>
      <c r="AE5573" s="37"/>
      <c r="AF5573" s="37"/>
    </row>
    <row r="5574" spans="1:32" x14ac:dyDescent="0.25">
      <c r="A5574" s="37"/>
      <c r="B5574" s="37"/>
      <c r="C5574" s="37"/>
      <c r="F5574" s="38"/>
      <c r="G5574" s="38"/>
      <c r="H5574" s="38"/>
      <c r="I5574" s="37"/>
      <c r="J5574" s="38"/>
      <c r="K5574" s="38"/>
      <c r="L5574" s="42"/>
      <c r="M5574" s="42"/>
      <c r="N5574" s="42"/>
      <c r="O5574" s="42"/>
      <c r="R5574" s="37"/>
      <c r="S5574" s="37"/>
      <c r="T5574" s="91"/>
      <c r="U5574" s="91"/>
      <c r="V5574" s="41"/>
      <c r="W5574" s="37"/>
      <c r="X5574" s="37"/>
      <c r="Y5574" s="43"/>
      <c r="Z5574" s="37"/>
      <c r="AA5574" s="37"/>
      <c r="AD5574" s="37"/>
      <c r="AE5574" s="37"/>
      <c r="AF5574" s="37"/>
    </row>
    <row r="5575" spans="1:32" x14ac:dyDescent="0.25">
      <c r="A5575" s="37"/>
      <c r="B5575" s="37"/>
      <c r="C5575" s="37"/>
      <c r="F5575" s="38"/>
      <c r="G5575" s="38"/>
      <c r="H5575" s="38"/>
      <c r="I5575" s="37"/>
      <c r="J5575" s="38"/>
      <c r="K5575" s="38"/>
      <c r="L5575" s="42"/>
      <c r="M5575" s="42"/>
      <c r="N5575" s="42"/>
      <c r="O5575" s="42"/>
      <c r="R5575" s="37"/>
      <c r="S5575" s="37"/>
      <c r="T5575" s="91"/>
      <c r="U5575" s="91"/>
      <c r="V5575" s="41"/>
      <c r="W5575" s="37"/>
      <c r="X5575" s="37"/>
      <c r="Y5575" s="43"/>
      <c r="Z5575" s="37"/>
      <c r="AA5575" s="37"/>
      <c r="AD5575" s="37"/>
      <c r="AE5575" s="37"/>
      <c r="AF5575" s="37"/>
    </row>
    <row r="5576" spans="1:32" x14ac:dyDescent="0.25">
      <c r="A5576" s="37"/>
      <c r="B5576" s="37"/>
      <c r="C5576" s="37"/>
      <c r="F5576" s="38"/>
      <c r="G5576" s="38"/>
      <c r="H5576" s="38"/>
      <c r="I5576" s="37"/>
      <c r="J5576" s="38"/>
      <c r="K5576" s="38"/>
      <c r="L5576" s="42"/>
      <c r="M5576" s="42"/>
      <c r="N5576" s="42"/>
      <c r="O5576" s="42"/>
      <c r="R5576" s="37"/>
      <c r="S5576" s="37"/>
      <c r="T5576" s="91"/>
      <c r="U5576" s="91"/>
      <c r="V5576" s="41"/>
      <c r="W5576" s="37"/>
      <c r="X5576" s="37"/>
      <c r="Y5576" s="43"/>
      <c r="Z5576" s="37"/>
      <c r="AA5576" s="37"/>
      <c r="AD5576" s="37"/>
      <c r="AE5576" s="37"/>
      <c r="AF5576" s="37"/>
    </row>
    <row r="5577" spans="1:32" x14ac:dyDescent="0.25">
      <c r="A5577" s="37"/>
      <c r="B5577" s="37"/>
      <c r="C5577" s="37"/>
      <c r="F5577" s="38"/>
      <c r="G5577" s="38"/>
      <c r="H5577" s="38"/>
      <c r="I5577" s="37"/>
      <c r="J5577" s="38"/>
      <c r="K5577" s="38"/>
      <c r="L5577" s="42"/>
      <c r="M5577" s="42"/>
      <c r="N5577" s="42"/>
      <c r="O5577" s="42"/>
      <c r="R5577" s="37"/>
      <c r="S5577" s="37"/>
      <c r="T5577" s="91"/>
      <c r="U5577" s="91"/>
      <c r="V5577" s="41"/>
      <c r="W5577" s="37"/>
      <c r="X5577" s="37"/>
      <c r="Y5577" s="43"/>
      <c r="Z5577" s="37"/>
      <c r="AA5577" s="37"/>
      <c r="AD5577" s="37"/>
      <c r="AE5577" s="37"/>
      <c r="AF5577" s="37"/>
    </row>
    <row r="5578" spans="1:32" x14ac:dyDescent="0.25">
      <c r="A5578" s="37"/>
      <c r="B5578" s="37"/>
      <c r="C5578" s="37"/>
      <c r="F5578" s="38"/>
      <c r="G5578" s="38"/>
      <c r="H5578" s="38"/>
      <c r="I5578" s="37"/>
      <c r="J5578" s="38"/>
      <c r="K5578" s="38"/>
      <c r="L5578" s="42"/>
      <c r="M5578" s="42"/>
      <c r="N5578" s="42"/>
      <c r="O5578" s="42"/>
      <c r="R5578" s="37"/>
      <c r="S5578" s="37"/>
      <c r="T5578" s="91"/>
      <c r="U5578" s="91"/>
      <c r="V5578" s="41"/>
      <c r="W5578" s="37"/>
      <c r="X5578" s="37"/>
      <c r="Y5578" s="43"/>
      <c r="Z5578" s="37"/>
      <c r="AA5578" s="37"/>
      <c r="AD5578" s="37"/>
      <c r="AE5578" s="37"/>
      <c r="AF5578" s="37"/>
    </row>
    <row r="5579" spans="1:32" x14ac:dyDescent="0.25">
      <c r="A5579" s="37"/>
      <c r="B5579" s="37"/>
      <c r="C5579" s="37"/>
      <c r="F5579" s="38"/>
      <c r="G5579" s="38"/>
      <c r="H5579" s="38"/>
      <c r="I5579" s="37"/>
      <c r="J5579" s="38"/>
      <c r="K5579" s="38"/>
      <c r="L5579" s="42"/>
      <c r="M5579" s="42"/>
      <c r="N5579" s="42"/>
      <c r="O5579" s="42"/>
      <c r="R5579" s="37"/>
      <c r="S5579" s="37"/>
      <c r="T5579" s="91"/>
      <c r="U5579" s="91"/>
      <c r="V5579" s="41"/>
      <c r="W5579" s="37"/>
      <c r="X5579" s="37"/>
      <c r="Y5579" s="43"/>
      <c r="Z5579" s="37"/>
      <c r="AA5579" s="37"/>
      <c r="AD5579" s="37"/>
      <c r="AE5579" s="37"/>
      <c r="AF5579" s="37"/>
    </row>
    <row r="5580" spans="1:32" x14ac:dyDescent="0.25">
      <c r="A5580" s="37"/>
      <c r="B5580" s="37"/>
      <c r="C5580" s="37"/>
      <c r="F5580" s="38"/>
      <c r="G5580" s="38"/>
      <c r="H5580" s="38"/>
      <c r="I5580" s="37"/>
      <c r="J5580" s="38"/>
      <c r="K5580" s="38"/>
      <c r="L5580" s="42"/>
      <c r="M5580" s="42"/>
      <c r="N5580" s="42"/>
      <c r="O5580" s="42"/>
      <c r="R5580" s="37"/>
      <c r="S5580" s="37"/>
      <c r="T5580" s="91"/>
      <c r="U5580" s="91"/>
      <c r="V5580" s="41"/>
      <c r="W5580" s="37"/>
      <c r="X5580" s="37"/>
      <c r="Y5580" s="43"/>
      <c r="Z5580" s="37"/>
      <c r="AA5580" s="37"/>
      <c r="AD5580" s="37"/>
      <c r="AE5580" s="37"/>
      <c r="AF5580" s="37"/>
    </row>
    <row r="5581" spans="1:32" x14ac:dyDescent="0.25">
      <c r="A5581" s="37"/>
      <c r="B5581" s="37"/>
      <c r="C5581" s="37"/>
      <c r="F5581" s="38"/>
      <c r="G5581" s="38"/>
      <c r="H5581" s="38"/>
      <c r="I5581" s="37"/>
      <c r="J5581" s="38"/>
      <c r="K5581" s="38"/>
      <c r="L5581" s="42"/>
      <c r="M5581" s="42"/>
      <c r="N5581" s="42"/>
      <c r="O5581" s="42"/>
      <c r="R5581" s="37"/>
      <c r="S5581" s="37"/>
      <c r="T5581" s="91"/>
      <c r="U5581" s="91"/>
      <c r="V5581" s="41"/>
      <c r="W5581" s="37"/>
      <c r="X5581" s="37"/>
      <c r="Y5581" s="43"/>
      <c r="Z5581" s="37"/>
      <c r="AA5581" s="37"/>
      <c r="AD5581" s="37"/>
      <c r="AE5581" s="37"/>
      <c r="AF5581" s="37"/>
    </row>
    <row r="5582" spans="1:32" x14ac:dyDescent="0.25">
      <c r="A5582" s="37"/>
      <c r="B5582" s="37"/>
      <c r="C5582" s="37"/>
      <c r="F5582" s="38"/>
      <c r="G5582" s="38"/>
      <c r="H5582" s="38"/>
      <c r="I5582" s="37"/>
      <c r="J5582" s="38"/>
      <c r="K5582" s="38"/>
      <c r="L5582" s="42"/>
      <c r="M5582" s="42"/>
      <c r="N5582" s="42"/>
      <c r="O5582" s="42"/>
      <c r="R5582" s="37"/>
      <c r="S5582" s="37"/>
      <c r="T5582" s="91"/>
      <c r="U5582" s="91"/>
      <c r="V5582" s="41"/>
      <c r="W5582" s="37"/>
      <c r="X5582" s="37"/>
      <c r="Y5582" s="43"/>
      <c r="Z5582" s="37"/>
      <c r="AA5582" s="37"/>
      <c r="AD5582" s="37"/>
      <c r="AE5582" s="37"/>
      <c r="AF5582" s="37"/>
    </row>
    <row r="5583" spans="1:32" x14ac:dyDescent="0.25">
      <c r="A5583" s="37"/>
      <c r="B5583" s="37"/>
      <c r="C5583" s="37"/>
      <c r="F5583" s="38"/>
      <c r="G5583" s="38"/>
      <c r="H5583" s="38"/>
      <c r="I5583" s="37"/>
      <c r="J5583" s="38"/>
      <c r="K5583" s="38"/>
      <c r="L5583" s="42"/>
      <c r="M5583" s="42"/>
      <c r="N5583" s="42"/>
      <c r="O5583" s="42"/>
      <c r="R5583" s="37"/>
      <c r="S5583" s="37"/>
      <c r="T5583" s="91"/>
      <c r="U5583" s="91"/>
      <c r="V5583" s="41"/>
      <c r="W5583" s="37"/>
      <c r="X5583" s="37"/>
      <c r="Y5583" s="43"/>
      <c r="Z5583" s="37"/>
      <c r="AA5583" s="37"/>
      <c r="AD5583" s="37"/>
      <c r="AE5583" s="37"/>
      <c r="AF5583" s="37"/>
    </row>
    <row r="5584" spans="1:32" x14ac:dyDescent="0.25">
      <c r="A5584" s="37"/>
      <c r="B5584" s="37"/>
      <c r="C5584" s="37"/>
      <c r="F5584" s="38"/>
      <c r="G5584" s="38"/>
      <c r="H5584" s="38"/>
      <c r="I5584" s="37"/>
      <c r="J5584" s="38"/>
      <c r="K5584" s="38"/>
      <c r="L5584" s="42"/>
      <c r="M5584" s="42"/>
      <c r="N5584" s="42"/>
      <c r="O5584" s="42"/>
      <c r="R5584" s="37"/>
      <c r="S5584" s="37"/>
      <c r="T5584" s="91"/>
      <c r="U5584" s="91"/>
      <c r="V5584" s="41"/>
      <c r="W5584" s="37"/>
      <c r="X5584" s="37"/>
      <c r="Y5584" s="43"/>
      <c r="Z5584" s="37"/>
      <c r="AA5584" s="37"/>
      <c r="AD5584" s="37"/>
      <c r="AE5584" s="37"/>
      <c r="AF5584" s="37"/>
    </row>
    <row r="5585" spans="1:32" x14ac:dyDescent="0.25">
      <c r="A5585" s="37"/>
      <c r="B5585" s="37"/>
      <c r="C5585" s="37"/>
      <c r="F5585" s="38"/>
      <c r="G5585" s="38"/>
      <c r="H5585" s="38"/>
      <c r="I5585" s="37"/>
      <c r="J5585" s="38"/>
      <c r="K5585" s="38"/>
      <c r="L5585" s="42"/>
      <c r="M5585" s="42"/>
      <c r="N5585" s="42"/>
      <c r="O5585" s="42"/>
      <c r="R5585" s="37"/>
      <c r="S5585" s="37"/>
      <c r="T5585" s="91"/>
      <c r="U5585" s="91"/>
      <c r="V5585" s="41"/>
      <c r="W5585" s="37"/>
      <c r="X5585" s="37"/>
      <c r="Y5585" s="43"/>
      <c r="Z5585" s="37"/>
      <c r="AA5585" s="37"/>
      <c r="AD5585" s="37"/>
      <c r="AE5585" s="37"/>
      <c r="AF5585" s="37"/>
    </row>
    <row r="5586" spans="1:32" x14ac:dyDescent="0.25">
      <c r="A5586" s="37"/>
      <c r="B5586" s="37"/>
      <c r="C5586" s="37"/>
      <c r="F5586" s="38"/>
      <c r="G5586" s="38"/>
      <c r="H5586" s="38"/>
      <c r="I5586" s="37"/>
      <c r="J5586" s="38"/>
      <c r="K5586" s="38"/>
      <c r="L5586" s="42"/>
      <c r="M5586" s="42"/>
      <c r="N5586" s="42"/>
      <c r="O5586" s="42"/>
      <c r="R5586" s="37"/>
      <c r="S5586" s="37"/>
      <c r="T5586" s="91"/>
      <c r="U5586" s="91"/>
      <c r="V5586" s="41"/>
      <c r="W5586" s="37"/>
      <c r="X5586" s="37"/>
      <c r="Y5586" s="43"/>
      <c r="Z5586" s="37"/>
      <c r="AA5586" s="37"/>
      <c r="AD5586" s="37"/>
      <c r="AE5586" s="37"/>
      <c r="AF5586" s="37"/>
    </row>
    <row r="5587" spans="1:32" x14ac:dyDescent="0.25">
      <c r="A5587" s="37"/>
      <c r="B5587" s="37"/>
      <c r="C5587" s="37"/>
      <c r="F5587" s="38"/>
      <c r="G5587" s="38"/>
      <c r="H5587" s="38"/>
      <c r="I5587" s="37"/>
      <c r="J5587" s="38"/>
      <c r="K5587" s="38"/>
      <c r="L5587" s="42"/>
      <c r="M5587" s="42"/>
      <c r="N5587" s="42"/>
      <c r="O5587" s="42"/>
      <c r="R5587" s="37"/>
      <c r="S5587" s="37"/>
      <c r="T5587" s="91"/>
      <c r="U5587" s="91"/>
      <c r="V5587" s="41"/>
      <c r="W5587" s="37"/>
      <c r="X5587" s="37"/>
      <c r="Y5587" s="43"/>
      <c r="Z5587" s="37"/>
      <c r="AA5587" s="37"/>
      <c r="AD5587" s="37"/>
      <c r="AE5587" s="37"/>
      <c r="AF5587" s="37"/>
    </row>
    <row r="5588" spans="1:32" x14ac:dyDescent="0.25">
      <c r="A5588" s="37"/>
      <c r="B5588" s="37"/>
      <c r="C5588" s="37"/>
      <c r="F5588" s="38"/>
      <c r="G5588" s="38"/>
      <c r="H5588" s="38"/>
      <c r="I5588" s="37"/>
      <c r="J5588" s="38"/>
      <c r="K5588" s="38"/>
      <c r="L5588" s="42"/>
      <c r="M5588" s="42"/>
      <c r="N5588" s="42"/>
      <c r="O5588" s="42"/>
      <c r="R5588" s="37"/>
      <c r="S5588" s="37"/>
      <c r="T5588" s="91"/>
      <c r="U5588" s="91"/>
      <c r="V5588" s="41"/>
      <c r="W5588" s="37"/>
      <c r="X5588" s="37"/>
      <c r="Y5588" s="43"/>
      <c r="Z5588" s="37"/>
      <c r="AA5588" s="37"/>
      <c r="AD5588" s="37"/>
      <c r="AE5588" s="37"/>
      <c r="AF5588" s="37"/>
    </row>
    <row r="5589" spans="1:32" x14ac:dyDescent="0.25">
      <c r="A5589" s="37"/>
      <c r="B5589" s="37"/>
      <c r="C5589" s="37"/>
      <c r="F5589" s="38"/>
      <c r="G5589" s="38"/>
      <c r="H5589" s="38"/>
      <c r="I5589" s="37"/>
      <c r="J5589" s="38"/>
      <c r="K5589" s="38"/>
      <c r="L5589" s="42"/>
      <c r="M5589" s="42"/>
      <c r="N5589" s="42"/>
      <c r="O5589" s="42"/>
      <c r="R5589" s="37"/>
      <c r="S5589" s="37"/>
      <c r="T5589" s="91"/>
      <c r="U5589" s="91"/>
      <c r="V5589" s="41"/>
      <c r="W5589" s="37"/>
      <c r="X5589" s="37"/>
      <c r="Y5589" s="43"/>
      <c r="Z5589" s="37"/>
      <c r="AA5589" s="37"/>
      <c r="AD5589" s="37"/>
      <c r="AE5589" s="37"/>
      <c r="AF5589" s="37"/>
    </row>
    <row r="5590" spans="1:32" x14ac:dyDescent="0.25">
      <c r="A5590" s="37"/>
      <c r="B5590" s="37"/>
      <c r="C5590" s="37"/>
      <c r="F5590" s="38"/>
      <c r="G5590" s="38"/>
      <c r="H5590" s="38"/>
      <c r="I5590" s="37"/>
      <c r="J5590" s="38"/>
      <c r="K5590" s="38"/>
      <c r="L5590" s="42"/>
      <c r="M5590" s="42"/>
      <c r="N5590" s="42"/>
      <c r="O5590" s="42"/>
      <c r="R5590" s="37"/>
      <c r="S5590" s="37"/>
      <c r="T5590" s="91"/>
      <c r="U5590" s="91"/>
      <c r="V5590" s="41"/>
      <c r="W5590" s="37"/>
      <c r="X5590" s="37"/>
      <c r="Y5590" s="43"/>
      <c r="Z5590" s="37"/>
      <c r="AA5590" s="37"/>
      <c r="AD5590" s="37"/>
      <c r="AE5590" s="37"/>
      <c r="AF5590" s="37"/>
    </row>
    <row r="5591" spans="1:32" x14ac:dyDescent="0.25">
      <c r="A5591" s="37"/>
      <c r="B5591" s="37"/>
      <c r="C5591" s="37"/>
      <c r="F5591" s="38"/>
      <c r="G5591" s="38"/>
      <c r="H5591" s="38"/>
      <c r="I5591" s="37"/>
      <c r="J5591" s="38"/>
      <c r="K5591" s="38"/>
      <c r="L5591" s="42"/>
      <c r="M5591" s="42"/>
      <c r="N5591" s="42"/>
      <c r="O5591" s="42"/>
      <c r="R5591" s="37"/>
      <c r="S5591" s="37"/>
      <c r="T5591" s="91"/>
      <c r="U5591" s="91"/>
      <c r="V5591" s="41"/>
      <c r="W5591" s="37"/>
      <c r="X5591" s="37"/>
      <c r="Y5591" s="43"/>
      <c r="Z5591" s="37"/>
      <c r="AA5591" s="37"/>
      <c r="AD5591" s="37"/>
      <c r="AE5591" s="37"/>
      <c r="AF5591" s="37"/>
    </row>
    <row r="5592" spans="1:32" x14ac:dyDescent="0.25">
      <c r="A5592" s="37"/>
      <c r="B5592" s="37"/>
      <c r="C5592" s="37"/>
      <c r="F5592" s="38"/>
      <c r="G5592" s="38"/>
      <c r="H5592" s="38"/>
      <c r="I5592" s="37"/>
      <c r="J5592" s="38"/>
      <c r="K5592" s="38"/>
      <c r="L5592" s="42"/>
      <c r="M5592" s="42"/>
      <c r="N5592" s="42"/>
      <c r="O5592" s="42"/>
      <c r="R5592" s="37"/>
      <c r="S5592" s="37"/>
      <c r="T5592" s="91"/>
      <c r="U5592" s="91"/>
      <c r="V5592" s="41"/>
      <c r="W5592" s="37"/>
      <c r="X5592" s="37"/>
      <c r="Y5592" s="43"/>
      <c r="Z5592" s="37"/>
      <c r="AA5592" s="37"/>
      <c r="AD5592" s="37"/>
      <c r="AE5592" s="37"/>
      <c r="AF5592" s="37"/>
    </row>
    <row r="5593" spans="1:32" x14ac:dyDescent="0.25">
      <c r="A5593" s="37"/>
      <c r="B5593" s="37"/>
      <c r="C5593" s="37"/>
      <c r="F5593" s="38"/>
      <c r="G5593" s="38"/>
      <c r="H5593" s="38"/>
      <c r="I5593" s="37"/>
      <c r="J5593" s="38"/>
      <c r="K5593" s="38"/>
      <c r="L5593" s="42"/>
      <c r="M5593" s="42"/>
      <c r="N5593" s="42"/>
      <c r="O5593" s="42"/>
      <c r="R5593" s="37"/>
      <c r="S5593" s="37"/>
      <c r="T5593" s="91"/>
      <c r="U5593" s="91"/>
      <c r="V5593" s="41"/>
      <c r="W5593" s="37"/>
      <c r="X5593" s="37"/>
      <c r="Y5593" s="43"/>
      <c r="Z5593" s="37"/>
      <c r="AA5593" s="37"/>
      <c r="AD5593" s="37"/>
      <c r="AE5593" s="37"/>
      <c r="AF5593" s="37"/>
    </row>
    <row r="5594" spans="1:32" x14ac:dyDescent="0.25">
      <c r="A5594" s="37"/>
      <c r="B5594" s="37"/>
      <c r="C5594" s="37"/>
      <c r="F5594" s="38"/>
      <c r="G5594" s="38"/>
      <c r="H5594" s="38"/>
      <c r="I5594" s="37"/>
      <c r="J5594" s="38"/>
      <c r="K5594" s="38"/>
      <c r="L5594" s="42"/>
      <c r="M5594" s="42"/>
      <c r="N5594" s="42"/>
      <c r="O5594" s="42"/>
      <c r="R5594" s="37"/>
      <c r="S5594" s="37"/>
      <c r="T5594" s="91"/>
      <c r="U5594" s="91"/>
      <c r="V5594" s="41"/>
      <c r="W5594" s="37"/>
      <c r="X5594" s="37"/>
      <c r="Y5594" s="43"/>
      <c r="Z5594" s="37"/>
      <c r="AA5594" s="37"/>
      <c r="AD5594" s="37"/>
      <c r="AE5594" s="37"/>
      <c r="AF5594" s="37"/>
    </row>
    <row r="5595" spans="1:32" x14ac:dyDescent="0.25">
      <c r="A5595" s="37"/>
      <c r="B5595" s="37"/>
      <c r="C5595" s="37"/>
      <c r="F5595" s="38"/>
      <c r="G5595" s="38"/>
      <c r="H5595" s="38"/>
      <c r="I5595" s="37"/>
      <c r="J5595" s="38"/>
      <c r="K5595" s="38"/>
      <c r="L5595" s="42"/>
      <c r="M5595" s="42"/>
      <c r="N5595" s="42"/>
      <c r="O5595" s="42"/>
      <c r="R5595" s="37"/>
      <c r="S5595" s="37"/>
      <c r="T5595" s="91"/>
      <c r="U5595" s="91"/>
      <c r="V5595" s="41"/>
      <c r="W5595" s="37"/>
      <c r="X5595" s="37"/>
      <c r="Y5595" s="43"/>
      <c r="Z5595" s="37"/>
      <c r="AA5595" s="37"/>
      <c r="AD5595" s="37"/>
      <c r="AE5595" s="37"/>
      <c r="AF5595" s="37"/>
    </row>
    <row r="5596" spans="1:32" x14ac:dyDescent="0.25">
      <c r="A5596" s="37"/>
      <c r="B5596" s="37"/>
      <c r="C5596" s="37"/>
      <c r="F5596" s="38"/>
      <c r="G5596" s="38"/>
      <c r="H5596" s="38"/>
      <c r="I5596" s="37"/>
      <c r="J5596" s="38"/>
      <c r="K5596" s="38"/>
      <c r="L5596" s="42"/>
      <c r="M5596" s="42"/>
      <c r="N5596" s="42"/>
      <c r="O5596" s="42"/>
      <c r="R5596" s="37"/>
      <c r="S5596" s="37"/>
      <c r="T5596" s="91"/>
      <c r="U5596" s="91"/>
      <c r="V5596" s="41"/>
      <c r="W5596" s="37"/>
      <c r="X5596" s="37"/>
      <c r="Y5596" s="43"/>
      <c r="Z5596" s="37"/>
      <c r="AA5596" s="37"/>
      <c r="AD5596" s="37"/>
      <c r="AE5596" s="37"/>
      <c r="AF5596" s="37"/>
    </row>
    <row r="5597" spans="1:32" x14ac:dyDescent="0.25">
      <c r="A5597" s="37"/>
      <c r="B5597" s="37"/>
      <c r="C5597" s="37"/>
      <c r="F5597" s="38"/>
      <c r="G5597" s="38"/>
      <c r="H5597" s="38"/>
      <c r="I5597" s="37"/>
      <c r="J5597" s="38"/>
      <c r="K5597" s="38"/>
      <c r="L5597" s="42"/>
      <c r="M5597" s="42"/>
      <c r="N5597" s="42"/>
      <c r="O5597" s="42"/>
      <c r="R5597" s="37"/>
      <c r="S5597" s="37"/>
      <c r="T5597" s="91"/>
      <c r="U5597" s="91"/>
      <c r="V5597" s="41"/>
      <c r="W5597" s="37"/>
      <c r="X5597" s="37"/>
      <c r="Y5597" s="43"/>
      <c r="Z5597" s="37"/>
      <c r="AA5597" s="37"/>
      <c r="AD5597" s="37"/>
      <c r="AE5597" s="37"/>
      <c r="AF5597" s="37"/>
    </row>
    <row r="5598" spans="1:32" x14ac:dyDescent="0.25">
      <c r="A5598" s="37"/>
      <c r="B5598" s="37"/>
      <c r="C5598" s="37"/>
      <c r="F5598" s="38"/>
      <c r="G5598" s="38"/>
      <c r="H5598" s="38"/>
      <c r="I5598" s="37"/>
      <c r="J5598" s="38"/>
      <c r="K5598" s="38"/>
      <c r="L5598" s="42"/>
      <c r="M5598" s="42"/>
      <c r="N5598" s="42"/>
      <c r="O5598" s="42"/>
      <c r="R5598" s="37"/>
      <c r="S5598" s="37"/>
      <c r="T5598" s="91"/>
      <c r="U5598" s="91"/>
      <c r="V5598" s="41"/>
      <c r="W5598" s="37"/>
      <c r="X5598" s="37"/>
      <c r="Y5598" s="43"/>
      <c r="Z5598" s="37"/>
      <c r="AA5598" s="37"/>
      <c r="AD5598" s="37"/>
      <c r="AE5598" s="37"/>
      <c r="AF5598" s="37"/>
    </row>
    <row r="5599" spans="1:32" x14ac:dyDescent="0.25">
      <c r="A5599" s="37"/>
      <c r="B5599" s="37"/>
      <c r="C5599" s="37"/>
      <c r="F5599" s="38"/>
      <c r="G5599" s="38"/>
      <c r="H5599" s="38"/>
      <c r="I5599" s="37"/>
      <c r="J5599" s="38"/>
      <c r="K5599" s="38"/>
      <c r="L5599" s="42"/>
      <c r="M5599" s="42"/>
      <c r="N5599" s="42"/>
      <c r="O5599" s="42"/>
      <c r="R5599" s="37"/>
      <c r="S5599" s="37"/>
      <c r="T5599" s="91"/>
      <c r="U5599" s="91"/>
      <c r="V5599" s="41"/>
      <c r="W5599" s="37"/>
      <c r="X5599" s="37"/>
      <c r="Y5599" s="43"/>
      <c r="Z5599" s="37"/>
      <c r="AA5599" s="37"/>
      <c r="AD5599" s="37"/>
      <c r="AE5599" s="37"/>
      <c r="AF5599" s="37"/>
    </row>
    <row r="5600" spans="1:32" x14ac:dyDescent="0.25">
      <c r="A5600" s="37"/>
      <c r="B5600" s="37"/>
      <c r="C5600" s="37"/>
      <c r="F5600" s="38"/>
      <c r="G5600" s="38"/>
      <c r="H5600" s="38"/>
      <c r="I5600" s="37"/>
      <c r="J5600" s="38"/>
      <c r="K5600" s="38"/>
      <c r="L5600" s="42"/>
      <c r="M5600" s="42"/>
      <c r="N5600" s="42"/>
      <c r="O5600" s="42"/>
      <c r="R5600" s="37"/>
      <c r="S5600" s="37"/>
      <c r="T5600" s="91"/>
      <c r="U5600" s="91"/>
      <c r="V5600" s="41"/>
      <c r="W5600" s="37"/>
      <c r="X5600" s="37"/>
      <c r="Y5600" s="43"/>
      <c r="Z5600" s="37"/>
      <c r="AA5600" s="37"/>
      <c r="AD5600" s="37"/>
      <c r="AE5600" s="37"/>
      <c r="AF5600" s="37"/>
    </row>
    <row r="5601" spans="1:32" x14ac:dyDescent="0.25">
      <c r="A5601" s="37"/>
      <c r="B5601" s="37"/>
      <c r="C5601" s="37"/>
      <c r="F5601" s="38"/>
      <c r="G5601" s="38"/>
      <c r="H5601" s="38"/>
      <c r="I5601" s="37"/>
      <c r="J5601" s="38"/>
      <c r="K5601" s="38"/>
      <c r="L5601" s="42"/>
      <c r="M5601" s="42"/>
      <c r="N5601" s="42"/>
      <c r="O5601" s="42"/>
      <c r="R5601" s="37"/>
      <c r="S5601" s="37"/>
      <c r="T5601" s="91"/>
      <c r="U5601" s="91"/>
      <c r="V5601" s="41"/>
      <c r="W5601" s="37"/>
      <c r="X5601" s="37"/>
      <c r="Y5601" s="43"/>
      <c r="Z5601" s="37"/>
      <c r="AA5601" s="37"/>
      <c r="AD5601" s="37"/>
      <c r="AE5601" s="37"/>
      <c r="AF5601" s="37"/>
    </row>
    <row r="5602" spans="1:32" x14ac:dyDescent="0.25">
      <c r="A5602" s="37"/>
      <c r="B5602" s="37"/>
      <c r="C5602" s="37"/>
      <c r="F5602" s="38"/>
      <c r="G5602" s="38"/>
      <c r="H5602" s="38"/>
      <c r="I5602" s="37"/>
      <c r="J5602" s="38"/>
      <c r="K5602" s="38"/>
      <c r="L5602" s="42"/>
      <c r="M5602" s="42"/>
      <c r="N5602" s="42"/>
      <c r="O5602" s="42"/>
      <c r="R5602" s="37"/>
      <c r="S5602" s="37"/>
      <c r="T5602" s="91"/>
      <c r="U5602" s="91"/>
      <c r="V5602" s="41"/>
      <c r="W5602" s="37"/>
      <c r="X5602" s="37"/>
      <c r="Y5602" s="43"/>
      <c r="Z5602" s="37"/>
      <c r="AA5602" s="37"/>
      <c r="AD5602" s="37"/>
      <c r="AE5602" s="37"/>
      <c r="AF5602" s="37"/>
    </row>
    <row r="5603" spans="1:32" x14ac:dyDescent="0.25">
      <c r="A5603" s="37"/>
      <c r="B5603" s="37"/>
      <c r="C5603" s="37"/>
      <c r="F5603" s="38"/>
      <c r="G5603" s="38"/>
      <c r="H5603" s="38"/>
      <c r="I5603" s="37"/>
      <c r="J5603" s="38"/>
      <c r="K5603" s="38"/>
      <c r="L5603" s="42"/>
      <c r="M5603" s="42"/>
      <c r="N5603" s="42"/>
      <c r="O5603" s="42"/>
      <c r="R5603" s="37"/>
      <c r="S5603" s="37"/>
      <c r="T5603" s="91"/>
      <c r="U5603" s="91"/>
      <c r="V5603" s="41"/>
      <c r="W5603" s="37"/>
      <c r="X5603" s="37"/>
      <c r="Y5603" s="43"/>
      <c r="Z5603" s="37"/>
      <c r="AA5603" s="37"/>
      <c r="AD5603" s="37"/>
      <c r="AE5603" s="37"/>
      <c r="AF5603" s="37"/>
    </row>
    <row r="5604" spans="1:32" x14ac:dyDescent="0.25">
      <c r="A5604" s="37"/>
      <c r="B5604" s="37"/>
      <c r="C5604" s="37"/>
      <c r="F5604" s="38"/>
      <c r="G5604" s="38"/>
      <c r="H5604" s="38"/>
      <c r="I5604" s="37"/>
      <c r="J5604" s="38"/>
      <c r="K5604" s="38"/>
      <c r="L5604" s="42"/>
      <c r="M5604" s="42"/>
      <c r="N5604" s="42"/>
      <c r="O5604" s="42"/>
      <c r="R5604" s="37"/>
      <c r="S5604" s="37"/>
      <c r="T5604" s="91"/>
      <c r="U5604" s="91"/>
      <c r="V5604" s="41"/>
      <c r="W5604" s="37"/>
      <c r="X5604" s="37"/>
      <c r="Y5604" s="43"/>
      <c r="Z5604" s="37"/>
      <c r="AA5604" s="37"/>
      <c r="AD5604" s="37"/>
      <c r="AE5604" s="37"/>
      <c r="AF5604" s="37"/>
    </row>
    <row r="5605" spans="1:32" x14ac:dyDescent="0.25">
      <c r="A5605" s="37"/>
      <c r="B5605" s="37"/>
      <c r="C5605" s="37"/>
      <c r="F5605" s="38"/>
      <c r="G5605" s="38"/>
      <c r="H5605" s="38"/>
      <c r="I5605" s="37"/>
      <c r="J5605" s="38"/>
      <c r="K5605" s="38"/>
      <c r="L5605" s="42"/>
      <c r="M5605" s="42"/>
      <c r="N5605" s="42"/>
      <c r="O5605" s="42"/>
      <c r="R5605" s="37"/>
      <c r="S5605" s="37"/>
      <c r="T5605" s="91"/>
      <c r="U5605" s="91"/>
      <c r="V5605" s="41"/>
      <c r="W5605" s="37"/>
      <c r="X5605" s="37"/>
      <c r="Y5605" s="43"/>
      <c r="Z5605" s="37"/>
      <c r="AA5605" s="37"/>
      <c r="AD5605" s="37"/>
      <c r="AE5605" s="37"/>
      <c r="AF5605" s="37"/>
    </row>
    <row r="5606" spans="1:32" x14ac:dyDescent="0.25">
      <c r="A5606" s="37"/>
      <c r="B5606" s="37"/>
      <c r="C5606" s="37"/>
      <c r="F5606" s="38"/>
      <c r="G5606" s="38"/>
      <c r="H5606" s="38"/>
      <c r="I5606" s="37"/>
      <c r="J5606" s="38"/>
      <c r="K5606" s="38"/>
      <c r="L5606" s="42"/>
      <c r="M5606" s="42"/>
      <c r="N5606" s="42"/>
      <c r="O5606" s="42"/>
      <c r="R5606" s="37"/>
      <c r="S5606" s="37"/>
      <c r="T5606" s="91"/>
      <c r="U5606" s="91"/>
      <c r="V5606" s="41"/>
      <c r="W5606" s="37"/>
      <c r="X5606" s="37"/>
      <c r="Y5606" s="43"/>
      <c r="Z5606" s="37"/>
      <c r="AA5606" s="37"/>
      <c r="AD5606" s="37"/>
      <c r="AE5606" s="37"/>
      <c r="AF5606" s="37"/>
    </row>
    <row r="5607" spans="1:32" x14ac:dyDescent="0.25">
      <c r="A5607" s="37"/>
      <c r="B5607" s="37"/>
      <c r="C5607" s="37"/>
      <c r="F5607" s="38"/>
      <c r="G5607" s="38"/>
      <c r="H5607" s="38"/>
      <c r="I5607" s="37"/>
      <c r="J5607" s="38"/>
      <c r="K5607" s="38"/>
      <c r="L5607" s="42"/>
      <c r="M5607" s="42"/>
      <c r="N5607" s="42"/>
      <c r="O5607" s="42"/>
      <c r="R5607" s="37"/>
      <c r="S5607" s="37"/>
      <c r="T5607" s="91"/>
      <c r="U5607" s="91"/>
      <c r="V5607" s="41"/>
      <c r="W5607" s="37"/>
      <c r="X5607" s="37"/>
      <c r="Y5607" s="43"/>
      <c r="Z5607" s="37"/>
      <c r="AA5607" s="37"/>
      <c r="AD5607" s="37"/>
      <c r="AE5607" s="37"/>
      <c r="AF5607" s="37"/>
    </row>
    <row r="5608" spans="1:32" x14ac:dyDescent="0.25">
      <c r="A5608" s="37"/>
      <c r="B5608" s="37"/>
      <c r="C5608" s="37"/>
      <c r="F5608" s="38"/>
      <c r="G5608" s="38"/>
      <c r="H5608" s="38"/>
      <c r="I5608" s="37"/>
      <c r="J5608" s="38"/>
      <c r="K5608" s="38"/>
      <c r="L5608" s="42"/>
      <c r="M5608" s="42"/>
      <c r="N5608" s="42"/>
      <c r="O5608" s="42"/>
      <c r="R5608" s="37"/>
      <c r="S5608" s="37"/>
      <c r="T5608" s="91"/>
      <c r="U5608" s="91"/>
      <c r="V5608" s="41"/>
      <c r="W5608" s="37"/>
      <c r="X5608" s="37"/>
      <c r="Y5608" s="43"/>
      <c r="Z5608" s="37"/>
      <c r="AA5608" s="37"/>
      <c r="AD5608" s="37"/>
      <c r="AE5608" s="37"/>
      <c r="AF5608" s="37"/>
    </row>
    <row r="5609" spans="1:32" x14ac:dyDescent="0.25">
      <c r="A5609" s="37"/>
      <c r="B5609" s="37"/>
      <c r="C5609" s="37"/>
      <c r="F5609" s="38"/>
      <c r="G5609" s="38"/>
      <c r="H5609" s="38"/>
      <c r="I5609" s="37"/>
      <c r="J5609" s="38"/>
      <c r="K5609" s="38"/>
      <c r="L5609" s="42"/>
      <c r="M5609" s="42"/>
      <c r="N5609" s="42"/>
      <c r="O5609" s="42"/>
      <c r="R5609" s="37"/>
      <c r="S5609" s="37"/>
      <c r="T5609" s="91"/>
      <c r="U5609" s="91"/>
      <c r="V5609" s="41"/>
      <c r="W5609" s="37"/>
      <c r="X5609" s="37"/>
      <c r="Y5609" s="43"/>
      <c r="Z5609" s="37"/>
      <c r="AA5609" s="37"/>
      <c r="AD5609" s="37"/>
      <c r="AE5609" s="37"/>
      <c r="AF5609" s="37"/>
    </row>
    <row r="5610" spans="1:32" x14ac:dyDescent="0.25">
      <c r="A5610" s="37"/>
      <c r="B5610" s="37"/>
      <c r="C5610" s="37"/>
      <c r="F5610" s="38"/>
      <c r="G5610" s="38"/>
      <c r="H5610" s="38"/>
      <c r="I5610" s="37"/>
      <c r="J5610" s="38"/>
      <c r="K5610" s="38"/>
      <c r="L5610" s="42"/>
      <c r="M5610" s="42"/>
      <c r="N5610" s="42"/>
      <c r="O5610" s="42"/>
      <c r="R5610" s="37"/>
      <c r="S5610" s="37"/>
      <c r="T5610" s="91"/>
      <c r="U5610" s="91"/>
      <c r="V5610" s="41"/>
      <c r="W5610" s="37"/>
      <c r="X5610" s="37"/>
      <c r="Y5610" s="43"/>
      <c r="Z5610" s="37"/>
      <c r="AA5610" s="37"/>
      <c r="AD5610" s="37"/>
      <c r="AE5610" s="37"/>
      <c r="AF5610" s="37"/>
    </row>
    <row r="5611" spans="1:32" x14ac:dyDescent="0.25">
      <c r="A5611" s="37"/>
      <c r="B5611" s="37"/>
      <c r="C5611" s="37"/>
      <c r="F5611" s="38"/>
      <c r="G5611" s="38"/>
      <c r="H5611" s="38"/>
      <c r="I5611" s="37"/>
      <c r="J5611" s="38"/>
      <c r="K5611" s="38"/>
      <c r="L5611" s="42"/>
      <c r="M5611" s="42"/>
      <c r="N5611" s="42"/>
      <c r="O5611" s="42"/>
      <c r="R5611" s="37"/>
      <c r="S5611" s="37"/>
      <c r="T5611" s="91"/>
      <c r="U5611" s="91"/>
      <c r="V5611" s="41"/>
      <c r="W5611" s="37"/>
      <c r="X5611" s="37"/>
      <c r="Y5611" s="43"/>
      <c r="Z5611" s="37"/>
      <c r="AA5611" s="37"/>
      <c r="AD5611" s="37"/>
      <c r="AE5611" s="37"/>
      <c r="AF5611" s="37"/>
    </row>
    <row r="5612" spans="1:32" x14ac:dyDescent="0.25">
      <c r="A5612" s="37"/>
      <c r="B5612" s="37"/>
      <c r="C5612" s="37"/>
      <c r="F5612" s="38"/>
      <c r="G5612" s="38"/>
      <c r="H5612" s="38"/>
      <c r="I5612" s="37"/>
      <c r="J5612" s="38"/>
      <c r="K5612" s="38"/>
      <c r="L5612" s="42"/>
      <c r="M5612" s="42"/>
      <c r="N5612" s="42"/>
      <c r="O5612" s="42"/>
      <c r="R5612" s="37"/>
      <c r="S5612" s="37"/>
      <c r="T5612" s="91"/>
      <c r="U5612" s="91"/>
      <c r="V5612" s="41"/>
      <c r="W5612" s="37"/>
      <c r="X5612" s="37"/>
      <c r="Y5612" s="43"/>
      <c r="Z5612" s="37"/>
      <c r="AA5612" s="37"/>
      <c r="AD5612" s="37"/>
      <c r="AE5612" s="37"/>
      <c r="AF5612" s="37"/>
    </row>
    <row r="5613" spans="1:32" x14ac:dyDescent="0.25">
      <c r="A5613" s="37"/>
      <c r="B5613" s="37"/>
      <c r="C5613" s="37"/>
      <c r="F5613" s="38"/>
      <c r="G5613" s="38"/>
      <c r="H5613" s="38"/>
      <c r="I5613" s="37"/>
      <c r="J5613" s="38"/>
      <c r="K5613" s="38"/>
      <c r="L5613" s="42"/>
      <c r="M5613" s="42"/>
      <c r="N5613" s="42"/>
      <c r="O5613" s="42"/>
      <c r="R5613" s="37"/>
      <c r="S5613" s="37"/>
      <c r="T5613" s="91"/>
      <c r="U5613" s="91"/>
      <c r="V5613" s="41"/>
      <c r="W5613" s="37"/>
      <c r="X5613" s="37"/>
      <c r="Y5613" s="43"/>
      <c r="Z5613" s="37"/>
      <c r="AA5613" s="37"/>
      <c r="AD5613" s="37"/>
      <c r="AE5613" s="37"/>
      <c r="AF5613" s="37"/>
    </row>
    <row r="5614" spans="1:32" x14ac:dyDescent="0.25">
      <c r="A5614" s="37"/>
      <c r="B5614" s="37"/>
      <c r="C5614" s="37"/>
      <c r="F5614" s="38"/>
      <c r="G5614" s="38"/>
      <c r="H5614" s="38"/>
      <c r="I5614" s="37"/>
      <c r="J5614" s="38"/>
      <c r="K5614" s="38"/>
      <c r="L5614" s="42"/>
      <c r="M5614" s="42"/>
      <c r="N5614" s="42"/>
      <c r="O5614" s="42"/>
      <c r="R5614" s="37"/>
      <c r="S5614" s="37"/>
      <c r="T5614" s="91"/>
      <c r="U5614" s="91"/>
      <c r="V5614" s="41"/>
      <c r="W5614" s="37"/>
      <c r="X5614" s="37"/>
      <c r="Y5614" s="43"/>
      <c r="Z5614" s="37"/>
      <c r="AA5614" s="37"/>
      <c r="AD5614" s="37"/>
      <c r="AE5614" s="37"/>
      <c r="AF5614" s="37"/>
    </row>
    <row r="5615" spans="1:32" x14ac:dyDescent="0.25">
      <c r="A5615" s="37"/>
      <c r="B5615" s="37"/>
      <c r="C5615" s="37"/>
      <c r="F5615" s="38"/>
      <c r="G5615" s="38"/>
      <c r="H5615" s="38"/>
      <c r="I5615" s="37"/>
      <c r="J5615" s="38"/>
      <c r="K5615" s="38"/>
      <c r="L5615" s="42"/>
      <c r="M5615" s="42"/>
      <c r="N5615" s="42"/>
      <c r="O5615" s="42"/>
      <c r="R5615" s="37"/>
      <c r="S5615" s="37"/>
      <c r="T5615" s="91"/>
      <c r="U5615" s="91"/>
      <c r="V5615" s="41"/>
      <c r="W5615" s="37"/>
      <c r="X5615" s="37"/>
      <c r="Y5615" s="43"/>
      <c r="Z5615" s="37"/>
      <c r="AA5615" s="37"/>
      <c r="AD5615" s="37"/>
      <c r="AE5615" s="37"/>
      <c r="AF5615" s="37"/>
    </row>
    <row r="5616" spans="1:32" x14ac:dyDescent="0.25">
      <c r="A5616" s="37"/>
      <c r="B5616" s="37"/>
      <c r="C5616" s="37"/>
      <c r="F5616" s="38"/>
      <c r="G5616" s="38"/>
      <c r="H5616" s="38"/>
      <c r="I5616" s="37"/>
      <c r="J5616" s="38"/>
      <c r="K5616" s="38"/>
      <c r="L5616" s="42"/>
      <c r="M5616" s="42"/>
      <c r="N5616" s="42"/>
      <c r="O5616" s="42"/>
      <c r="R5616" s="37"/>
      <c r="S5616" s="37"/>
      <c r="T5616" s="91"/>
      <c r="U5616" s="91"/>
      <c r="V5616" s="41"/>
      <c r="W5616" s="37"/>
      <c r="X5616" s="37"/>
      <c r="Y5616" s="43"/>
      <c r="Z5616" s="37"/>
      <c r="AA5616" s="37"/>
      <c r="AD5616" s="37"/>
      <c r="AE5616" s="37"/>
      <c r="AF5616" s="37"/>
    </row>
    <row r="5617" spans="1:32" x14ac:dyDescent="0.25">
      <c r="A5617" s="37"/>
      <c r="B5617" s="37"/>
      <c r="C5617" s="37"/>
      <c r="F5617" s="38"/>
      <c r="G5617" s="38"/>
      <c r="H5617" s="38"/>
      <c r="I5617" s="37"/>
      <c r="J5617" s="38"/>
      <c r="K5617" s="38"/>
      <c r="L5617" s="42"/>
      <c r="M5617" s="42"/>
      <c r="N5617" s="42"/>
      <c r="O5617" s="42"/>
      <c r="R5617" s="37"/>
      <c r="S5617" s="37"/>
      <c r="T5617" s="91"/>
      <c r="U5617" s="91"/>
      <c r="V5617" s="41"/>
      <c r="W5617" s="37"/>
      <c r="X5617" s="37"/>
      <c r="Y5617" s="43"/>
      <c r="Z5617" s="37"/>
      <c r="AA5617" s="37"/>
      <c r="AD5617" s="37"/>
      <c r="AE5617" s="37"/>
      <c r="AF5617" s="37"/>
    </row>
    <row r="5618" spans="1:32" x14ac:dyDescent="0.25">
      <c r="A5618" s="37"/>
      <c r="B5618" s="37"/>
      <c r="C5618" s="37"/>
      <c r="F5618" s="38"/>
      <c r="G5618" s="38"/>
      <c r="H5618" s="38"/>
      <c r="I5618" s="37"/>
      <c r="J5618" s="38"/>
      <c r="K5618" s="38"/>
      <c r="L5618" s="42"/>
      <c r="M5618" s="42"/>
      <c r="N5618" s="42"/>
      <c r="O5618" s="42"/>
      <c r="R5618" s="37"/>
      <c r="S5618" s="37"/>
      <c r="T5618" s="91"/>
      <c r="U5618" s="91"/>
      <c r="V5618" s="41"/>
      <c r="W5618" s="37"/>
      <c r="X5618" s="37"/>
      <c r="Y5618" s="43"/>
      <c r="Z5618" s="37"/>
      <c r="AA5618" s="37"/>
      <c r="AD5618" s="37"/>
      <c r="AE5618" s="37"/>
      <c r="AF5618" s="37"/>
    </row>
    <row r="5619" spans="1:32" x14ac:dyDescent="0.25">
      <c r="A5619" s="37"/>
      <c r="B5619" s="37"/>
      <c r="C5619" s="37"/>
      <c r="F5619" s="38"/>
      <c r="G5619" s="38"/>
      <c r="H5619" s="38"/>
      <c r="I5619" s="37"/>
      <c r="J5619" s="38"/>
      <c r="K5619" s="38"/>
      <c r="L5619" s="42"/>
      <c r="M5619" s="42"/>
      <c r="N5619" s="42"/>
      <c r="O5619" s="42"/>
      <c r="R5619" s="37"/>
      <c r="S5619" s="37"/>
      <c r="T5619" s="91"/>
      <c r="U5619" s="91"/>
      <c r="V5619" s="41"/>
      <c r="W5619" s="37"/>
      <c r="X5619" s="37"/>
      <c r="Y5619" s="43"/>
      <c r="Z5619" s="37"/>
      <c r="AA5619" s="37"/>
      <c r="AD5619" s="37"/>
      <c r="AE5619" s="37"/>
      <c r="AF5619" s="37"/>
    </row>
    <row r="5620" spans="1:32" x14ac:dyDescent="0.25">
      <c r="A5620" s="37"/>
      <c r="B5620" s="37"/>
      <c r="C5620" s="37"/>
      <c r="F5620" s="38"/>
      <c r="G5620" s="38"/>
      <c r="H5620" s="38"/>
      <c r="I5620" s="37"/>
      <c r="J5620" s="38"/>
      <c r="K5620" s="38"/>
      <c r="L5620" s="42"/>
      <c r="M5620" s="42"/>
      <c r="N5620" s="42"/>
      <c r="O5620" s="42"/>
      <c r="R5620" s="37"/>
      <c r="S5620" s="37"/>
      <c r="T5620" s="91"/>
      <c r="U5620" s="91"/>
      <c r="V5620" s="41"/>
      <c r="W5620" s="37"/>
      <c r="X5620" s="37"/>
      <c r="Y5620" s="43"/>
      <c r="Z5620" s="37"/>
      <c r="AA5620" s="37"/>
      <c r="AD5620" s="37"/>
      <c r="AE5620" s="37"/>
      <c r="AF5620" s="37"/>
    </row>
    <row r="5621" spans="1:32" x14ac:dyDescent="0.25">
      <c r="A5621" s="37"/>
      <c r="B5621" s="37"/>
      <c r="C5621" s="37"/>
      <c r="F5621" s="38"/>
      <c r="G5621" s="38"/>
      <c r="H5621" s="38"/>
      <c r="I5621" s="37"/>
      <c r="J5621" s="38"/>
      <c r="K5621" s="38"/>
      <c r="L5621" s="42"/>
      <c r="M5621" s="42"/>
      <c r="N5621" s="42"/>
      <c r="O5621" s="42"/>
      <c r="R5621" s="37"/>
      <c r="S5621" s="37"/>
      <c r="T5621" s="91"/>
      <c r="U5621" s="91"/>
      <c r="V5621" s="41"/>
      <c r="W5621" s="37"/>
      <c r="X5621" s="37"/>
      <c r="Y5621" s="43"/>
      <c r="Z5621" s="37"/>
      <c r="AA5621" s="37"/>
      <c r="AD5621" s="37"/>
      <c r="AE5621" s="37"/>
      <c r="AF5621" s="37"/>
    </row>
    <row r="5622" spans="1:32" x14ac:dyDescent="0.25">
      <c r="A5622" s="37"/>
      <c r="B5622" s="37"/>
      <c r="C5622" s="37"/>
      <c r="F5622" s="38"/>
      <c r="G5622" s="38"/>
      <c r="H5622" s="38"/>
      <c r="I5622" s="37"/>
      <c r="J5622" s="38"/>
      <c r="K5622" s="38"/>
      <c r="L5622" s="42"/>
      <c r="M5622" s="42"/>
      <c r="N5622" s="42"/>
      <c r="O5622" s="42"/>
      <c r="R5622" s="37"/>
      <c r="S5622" s="37"/>
      <c r="T5622" s="91"/>
      <c r="U5622" s="91"/>
      <c r="V5622" s="41"/>
      <c r="W5622" s="37"/>
      <c r="X5622" s="37"/>
      <c r="Y5622" s="43"/>
      <c r="Z5622" s="37"/>
      <c r="AA5622" s="37"/>
      <c r="AD5622" s="37"/>
      <c r="AE5622" s="37"/>
      <c r="AF5622" s="37"/>
    </row>
    <row r="5623" spans="1:32" x14ac:dyDescent="0.25">
      <c r="A5623" s="37"/>
      <c r="B5623" s="37"/>
      <c r="C5623" s="37"/>
      <c r="F5623" s="38"/>
      <c r="G5623" s="38"/>
      <c r="H5623" s="38"/>
      <c r="I5623" s="37"/>
      <c r="J5623" s="38"/>
      <c r="K5623" s="38"/>
      <c r="L5623" s="42"/>
      <c r="M5623" s="42"/>
      <c r="N5623" s="42"/>
      <c r="O5623" s="42"/>
      <c r="R5623" s="37"/>
      <c r="S5623" s="37"/>
      <c r="T5623" s="91"/>
      <c r="U5623" s="91"/>
      <c r="V5623" s="41"/>
      <c r="W5623" s="37"/>
      <c r="X5623" s="37"/>
      <c r="Y5623" s="43"/>
      <c r="Z5623" s="37"/>
      <c r="AA5623" s="37"/>
      <c r="AD5623" s="37"/>
      <c r="AE5623" s="37"/>
      <c r="AF5623" s="37"/>
    </row>
    <row r="5624" spans="1:32" x14ac:dyDescent="0.25">
      <c r="A5624" s="37"/>
      <c r="B5624" s="37"/>
      <c r="C5624" s="37"/>
      <c r="F5624" s="38"/>
      <c r="G5624" s="38"/>
      <c r="H5624" s="38"/>
      <c r="I5624" s="37"/>
      <c r="J5624" s="38"/>
      <c r="K5624" s="38"/>
      <c r="L5624" s="42"/>
      <c r="M5624" s="42"/>
      <c r="N5624" s="42"/>
      <c r="O5624" s="42"/>
      <c r="R5624" s="37"/>
      <c r="S5624" s="37"/>
      <c r="T5624" s="91"/>
      <c r="U5624" s="91"/>
      <c r="V5624" s="41"/>
      <c r="W5624" s="37"/>
      <c r="X5624" s="37"/>
      <c r="Y5624" s="43"/>
      <c r="Z5624" s="37"/>
      <c r="AA5624" s="37"/>
      <c r="AD5624" s="37"/>
      <c r="AE5624" s="37"/>
      <c r="AF5624" s="37"/>
    </row>
    <row r="5625" spans="1:32" x14ac:dyDescent="0.25">
      <c r="A5625" s="37"/>
      <c r="B5625" s="37"/>
      <c r="C5625" s="37"/>
      <c r="F5625" s="38"/>
      <c r="G5625" s="38"/>
      <c r="H5625" s="38"/>
      <c r="I5625" s="37"/>
      <c r="J5625" s="38"/>
      <c r="K5625" s="38"/>
      <c r="L5625" s="42"/>
      <c r="M5625" s="42"/>
      <c r="N5625" s="42"/>
      <c r="O5625" s="42"/>
      <c r="R5625" s="37"/>
      <c r="S5625" s="37"/>
      <c r="T5625" s="91"/>
      <c r="U5625" s="91"/>
      <c r="V5625" s="41"/>
      <c r="W5625" s="37"/>
      <c r="X5625" s="37"/>
      <c r="Y5625" s="43"/>
      <c r="Z5625" s="37"/>
      <c r="AA5625" s="37"/>
      <c r="AD5625" s="37"/>
      <c r="AE5625" s="37"/>
      <c r="AF5625" s="37"/>
    </row>
    <row r="5626" spans="1:32" x14ac:dyDescent="0.25">
      <c r="A5626" s="37"/>
      <c r="B5626" s="37"/>
      <c r="C5626" s="37"/>
      <c r="F5626" s="38"/>
      <c r="G5626" s="38"/>
      <c r="H5626" s="38"/>
      <c r="I5626" s="37"/>
      <c r="J5626" s="38"/>
      <c r="K5626" s="38"/>
      <c r="L5626" s="42"/>
      <c r="M5626" s="42"/>
      <c r="N5626" s="42"/>
      <c r="O5626" s="42"/>
      <c r="R5626" s="37"/>
      <c r="S5626" s="37"/>
      <c r="T5626" s="91"/>
      <c r="U5626" s="91"/>
      <c r="V5626" s="41"/>
      <c r="W5626" s="37"/>
      <c r="X5626" s="37"/>
      <c r="Y5626" s="43"/>
      <c r="Z5626" s="37"/>
      <c r="AA5626" s="37"/>
      <c r="AD5626" s="37"/>
      <c r="AE5626" s="37"/>
      <c r="AF5626" s="37"/>
    </row>
    <row r="5627" spans="1:32" x14ac:dyDescent="0.25">
      <c r="A5627" s="37"/>
      <c r="B5627" s="37"/>
      <c r="C5627" s="37"/>
      <c r="F5627" s="38"/>
      <c r="G5627" s="38"/>
      <c r="H5627" s="38"/>
      <c r="I5627" s="37"/>
      <c r="J5627" s="38"/>
      <c r="K5627" s="38"/>
      <c r="L5627" s="42"/>
      <c r="M5627" s="42"/>
      <c r="N5627" s="42"/>
      <c r="O5627" s="42"/>
      <c r="R5627" s="37"/>
      <c r="S5627" s="37"/>
      <c r="T5627" s="91"/>
      <c r="U5627" s="91"/>
      <c r="V5627" s="41"/>
      <c r="W5627" s="37"/>
      <c r="X5627" s="37"/>
      <c r="Y5627" s="43"/>
      <c r="Z5627" s="37"/>
      <c r="AA5627" s="37"/>
      <c r="AD5627" s="37"/>
      <c r="AE5627" s="37"/>
      <c r="AF5627" s="37"/>
    </row>
    <row r="5628" spans="1:32" x14ac:dyDescent="0.25">
      <c r="A5628" s="37"/>
      <c r="B5628" s="37"/>
      <c r="C5628" s="37"/>
      <c r="F5628" s="38"/>
      <c r="G5628" s="38"/>
      <c r="H5628" s="38"/>
      <c r="I5628" s="37"/>
      <c r="J5628" s="38"/>
      <c r="K5628" s="38"/>
      <c r="L5628" s="42"/>
      <c r="M5628" s="42"/>
      <c r="N5628" s="42"/>
      <c r="O5628" s="42"/>
      <c r="R5628" s="37"/>
      <c r="S5628" s="37"/>
      <c r="T5628" s="91"/>
      <c r="U5628" s="91"/>
      <c r="V5628" s="41"/>
      <c r="W5628" s="37"/>
      <c r="X5628" s="37"/>
      <c r="Y5628" s="43"/>
      <c r="Z5628" s="37"/>
      <c r="AA5628" s="37"/>
      <c r="AD5628" s="37"/>
      <c r="AE5628" s="37"/>
      <c r="AF5628" s="37"/>
    </row>
    <row r="5629" spans="1:32" x14ac:dyDescent="0.25">
      <c r="A5629" s="37"/>
      <c r="B5629" s="37"/>
      <c r="C5629" s="37"/>
      <c r="F5629" s="38"/>
      <c r="G5629" s="38"/>
      <c r="H5629" s="38"/>
      <c r="I5629" s="37"/>
      <c r="J5629" s="38"/>
      <c r="K5629" s="38"/>
      <c r="L5629" s="42"/>
      <c r="M5629" s="42"/>
      <c r="N5629" s="42"/>
      <c r="O5629" s="42"/>
      <c r="R5629" s="37"/>
      <c r="S5629" s="37"/>
      <c r="T5629" s="91"/>
      <c r="U5629" s="91"/>
      <c r="V5629" s="41"/>
      <c r="W5629" s="37"/>
      <c r="X5629" s="37"/>
      <c r="Y5629" s="43"/>
      <c r="Z5629" s="37"/>
      <c r="AA5629" s="37"/>
      <c r="AD5629" s="37"/>
      <c r="AE5629" s="37"/>
      <c r="AF5629" s="37"/>
    </row>
    <row r="5630" spans="1:32" x14ac:dyDescent="0.25">
      <c r="A5630" s="37"/>
      <c r="B5630" s="37"/>
      <c r="C5630" s="37"/>
      <c r="F5630" s="38"/>
      <c r="G5630" s="38"/>
      <c r="H5630" s="38"/>
      <c r="I5630" s="37"/>
      <c r="J5630" s="38"/>
      <c r="K5630" s="38"/>
      <c r="L5630" s="42"/>
      <c r="M5630" s="42"/>
      <c r="N5630" s="42"/>
      <c r="O5630" s="42"/>
      <c r="R5630" s="37"/>
      <c r="S5630" s="37"/>
      <c r="T5630" s="91"/>
      <c r="U5630" s="91"/>
      <c r="V5630" s="41"/>
      <c r="W5630" s="37"/>
      <c r="X5630" s="37"/>
      <c r="Y5630" s="43"/>
      <c r="Z5630" s="37"/>
      <c r="AA5630" s="37"/>
      <c r="AD5630" s="37"/>
      <c r="AE5630" s="37"/>
      <c r="AF5630" s="37"/>
    </row>
    <row r="5631" spans="1:32" x14ac:dyDescent="0.25">
      <c r="A5631" s="37"/>
      <c r="B5631" s="37"/>
      <c r="C5631" s="37"/>
      <c r="F5631" s="38"/>
      <c r="G5631" s="38"/>
      <c r="H5631" s="38"/>
      <c r="I5631" s="37"/>
      <c r="J5631" s="38"/>
      <c r="K5631" s="38"/>
      <c r="L5631" s="42"/>
      <c r="M5631" s="42"/>
      <c r="N5631" s="42"/>
      <c r="O5631" s="42"/>
      <c r="R5631" s="37"/>
      <c r="S5631" s="37"/>
      <c r="T5631" s="91"/>
      <c r="U5631" s="91"/>
      <c r="V5631" s="41"/>
      <c r="W5631" s="37"/>
      <c r="X5631" s="37"/>
      <c r="Y5631" s="43"/>
      <c r="Z5631" s="37"/>
      <c r="AA5631" s="37"/>
      <c r="AD5631" s="37"/>
      <c r="AE5631" s="37"/>
      <c r="AF5631" s="37"/>
    </row>
    <row r="5632" spans="1:32" x14ac:dyDescent="0.25">
      <c r="A5632" s="37"/>
      <c r="B5632" s="37"/>
      <c r="C5632" s="37"/>
      <c r="F5632" s="38"/>
      <c r="G5632" s="38"/>
      <c r="H5632" s="38"/>
      <c r="I5632" s="37"/>
      <c r="J5632" s="38"/>
      <c r="K5632" s="38"/>
      <c r="L5632" s="42"/>
      <c r="M5632" s="42"/>
      <c r="N5632" s="42"/>
      <c r="O5632" s="42"/>
      <c r="R5632" s="37"/>
      <c r="S5632" s="37"/>
      <c r="T5632" s="91"/>
      <c r="U5632" s="91"/>
      <c r="V5632" s="41"/>
      <c r="W5632" s="37"/>
      <c r="X5632" s="37"/>
      <c r="Y5632" s="43"/>
      <c r="Z5632" s="37"/>
      <c r="AA5632" s="37"/>
      <c r="AD5632" s="37"/>
      <c r="AE5632" s="37"/>
      <c r="AF5632" s="37"/>
    </row>
    <row r="5633" spans="1:32" x14ac:dyDescent="0.25">
      <c r="A5633" s="37"/>
      <c r="B5633" s="37"/>
      <c r="C5633" s="37"/>
      <c r="F5633" s="38"/>
      <c r="G5633" s="38"/>
      <c r="H5633" s="38"/>
      <c r="I5633" s="37"/>
      <c r="J5633" s="38"/>
      <c r="K5633" s="38"/>
      <c r="L5633" s="42"/>
      <c r="M5633" s="42"/>
      <c r="N5633" s="42"/>
      <c r="O5633" s="42"/>
      <c r="R5633" s="37"/>
      <c r="S5633" s="37"/>
      <c r="T5633" s="91"/>
      <c r="U5633" s="91"/>
      <c r="V5633" s="41"/>
      <c r="W5633" s="37"/>
      <c r="X5633" s="37"/>
      <c r="Y5633" s="43"/>
      <c r="Z5633" s="37"/>
      <c r="AA5633" s="37"/>
      <c r="AD5633" s="37"/>
      <c r="AE5633" s="37"/>
      <c r="AF5633" s="37"/>
    </row>
    <row r="5634" spans="1:32" x14ac:dyDescent="0.25">
      <c r="A5634" s="37"/>
      <c r="B5634" s="37"/>
      <c r="C5634" s="37"/>
      <c r="F5634" s="38"/>
      <c r="G5634" s="38"/>
      <c r="H5634" s="38"/>
      <c r="I5634" s="37"/>
      <c r="J5634" s="38"/>
      <c r="K5634" s="38"/>
      <c r="L5634" s="42"/>
      <c r="M5634" s="42"/>
      <c r="N5634" s="42"/>
      <c r="O5634" s="42"/>
      <c r="R5634" s="37"/>
      <c r="S5634" s="37"/>
      <c r="T5634" s="91"/>
      <c r="U5634" s="91"/>
      <c r="V5634" s="41"/>
      <c r="W5634" s="37"/>
      <c r="X5634" s="37"/>
      <c r="Y5634" s="43"/>
      <c r="Z5634" s="37"/>
      <c r="AA5634" s="37"/>
      <c r="AD5634" s="37"/>
      <c r="AE5634" s="37"/>
      <c r="AF5634" s="37"/>
    </row>
    <row r="5635" spans="1:32" x14ac:dyDescent="0.25">
      <c r="A5635" s="37"/>
      <c r="B5635" s="37"/>
      <c r="C5635" s="37"/>
      <c r="F5635" s="38"/>
      <c r="G5635" s="38"/>
      <c r="H5635" s="38"/>
      <c r="I5635" s="37"/>
      <c r="J5635" s="38"/>
      <c r="K5635" s="38"/>
      <c r="L5635" s="42"/>
      <c r="M5635" s="42"/>
      <c r="N5635" s="42"/>
      <c r="O5635" s="42"/>
      <c r="R5635" s="37"/>
      <c r="S5635" s="37"/>
      <c r="T5635" s="91"/>
      <c r="U5635" s="91"/>
      <c r="V5635" s="41"/>
      <c r="W5635" s="37"/>
      <c r="X5635" s="37"/>
      <c r="Y5635" s="43"/>
      <c r="Z5635" s="37"/>
      <c r="AA5635" s="37"/>
      <c r="AD5635" s="37"/>
      <c r="AE5635" s="37"/>
      <c r="AF5635" s="37"/>
    </row>
    <row r="5636" spans="1:32" x14ac:dyDescent="0.25">
      <c r="A5636" s="37"/>
      <c r="B5636" s="37"/>
      <c r="C5636" s="37"/>
      <c r="F5636" s="38"/>
      <c r="G5636" s="38"/>
      <c r="H5636" s="38"/>
      <c r="I5636" s="37"/>
      <c r="J5636" s="38"/>
      <c r="K5636" s="38"/>
      <c r="L5636" s="42"/>
      <c r="M5636" s="42"/>
      <c r="N5636" s="42"/>
      <c r="O5636" s="42"/>
      <c r="R5636" s="37"/>
      <c r="S5636" s="37"/>
      <c r="T5636" s="91"/>
      <c r="U5636" s="91"/>
      <c r="V5636" s="41"/>
      <c r="W5636" s="37"/>
      <c r="X5636" s="37"/>
      <c r="Y5636" s="43"/>
      <c r="Z5636" s="37"/>
      <c r="AA5636" s="37"/>
      <c r="AD5636" s="37"/>
      <c r="AE5636" s="37"/>
      <c r="AF5636" s="37"/>
    </row>
    <row r="5637" spans="1:32" x14ac:dyDescent="0.25">
      <c r="A5637" s="37"/>
      <c r="B5637" s="37"/>
      <c r="C5637" s="37"/>
      <c r="F5637" s="38"/>
      <c r="G5637" s="38"/>
      <c r="H5637" s="38"/>
      <c r="I5637" s="37"/>
      <c r="J5637" s="38"/>
      <c r="K5637" s="38"/>
      <c r="L5637" s="42"/>
      <c r="M5637" s="42"/>
      <c r="N5637" s="42"/>
      <c r="O5637" s="42"/>
      <c r="R5637" s="37"/>
      <c r="S5637" s="37"/>
      <c r="T5637" s="91"/>
      <c r="U5637" s="91"/>
      <c r="V5637" s="41"/>
      <c r="W5637" s="37"/>
      <c r="X5637" s="37"/>
      <c r="Y5637" s="43"/>
      <c r="Z5637" s="37"/>
      <c r="AA5637" s="37"/>
      <c r="AD5637" s="37"/>
      <c r="AE5637" s="37"/>
      <c r="AF5637" s="37"/>
    </row>
    <row r="5638" spans="1:32" x14ac:dyDescent="0.25">
      <c r="A5638" s="37"/>
      <c r="B5638" s="37"/>
      <c r="C5638" s="37"/>
      <c r="F5638" s="38"/>
      <c r="G5638" s="38"/>
      <c r="H5638" s="38"/>
      <c r="I5638" s="37"/>
      <c r="J5638" s="38"/>
      <c r="K5638" s="38"/>
      <c r="L5638" s="42"/>
      <c r="M5638" s="42"/>
      <c r="N5638" s="42"/>
      <c r="O5638" s="42"/>
      <c r="R5638" s="37"/>
      <c r="S5638" s="37"/>
      <c r="T5638" s="91"/>
      <c r="U5638" s="91"/>
      <c r="V5638" s="41"/>
      <c r="W5638" s="37"/>
      <c r="X5638" s="37"/>
      <c r="Y5638" s="43"/>
      <c r="Z5638" s="37"/>
      <c r="AA5638" s="37"/>
      <c r="AD5638" s="37"/>
      <c r="AE5638" s="37"/>
      <c r="AF5638" s="37"/>
    </row>
    <row r="5639" spans="1:32" x14ac:dyDescent="0.25">
      <c r="A5639" s="37"/>
      <c r="B5639" s="37"/>
      <c r="C5639" s="37"/>
      <c r="F5639" s="38"/>
      <c r="G5639" s="38"/>
      <c r="H5639" s="38"/>
      <c r="I5639" s="37"/>
      <c r="J5639" s="38"/>
      <c r="K5639" s="38"/>
      <c r="L5639" s="42"/>
      <c r="M5639" s="42"/>
      <c r="N5639" s="42"/>
      <c r="O5639" s="42"/>
      <c r="R5639" s="37"/>
      <c r="S5639" s="37"/>
      <c r="T5639" s="91"/>
      <c r="U5639" s="91"/>
      <c r="V5639" s="41"/>
      <c r="W5639" s="37"/>
      <c r="X5639" s="37"/>
      <c r="Y5639" s="43"/>
      <c r="Z5639" s="37"/>
      <c r="AA5639" s="37"/>
      <c r="AD5639" s="37"/>
      <c r="AE5639" s="37"/>
      <c r="AF5639" s="37"/>
    </row>
    <row r="5640" spans="1:32" x14ac:dyDescent="0.25">
      <c r="A5640" s="37"/>
      <c r="B5640" s="37"/>
      <c r="C5640" s="37"/>
      <c r="F5640" s="38"/>
      <c r="G5640" s="38"/>
      <c r="H5640" s="38"/>
      <c r="I5640" s="37"/>
      <c r="J5640" s="38"/>
      <c r="K5640" s="38"/>
      <c r="L5640" s="42"/>
      <c r="M5640" s="42"/>
      <c r="N5640" s="42"/>
      <c r="O5640" s="42"/>
      <c r="R5640" s="37"/>
      <c r="S5640" s="37"/>
      <c r="T5640" s="91"/>
      <c r="U5640" s="91"/>
      <c r="V5640" s="41"/>
      <c r="W5640" s="37"/>
      <c r="X5640" s="37"/>
      <c r="Y5640" s="43"/>
      <c r="Z5640" s="37"/>
      <c r="AA5640" s="37"/>
      <c r="AD5640" s="37"/>
      <c r="AE5640" s="37"/>
      <c r="AF5640" s="37"/>
    </row>
    <row r="5641" spans="1:32" x14ac:dyDescent="0.25">
      <c r="A5641" s="37"/>
      <c r="B5641" s="37"/>
      <c r="C5641" s="37"/>
      <c r="F5641" s="38"/>
      <c r="G5641" s="38"/>
      <c r="H5641" s="38"/>
      <c r="I5641" s="37"/>
      <c r="J5641" s="38"/>
      <c r="K5641" s="38"/>
      <c r="L5641" s="42"/>
      <c r="M5641" s="42"/>
      <c r="N5641" s="42"/>
      <c r="O5641" s="42"/>
      <c r="R5641" s="37"/>
      <c r="S5641" s="37"/>
      <c r="T5641" s="91"/>
      <c r="U5641" s="91"/>
      <c r="V5641" s="41"/>
      <c r="W5641" s="37"/>
      <c r="X5641" s="37"/>
      <c r="Y5641" s="43"/>
      <c r="Z5641" s="37"/>
      <c r="AA5641" s="37"/>
      <c r="AD5641" s="37"/>
      <c r="AE5641" s="37"/>
      <c r="AF5641" s="37"/>
    </row>
    <row r="5642" spans="1:32" x14ac:dyDescent="0.25">
      <c r="A5642" s="37"/>
      <c r="B5642" s="37"/>
      <c r="C5642" s="37"/>
      <c r="F5642" s="38"/>
      <c r="G5642" s="38"/>
      <c r="H5642" s="38"/>
      <c r="I5642" s="37"/>
      <c r="J5642" s="38"/>
      <c r="K5642" s="38"/>
      <c r="L5642" s="42"/>
      <c r="M5642" s="42"/>
      <c r="N5642" s="42"/>
      <c r="O5642" s="42"/>
      <c r="R5642" s="37"/>
      <c r="S5642" s="37"/>
      <c r="T5642" s="91"/>
      <c r="U5642" s="91"/>
      <c r="V5642" s="41"/>
      <c r="W5642" s="37"/>
      <c r="X5642" s="37"/>
      <c r="Y5642" s="43"/>
      <c r="Z5642" s="37"/>
      <c r="AA5642" s="37"/>
      <c r="AD5642" s="37"/>
      <c r="AE5642" s="37"/>
      <c r="AF5642" s="37"/>
    </row>
    <row r="5643" spans="1:32" x14ac:dyDescent="0.25">
      <c r="A5643" s="37"/>
      <c r="B5643" s="37"/>
      <c r="C5643" s="37"/>
      <c r="F5643" s="38"/>
      <c r="G5643" s="38"/>
      <c r="H5643" s="38"/>
      <c r="I5643" s="37"/>
      <c r="J5643" s="38"/>
      <c r="K5643" s="38"/>
      <c r="L5643" s="42"/>
      <c r="M5643" s="42"/>
      <c r="N5643" s="42"/>
      <c r="O5643" s="42"/>
      <c r="R5643" s="37"/>
      <c r="S5643" s="37"/>
      <c r="T5643" s="91"/>
      <c r="U5643" s="91"/>
      <c r="V5643" s="41"/>
      <c r="W5643" s="37"/>
      <c r="X5643" s="37"/>
      <c r="Y5643" s="43"/>
      <c r="Z5643" s="37"/>
      <c r="AA5643" s="37"/>
      <c r="AD5643" s="37"/>
      <c r="AE5643" s="37"/>
      <c r="AF5643" s="37"/>
    </row>
    <row r="5644" spans="1:32" x14ac:dyDescent="0.25">
      <c r="A5644" s="37"/>
      <c r="B5644" s="37"/>
      <c r="C5644" s="37"/>
      <c r="F5644" s="38"/>
      <c r="G5644" s="38"/>
      <c r="H5644" s="38"/>
      <c r="I5644" s="37"/>
      <c r="J5644" s="38"/>
      <c r="K5644" s="38"/>
      <c r="L5644" s="42"/>
      <c r="M5644" s="42"/>
      <c r="N5644" s="42"/>
      <c r="O5644" s="42"/>
      <c r="R5644" s="37"/>
      <c r="S5644" s="37"/>
      <c r="T5644" s="91"/>
      <c r="U5644" s="91"/>
      <c r="V5644" s="41"/>
      <c r="W5644" s="37"/>
      <c r="X5644" s="37"/>
      <c r="Y5644" s="43"/>
      <c r="Z5644" s="37"/>
      <c r="AA5644" s="37"/>
      <c r="AD5644" s="37"/>
      <c r="AE5644" s="37"/>
      <c r="AF5644" s="37"/>
    </row>
    <row r="5645" spans="1:32" x14ac:dyDescent="0.25">
      <c r="A5645" s="37"/>
      <c r="B5645" s="37"/>
      <c r="C5645" s="37"/>
      <c r="F5645" s="38"/>
      <c r="G5645" s="38"/>
      <c r="H5645" s="38"/>
      <c r="I5645" s="37"/>
      <c r="J5645" s="38"/>
      <c r="K5645" s="38"/>
      <c r="L5645" s="42"/>
      <c r="M5645" s="42"/>
      <c r="N5645" s="42"/>
      <c r="O5645" s="42"/>
      <c r="R5645" s="37"/>
      <c r="S5645" s="37"/>
      <c r="T5645" s="91"/>
      <c r="U5645" s="91"/>
      <c r="V5645" s="41"/>
      <c r="W5645" s="37"/>
      <c r="X5645" s="37"/>
      <c r="Y5645" s="43"/>
      <c r="Z5645" s="37"/>
      <c r="AA5645" s="37"/>
      <c r="AD5645" s="37"/>
      <c r="AE5645" s="37"/>
      <c r="AF5645" s="37"/>
    </row>
    <row r="5646" spans="1:32" x14ac:dyDescent="0.25">
      <c r="A5646" s="37"/>
      <c r="B5646" s="37"/>
      <c r="C5646" s="37"/>
      <c r="F5646" s="38"/>
      <c r="G5646" s="38"/>
      <c r="H5646" s="38"/>
      <c r="I5646" s="37"/>
      <c r="J5646" s="38"/>
      <c r="K5646" s="38"/>
      <c r="L5646" s="42"/>
      <c r="M5646" s="42"/>
      <c r="N5646" s="42"/>
      <c r="O5646" s="42"/>
      <c r="R5646" s="37"/>
      <c r="S5646" s="37"/>
      <c r="T5646" s="91"/>
      <c r="U5646" s="91"/>
      <c r="V5646" s="41"/>
      <c r="W5646" s="37"/>
      <c r="X5646" s="37"/>
      <c r="Y5646" s="43"/>
      <c r="Z5646" s="37"/>
      <c r="AA5646" s="37"/>
      <c r="AD5646" s="37"/>
      <c r="AE5646" s="37"/>
      <c r="AF5646" s="37"/>
    </row>
    <row r="5647" spans="1:32" x14ac:dyDescent="0.25">
      <c r="A5647" s="37"/>
      <c r="B5647" s="37"/>
      <c r="C5647" s="37"/>
      <c r="F5647" s="38"/>
      <c r="G5647" s="38"/>
      <c r="H5647" s="38"/>
      <c r="I5647" s="37"/>
      <c r="J5647" s="38"/>
      <c r="K5647" s="38"/>
      <c r="L5647" s="42"/>
      <c r="M5647" s="42"/>
      <c r="N5647" s="42"/>
      <c r="O5647" s="42"/>
      <c r="R5647" s="37"/>
      <c r="S5647" s="37"/>
      <c r="T5647" s="91"/>
      <c r="U5647" s="91"/>
      <c r="V5647" s="41"/>
      <c r="W5647" s="37"/>
      <c r="X5647" s="37"/>
      <c r="Y5647" s="43"/>
      <c r="Z5647" s="37"/>
      <c r="AA5647" s="37"/>
      <c r="AD5647" s="37"/>
      <c r="AE5647" s="37"/>
      <c r="AF5647" s="37"/>
    </row>
    <row r="5648" spans="1:32" x14ac:dyDescent="0.25">
      <c r="A5648" s="37"/>
      <c r="B5648" s="37"/>
      <c r="C5648" s="37"/>
      <c r="F5648" s="38"/>
      <c r="G5648" s="38"/>
      <c r="H5648" s="38"/>
      <c r="I5648" s="37"/>
      <c r="J5648" s="38"/>
      <c r="K5648" s="38"/>
      <c r="L5648" s="42"/>
      <c r="M5648" s="42"/>
      <c r="N5648" s="42"/>
      <c r="O5648" s="42"/>
      <c r="R5648" s="37"/>
      <c r="S5648" s="37"/>
      <c r="T5648" s="91"/>
      <c r="U5648" s="91"/>
      <c r="V5648" s="41"/>
      <c r="W5648" s="37"/>
      <c r="X5648" s="37"/>
      <c r="Y5648" s="43"/>
      <c r="Z5648" s="37"/>
      <c r="AA5648" s="37"/>
      <c r="AD5648" s="37"/>
      <c r="AE5648" s="37"/>
      <c r="AF5648" s="37"/>
    </row>
    <row r="5649" spans="1:32" x14ac:dyDescent="0.25">
      <c r="A5649" s="37"/>
      <c r="B5649" s="37"/>
      <c r="C5649" s="37"/>
      <c r="F5649" s="38"/>
      <c r="G5649" s="38"/>
      <c r="H5649" s="38"/>
      <c r="I5649" s="37"/>
      <c r="J5649" s="38"/>
      <c r="K5649" s="38"/>
      <c r="L5649" s="42"/>
      <c r="M5649" s="42"/>
      <c r="N5649" s="42"/>
      <c r="O5649" s="42"/>
      <c r="R5649" s="37"/>
      <c r="S5649" s="37"/>
      <c r="T5649" s="91"/>
      <c r="U5649" s="91"/>
      <c r="V5649" s="41"/>
      <c r="W5649" s="37"/>
      <c r="X5649" s="37"/>
      <c r="Y5649" s="43"/>
      <c r="Z5649" s="37"/>
      <c r="AA5649" s="37"/>
      <c r="AD5649" s="37"/>
      <c r="AE5649" s="37"/>
      <c r="AF5649" s="37"/>
    </row>
    <row r="5650" spans="1:32" x14ac:dyDescent="0.25">
      <c r="A5650" s="37"/>
      <c r="B5650" s="37"/>
      <c r="C5650" s="37"/>
      <c r="F5650" s="38"/>
      <c r="G5650" s="38"/>
      <c r="H5650" s="38"/>
      <c r="I5650" s="37"/>
      <c r="J5650" s="38"/>
      <c r="K5650" s="38"/>
      <c r="L5650" s="42"/>
      <c r="M5650" s="42"/>
      <c r="N5650" s="42"/>
      <c r="O5650" s="42"/>
      <c r="R5650" s="37"/>
      <c r="S5650" s="37"/>
      <c r="T5650" s="91"/>
      <c r="U5650" s="91"/>
      <c r="V5650" s="41"/>
      <c r="W5650" s="37"/>
      <c r="X5650" s="37"/>
      <c r="Y5650" s="43"/>
      <c r="Z5650" s="37"/>
      <c r="AA5650" s="37"/>
      <c r="AD5650" s="37"/>
      <c r="AE5650" s="37"/>
      <c r="AF5650" s="37"/>
    </row>
    <row r="5651" spans="1:32" x14ac:dyDescent="0.25">
      <c r="A5651" s="37"/>
      <c r="B5651" s="37"/>
      <c r="C5651" s="37"/>
      <c r="F5651" s="38"/>
      <c r="G5651" s="38"/>
      <c r="H5651" s="38"/>
      <c r="I5651" s="37"/>
      <c r="J5651" s="38"/>
      <c r="K5651" s="38"/>
      <c r="L5651" s="42"/>
      <c r="M5651" s="42"/>
      <c r="N5651" s="42"/>
      <c r="O5651" s="42"/>
      <c r="R5651" s="37"/>
      <c r="S5651" s="37"/>
      <c r="T5651" s="91"/>
      <c r="U5651" s="91"/>
      <c r="V5651" s="41"/>
      <c r="W5651" s="37"/>
      <c r="X5651" s="37"/>
      <c r="Y5651" s="43"/>
      <c r="Z5651" s="37"/>
      <c r="AA5651" s="37"/>
      <c r="AD5651" s="37"/>
      <c r="AE5651" s="37"/>
      <c r="AF5651" s="37"/>
    </row>
    <row r="5652" spans="1:32" x14ac:dyDescent="0.25">
      <c r="A5652" s="37"/>
      <c r="B5652" s="37"/>
      <c r="C5652" s="37"/>
      <c r="F5652" s="38"/>
      <c r="G5652" s="38"/>
      <c r="H5652" s="38"/>
      <c r="I5652" s="37"/>
      <c r="J5652" s="38"/>
      <c r="K5652" s="38"/>
      <c r="L5652" s="42"/>
      <c r="M5652" s="42"/>
      <c r="N5652" s="42"/>
      <c r="O5652" s="42"/>
      <c r="R5652" s="37"/>
      <c r="S5652" s="37"/>
      <c r="T5652" s="91"/>
      <c r="U5652" s="91"/>
      <c r="V5652" s="41"/>
      <c r="W5652" s="37"/>
      <c r="X5652" s="37"/>
      <c r="Y5652" s="43"/>
      <c r="Z5652" s="37"/>
      <c r="AA5652" s="37"/>
      <c r="AD5652" s="37"/>
      <c r="AE5652" s="37"/>
      <c r="AF5652" s="37"/>
    </row>
    <row r="5653" spans="1:32" x14ac:dyDescent="0.25">
      <c r="A5653" s="37"/>
      <c r="B5653" s="37"/>
      <c r="C5653" s="37"/>
      <c r="F5653" s="38"/>
      <c r="G5653" s="38"/>
      <c r="H5653" s="38"/>
      <c r="I5653" s="37"/>
      <c r="J5653" s="38"/>
      <c r="K5653" s="38"/>
      <c r="L5653" s="42"/>
      <c r="M5653" s="42"/>
      <c r="N5653" s="42"/>
      <c r="O5653" s="42"/>
      <c r="R5653" s="37"/>
      <c r="S5653" s="37"/>
      <c r="T5653" s="91"/>
      <c r="U5653" s="91"/>
      <c r="V5653" s="41"/>
      <c r="W5653" s="37"/>
      <c r="X5653" s="37"/>
      <c r="Y5653" s="43"/>
      <c r="Z5653" s="37"/>
      <c r="AA5653" s="37"/>
      <c r="AD5653" s="37"/>
      <c r="AE5653" s="37"/>
      <c r="AF5653" s="37"/>
    </row>
    <row r="5654" spans="1:32" x14ac:dyDescent="0.25">
      <c r="A5654" s="37"/>
      <c r="B5654" s="37"/>
      <c r="C5654" s="37"/>
      <c r="F5654" s="38"/>
      <c r="G5654" s="38"/>
      <c r="H5654" s="38"/>
      <c r="I5654" s="37"/>
      <c r="J5654" s="38"/>
      <c r="K5654" s="38"/>
      <c r="L5654" s="42"/>
      <c r="M5654" s="42"/>
      <c r="N5654" s="42"/>
      <c r="O5654" s="42"/>
      <c r="R5654" s="37"/>
      <c r="S5654" s="37"/>
      <c r="T5654" s="91"/>
      <c r="U5654" s="91"/>
      <c r="V5654" s="41"/>
      <c r="W5654" s="37"/>
      <c r="X5654" s="37"/>
      <c r="Y5654" s="43"/>
      <c r="Z5654" s="37"/>
      <c r="AA5654" s="37"/>
      <c r="AD5654" s="37"/>
      <c r="AE5654" s="37"/>
      <c r="AF5654" s="37"/>
    </row>
    <row r="5655" spans="1:32" x14ac:dyDescent="0.25">
      <c r="A5655" s="37"/>
      <c r="B5655" s="37"/>
      <c r="C5655" s="37"/>
      <c r="F5655" s="38"/>
      <c r="G5655" s="38"/>
      <c r="H5655" s="38"/>
      <c r="I5655" s="37"/>
      <c r="J5655" s="38"/>
      <c r="K5655" s="38"/>
      <c r="L5655" s="42"/>
      <c r="M5655" s="42"/>
      <c r="N5655" s="42"/>
      <c r="O5655" s="42"/>
      <c r="R5655" s="37"/>
      <c r="S5655" s="37"/>
      <c r="T5655" s="91"/>
      <c r="U5655" s="91"/>
      <c r="V5655" s="41"/>
      <c r="W5655" s="37"/>
      <c r="X5655" s="37"/>
      <c r="Y5655" s="43"/>
      <c r="Z5655" s="37"/>
      <c r="AA5655" s="37"/>
      <c r="AD5655" s="37"/>
      <c r="AE5655" s="37"/>
      <c r="AF5655" s="37"/>
    </row>
    <row r="5656" spans="1:32" x14ac:dyDescent="0.25">
      <c r="A5656" s="37"/>
      <c r="B5656" s="37"/>
      <c r="C5656" s="37"/>
      <c r="F5656" s="38"/>
      <c r="G5656" s="38"/>
      <c r="H5656" s="38"/>
      <c r="I5656" s="37"/>
      <c r="J5656" s="38"/>
      <c r="K5656" s="38"/>
      <c r="L5656" s="42"/>
      <c r="M5656" s="42"/>
      <c r="N5656" s="42"/>
      <c r="O5656" s="42"/>
      <c r="R5656" s="37"/>
      <c r="S5656" s="37"/>
      <c r="T5656" s="91"/>
      <c r="U5656" s="91"/>
      <c r="V5656" s="41"/>
      <c r="W5656" s="37"/>
      <c r="X5656" s="37"/>
      <c r="Y5656" s="43"/>
      <c r="Z5656" s="37"/>
      <c r="AA5656" s="37"/>
      <c r="AD5656" s="37"/>
      <c r="AE5656" s="37"/>
      <c r="AF5656" s="37"/>
    </row>
    <row r="5657" spans="1:32" x14ac:dyDescent="0.25">
      <c r="A5657" s="37"/>
      <c r="B5657" s="37"/>
      <c r="C5657" s="37"/>
      <c r="F5657" s="38"/>
      <c r="G5657" s="38"/>
      <c r="H5657" s="38"/>
      <c r="I5657" s="37"/>
      <c r="J5657" s="38"/>
      <c r="K5657" s="38"/>
      <c r="L5657" s="42"/>
      <c r="M5657" s="42"/>
      <c r="N5657" s="42"/>
      <c r="O5657" s="42"/>
      <c r="R5657" s="37"/>
      <c r="S5657" s="37"/>
      <c r="T5657" s="91"/>
      <c r="U5657" s="91"/>
      <c r="V5657" s="41"/>
      <c r="W5657" s="37"/>
      <c r="X5657" s="37"/>
      <c r="Y5657" s="43"/>
      <c r="Z5657" s="37"/>
      <c r="AA5657" s="37"/>
      <c r="AD5657" s="37"/>
      <c r="AE5657" s="37"/>
      <c r="AF5657" s="37"/>
    </row>
    <row r="5658" spans="1:32" x14ac:dyDescent="0.25">
      <c r="A5658" s="37"/>
      <c r="B5658" s="37"/>
      <c r="C5658" s="37"/>
      <c r="F5658" s="38"/>
      <c r="G5658" s="38"/>
      <c r="H5658" s="38"/>
      <c r="I5658" s="37"/>
      <c r="J5658" s="38"/>
      <c r="K5658" s="38"/>
      <c r="L5658" s="42"/>
      <c r="M5658" s="42"/>
      <c r="N5658" s="42"/>
      <c r="O5658" s="42"/>
      <c r="R5658" s="37"/>
      <c r="S5658" s="37"/>
      <c r="T5658" s="91"/>
      <c r="U5658" s="91"/>
      <c r="V5658" s="41"/>
      <c r="W5658" s="37"/>
      <c r="X5658" s="37"/>
      <c r="Y5658" s="43"/>
      <c r="Z5658" s="37"/>
      <c r="AA5658" s="37"/>
      <c r="AD5658" s="37"/>
      <c r="AE5658" s="37"/>
      <c r="AF5658" s="37"/>
    </row>
    <row r="5659" spans="1:32" x14ac:dyDescent="0.25">
      <c r="A5659" s="37"/>
      <c r="B5659" s="37"/>
      <c r="C5659" s="37"/>
      <c r="F5659" s="38"/>
      <c r="G5659" s="38"/>
      <c r="H5659" s="38"/>
      <c r="I5659" s="37"/>
      <c r="J5659" s="38"/>
      <c r="K5659" s="38"/>
      <c r="L5659" s="42"/>
      <c r="M5659" s="42"/>
      <c r="N5659" s="42"/>
      <c r="O5659" s="42"/>
      <c r="R5659" s="37"/>
      <c r="S5659" s="37"/>
      <c r="T5659" s="91"/>
      <c r="U5659" s="91"/>
      <c r="V5659" s="41"/>
      <c r="W5659" s="37"/>
      <c r="X5659" s="37"/>
      <c r="Y5659" s="43"/>
      <c r="Z5659" s="37"/>
      <c r="AA5659" s="37"/>
      <c r="AD5659" s="37"/>
      <c r="AE5659" s="37"/>
      <c r="AF5659" s="37"/>
    </row>
    <row r="5660" spans="1:32" x14ac:dyDescent="0.25">
      <c r="A5660" s="37"/>
      <c r="B5660" s="37"/>
      <c r="C5660" s="37"/>
      <c r="F5660" s="38"/>
      <c r="G5660" s="38"/>
      <c r="H5660" s="38"/>
      <c r="I5660" s="37"/>
      <c r="J5660" s="38"/>
      <c r="K5660" s="38"/>
      <c r="L5660" s="42"/>
      <c r="M5660" s="42"/>
      <c r="N5660" s="42"/>
      <c r="O5660" s="42"/>
      <c r="R5660" s="37"/>
      <c r="S5660" s="37"/>
      <c r="T5660" s="91"/>
      <c r="U5660" s="91"/>
      <c r="V5660" s="41"/>
      <c r="W5660" s="37"/>
      <c r="X5660" s="37"/>
      <c r="Y5660" s="43"/>
      <c r="Z5660" s="37"/>
      <c r="AA5660" s="37"/>
      <c r="AD5660" s="37"/>
      <c r="AE5660" s="37"/>
      <c r="AF5660" s="37"/>
    </row>
    <row r="5661" spans="1:32" x14ac:dyDescent="0.25">
      <c r="A5661" s="37"/>
      <c r="B5661" s="37"/>
      <c r="C5661" s="37"/>
      <c r="F5661" s="38"/>
      <c r="G5661" s="38"/>
      <c r="H5661" s="38"/>
      <c r="I5661" s="37"/>
      <c r="J5661" s="38"/>
      <c r="K5661" s="38"/>
      <c r="L5661" s="42"/>
      <c r="M5661" s="42"/>
      <c r="N5661" s="42"/>
      <c r="O5661" s="42"/>
      <c r="R5661" s="37"/>
      <c r="S5661" s="37"/>
      <c r="T5661" s="91"/>
      <c r="U5661" s="91"/>
      <c r="V5661" s="41"/>
      <c r="W5661" s="37"/>
      <c r="X5661" s="37"/>
      <c r="Y5661" s="43"/>
      <c r="Z5661" s="37"/>
      <c r="AA5661" s="37"/>
      <c r="AD5661" s="37"/>
      <c r="AE5661" s="37"/>
      <c r="AF5661" s="37"/>
    </row>
    <row r="5662" spans="1:32" x14ac:dyDescent="0.25">
      <c r="A5662" s="37"/>
      <c r="B5662" s="37"/>
      <c r="C5662" s="37"/>
      <c r="F5662" s="38"/>
      <c r="G5662" s="38"/>
      <c r="H5662" s="38"/>
      <c r="I5662" s="37"/>
      <c r="J5662" s="38"/>
      <c r="K5662" s="38"/>
      <c r="L5662" s="42"/>
      <c r="M5662" s="42"/>
      <c r="N5662" s="42"/>
      <c r="O5662" s="42"/>
      <c r="R5662" s="37"/>
      <c r="S5662" s="37"/>
      <c r="T5662" s="91"/>
      <c r="U5662" s="91"/>
      <c r="V5662" s="41"/>
      <c r="W5662" s="37"/>
      <c r="X5662" s="37"/>
      <c r="Y5662" s="43"/>
      <c r="Z5662" s="37"/>
      <c r="AA5662" s="37"/>
      <c r="AD5662" s="37"/>
      <c r="AE5662" s="37"/>
      <c r="AF5662" s="37"/>
    </row>
    <row r="5663" spans="1:32" x14ac:dyDescent="0.25">
      <c r="A5663" s="37"/>
      <c r="B5663" s="37"/>
      <c r="C5663" s="37"/>
      <c r="F5663" s="38"/>
      <c r="G5663" s="38"/>
      <c r="H5663" s="38"/>
      <c r="I5663" s="37"/>
      <c r="J5663" s="38"/>
      <c r="K5663" s="38"/>
      <c r="L5663" s="42"/>
      <c r="M5663" s="42"/>
      <c r="N5663" s="42"/>
      <c r="O5663" s="42"/>
      <c r="R5663" s="37"/>
      <c r="S5663" s="37"/>
      <c r="T5663" s="91"/>
      <c r="U5663" s="91"/>
      <c r="V5663" s="41"/>
      <c r="W5663" s="37"/>
      <c r="X5663" s="37"/>
      <c r="Y5663" s="43"/>
      <c r="Z5663" s="37"/>
      <c r="AA5663" s="37"/>
      <c r="AD5663" s="37"/>
      <c r="AE5663" s="37"/>
      <c r="AF5663" s="37"/>
    </row>
    <row r="5664" spans="1:32" x14ac:dyDescent="0.25">
      <c r="A5664" s="37"/>
      <c r="B5664" s="37"/>
      <c r="C5664" s="37"/>
      <c r="F5664" s="38"/>
      <c r="G5664" s="38"/>
      <c r="H5664" s="38"/>
      <c r="I5664" s="37"/>
      <c r="J5664" s="38"/>
      <c r="K5664" s="38"/>
      <c r="L5664" s="42"/>
      <c r="M5664" s="42"/>
      <c r="N5664" s="42"/>
      <c r="O5664" s="42"/>
      <c r="R5664" s="37"/>
      <c r="S5664" s="37"/>
      <c r="T5664" s="91"/>
      <c r="U5664" s="91"/>
      <c r="V5664" s="41"/>
      <c r="W5664" s="37"/>
      <c r="X5664" s="37"/>
      <c r="Y5664" s="43"/>
      <c r="Z5664" s="37"/>
      <c r="AA5664" s="37"/>
      <c r="AD5664" s="37"/>
      <c r="AE5664" s="37"/>
      <c r="AF5664" s="37"/>
    </row>
    <row r="5665" spans="1:32" x14ac:dyDescent="0.25">
      <c r="A5665" s="37"/>
      <c r="B5665" s="37"/>
      <c r="C5665" s="37"/>
      <c r="F5665" s="38"/>
      <c r="G5665" s="38"/>
      <c r="H5665" s="38"/>
      <c r="I5665" s="37"/>
      <c r="J5665" s="38"/>
      <c r="K5665" s="38"/>
      <c r="L5665" s="42"/>
      <c r="M5665" s="42"/>
      <c r="N5665" s="42"/>
      <c r="O5665" s="42"/>
      <c r="R5665" s="37"/>
      <c r="S5665" s="37"/>
      <c r="T5665" s="91"/>
      <c r="U5665" s="91"/>
      <c r="V5665" s="41"/>
      <c r="W5665" s="37"/>
      <c r="X5665" s="37"/>
      <c r="Y5665" s="43"/>
      <c r="Z5665" s="37"/>
      <c r="AA5665" s="37"/>
      <c r="AD5665" s="37"/>
      <c r="AE5665" s="37"/>
      <c r="AF5665" s="37"/>
    </row>
    <row r="5666" spans="1:32" x14ac:dyDescent="0.25">
      <c r="A5666" s="37"/>
      <c r="B5666" s="37"/>
      <c r="C5666" s="37"/>
      <c r="F5666" s="38"/>
      <c r="G5666" s="38"/>
      <c r="H5666" s="38"/>
      <c r="I5666" s="37"/>
      <c r="J5666" s="38"/>
      <c r="K5666" s="38"/>
      <c r="L5666" s="42"/>
      <c r="M5666" s="42"/>
      <c r="N5666" s="42"/>
      <c r="O5666" s="42"/>
      <c r="R5666" s="37"/>
      <c r="S5666" s="37"/>
      <c r="T5666" s="91"/>
      <c r="U5666" s="91"/>
      <c r="V5666" s="41"/>
      <c r="W5666" s="37"/>
      <c r="X5666" s="37"/>
      <c r="Y5666" s="43"/>
      <c r="Z5666" s="37"/>
      <c r="AA5666" s="37"/>
      <c r="AD5666" s="37"/>
      <c r="AE5666" s="37"/>
      <c r="AF5666" s="37"/>
    </row>
    <row r="5667" spans="1:32" x14ac:dyDescent="0.25">
      <c r="A5667" s="37"/>
      <c r="B5667" s="37"/>
      <c r="C5667" s="37"/>
      <c r="F5667" s="38"/>
      <c r="G5667" s="38"/>
      <c r="H5667" s="38"/>
      <c r="I5667" s="37"/>
      <c r="J5667" s="38"/>
      <c r="K5667" s="38"/>
      <c r="L5667" s="42"/>
      <c r="M5667" s="42"/>
      <c r="N5667" s="42"/>
      <c r="O5667" s="42"/>
      <c r="R5667" s="37"/>
      <c r="S5667" s="37"/>
      <c r="T5667" s="91"/>
      <c r="U5667" s="91"/>
      <c r="V5667" s="41"/>
      <c r="W5667" s="37"/>
      <c r="X5667" s="37"/>
      <c r="Y5667" s="43"/>
      <c r="Z5667" s="37"/>
      <c r="AA5667" s="37"/>
      <c r="AD5667" s="37"/>
      <c r="AE5667" s="37"/>
      <c r="AF5667" s="37"/>
    </row>
    <row r="5668" spans="1:32" x14ac:dyDescent="0.25">
      <c r="A5668" s="37"/>
      <c r="B5668" s="37"/>
      <c r="C5668" s="37"/>
      <c r="F5668" s="38"/>
      <c r="G5668" s="38"/>
      <c r="H5668" s="38"/>
      <c r="I5668" s="37"/>
      <c r="J5668" s="38"/>
      <c r="K5668" s="38"/>
      <c r="L5668" s="42"/>
      <c r="M5668" s="42"/>
      <c r="N5668" s="42"/>
      <c r="O5668" s="42"/>
      <c r="R5668" s="37"/>
      <c r="S5668" s="37"/>
      <c r="T5668" s="91"/>
      <c r="U5668" s="91"/>
      <c r="V5668" s="41"/>
      <c r="W5668" s="37"/>
      <c r="X5668" s="37"/>
      <c r="Y5668" s="43"/>
      <c r="Z5668" s="37"/>
      <c r="AA5668" s="37"/>
      <c r="AD5668" s="37"/>
      <c r="AE5668" s="37"/>
      <c r="AF5668" s="37"/>
    </row>
    <row r="5669" spans="1:32" x14ac:dyDescent="0.25">
      <c r="A5669" s="37"/>
      <c r="B5669" s="37"/>
      <c r="C5669" s="37"/>
      <c r="F5669" s="38"/>
      <c r="G5669" s="38"/>
      <c r="H5669" s="38"/>
      <c r="I5669" s="37"/>
      <c r="J5669" s="38"/>
      <c r="K5669" s="38"/>
      <c r="L5669" s="42"/>
      <c r="M5669" s="42"/>
      <c r="N5669" s="42"/>
      <c r="O5669" s="42"/>
      <c r="R5669" s="37"/>
      <c r="S5669" s="37"/>
      <c r="T5669" s="91"/>
      <c r="U5669" s="91"/>
      <c r="V5669" s="41"/>
      <c r="W5669" s="37"/>
      <c r="X5669" s="37"/>
      <c r="Y5669" s="43"/>
      <c r="Z5669" s="37"/>
      <c r="AA5669" s="37"/>
      <c r="AD5669" s="37"/>
      <c r="AE5669" s="37"/>
      <c r="AF5669" s="37"/>
    </row>
    <row r="5670" spans="1:32" x14ac:dyDescent="0.25">
      <c r="A5670" s="37"/>
      <c r="B5670" s="37"/>
      <c r="C5670" s="37"/>
      <c r="F5670" s="38"/>
      <c r="G5670" s="38"/>
      <c r="H5670" s="38"/>
      <c r="I5670" s="37"/>
      <c r="J5670" s="38"/>
      <c r="K5670" s="38"/>
      <c r="L5670" s="42"/>
      <c r="M5670" s="42"/>
      <c r="N5670" s="42"/>
      <c r="O5670" s="42"/>
      <c r="R5670" s="37"/>
      <c r="S5670" s="37"/>
      <c r="T5670" s="91"/>
      <c r="U5670" s="91"/>
      <c r="V5670" s="41"/>
      <c r="W5670" s="37"/>
      <c r="X5670" s="37"/>
      <c r="Y5670" s="43"/>
      <c r="Z5670" s="37"/>
      <c r="AA5670" s="37"/>
      <c r="AD5670" s="37"/>
      <c r="AE5670" s="37"/>
      <c r="AF5670" s="37"/>
    </row>
    <row r="5671" spans="1:32" x14ac:dyDescent="0.25">
      <c r="A5671" s="37"/>
      <c r="B5671" s="37"/>
      <c r="C5671" s="37"/>
      <c r="F5671" s="38"/>
      <c r="G5671" s="38"/>
      <c r="H5671" s="38"/>
      <c r="I5671" s="37"/>
      <c r="J5671" s="38"/>
      <c r="K5671" s="38"/>
      <c r="L5671" s="42"/>
      <c r="M5671" s="42"/>
      <c r="N5671" s="42"/>
      <c r="O5671" s="42"/>
      <c r="R5671" s="37"/>
      <c r="S5671" s="37"/>
      <c r="T5671" s="91"/>
      <c r="U5671" s="91"/>
      <c r="V5671" s="41"/>
      <c r="W5671" s="37"/>
      <c r="X5671" s="37"/>
      <c r="Y5671" s="43"/>
      <c r="Z5671" s="37"/>
      <c r="AA5671" s="37"/>
      <c r="AD5671" s="37"/>
      <c r="AE5671" s="37"/>
      <c r="AF5671" s="37"/>
    </row>
    <row r="5672" spans="1:32" x14ac:dyDescent="0.25">
      <c r="A5672" s="37"/>
      <c r="B5672" s="37"/>
      <c r="C5672" s="37"/>
      <c r="F5672" s="38"/>
      <c r="G5672" s="38"/>
      <c r="H5672" s="38"/>
      <c r="I5672" s="37"/>
      <c r="J5672" s="38"/>
      <c r="K5672" s="38"/>
      <c r="L5672" s="42"/>
      <c r="M5672" s="42"/>
      <c r="N5672" s="42"/>
      <c r="O5672" s="42"/>
      <c r="R5672" s="37"/>
      <c r="S5672" s="37"/>
      <c r="T5672" s="91"/>
      <c r="U5672" s="91"/>
      <c r="V5672" s="41"/>
      <c r="W5672" s="37"/>
      <c r="X5672" s="37"/>
      <c r="Y5672" s="43"/>
      <c r="Z5672" s="37"/>
      <c r="AA5672" s="37"/>
      <c r="AD5672" s="37"/>
      <c r="AE5672" s="37"/>
      <c r="AF5672" s="37"/>
    </row>
    <row r="5673" spans="1:32" x14ac:dyDescent="0.25">
      <c r="A5673" s="37"/>
      <c r="B5673" s="37"/>
      <c r="C5673" s="37"/>
      <c r="F5673" s="38"/>
      <c r="G5673" s="38"/>
      <c r="H5673" s="38"/>
      <c r="I5673" s="37"/>
      <c r="J5673" s="38"/>
      <c r="K5673" s="38"/>
      <c r="L5673" s="42"/>
      <c r="M5673" s="42"/>
      <c r="N5673" s="42"/>
      <c r="O5673" s="42"/>
      <c r="R5673" s="37"/>
      <c r="S5673" s="37"/>
      <c r="T5673" s="91"/>
      <c r="U5673" s="91"/>
      <c r="V5673" s="41"/>
      <c r="W5673" s="37"/>
      <c r="X5673" s="37"/>
      <c r="Y5673" s="43"/>
      <c r="Z5673" s="37"/>
      <c r="AA5673" s="37"/>
      <c r="AD5673" s="37"/>
      <c r="AE5673" s="37"/>
      <c r="AF5673" s="37"/>
    </row>
    <row r="5674" spans="1:32" x14ac:dyDescent="0.25">
      <c r="A5674" s="37"/>
      <c r="B5674" s="37"/>
      <c r="C5674" s="37"/>
      <c r="F5674" s="38"/>
      <c r="G5674" s="38"/>
      <c r="H5674" s="38"/>
      <c r="I5674" s="37"/>
      <c r="J5674" s="38"/>
      <c r="K5674" s="38"/>
      <c r="L5674" s="42"/>
      <c r="M5674" s="42"/>
      <c r="N5674" s="42"/>
      <c r="O5674" s="42"/>
      <c r="R5674" s="37"/>
      <c r="S5674" s="37"/>
      <c r="T5674" s="91"/>
      <c r="U5674" s="91"/>
      <c r="V5674" s="41"/>
      <c r="W5674" s="37"/>
      <c r="X5674" s="37"/>
      <c r="Y5674" s="43"/>
      <c r="Z5674" s="37"/>
      <c r="AA5674" s="37"/>
      <c r="AD5674" s="37"/>
      <c r="AE5674" s="37"/>
      <c r="AF5674" s="37"/>
    </row>
    <row r="5675" spans="1:32" x14ac:dyDescent="0.25">
      <c r="A5675" s="37"/>
      <c r="B5675" s="37"/>
      <c r="C5675" s="37"/>
      <c r="F5675" s="38"/>
      <c r="G5675" s="38"/>
      <c r="H5675" s="38"/>
      <c r="I5675" s="37"/>
      <c r="J5675" s="38"/>
      <c r="K5675" s="38"/>
      <c r="L5675" s="42"/>
      <c r="M5675" s="42"/>
      <c r="N5675" s="42"/>
      <c r="O5675" s="42"/>
      <c r="R5675" s="37"/>
      <c r="S5675" s="37"/>
      <c r="T5675" s="91"/>
      <c r="U5675" s="91"/>
      <c r="V5675" s="41"/>
      <c r="W5675" s="37"/>
      <c r="X5675" s="37"/>
      <c r="Y5675" s="43"/>
      <c r="Z5675" s="37"/>
      <c r="AA5675" s="37"/>
      <c r="AD5675" s="37"/>
      <c r="AE5675" s="37"/>
      <c r="AF5675" s="37"/>
    </row>
    <row r="5676" spans="1:32" x14ac:dyDescent="0.25">
      <c r="A5676" s="37"/>
      <c r="B5676" s="37"/>
      <c r="C5676" s="37"/>
      <c r="F5676" s="38"/>
      <c r="G5676" s="38"/>
      <c r="H5676" s="38"/>
      <c r="I5676" s="37"/>
      <c r="J5676" s="38"/>
      <c r="K5676" s="38"/>
      <c r="L5676" s="42"/>
      <c r="M5676" s="42"/>
      <c r="N5676" s="42"/>
      <c r="O5676" s="42"/>
      <c r="R5676" s="37"/>
      <c r="S5676" s="37"/>
      <c r="T5676" s="91"/>
      <c r="U5676" s="91"/>
      <c r="V5676" s="41"/>
      <c r="W5676" s="37"/>
      <c r="X5676" s="37"/>
      <c r="Y5676" s="43"/>
      <c r="Z5676" s="37"/>
      <c r="AA5676" s="37"/>
      <c r="AD5676" s="37"/>
      <c r="AE5676" s="37"/>
      <c r="AF5676" s="37"/>
    </row>
    <row r="5677" spans="1:32" x14ac:dyDescent="0.25">
      <c r="A5677" s="37"/>
      <c r="B5677" s="37"/>
      <c r="C5677" s="37"/>
      <c r="F5677" s="38"/>
      <c r="G5677" s="38"/>
      <c r="H5677" s="38"/>
      <c r="I5677" s="37"/>
      <c r="J5677" s="38"/>
      <c r="K5677" s="38"/>
      <c r="L5677" s="42"/>
      <c r="M5677" s="42"/>
      <c r="N5677" s="42"/>
      <c r="O5677" s="42"/>
      <c r="R5677" s="37"/>
      <c r="S5677" s="37"/>
      <c r="T5677" s="91"/>
      <c r="U5677" s="91"/>
      <c r="V5677" s="41"/>
      <c r="W5677" s="37"/>
      <c r="X5677" s="37"/>
      <c r="Y5677" s="43"/>
      <c r="Z5677" s="37"/>
      <c r="AA5677" s="37"/>
      <c r="AD5677" s="37"/>
      <c r="AE5677" s="37"/>
      <c r="AF5677" s="37"/>
    </row>
    <row r="5678" spans="1:32" x14ac:dyDescent="0.25">
      <c r="A5678" s="37"/>
      <c r="B5678" s="37"/>
      <c r="C5678" s="37"/>
      <c r="F5678" s="38"/>
      <c r="G5678" s="38"/>
      <c r="H5678" s="38"/>
      <c r="I5678" s="37"/>
      <c r="J5678" s="38"/>
      <c r="K5678" s="38"/>
      <c r="L5678" s="42"/>
      <c r="M5678" s="42"/>
      <c r="N5678" s="42"/>
      <c r="O5678" s="42"/>
      <c r="R5678" s="37"/>
      <c r="S5678" s="37"/>
      <c r="T5678" s="91"/>
      <c r="U5678" s="91"/>
      <c r="V5678" s="41"/>
      <c r="W5678" s="37"/>
      <c r="X5678" s="37"/>
      <c r="Y5678" s="43"/>
      <c r="Z5678" s="37"/>
      <c r="AA5678" s="37"/>
      <c r="AD5678" s="37"/>
      <c r="AE5678" s="37"/>
      <c r="AF5678" s="37"/>
    </row>
    <row r="5679" spans="1:32" x14ac:dyDescent="0.25">
      <c r="A5679" s="37"/>
      <c r="B5679" s="37"/>
      <c r="C5679" s="37"/>
      <c r="F5679" s="38"/>
      <c r="G5679" s="38"/>
      <c r="H5679" s="38"/>
      <c r="I5679" s="37"/>
      <c r="J5679" s="38"/>
      <c r="K5679" s="38"/>
      <c r="L5679" s="42"/>
      <c r="M5679" s="42"/>
      <c r="N5679" s="42"/>
      <c r="O5679" s="42"/>
      <c r="R5679" s="37"/>
      <c r="S5679" s="37"/>
      <c r="T5679" s="91"/>
      <c r="U5679" s="91"/>
      <c r="V5679" s="41"/>
      <c r="W5679" s="37"/>
      <c r="X5679" s="37"/>
      <c r="Y5679" s="43"/>
      <c r="Z5679" s="37"/>
      <c r="AA5679" s="37"/>
      <c r="AD5679" s="37"/>
      <c r="AE5679" s="37"/>
      <c r="AF5679" s="37"/>
    </row>
    <row r="5680" spans="1:32" x14ac:dyDescent="0.25">
      <c r="A5680" s="37"/>
      <c r="B5680" s="37"/>
      <c r="C5680" s="37"/>
      <c r="F5680" s="38"/>
      <c r="G5680" s="38"/>
      <c r="H5680" s="38"/>
      <c r="I5680" s="37"/>
      <c r="J5680" s="38"/>
      <c r="K5680" s="38"/>
      <c r="L5680" s="42"/>
      <c r="M5680" s="42"/>
      <c r="N5680" s="42"/>
      <c r="O5680" s="42"/>
      <c r="R5680" s="37"/>
      <c r="S5680" s="37"/>
      <c r="T5680" s="91"/>
      <c r="U5680" s="91"/>
      <c r="V5680" s="41"/>
      <c r="W5680" s="37"/>
      <c r="X5680" s="37"/>
      <c r="Y5680" s="43"/>
      <c r="Z5680" s="37"/>
      <c r="AA5680" s="37"/>
      <c r="AD5680" s="37"/>
      <c r="AE5680" s="37"/>
      <c r="AF5680" s="37"/>
    </row>
    <row r="5681" spans="1:32" x14ac:dyDescent="0.25">
      <c r="A5681" s="37"/>
      <c r="B5681" s="37"/>
      <c r="C5681" s="37"/>
      <c r="F5681" s="38"/>
      <c r="G5681" s="38"/>
      <c r="H5681" s="38"/>
      <c r="I5681" s="37"/>
      <c r="J5681" s="38"/>
      <c r="K5681" s="38"/>
      <c r="L5681" s="42"/>
      <c r="M5681" s="42"/>
      <c r="N5681" s="42"/>
      <c r="O5681" s="42"/>
      <c r="R5681" s="37"/>
      <c r="S5681" s="37"/>
      <c r="T5681" s="91"/>
      <c r="U5681" s="91"/>
      <c r="V5681" s="41"/>
      <c r="W5681" s="37"/>
      <c r="X5681" s="37"/>
      <c r="Y5681" s="43"/>
      <c r="Z5681" s="37"/>
      <c r="AA5681" s="37"/>
      <c r="AD5681" s="37"/>
      <c r="AE5681" s="37"/>
      <c r="AF5681" s="37"/>
    </row>
    <row r="5682" spans="1:32" x14ac:dyDescent="0.25">
      <c r="A5682" s="37"/>
      <c r="B5682" s="37"/>
      <c r="C5682" s="37"/>
      <c r="F5682" s="38"/>
      <c r="G5682" s="38"/>
      <c r="H5682" s="38"/>
      <c r="I5682" s="37"/>
      <c r="J5682" s="38"/>
      <c r="K5682" s="38"/>
      <c r="L5682" s="42"/>
      <c r="M5682" s="42"/>
      <c r="N5682" s="42"/>
      <c r="O5682" s="42"/>
      <c r="R5682" s="37"/>
      <c r="S5682" s="37"/>
      <c r="T5682" s="91"/>
      <c r="U5682" s="91"/>
      <c r="V5682" s="41"/>
      <c r="W5682" s="37"/>
      <c r="X5682" s="37"/>
      <c r="Y5682" s="43"/>
      <c r="Z5682" s="37"/>
      <c r="AA5682" s="37"/>
      <c r="AD5682" s="37"/>
      <c r="AE5682" s="37"/>
      <c r="AF5682" s="37"/>
    </row>
    <row r="5683" spans="1:32" x14ac:dyDescent="0.25">
      <c r="A5683" s="37"/>
      <c r="B5683" s="37"/>
      <c r="C5683" s="37"/>
      <c r="F5683" s="38"/>
      <c r="G5683" s="38"/>
      <c r="H5683" s="38"/>
      <c r="I5683" s="37"/>
      <c r="J5683" s="38"/>
      <c r="K5683" s="38"/>
      <c r="L5683" s="42"/>
      <c r="M5683" s="42"/>
      <c r="N5683" s="42"/>
      <c r="O5683" s="42"/>
      <c r="R5683" s="37"/>
      <c r="S5683" s="37"/>
      <c r="T5683" s="91"/>
      <c r="U5683" s="91"/>
      <c r="V5683" s="41"/>
      <c r="W5683" s="37"/>
      <c r="X5683" s="37"/>
      <c r="Y5683" s="43"/>
      <c r="Z5683" s="37"/>
      <c r="AA5683" s="37"/>
      <c r="AD5683" s="37"/>
      <c r="AE5683" s="37"/>
      <c r="AF5683" s="37"/>
    </row>
    <row r="5684" spans="1:32" x14ac:dyDescent="0.25">
      <c r="A5684" s="37"/>
      <c r="B5684" s="37"/>
      <c r="C5684" s="37"/>
      <c r="F5684" s="38"/>
      <c r="G5684" s="38"/>
      <c r="H5684" s="38"/>
      <c r="I5684" s="37"/>
      <c r="J5684" s="38"/>
      <c r="K5684" s="38"/>
      <c r="L5684" s="42"/>
      <c r="M5684" s="42"/>
      <c r="N5684" s="42"/>
      <c r="O5684" s="42"/>
      <c r="R5684" s="37"/>
      <c r="S5684" s="37"/>
      <c r="T5684" s="91"/>
      <c r="U5684" s="91"/>
      <c r="V5684" s="41"/>
      <c r="W5684" s="37"/>
      <c r="X5684" s="37"/>
      <c r="Y5684" s="43"/>
      <c r="Z5684" s="37"/>
      <c r="AA5684" s="37"/>
      <c r="AD5684" s="37"/>
      <c r="AE5684" s="37"/>
      <c r="AF5684" s="37"/>
    </row>
    <row r="5685" spans="1:32" x14ac:dyDescent="0.25">
      <c r="A5685" s="37"/>
      <c r="B5685" s="37"/>
      <c r="C5685" s="37"/>
      <c r="F5685" s="38"/>
      <c r="G5685" s="38"/>
      <c r="H5685" s="38"/>
      <c r="I5685" s="37"/>
      <c r="J5685" s="38"/>
      <c r="K5685" s="38"/>
      <c r="L5685" s="42"/>
      <c r="M5685" s="42"/>
      <c r="N5685" s="42"/>
      <c r="O5685" s="42"/>
      <c r="R5685" s="37"/>
      <c r="S5685" s="37"/>
      <c r="T5685" s="91"/>
      <c r="U5685" s="91"/>
      <c r="V5685" s="41"/>
      <c r="W5685" s="37"/>
      <c r="X5685" s="37"/>
      <c r="Y5685" s="43"/>
      <c r="Z5685" s="37"/>
      <c r="AA5685" s="37"/>
      <c r="AD5685" s="37"/>
      <c r="AE5685" s="37"/>
      <c r="AF5685" s="37"/>
    </row>
    <row r="5686" spans="1:32" x14ac:dyDescent="0.25">
      <c r="A5686" s="37"/>
      <c r="B5686" s="37"/>
      <c r="C5686" s="37"/>
      <c r="F5686" s="38"/>
      <c r="G5686" s="38"/>
      <c r="H5686" s="38"/>
      <c r="I5686" s="37"/>
      <c r="J5686" s="38"/>
      <c r="K5686" s="38"/>
      <c r="L5686" s="42"/>
      <c r="M5686" s="42"/>
      <c r="N5686" s="42"/>
      <c r="O5686" s="42"/>
      <c r="R5686" s="37"/>
      <c r="S5686" s="37"/>
      <c r="T5686" s="91"/>
      <c r="U5686" s="91"/>
      <c r="V5686" s="41"/>
      <c r="W5686" s="37"/>
      <c r="X5686" s="37"/>
      <c r="Y5686" s="43"/>
      <c r="Z5686" s="37"/>
      <c r="AA5686" s="37"/>
      <c r="AD5686" s="37"/>
      <c r="AE5686" s="37"/>
      <c r="AF5686" s="37"/>
    </row>
    <row r="5687" spans="1:32" x14ac:dyDescent="0.25">
      <c r="A5687" s="37"/>
      <c r="B5687" s="37"/>
      <c r="C5687" s="37"/>
      <c r="F5687" s="38"/>
      <c r="G5687" s="38"/>
      <c r="H5687" s="38"/>
      <c r="I5687" s="37"/>
      <c r="J5687" s="38"/>
      <c r="K5687" s="38"/>
      <c r="L5687" s="42"/>
      <c r="M5687" s="42"/>
      <c r="N5687" s="42"/>
      <c r="O5687" s="42"/>
      <c r="R5687" s="37"/>
      <c r="S5687" s="37"/>
      <c r="T5687" s="91"/>
      <c r="U5687" s="91"/>
      <c r="V5687" s="41"/>
      <c r="W5687" s="37"/>
      <c r="X5687" s="37"/>
      <c r="Y5687" s="43"/>
      <c r="Z5687" s="37"/>
      <c r="AA5687" s="37"/>
      <c r="AD5687" s="37"/>
      <c r="AE5687" s="37"/>
      <c r="AF5687" s="37"/>
    </row>
    <row r="5688" spans="1:32" x14ac:dyDescent="0.25">
      <c r="A5688" s="37"/>
      <c r="B5688" s="37"/>
      <c r="C5688" s="37"/>
      <c r="F5688" s="38"/>
      <c r="G5688" s="38"/>
      <c r="H5688" s="38"/>
      <c r="I5688" s="37"/>
      <c r="J5688" s="38"/>
      <c r="K5688" s="38"/>
      <c r="L5688" s="42"/>
      <c r="M5688" s="42"/>
      <c r="N5688" s="42"/>
      <c r="O5688" s="42"/>
      <c r="R5688" s="37"/>
      <c r="S5688" s="37"/>
      <c r="T5688" s="91"/>
      <c r="U5688" s="91"/>
      <c r="V5688" s="41"/>
      <c r="W5688" s="37"/>
      <c r="X5688" s="37"/>
      <c r="Y5688" s="43"/>
      <c r="Z5688" s="37"/>
      <c r="AA5688" s="37"/>
      <c r="AD5688" s="37"/>
      <c r="AE5688" s="37"/>
      <c r="AF5688" s="37"/>
    </row>
    <row r="5689" spans="1:32" x14ac:dyDescent="0.25">
      <c r="A5689" s="37"/>
      <c r="B5689" s="37"/>
      <c r="C5689" s="37"/>
      <c r="F5689" s="38"/>
      <c r="G5689" s="38"/>
      <c r="H5689" s="38"/>
      <c r="I5689" s="37"/>
      <c r="J5689" s="38"/>
      <c r="K5689" s="38"/>
      <c r="L5689" s="42"/>
      <c r="M5689" s="42"/>
      <c r="N5689" s="42"/>
      <c r="O5689" s="42"/>
      <c r="R5689" s="37"/>
      <c r="S5689" s="37"/>
      <c r="T5689" s="91"/>
      <c r="U5689" s="91"/>
      <c r="V5689" s="41"/>
      <c r="W5689" s="37"/>
      <c r="X5689" s="37"/>
      <c r="Y5689" s="43"/>
      <c r="Z5689" s="37"/>
      <c r="AA5689" s="37"/>
      <c r="AD5689" s="37"/>
      <c r="AE5689" s="37"/>
      <c r="AF5689" s="37"/>
    </row>
    <row r="5690" spans="1:32" x14ac:dyDescent="0.25">
      <c r="A5690" s="37"/>
      <c r="B5690" s="37"/>
      <c r="C5690" s="37"/>
      <c r="F5690" s="38"/>
      <c r="G5690" s="38"/>
      <c r="H5690" s="38"/>
      <c r="I5690" s="37"/>
      <c r="J5690" s="38"/>
      <c r="K5690" s="38"/>
      <c r="L5690" s="42"/>
      <c r="M5690" s="42"/>
      <c r="N5690" s="42"/>
      <c r="O5690" s="42"/>
      <c r="R5690" s="37"/>
      <c r="S5690" s="37"/>
      <c r="T5690" s="91"/>
      <c r="U5690" s="91"/>
      <c r="V5690" s="41"/>
      <c r="W5690" s="37"/>
      <c r="X5690" s="37"/>
      <c r="Y5690" s="43"/>
      <c r="Z5690" s="37"/>
      <c r="AA5690" s="37"/>
      <c r="AD5690" s="37"/>
      <c r="AE5690" s="37"/>
      <c r="AF5690" s="37"/>
    </row>
    <row r="5691" spans="1:32" x14ac:dyDescent="0.25">
      <c r="A5691" s="37"/>
      <c r="B5691" s="37"/>
      <c r="C5691" s="37"/>
      <c r="F5691" s="38"/>
      <c r="G5691" s="38"/>
      <c r="H5691" s="38"/>
      <c r="I5691" s="37"/>
      <c r="J5691" s="38"/>
      <c r="K5691" s="38"/>
      <c r="L5691" s="42"/>
      <c r="M5691" s="42"/>
      <c r="N5691" s="42"/>
      <c r="O5691" s="42"/>
      <c r="R5691" s="37"/>
      <c r="S5691" s="37"/>
      <c r="T5691" s="91"/>
      <c r="U5691" s="91"/>
      <c r="V5691" s="41"/>
      <c r="W5691" s="37"/>
      <c r="X5691" s="37"/>
      <c r="Y5691" s="43"/>
      <c r="Z5691" s="37"/>
      <c r="AA5691" s="37"/>
      <c r="AD5691" s="37"/>
      <c r="AE5691" s="37"/>
      <c r="AF5691" s="37"/>
    </row>
    <row r="5692" spans="1:32" x14ac:dyDescent="0.25">
      <c r="A5692" s="37"/>
      <c r="B5692" s="37"/>
      <c r="C5692" s="37"/>
      <c r="F5692" s="38"/>
      <c r="G5692" s="38"/>
      <c r="H5692" s="38"/>
      <c r="I5692" s="37"/>
      <c r="J5692" s="38"/>
      <c r="K5692" s="38"/>
      <c r="L5692" s="42"/>
      <c r="M5692" s="42"/>
      <c r="N5692" s="42"/>
      <c r="O5692" s="42"/>
      <c r="R5692" s="37"/>
      <c r="S5692" s="37"/>
      <c r="T5692" s="91"/>
      <c r="U5692" s="91"/>
      <c r="V5692" s="41"/>
      <c r="W5692" s="37"/>
      <c r="X5692" s="37"/>
      <c r="Y5692" s="43"/>
      <c r="Z5692" s="37"/>
      <c r="AA5692" s="37"/>
      <c r="AD5692" s="37"/>
      <c r="AE5692" s="37"/>
      <c r="AF5692" s="37"/>
    </row>
    <row r="5693" spans="1:32" x14ac:dyDescent="0.25">
      <c r="A5693" s="37"/>
      <c r="B5693" s="37"/>
      <c r="C5693" s="37"/>
      <c r="F5693" s="38"/>
      <c r="G5693" s="38"/>
      <c r="H5693" s="38"/>
      <c r="I5693" s="37"/>
      <c r="J5693" s="38"/>
      <c r="K5693" s="38"/>
      <c r="L5693" s="42"/>
      <c r="M5693" s="42"/>
      <c r="N5693" s="42"/>
      <c r="O5693" s="42"/>
      <c r="R5693" s="37"/>
      <c r="S5693" s="37"/>
      <c r="T5693" s="91"/>
      <c r="U5693" s="91"/>
      <c r="V5693" s="41"/>
      <c r="W5693" s="37"/>
      <c r="X5693" s="37"/>
      <c r="Y5693" s="43"/>
      <c r="Z5693" s="37"/>
      <c r="AA5693" s="37"/>
      <c r="AD5693" s="37"/>
      <c r="AE5693" s="37"/>
      <c r="AF5693" s="37"/>
    </row>
    <row r="5694" spans="1:32" x14ac:dyDescent="0.25">
      <c r="A5694" s="37"/>
      <c r="B5694" s="37"/>
      <c r="C5694" s="37"/>
      <c r="F5694" s="38"/>
      <c r="G5694" s="38"/>
      <c r="H5694" s="38"/>
      <c r="I5694" s="37"/>
      <c r="J5694" s="38"/>
      <c r="K5694" s="38"/>
      <c r="L5694" s="42"/>
      <c r="M5694" s="42"/>
      <c r="N5694" s="42"/>
      <c r="O5694" s="42"/>
      <c r="R5694" s="37"/>
      <c r="S5694" s="37"/>
      <c r="T5694" s="91"/>
      <c r="U5694" s="91"/>
      <c r="V5694" s="41"/>
      <c r="W5694" s="37"/>
      <c r="X5694" s="37"/>
      <c r="Y5694" s="43"/>
      <c r="Z5694" s="37"/>
      <c r="AA5694" s="37"/>
      <c r="AD5694" s="37"/>
      <c r="AE5694" s="37"/>
      <c r="AF5694" s="37"/>
    </row>
    <row r="5695" spans="1:32" x14ac:dyDescent="0.25">
      <c r="A5695" s="37"/>
      <c r="B5695" s="37"/>
      <c r="C5695" s="37"/>
      <c r="F5695" s="38"/>
      <c r="G5695" s="38"/>
      <c r="H5695" s="38"/>
      <c r="I5695" s="37"/>
      <c r="J5695" s="38"/>
      <c r="K5695" s="38"/>
      <c r="L5695" s="42"/>
      <c r="M5695" s="42"/>
      <c r="N5695" s="42"/>
      <c r="O5695" s="42"/>
      <c r="R5695" s="37"/>
      <c r="S5695" s="37"/>
      <c r="T5695" s="91"/>
      <c r="U5695" s="91"/>
      <c r="V5695" s="41"/>
      <c r="W5695" s="37"/>
      <c r="X5695" s="37"/>
      <c r="Y5695" s="43"/>
      <c r="Z5695" s="37"/>
      <c r="AA5695" s="37"/>
      <c r="AD5695" s="37"/>
      <c r="AE5695" s="37"/>
      <c r="AF5695" s="37"/>
    </row>
    <row r="5696" spans="1:32" x14ac:dyDescent="0.25">
      <c r="A5696" s="37"/>
      <c r="B5696" s="37"/>
      <c r="C5696" s="37"/>
      <c r="F5696" s="38"/>
      <c r="G5696" s="38"/>
      <c r="H5696" s="38"/>
      <c r="I5696" s="37"/>
      <c r="J5696" s="38"/>
      <c r="K5696" s="38"/>
      <c r="L5696" s="42"/>
      <c r="M5696" s="42"/>
      <c r="N5696" s="42"/>
      <c r="O5696" s="42"/>
      <c r="R5696" s="37"/>
      <c r="S5696" s="37"/>
      <c r="T5696" s="91"/>
      <c r="U5696" s="91"/>
      <c r="V5696" s="41"/>
      <c r="W5696" s="37"/>
      <c r="X5696" s="37"/>
      <c r="Y5696" s="43"/>
      <c r="Z5696" s="37"/>
      <c r="AA5696" s="37"/>
      <c r="AD5696" s="37"/>
      <c r="AE5696" s="37"/>
      <c r="AF5696" s="37"/>
    </row>
    <row r="5697" spans="1:32" x14ac:dyDescent="0.25">
      <c r="A5697" s="37"/>
      <c r="B5697" s="37"/>
      <c r="C5697" s="37"/>
      <c r="F5697" s="38"/>
      <c r="G5697" s="38"/>
      <c r="H5697" s="38"/>
      <c r="I5697" s="37"/>
      <c r="J5697" s="38"/>
      <c r="K5697" s="38"/>
      <c r="L5697" s="42"/>
      <c r="M5697" s="42"/>
      <c r="N5697" s="42"/>
      <c r="O5697" s="42"/>
      <c r="R5697" s="37"/>
      <c r="S5697" s="37"/>
      <c r="T5697" s="91"/>
      <c r="U5697" s="91"/>
      <c r="V5697" s="41"/>
      <c r="W5697" s="37"/>
      <c r="X5697" s="37"/>
      <c r="Y5697" s="43"/>
      <c r="Z5697" s="37"/>
      <c r="AA5697" s="37"/>
      <c r="AD5697" s="37"/>
      <c r="AE5697" s="37"/>
      <c r="AF5697" s="37"/>
    </row>
    <row r="5698" spans="1:32" x14ac:dyDescent="0.25">
      <c r="A5698" s="37"/>
      <c r="B5698" s="37"/>
      <c r="C5698" s="37"/>
      <c r="F5698" s="38"/>
      <c r="G5698" s="38"/>
      <c r="H5698" s="38"/>
      <c r="I5698" s="37"/>
      <c r="J5698" s="38"/>
      <c r="K5698" s="38"/>
      <c r="L5698" s="42"/>
      <c r="M5698" s="42"/>
      <c r="N5698" s="42"/>
      <c r="O5698" s="42"/>
      <c r="R5698" s="37"/>
      <c r="S5698" s="37"/>
      <c r="T5698" s="91"/>
      <c r="U5698" s="91"/>
      <c r="V5698" s="41"/>
      <c r="W5698" s="37"/>
      <c r="X5698" s="37"/>
      <c r="Y5698" s="43"/>
      <c r="Z5698" s="37"/>
      <c r="AA5698" s="37"/>
      <c r="AD5698" s="37"/>
      <c r="AE5698" s="37"/>
      <c r="AF5698" s="37"/>
    </row>
    <row r="5699" spans="1:32" x14ac:dyDescent="0.25">
      <c r="A5699" s="37"/>
      <c r="B5699" s="37"/>
      <c r="C5699" s="37"/>
      <c r="F5699" s="38"/>
      <c r="G5699" s="38"/>
      <c r="H5699" s="38"/>
      <c r="I5699" s="37"/>
      <c r="J5699" s="38"/>
      <c r="K5699" s="38"/>
      <c r="L5699" s="42"/>
      <c r="M5699" s="42"/>
      <c r="N5699" s="42"/>
      <c r="O5699" s="42"/>
      <c r="R5699" s="37"/>
      <c r="S5699" s="37"/>
      <c r="T5699" s="91"/>
      <c r="U5699" s="91"/>
      <c r="V5699" s="41"/>
      <c r="W5699" s="37"/>
      <c r="X5699" s="37"/>
      <c r="Y5699" s="43"/>
      <c r="Z5699" s="37"/>
      <c r="AA5699" s="37"/>
      <c r="AD5699" s="37"/>
      <c r="AE5699" s="37"/>
      <c r="AF5699" s="37"/>
    </row>
    <row r="5700" spans="1:32" x14ac:dyDescent="0.25">
      <c r="A5700" s="37"/>
      <c r="B5700" s="37"/>
      <c r="C5700" s="37"/>
      <c r="F5700" s="38"/>
      <c r="G5700" s="38"/>
      <c r="H5700" s="38"/>
      <c r="I5700" s="37"/>
      <c r="J5700" s="38"/>
      <c r="K5700" s="38"/>
      <c r="L5700" s="42"/>
      <c r="M5700" s="42"/>
      <c r="N5700" s="42"/>
      <c r="O5700" s="42"/>
      <c r="R5700" s="37"/>
      <c r="S5700" s="37"/>
      <c r="T5700" s="91"/>
      <c r="U5700" s="91"/>
      <c r="V5700" s="41"/>
      <c r="W5700" s="37"/>
      <c r="X5700" s="37"/>
      <c r="Y5700" s="43"/>
      <c r="Z5700" s="37"/>
      <c r="AA5700" s="37"/>
      <c r="AD5700" s="37"/>
      <c r="AE5700" s="37"/>
      <c r="AF5700" s="37"/>
    </row>
    <row r="5701" spans="1:32" x14ac:dyDescent="0.25">
      <c r="A5701" s="37"/>
      <c r="B5701" s="37"/>
      <c r="C5701" s="37"/>
      <c r="F5701" s="38"/>
      <c r="G5701" s="38"/>
      <c r="H5701" s="38"/>
      <c r="I5701" s="37"/>
      <c r="J5701" s="38"/>
      <c r="K5701" s="38"/>
      <c r="L5701" s="42"/>
      <c r="M5701" s="42"/>
      <c r="N5701" s="42"/>
      <c r="O5701" s="42"/>
      <c r="R5701" s="37"/>
      <c r="S5701" s="37"/>
      <c r="T5701" s="91"/>
      <c r="U5701" s="91"/>
      <c r="V5701" s="41"/>
      <c r="W5701" s="37"/>
      <c r="X5701" s="37"/>
      <c r="Y5701" s="43"/>
      <c r="Z5701" s="37"/>
      <c r="AA5701" s="37"/>
      <c r="AD5701" s="37"/>
      <c r="AE5701" s="37"/>
      <c r="AF5701" s="37"/>
    </row>
    <row r="5702" spans="1:32" x14ac:dyDescent="0.25">
      <c r="A5702" s="37"/>
      <c r="B5702" s="37"/>
      <c r="C5702" s="37"/>
      <c r="F5702" s="38"/>
      <c r="G5702" s="38"/>
      <c r="H5702" s="38"/>
      <c r="I5702" s="37"/>
      <c r="J5702" s="38"/>
      <c r="K5702" s="38"/>
      <c r="L5702" s="42"/>
      <c r="M5702" s="42"/>
      <c r="N5702" s="42"/>
      <c r="O5702" s="42"/>
      <c r="R5702" s="37"/>
      <c r="S5702" s="37"/>
      <c r="T5702" s="91"/>
      <c r="U5702" s="91"/>
      <c r="V5702" s="41"/>
      <c r="W5702" s="37"/>
      <c r="X5702" s="37"/>
      <c r="Y5702" s="43"/>
      <c r="Z5702" s="37"/>
      <c r="AA5702" s="37"/>
      <c r="AD5702" s="37"/>
      <c r="AE5702" s="37"/>
      <c r="AF5702" s="37"/>
    </row>
    <row r="5703" spans="1:32" x14ac:dyDescent="0.25">
      <c r="A5703" s="37"/>
      <c r="B5703" s="37"/>
      <c r="C5703" s="37"/>
      <c r="F5703" s="38"/>
      <c r="G5703" s="38"/>
      <c r="H5703" s="38"/>
      <c r="I5703" s="37"/>
      <c r="J5703" s="38"/>
      <c r="K5703" s="38"/>
      <c r="L5703" s="42"/>
      <c r="M5703" s="42"/>
      <c r="N5703" s="42"/>
      <c r="O5703" s="42"/>
      <c r="R5703" s="37"/>
      <c r="S5703" s="37"/>
      <c r="T5703" s="91"/>
      <c r="U5703" s="91"/>
      <c r="V5703" s="41"/>
      <c r="W5703" s="37"/>
      <c r="X5703" s="37"/>
      <c r="Y5703" s="43"/>
      <c r="Z5703" s="37"/>
      <c r="AA5703" s="37"/>
      <c r="AD5703" s="37"/>
      <c r="AE5703" s="37"/>
      <c r="AF5703" s="37"/>
    </row>
    <row r="5704" spans="1:32" x14ac:dyDescent="0.25">
      <c r="A5704" s="37"/>
      <c r="B5704" s="37"/>
      <c r="C5704" s="37"/>
      <c r="F5704" s="38"/>
      <c r="G5704" s="38"/>
      <c r="H5704" s="38"/>
      <c r="I5704" s="37"/>
      <c r="J5704" s="38"/>
      <c r="K5704" s="38"/>
      <c r="L5704" s="42"/>
      <c r="M5704" s="42"/>
      <c r="N5704" s="42"/>
      <c r="O5704" s="42"/>
      <c r="R5704" s="37"/>
      <c r="S5704" s="37"/>
      <c r="T5704" s="91"/>
      <c r="U5704" s="91"/>
      <c r="V5704" s="41"/>
      <c r="W5704" s="37"/>
      <c r="X5704" s="37"/>
      <c r="Y5704" s="43"/>
      <c r="Z5704" s="37"/>
      <c r="AA5704" s="37"/>
      <c r="AD5704" s="37"/>
      <c r="AE5704" s="37"/>
      <c r="AF5704" s="37"/>
    </row>
    <row r="5705" spans="1:32" x14ac:dyDescent="0.25">
      <c r="A5705" s="37"/>
      <c r="B5705" s="37"/>
      <c r="C5705" s="37"/>
      <c r="F5705" s="38"/>
      <c r="G5705" s="38"/>
      <c r="H5705" s="38"/>
      <c r="I5705" s="37"/>
      <c r="J5705" s="38"/>
      <c r="K5705" s="38"/>
      <c r="L5705" s="42"/>
      <c r="M5705" s="42"/>
      <c r="N5705" s="42"/>
      <c r="O5705" s="42"/>
      <c r="R5705" s="37"/>
      <c r="S5705" s="37"/>
      <c r="T5705" s="91"/>
      <c r="U5705" s="91"/>
      <c r="V5705" s="41"/>
      <c r="W5705" s="37"/>
      <c r="X5705" s="37"/>
      <c r="Y5705" s="43"/>
      <c r="Z5705" s="37"/>
      <c r="AA5705" s="37"/>
      <c r="AD5705" s="37"/>
      <c r="AE5705" s="37"/>
      <c r="AF5705" s="37"/>
    </row>
    <row r="5706" spans="1:32" x14ac:dyDescent="0.25">
      <c r="A5706" s="37"/>
      <c r="B5706" s="37"/>
      <c r="C5706" s="37"/>
      <c r="F5706" s="38"/>
      <c r="G5706" s="38"/>
      <c r="H5706" s="38"/>
      <c r="I5706" s="37"/>
      <c r="J5706" s="38"/>
      <c r="K5706" s="38"/>
      <c r="L5706" s="42"/>
      <c r="M5706" s="42"/>
      <c r="N5706" s="42"/>
      <c r="O5706" s="42"/>
      <c r="R5706" s="37"/>
      <c r="S5706" s="37"/>
      <c r="T5706" s="91"/>
      <c r="U5706" s="91"/>
      <c r="V5706" s="41"/>
      <c r="W5706" s="37"/>
      <c r="X5706" s="37"/>
      <c r="Y5706" s="43"/>
      <c r="Z5706" s="37"/>
      <c r="AA5706" s="37"/>
      <c r="AD5706" s="37"/>
      <c r="AE5706" s="37"/>
      <c r="AF5706" s="37"/>
    </row>
    <row r="5707" spans="1:32" x14ac:dyDescent="0.25">
      <c r="A5707" s="37"/>
      <c r="B5707" s="37"/>
      <c r="C5707" s="37"/>
      <c r="F5707" s="38"/>
      <c r="G5707" s="38"/>
      <c r="H5707" s="38"/>
      <c r="I5707" s="37"/>
      <c r="J5707" s="38"/>
      <c r="K5707" s="38"/>
      <c r="L5707" s="42"/>
      <c r="M5707" s="42"/>
      <c r="N5707" s="42"/>
      <c r="O5707" s="42"/>
      <c r="R5707" s="37"/>
      <c r="S5707" s="37"/>
      <c r="T5707" s="91"/>
      <c r="U5707" s="91"/>
      <c r="V5707" s="41"/>
      <c r="W5707" s="37"/>
      <c r="X5707" s="37"/>
      <c r="Y5707" s="43"/>
      <c r="Z5707" s="37"/>
      <c r="AA5707" s="37"/>
      <c r="AD5707" s="37"/>
      <c r="AE5707" s="37"/>
      <c r="AF5707" s="37"/>
    </row>
    <row r="5708" spans="1:32" x14ac:dyDescent="0.25">
      <c r="A5708" s="37"/>
      <c r="B5708" s="37"/>
      <c r="C5708" s="37"/>
      <c r="F5708" s="38"/>
      <c r="G5708" s="38"/>
      <c r="H5708" s="38"/>
      <c r="I5708" s="37"/>
      <c r="J5708" s="38"/>
      <c r="K5708" s="38"/>
      <c r="L5708" s="42"/>
      <c r="M5708" s="42"/>
      <c r="N5708" s="42"/>
      <c r="O5708" s="42"/>
      <c r="R5708" s="37"/>
      <c r="S5708" s="37"/>
      <c r="T5708" s="91"/>
      <c r="U5708" s="91"/>
      <c r="V5708" s="41"/>
      <c r="W5708" s="37"/>
      <c r="X5708" s="37"/>
      <c r="Y5708" s="43"/>
      <c r="Z5708" s="37"/>
      <c r="AA5708" s="37"/>
      <c r="AD5708" s="37"/>
      <c r="AE5708" s="37"/>
      <c r="AF5708" s="37"/>
    </row>
    <row r="5709" spans="1:32" x14ac:dyDescent="0.25">
      <c r="A5709" s="37"/>
      <c r="B5709" s="37"/>
      <c r="C5709" s="37"/>
      <c r="F5709" s="38"/>
      <c r="G5709" s="38"/>
      <c r="H5709" s="38"/>
      <c r="I5709" s="37"/>
      <c r="J5709" s="38"/>
      <c r="K5709" s="38"/>
      <c r="L5709" s="42"/>
      <c r="M5709" s="42"/>
      <c r="N5709" s="42"/>
      <c r="O5709" s="42"/>
      <c r="R5709" s="37"/>
      <c r="S5709" s="37"/>
      <c r="T5709" s="91"/>
      <c r="U5709" s="91"/>
      <c r="V5709" s="41"/>
      <c r="W5709" s="37"/>
      <c r="X5709" s="37"/>
      <c r="Y5709" s="43"/>
      <c r="Z5709" s="37"/>
      <c r="AA5709" s="37"/>
      <c r="AD5709" s="37"/>
      <c r="AE5709" s="37"/>
      <c r="AF5709" s="37"/>
    </row>
    <row r="5710" spans="1:32" x14ac:dyDescent="0.25">
      <c r="A5710" s="37"/>
      <c r="B5710" s="37"/>
      <c r="C5710" s="37"/>
      <c r="F5710" s="38"/>
      <c r="G5710" s="38"/>
      <c r="H5710" s="38"/>
      <c r="I5710" s="37"/>
      <c r="J5710" s="38"/>
      <c r="K5710" s="38"/>
      <c r="L5710" s="42"/>
      <c r="M5710" s="42"/>
      <c r="N5710" s="42"/>
      <c r="O5710" s="42"/>
      <c r="R5710" s="37"/>
      <c r="S5710" s="37"/>
      <c r="T5710" s="91"/>
      <c r="U5710" s="91"/>
      <c r="V5710" s="41"/>
      <c r="W5710" s="37"/>
      <c r="X5710" s="37"/>
      <c r="Y5710" s="43"/>
      <c r="Z5710" s="37"/>
      <c r="AA5710" s="37"/>
      <c r="AD5710" s="37"/>
      <c r="AE5710" s="37"/>
      <c r="AF5710" s="37"/>
    </row>
    <row r="5711" spans="1:32" x14ac:dyDescent="0.25">
      <c r="A5711" s="37"/>
      <c r="B5711" s="37"/>
      <c r="C5711" s="37"/>
      <c r="F5711" s="38"/>
      <c r="G5711" s="38"/>
      <c r="H5711" s="38"/>
      <c r="I5711" s="37"/>
      <c r="J5711" s="38"/>
      <c r="K5711" s="38"/>
      <c r="L5711" s="42"/>
      <c r="M5711" s="42"/>
      <c r="N5711" s="42"/>
      <c r="O5711" s="42"/>
      <c r="R5711" s="37"/>
      <c r="S5711" s="37"/>
      <c r="T5711" s="91"/>
      <c r="U5711" s="91"/>
      <c r="V5711" s="41"/>
      <c r="W5711" s="37"/>
      <c r="X5711" s="37"/>
      <c r="Y5711" s="43"/>
      <c r="Z5711" s="37"/>
      <c r="AA5711" s="37"/>
      <c r="AD5711" s="37"/>
      <c r="AE5711" s="37"/>
      <c r="AF5711" s="37"/>
    </row>
    <row r="5712" spans="1:32" x14ac:dyDescent="0.25">
      <c r="A5712" s="37"/>
      <c r="B5712" s="37"/>
      <c r="C5712" s="37"/>
      <c r="F5712" s="38"/>
      <c r="G5712" s="38"/>
      <c r="H5712" s="38"/>
      <c r="I5712" s="37"/>
      <c r="J5712" s="38"/>
      <c r="K5712" s="38"/>
      <c r="L5712" s="42"/>
      <c r="M5712" s="42"/>
      <c r="N5712" s="42"/>
      <c r="O5712" s="42"/>
      <c r="R5712" s="37"/>
      <c r="S5712" s="37"/>
      <c r="T5712" s="91"/>
      <c r="U5712" s="91"/>
      <c r="V5712" s="41"/>
      <c r="W5712" s="37"/>
      <c r="X5712" s="37"/>
      <c r="Y5712" s="43"/>
      <c r="Z5712" s="37"/>
      <c r="AA5712" s="37"/>
      <c r="AD5712" s="37"/>
      <c r="AE5712" s="37"/>
      <c r="AF5712" s="37"/>
    </row>
    <row r="5713" spans="1:32" x14ac:dyDescent="0.25">
      <c r="A5713" s="37"/>
      <c r="B5713" s="37"/>
      <c r="C5713" s="37"/>
      <c r="F5713" s="38"/>
      <c r="G5713" s="38"/>
      <c r="H5713" s="38"/>
      <c r="I5713" s="37"/>
      <c r="J5713" s="38"/>
      <c r="K5713" s="38"/>
      <c r="L5713" s="42"/>
      <c r="M5713" s="42"/>
      <c r="N5713" s="42"/>
      <c r="O5713" s="42"/>
      <c r="R5713" s="37"/>
      <c r="S5713" s="37"/>
      <c r="T5713" s="91"/>
      <c r="U5713" s="91"/>
      <c r="V5713" s="41"/>
      <c r="W5713" s="37"/>
      <c r="X5713" s="37"/>
      <c r="Y5713" s="43"/>
      <c r="Z5713" s="37"/>
      <c r="AA5713" s="37"/>
      <c r="AD5713" s="37"/>
      <c r="AE5713" s="37"/>
      <c r="AF5713" s="37"/>
    </row>
    <row r="5714" spans="1:32" x14ac:dyDescent="0.25">
      <c r="A5714" s="37"/>
      <c r="B5714" s="37"/>
      <c r="C5714" s="37"/>
      <c r="F5714" s="38"/>
      <c r="G5714" s="38"/>
      <c r="H5714" s="38"/>
      <c r="I5714" s="37"/>
      <c r="J5714" s="38"/>
      <c r="K5714" s="38"/>
      <c r="L5714" s="42"/>
      <c r="M5714" s="42"/>
      <c r="N5714" s="42"/>
      <c r="O5714" s="42"/>
      <c r="R5714" s="37"/>
      <c r="S5714" s="37"/>
      <c r="T5714" s="91"/>
      <c r="U5714" s="91"/>
      <c r="V5714" s="41"/>
      <c r="W5714" s="37"/>
      <c r="X5714" s="37"/>
      <c r="Y5714" s="43"/>
      <c r="Z5714" s="37"/>
      <c r="AA5714" s="37"/>
      <c r="AD5714" s="37"/>
      <c r="AE5714" s="37"/>
      <c r="AF5714" s="37"/>
    </row>
    <row r="5715" spans="1:32" x14ac:dyDescent="0.25">
      <c r="A5715" s="37"/>
      <c r="B5715" s="37"/>
      <c r="C5715" s="37"/>
      <c r="F5715" s="38"/>
      <c r="G5715" s="38"/>
      <c r="H5715" s="38"/>
      <c r="I5715" s="37"/>
      <c r="J5715" s="38"/>
      <c r="K5715" s="38"/>
      <c r="L5715" s="42"/>
      <c r="M5715" s="42"/>
      <c r="N5715" s="42"/>
      <c r="O5715" s="42"/>
      <c r="R5715" s="37"/>
      <c r="S5715" s="37"/>
      <c r="T5715" s="91"/>
      <c r="U5715" s="91"/>
      <c r="V5715" s="41"/>
      <c r="W5715" s="37"/>
      <c r="X5715" s="37"/>
      <c r="Y5715" s="43"/>
      <c r="Z5715" s="37"/>
      <c r="AA5715" s="37"/>
      <c r="AD5715" s="37"/>
      <c r="AE5715" s="37"/>
      <c r="AF5715" s="37"/>
    </row>
    <row r="5716" spans="1:32" x14ac:dyDescent="0.25">
      <c r="A5716" s="37"/>
      <c r="B5716" s="37"/>
      <c r="C5716" s="37"/>
      <c r="F5716" s="38"/>
      <c r="G5716" s="38"/>
      <c r="H5716" s="38"/>
      <c r="I5716" s="37"/>
      <c r="J5716" s="38"/>
      <c r="K5716" s="38"/>
      <c r="L5716" s="42"/>
      <c r="M5716" s="42"/>
      <c r="N5716" s="42"/>
      <c r="O5716" s="42"/>
      <c r="R5716" s="37"/>
      <c r="S5716" s="37"/>
      <c r="T5716" s="91"/>
      <c r="U5716" s="91"/>
      <c r="V5716" s="41"/>
      <c r="W5716" s="37"/>
      <c r="X5716" s="37"/>
      <c r="Y5716" s="43"/>
      <c r="Z5716" s="37"/>
      <c r="AA5716" s="37"/>
      <c r="AD5716" s="37"/>
      <c r="AE5716" s="37"/>
      <c r="AF5716" s="37"/>
    </row>
    <row r="5717" spans="1:32" x14ac:dyDescent="0.25">
      <c r="A5717" s="37"/>
      <c r="B5717" s="37"/>
      <c r="C5717" s="37"/>
      <c r="F5717" s="38"/>
      <c r="G5717" s="38"/>
      <c r="H5717" s="38"/>
      <c r="I5717" s="37"/>
      <c r="J5717" s="38"/>
      <c r="K5717" s="38"/>
      <c r="L5717" s="42"/>
      <c r="M5717" s="42"/>
      <c r="N5717" s="42"/>
      <c r="O5717" s="42"/>
      <c r="R5717" s="37"/>
      <c r="S5717" s="37"/>
      <c r="T5717" s="91"/>
      <c r="U5717" s="91"/>
      <c r="V5717" s="41"/>
      <c r="W5717" s="37"/>
      <c r="X5717" s="37"/>
      <c r="Y5717" s="43"/>
      <c r="Z5717" s="37"/>
      <c r="AA5717" s="37"/>
      <c r="AD5717" s="37"/>
      <c r="AE5717" s="37"/>
      <c r="AF5717" s="37"/>
    </row>
    <row r="5718" spans="1:32" x14ac:dyDescent="0.25">
      <c r="A5718" s="37"/>
      <c r="B5718" s="37"/>
      <c r="C5718" s="37"/>
      <c r="F5718" s="38"/>
      <c r="G5718" s="38"/>
      <c r="H5718" s="38"/>
      <c r="I5718" s="37"/>
      <c r="J5718" s="38"/>
      <c r="K5718" s="38"/>
      <c r="L5718" s="42"/>
      <c r="M5718" s="42"/>
      <c r="N5718" s="42"/>
      <c r="O5718" s="42"/>
      <c r="R5718" s="37"/>
      <c r="S5718" s="37"/>
      <c r="T5718" s="91"/>
      <c r="U5718" s="91"/>
      <c r="V5718" s="41"/>
      <c r="W5718" s="37"/>
      <c r="X5718" s="37"/>
      <c r="Y5718" s="43"/>
      <c r="Z5718" s="37"/>
      <c r="AA5718" s="37"/>
      <c r="AD5718" s="37"/>
      <c r="AE5718" s="37"/>
      <c r="AF5718" s="37"/>
    </row>
    <row r="5719" spans="1:32" x14ac:dyDescent="0.25">
      <c r="A5719" s="37"/>
      <c r="B5719" s="37"/>
      <c r="C5719" s="37"/>
      <c r="F5719" s="38"/>
      <c r="G5719" s="38"/>
      <c r="H5719" s="38"/>
      <c r="I5719" s="37"/>
      <c r="J5719" s="38"/>
      <c r="K5719" s="38"/>
      <c r="L5719" s="42"/>
      <c r="M5719" s="42"/>
      <c r="N5719" s="42"/>
      <c r="O5719" s="42"/>
      <c r="R5719" s="37"/>
      <c r="S5719" s="37"/>
      <c r="T5719" s="91"/>
      <c r="U5719" s="91"/>
      <c r="V5719" s="41"/>
      <c r="W5719" s="37"/>
      <c r="X5719" s="37"/>
      <c r="Y5719" s="43"/>
      <c r="Z5719" s="37"/>
      <c r="AA5719" s="37"/>
      <c r="AD5719" s="37"/>
      <c r="AE5719" s="37"/>
      <c r="AF5719" s="37"/>
    </row>
    <row r="5720" spans="1:32" x14ac:dyDescent="0.25">
      <c r="A5720" s="37"/>
      <c r="B5720" s="37"/>
      <c r="C5720" s="37"/>
      <c r="F5720" s="38"/>
      <c r="G5720" s="38"/>
      <c r="H5720" s="38"/>
      <c r="I5720" s="37"/>
      <c r="J5720" s="38"/>
      <c r="K5720" s="38"/>
      <c r="L5720" s="42"/>
      <c r="M5720" s="42"/>
      <c r="N5720" s="42"/>
      <c r="O5720" s="42"/>
      <c r="R5720" s="37"/>
      <c r="S5720" s="37"/>
      <c r="T5720" s="91"/>
      <c r="U5720" s="91"/>
      <c r="V5720" s="41"/>
      <c r="W5720" s="37"/>
      <c r="X5720" s="37"/>
      <c r="Y5720" s="43"/>
      <c r="Z5720" s="37"/>
      <c r="AA5720" s="37"/>
      <c r="AD5720" s="37"/>
      <c r="AE5720" s="37"/>
      <c r="AF5720" s="37"/>
    </row>
    <row r="5721" spans="1:32" x14ac:dyDescent="0.25">
      <c r="A5721" s="37"/>
      <c r="B5721" s="37"/>
      <c r="C5721" s="37"/>
      <c r="F5721" s="38"/>
      <c r="G5721" s="38"/>
      <c r="H5721" s="38"/>
      <c r="I5721" s="37"/>
      <c r="J5721" s="38"/>
      <c r="K5721" s="38"/>
      <c r="L5721" s="42"/>
      <c r="M5721" s="42"/>
      <c r="N5721" s="42"/>
      <c r="O5721" s="42"/>
      <c r="R5721" s="37"/>
      <c r="S5721" s="37"/>
      <c r="T5721" s="91"/>
      <c r="U5721" s="91"/>
      <c r="V5721" s="41"/>
      <c r="W5721" s="37"/>
      <c r="X5721" s="37"/>
      <c r="Y5721" s="43"/>
      <c r="Z5721" s="37"/>
      <c r="AA5721" s="37"/>
      <c r="AD5721" s="37"/>
      <c r="AE5721" s="37"/>
      <c r="AF5721" s="37"/>
    </row>
    <row r="5722" spans="1:32" x14ac:dyDescent="0.25">
      <c r="A5722" s="37"/>
      <c r="B5722" s="37"/>
      <c r="C5722" s="37"/>
      <c r="F5722" s="38"/>
      <c r="G5722" s="38"/>
      <c r="H5722" s="38"/>
      <c r="I5722" s="37"/>
      <c r="J5722" s="38"/>
      <c r="K5722" s="38"/>
      <c r="L5722" s="42"/>
      <c r="M5722" s="42"/>
      <c r="N5722" s="42"/>
      <c r="O5722" s="42"/>
      <c r="R5722" s="37"/>
      <c r="S5722" s="37"/>
      <c r="T5722" s="91"/>
      <c r="U5722" s="91"/>
      <c r="V5722" s="41"/>
      <c r="W5722" s="37"/>
      <c r="X5722" s="37"/>
      <c r="Y5722" s="43"/>
      <c r="Z5722" s="37"/>
      <c r="AA5722" s="37"/>
      <c r="AD5722" s="37"/>
      <c r="AE5722" s="37"/>
      <c r="AF5722" s="37"/>
    </row>
    <row r="5723" spans="1:32" x14ac:dyDescent="0.25">
      <c r="A5723" s="37"/>
      <c r="B5723" s="37"/>
      <c r="C5723" s="37"/>
      <c r="F5723" s="38"/>
      <c r="G5723" s="38"/>
      <c r="H5723" s="38"/>
      <c r="I5723" s="37"/>
      <c r="J5723" s="38"/>
      <c r="K5723" s="38"/>
      <c r="L5723" s="42"/>
      <c r="M5723" s="42"/>
      <c r="N5723" s="42"/>
      <c r="O5723" s="42"/>
      <c r="R5723" s="37"/>
      <c r="S5723" s="37"/>
      <c r="T5723" s="91"/>
      <c r="U5723" s="91"/>
      <c r="V5723" s="41"/>
      <c r="W5723" s="37"/>
      <c r="X5723" s="37"/>
      <c r="Y5723" s="43"/>
      <c r="Z5723" s="37"/>
      <c r="AA5723" s="37"/>
      <c r="AD5723" s="37"/>
      <c r="AE5723" s="37"/>
      <c r="AF5723" s="37"/>
    </row>
    <row r="5724" spans="1:32" x14ac:dyDescent="0.25">
      <c r="A5724" s="37"/>
      <c r="B5724" s="37"/>
      <c r="C5724" s="37"/>
      <c r="F5724" s="38"/>
      <c r="G5724" s="38"/>
      <c r="H5724" s="38"/>
      <c r="I5724" s="37"/>
      <c r="J5724" s="38"/>
      <c r="K5724" s="38"/>
      <c r="L5724" s="42"/>
      <c r="M5724" s="42"/>
      <c r="N5724" s="42"/>
      <c r="O5724" s="42"/>
      <c r="R5724" s="37"/>
      <c r="S5724" s="37"/>
      <c r="T5724" s="91"/>
      <c r="U5724" s="91"/>
      <c r="V5724" s="41"/>
      <c r="W5724" s="37"/>
      <c r="X5724" s="37"/>
      <c r="Y5724" s="43"/>
      <c r="Z5724" s="37"/>
      <c r="AA5724" s="37"/>
      <c r="AD5724" s="37"/>
      <c r="AE5724" s="37"/>
      <c r="AF5724" s="37"/>
    </row>
    <row r="5725" spans="1:32" x14ac:dyDescent="0.25">
      <c r="A5725" s="37"/>
      <c r="B5725" s="37"/>
      <c r="C5725" s="37"/>
      <c r="F5725" s="38"/>
      <c r="G5725" s="38"/>
      <c r="H5725" s="38"/>
      <c r="I5725" s="37"/>
      <c r="J5725" s="38"/>
      <c r="K5725" s="38"/>
      <c r="L5725" s="42"/>
      <c r="M5725" s="42"/>
      <c r="N5725" s="42"/>
      <c r="O5725" s="42"/>
      <c r="R5725" s="37"/>
      <c r="S5725" s="37"/>
      <c r="T5725" s="91"/>
      <c r="U5725" s="91"/>
      <c r="V5725" s="41"/>
      <c r="W5725" s="37"/>
      <c r="X5725" s="37"/>
      <c r="Y5725" s="43"/>
      <c r="Z5725" s="37"/>
      <c r="AA5725" s="37"/>
      <c r="AD5725" s="37"/>
      <c r="AE5725" s="37"/>
      <c r="AF5725" s="37"/>
    </row>
    <row r="5726" spans="1:32" x14ac:dyDescent="0.25">
      <c r="A5726" s="37"/>
      <c r="B5726" s="37"/>
      <c r="C5726" s="37"/>
      <c r="F5726" s="38"/>
      <c r="G5726" s="38"/>
      <c r="H5726" s="38"/>
      <c r="I5726" s="37"/>
      <c r="J5726" s="38"/>
      <c r="K5726" s="38"/>
      <c r="L5726" s="42"/>
      <c r="M5726" s="42"/>
      <c r="N5726" s="42"/>
      <c r="O5726" s="42"/>
      <c r="R5726" s="37"/>
      <c r="S5726" s="37"/>
      <c r="T5726" s="91"/>
      <c r="U5726" s="91"/>
      <c r="V5726" s="41"/>
      <c r="W5726" s="37"/>
      <c r="X5726" s="37"/>
      <c r="Y5726" s="43"/>
      <c r="Z5726" s="37"/>
      <c r="AA5726" s="37"/>
      <c r="AD5726" s="37"/>
      <c r="AE5726" s="37"/>
      <c r="AF5726" s="37"/>
    </row>
    <row r="5727" spans="1:32" x14ac:dyDescent="0.25">
      <c r="A5727" s="37"/>
      <c r="B5727" s="37"/>
      <c r="C5727" s="37"/>
      <c r="F5727" s="38"/>
      <c r="G5727" s="38"/>
      <c r="H5727" s="38"/>
      <c r="I5727" s="37"/>
      <c r="J5727" s="38"/>
      <c r="K5727" s="38"/>
      <c r="L5727" s="42"/>
      <c r="M5727" s="42"/>
      <c r="N5727" s="42"/>
      <c r="O5727" s="42"/>
      <c r="R5727" s="37"/>
      <c r="S5727" s="37"/>
      <c r="T5727" s="91"/>
      <c r="U5727" s="91"/>
      <c r="V5727" s="41"/>
      <c r="W5727" s="37"/>
      <c r="X5727" s="37"/>
      <c r="Y5727" s="43"/>
      <c r="Z5727" s="37"/>
      <c r="AA5727" s="37"/>
      <c r="AD5727" s="37"/>
      <c r="AE5727" s="37"/>
      <c r="AF5727" s="37"/>
    </row>
    <row r="5728" spans="1:32" x14ac:dyDescent="0.25">
      <c r="A5728" s="37"/>
      <c r="B5728" s="37"/>
      <c r="C5728" s="37"/>
      <c r="F5728" s="38"/>
      <c r="G5728" s="38"/>
      <c r="H5728" s="38"/>
      <c r="I5728" s="37"/>
      <c r="J5728" s="38"/>
      <c r="K5728" s="38"/>
      <c r="L5728" s="42"/>
      <c r="M5728" s="42"/>
      <c r="N5728" s="42"/>
      <c r="O5728" s="42"/>
      <c r="R5728" s="37"/>
      <c r="S5728" s="37"/>
      <c r="T5728" s="91"/>
      <c r="U5728" s="91"/>
      <c r="V5728" s="41"/>
      <c r="W5728" s="37"/>
      <c r="X5728" s="37"/>
      <c r="Y5728" s="43"/>
      <c r="Z5728" s="37"/>
      <c r="AA5728" s="37"/>
      <c r="AD5728" s="37"/>
      <c r="AE5728" s="37"/>
      <c r="AF5728" s="37"/>
    </row>
    <row r="5729" spans="1:32" x14ac:dyDescent="0.25">
      <c r="A5729" s="37"/>
      <c r="B5729" s="37"/>
      <c r="C5729" s="37"/>
      <c r="F5729" s="38"/>
      <c r="G5729" s="38"/>
      <c r="H5729" s="38"/>
      <c r="I5729" s="37"/>
      <c r="J5729" s="38"/>
      <c r="K5729" s="38"/>
      <c r="L5729" s="42"/>
      <c r="M5729" s="42"/>
      <c r="N5729" s="42"/>
      <c r="O5729" s="42"/>
      <c r="R5729" s="37"/>
      <c r="S5729" s="37"/>
      <c r="T5729" s="91"/>
      <c r="U5729" s="91"/>
      <c r="V5729" s="41"/>
      <c r="W5729" s="37"/>
      <c r="X5729" s="37"/>
      <c r="Y5729" s="43"/>
      <c r="Z5729" s="37"/>
      <c r="AA5729" s="37"/>
      <c r="AD5729" s="37"/>
      <c r="AE5729" s="37"/>
      <c r="AF5729" s="37"/>
    </row>
    <row r="5730" spans="1:32" x14ac:dyDescent="0.25">
      <c r="A5730" s="37"/>
      <c r="B5730" s="37"/>
      <c r="C5730" s="37"/>
      <c r="F5730" s="38"/>
      <c r="G5730" s="38"/>
      <c r="H5730" s="38"/>
      <c r="I5730" s="37"/>
      <c r="J5730" s="38"/>
      <c r="K5730" s="38"/>
      <c r="L5730" s="42"/>
      <c r="M5730" s="42"/>
      <c r="N5730" s="42"/>
      <c r="O5730" s="42"/>
      <c r="R5730" s="37"/>
      <c r="S5730" s="37"/>
      <c r="T5730" s="91"/>
      <c r="U5730" s="91"/>
      <c r="V5730" s="41"/>
      <c r="W5730" s="37"/>
      <c r="X5730" s="37"/>
      <c r="Y5730" s="43"/>
      <c r="Z5730" s="37"/>
      <c r="AA5730" s="37"/>
      <c r="AD5730" s="37"/>
      <c r="AE5730" s="37"/>
      <c r="AF5730" s="37"/>
    </row>
    <row r="5731" spans="1:32" x14ac:dyDescent="0.25">
      <c r="A5731" s="37"/>
      <c r="B5731" s="37"/>
      <c r="C5731" s="37"/>
      <c r="F5731" s="38"/>
      <c r="G5731" s="38"/>
      <c r="H5731" s="38"/>
      <c r="I5731" s="37"/>
      <c r="J5731" s="38"/>
      <c r="K5731" s="38"/>
      <c r="L5731" s="42"/>
      <c r="M5731" s="42"/>
      <c r="N5731" s="42"/>
      <c r="O5731" s="42"/>
      <c r="R5731" s="37"/>
      <c r="S5731" s="37"/>
      <c r="T5731" s="91"/>
      <c r="U5731" s="91"/>
      <c r="V5731" s="41"/>
      <c r="W5731" s="37"/>
      <c r="X5731" s="37"/>
      <c r="Y5731" s="43"/>
      <c r="Z5731" s="37"/>
      <c r="AA5731" s="37"/>
      <c r="AD5731" s="37"/>
      <c r="AE5731" s="37"/>
      <c r="AF5731" s="37"/>
    </row>
    <row r="5732" spans="1:32" x14ac:dyDescent="0.25">
      <c r="A5732" s="37"/>
      <c r="B5732" s="37"/>
      <c r="C5732" s="37"/>
      <c r="F5732" s="38"/>
      <c r="G5732" s="38"/>
      <c r="H5732" s="38"/>
      <c r="I5732" s="37"/>
      <c r="J5732" s="38"/>
      <c r="K5732" s="38"/>
      <c r="L5732" s="42"/>
      <c r="M5732" s="42"/>
      <c r="N5732" s="42"/>
      <c r="O5732" s="42"/>
      <c r="R5732" s="37"/>
      <c r="S5732" s="37"/>
      <c r="T5732" s="91"/>
      <c r="U5732" s="91"/>
      <c r="V5732" s="41"/>
      <c r="W5732" s="37"/>
      <c r="X5732" s="37"/>
      <c r="Y5732" s="43"/>
      <c r="Z5732" s="37"/>
      <c r="AA5732" s="37"/>
      <c r="AD5732" s="37"/>
      <c r="AE5732" s="37"/>
      <c r="AF5732" s="37"/>
    </row>
    <row r="5733" spans="1:32" x14ac:dyDescent="0.25">
      <c r="A5733" s="37"/>
      <c r="B5733" s="37"/>
      <c r="C5733" s="37"/>
      <c r="F5733" s="38"/>
      <c r="G5733" s="38"/>
      <c r="H5733" s="38"/>
      <c r="I5733" s="37"/>
      <c r="J5733" s="38"/>
      <c r="K5733" s="38"/>
      <c r="L5733" s="42"/>
      <c r="M5733" s="42"/>
      <c r="N5733" s="42"/>
      <c r="O5733" s="42"/>
      <c r="R5733" s="37"/>
      <c r="S5733" s="37"/>
      <c r="T5733" s="91"/>
      <c r="U5733" s="91"/>
      <c r="V5733" s="41"/>
      <c r="W5733" s="37"/>
      <c r="X5733" s="37"/>
      <c r="Y5733" s="43"/>
      <c r="Z5733" s="37"/>
      <c r="AA5733" s="37"/>
      <c r="AD5733" s="37"/>
      <c r="AE5733" s="37"/>
      <c r="AF5733" s="37"/>
    </row>
    <row r="5734" spans="1:32" x14ac:dyDescent="0.25">
      <c r="A5734" s="37"/>
      <c r="B5734" s="37"/>
      <c r="C5734" s="37"/>
      <c r="F5734" s="38"/>
      <c r="G5734" s="38"/>
      <c r="H5734" s="38"/>
      <c r="I5734" s="37"/>
      <c r="J5734" s="38"/>
      <c r="K5734" s="38"/>
      <c r="L5734" s="42"/>
      <c r="M5734" s="42"/>
      <c r="N5734" s="42"/>
      <c r="O5734" s="42"/>
      <c r="R5734" s="37"/>
      <c r="S5734" s="37"/>
      <c r="T5734" s="91"/>
      <c r="U5734" s="91"/>
      <c r="V5734" s="41"/>
      <c r="W5734" s="37"/>
      <c r="X5734" s="37"/>
      <c r="Y5734" s="43"/>
      <c r="Z5734" s="37"/>
      <c r="AA5734" s="37"/>
      <c r="AD5734" s="37"/>
      <c r="AE5734" s="37"/>
      <c r="AF5734" s="37"/>
    </row>
    <row r="5735" spans="1:32" x14ac:dyDescent="0.25">
      <c r="A5735" s="37"/>
      <c r="B5735" s="37"/>
      <c r="C5735" s="37"/>
      <c r="F5735" s="38"/>
      <c r="G5735" s="38"/>
      <c r="H5735" s="38"/>
      <c r="I5735" s="37"/>
      <c r="J5735" s="38"/>
      <c r="K5735" s="38"/>
      <c r="L5735" s="42"/>
      <c r="M5735" s="42"/>
      <c r="N5735" s="42"/>
      <c r="O5735" s="42"/>
      <c r="R5735" s="37"/>
      <c r="S5735" s="37"/>
      <c r="T5735" s="91"/>
      <c r="U5735" s="91"/>
      <c r="V5735" s="41"/>
      <c r="W5735" s="37"/>
      <c r="X5735" s="37"/>
      <c r="Y5735" s="43"/>
      <c r="Z5735" s="37"/>
      <c r="AA5735" s="37"/>
      <c r="AD5735" s="37"/>
      <c r="AE5735" s="37"/>
      <c r="AF5735" s="37"/>
    </row>
    <row r="5736" spans="1:32" x14ac:dyDescent="0.25">
      <c r="A5736" s="37"/>
      <c r="B5736" s="37"/>
      <c r="C5736" s="37"/>
      <c r="F5736" s="38"/>
      <c r="G5736" s="38"/>
      <c r="H5736" s="38"/>
      <c r="I5736" s="37"/>
      <c r="J5736" s="38"/>
      <c r="K5736" s="38"/>
      <c r="L5736" s="42"/>
      <c r="M5736" s="42"/>
      <c r="N5736" s="42"/>
      <c r="O5736" s="42"/>
      <c r="R5736" s="37"/>
      <c r="S5736" s="37"/>
      <c r="T5736" s="91"/>
      <c r="U5736" s="91"/>
      <c r="V5736" s="41"/>
      <c r="W5736" s="37"/>
      <c r="X5736" s="37"/>
      <c r="Y5736" s="43"/>
      <c r="Z5736" s="37"/>
      <c r="AA5736" s="37"/>
      <c r="AD5736" s="37"/>
      <c r="AE5736" s="37"/>
      <c r="AF5736" s="37"/>
    </row>
    <row r="5737" spans="1:32" x14ac:dyDescent="0.25">
      <c r="A5737" s="37"/>
      <c r="B5737" s="37"/>
      <c r="C5737" s="37"/>
      <c r="F5737" s="38"/>
      <c r="G5737" s="38"/>
      <c r="H5737" s="38"/>
      <c r="I5737" s="37"/>
      <c r="J5737" s="38"/>
      <c r="K5737" s="38"/>
      <c r="L5737" s="42"/>
      <c r="M5737" s="42"/>
      <c r="N5737" s="42"/>
      <c r="O5737" s="42"/>
      <c r="R5737" s="37"/>
      <c r="S5737" s="37"/>
      <c r="T5737" s="91"/>
      <c r="U5737" s="91"/>
      <c r="V5737" s="41"/>
      <c r="W5737" s="37"/>
      <c r="X5737" s="37"/>
      <c r="Y5737" s="43"/>
      <c r="Z5737" s="37"/>
      <c r="AA5737" s="37"/>
      <c r="AD5737" s="37"/>
      <c r="AE5737" s="37"/>
      <c r="AF5737" s="37"/>
    </row>
    <row r="5738" spans="1:32" x14ac:dyDescent="0.25">
      <c r="A5738" s="37"/>
      <c r="B5738" s="37"/>
      <c r="C5738" s="37"/>
      <c r="F5738" s="38"/>
      <c r="G5738" s="38"/>
      <c r="H5738" s="38"/>
      <c r="I5738" s="37"/>
      <c r="J5738" s="38"/>
      <c r="K5738" s="38"/>
      <c r="L5738" s="42"/>
      <c r="M5738" s="42"/>
      <c r="N5738" s="42"/>
      <c r="O5738" s="42"/>
      <c r="R5738" s="37"/>
      <c r="S5738" s="37"/>
      <c r="T5738" s="91"/>
      <c r="U5738" s="91"/>
      <c r="V5738" s="41"/>
      <c r="W5738" s="37"/>
      <c r="X5738" s="37"/>
      <c r="Y5738" s="43"/>
      <c r="Z5738" s="37"/>
      <c r="AA5738" s="37"/>
      <c r="AD5738" s="37"/>
      <c r="AE5738" s="37"/>
      <c r="AF5738" s="37"/>
    </row>
    <row r="5739" spans="1:32" x14ac:dyDescent="0.25">
      <c r="A5739" s="37"/>
      <c r="B5739" s="37"/>
      <c r="C5739" s="37"/>
      <c r="F5739" s="38"/>
      <c r="G5739" s="38"/>
      <c r="H5739" s="38"/>
      <c r="I5739" s="37"/>
      <c r="J5739" s="38"/>
      <c r="K5739" s="38"/>
      <c r="L5739" s="42"/>
      <c r="M5739" s="42"/>
      <c r="N5739" s="42"/>
      <c r="O5739" s="42"/>
      <c r="R5739" s="37"/>
      <c r="S5739" s="37"/>
      <c r="T5739" s="91"/>
      <c r="U5739" s="91"/>
      <c r="V5739" s="41"/>
      <c r="W5739" s="37"/>
      <c r="X5739" s="37"/>
      <c r="Y5739" s="43"/>
      <c r="Z5739" s="37"/>
      <c r="AA5739" s="37"/>
      <c r="AD5739" s="37"/>
      <c r="AE5739" s="37"/>
      <c r="AF5739" s="37"/>
    </row>
    <row r="5740" spans="1:32" x14ac:dyDescent="0.25">
      <c r="A5740" s="37"/>
      <c r="B5740" s="37"/>
      <c r="C5740" s="37"/>
      <c r="F5740" s="38"/>
      <c r="G5740" s="38"/>
      <c r="H5740" s="38"/>
      <c r="I5740" s="37"/>
      <c r="J5740" s="38"/>
      <c r="K5740" s="38"/>
      <c r="L5740" s="42"/>
      <c r="M5740" s="42"/>
      <c r="N5740" s="42"/>
      <c r="O5740" s="42"/>
      <c r="R5740" s="37"/>
      <c r="S5740" s="37"/>
      <c r="T5740" s="91"/>
      <c r="U5740" s="91"/>
      <c r="V5740" s="41"/>
      <c r="W5740" s="37"/>
      <c r="X5740" s="37"/>
      <c r="Y5740" s="43"/>
      <c r="Z5740" s="37"/>
      <c r="AA5740" s="37"/>
      <c r="AD5740" s="37"/>
      <c r="AE5740" s="37"/>
      <c r="AF5740" s="37"/>
    </row>
    <row r="5741" spans="1:32" x14ac:dyDescent="0.25">
      <c r="A5741" s="37"/>
      <c r="B5741" s="37"/>
      <c r="C5741" s="37"/>
      <c r="F5741" s="38"/>
      <c r="G5741" s="38"/>
      <c r="H5741" s="38"/>
      <c r="I5741" s="37"/>
      <c r="J5741" s="38"/>
      <c r="K5741" s="38"/>
      <c r="L5741" s="42"/>
      <c r="M5741" s="42"/>
      <c r="N5741" s="42"/>
      <c r="O5741" s="42"/>
      <c r="R5741" s="37"/>
      <c r="S5741" s="37"/>
      <c r="T5741" s="91"/>
      <c r="U5741" s="91"/>
      <c r="V5741" s="41"/>
      <c r="W5741" s="37"/>
      <c r="X5741" s="37"/>
      <c r="Y5741" s="43"/>
      <c r="Z5741" s="37"/>
      <c r="AA5741" s="37"/>
      <c r="AD5741" s="37"/>
      <c r="AE5741" s="37"/>
      <c r="AF5741" s="37"/>
    </row>
    <row r="5742" spans="1:32" x14ac:dyDescent="0.25">
      <c r="A5742" s="37"/>
      <c r="B5742" s="37"/>
      <c r="C5742" s="37"/>
      <c r="F5742" s="38"/>
      <c r="G5742" s="38"/>
      <c r="H5742" s="38"/>
      <c r="I5742" s="37"/>
      <c r="J5742" s="38"/>
      <c r="K5742" s="38"/>
      <c r="L5742" s="42"/>
      <c r="M5742" s="42"/>
      <c r="N5742" s="42"/>
      <c r="O5742" s="42"/>
      <c r="R5742" s="37"/>
      <c r="S5742" s="37"/>
      <c r="T5742" s="91"/>
      <c r="U5742" s="91"/>
      <c r="V5742" s="41"/>
      <c r="W5742" s="37"/>
      <c r="X5742" s="37"/>
      <c r="Y5742" s="43"/>
      <c r="Z5742" s="37"/>
      <c r="AA5742" s="37"/>
      <c r="AD5742" s="37"/>
      <c r="AE5742" s="37"/>
      <c r="AF5742" s="37"/>
    </row>
    <row r="5743" spans="1:32" x14ac:dyDescent="0.25">
      <c r="A5743" s="37"/>
      <c r="B5743" s="37"/>
      <c r="C5743" s="37"/>
      <c r="F5743" s="38"/>
      <c r="G5743" s="38"/>
      <c r="H5743" s="38"/>
      <c r="I5743" s="37"/>
      <c r="J5743" s="38"/>
      <c r="K5743" s="38"/>
      <c r="L5743" s="42"/>
      <c r="M5743" s="42"/>
      <c r="N5743" s="42"/>
      <c r="O5743" s="42"/>
      <c r="R5743" s="37"/>
      <c r="S5743" s="37"/>
      <c r="T5743" s="91"/>
      <c r="U5743" s="91"/>
      <c r="V5743" s="41"/>
      <c r="W5743" s="37"/>
      <c r="X5743" s="37"/>
      <c r="Y5743" s="43"/>
      <c r="Z5743" s="37"/>
      <c r="AA5743" s="37"/>
      <c r="AD5743" s="37"/>
      <c r="AE5743" s="37"/>
      <c r="AF5743" s="37"/>
    </row>
    <row r="5744" spans="1:32" x14ac:dyDescent="0.25">
      <c r="A5744" s="37"/>
      <c r="B5744" s="37"/>
      <c r="C5744" s="37"/>
      <c r="F5744" s="38"/>
      <c r="G5744" s="38"/>
      <c r="H5744" s="38"/>
      <c r="I5744" s="37"/>
      <c r="J5744" s="38"/>
      <c r="K5744" s="38"/>
      <c r="L5744" s="42"/>
      <c r="M5744" s="42"/>
      <c r="N5744" s="42"/>
      <c r="O5744" s="42"/>
      <c r="R5744" s="37"/>
      <c r="S5744" s="37"/>
      <c r="T5744" s="91"/>
      <c r="U5744" s="91"/>
      <c r="V5744" s="41"/>
      <c r="W5744" s="37"/>
      <c r="X5744" s="37"/>
      <c r="Y5744" s="43"/>
      <c r="Z5744" s="37"/>
      <c r="AA5744" s="37"/>
      <c r="AD5744" s="37"/>
      <c r="AE5744" s="37"/>
      <c r="AF5744" s="37"/>
    </row>
    <row r="5745" spans="1:32" x14ac:dyDescent="0.25">
      <c r="A5745" s="37"/>
      <c r="B5745" s="37"/>
      <c r="C5745" s="37"/>
      <c r="F5745" s="38"/>
      <c r="G5745" s="38"/>
      <c r="H5745" s="38"/>
      <c r="I5745" s="37"/>
      <c r="J5745" s="38"/>
      <c r="K5745" s="38"/>
      <c r="L5745" s="42"/>
      <c r="M5745" s="42"/>
      <c r="N5745" s="42"/>
      <c r="O5745" s="42"/>
      <c r="R5745" s="37"/>
      <c r="S5745" s="37"/>
      <c r="T5745" s="91"/>
      <c r="U5745" s="91"/>
      <c r="V5745" s="41"/>
      <c r="W5745" s="37"/>
      <c r="X5745" s="37"/>
      <c r="Y5745" s="43"/>
      <c r="Z5745" s="37"/>
      <c r="AA5745" s="37"/>
      <c r="AD5745" s="37"/>
      <c r="AE5745" s="37"/>
      <c r="AF5745" s="37"/>
    </row>
    <row r="5746" spans="1:32" x14ac:dyDescent="0.25">
      <c r="A5746" s="37"/>
      <c r="B5746" s="37"/>
      <c r="C5746" s="37"/>
      <c r="F5746" s="38"/>
      <c r="G5746" s="38"/>
      <c r="H5746" s="38"/>
      <c r="I5746" s="37"/>
      <c r="J5746" s="38"/>
      <c r="K5746" s="38"/>
      <c r="L5746" s="42"/>
      <c r="M5746" s="42"/>
      <c r="N5746" s="42"/>
      <c r="O5746" s="42"/>
      <c r="R5746" s="37"/>
      <c r="S5746" s="37"/>
      <c r="T5746" s="91"/>
      <c r="U5746" s="91"/>
      <c r="V5746" s="41"/>
      <c r="W5746" s="37"/>
      <c r="X5746" s="37"/>
      <c r="Y5746" s="43"/>
      <c r="Z5746" s="37"/>
      <c r="AA5746" s="37"/>
      <c r="AD5746" s="37"/>
      <c r="AE5746" s="37"/>
      <c r="AF5746" s="37"/>
    </row>
    <row r="5747" spans="1:32" x14ac:dyDescent="0.25">
      <c r="A5747" s="37"/>
      <c r="B5747" s="37"/>
      <c r="C5747" s="37"/>
      <c r="F5747" s="38"/>
      <c r="G5747" s="38"/>
      <c r="H5747" s="38"/>
      <c r="I5747" s="37"/>
      <c r="J5747" s="38"/>
      <c r="K5747" s="38"/>
      <c r="L5747" s="42"/>
      <c r="M5747" s="42"/>
      <c r="N5747" s="42"/>
      <c r="O5747" s="42"/>
      <c r="R5747" s="37"/>
      <c r="S5747" s="37"/>
      <c r="T5747" s="91"/>
      <c r="U5747" s="91"/>
      <c r="V5747" s="41"/>
      <c r="W5747" s="37"/>
      <c r="X5747" s="37"/>
      <c r="Y5747" s="43"/>
      <c r="Z5747" s="37"/>
      <c r="AA5747" s="37"/>
      <c r="AD5747" s="37"/>
      <c r="AE5747" s="37"/>
      <c r="AF5747" s="37"/>
    </row>
    <row r="5748" spans="1:32" x14ac:dyDescent="0.25">
      <c r="A5748" s="37"/>
      <c r="B5748" s="37"/>
      <c r="C5748" s="37"/>
      <c r="F5748" s="38"/>
      <c r="G5748" s="38"/>
      <c r="H5748" s="38"/>
      <c r="I5748" s="37"/>
      <c r="J5748" s="38"/>
      <c r="K5748" s="38"/>
      <c r="L5748" s="42"/>
      <c r="M5748" s="42"/>
      <c r="N5748" s="42"/>
      <c r="O5748" s="42"/>
      <c r="R5748" s="37"/>
      <c r="S5748" s="37"/>
      <c r="T5748" s="91"/>
      <c r="U5748" s="91"/>
      <c r="V5748" s="41"/>
      <c r="W5748" s="37"/>
      <c r="X5748" s="37"/>
      <c r="Y5748" s="43"/>
      <c r="Z5748" s="37"/>
      <c r="AA5748" s="37"/>
      <c r="AD5748" s="37"/>
      <c r="AE5748" s="37"/>
      <c r="AF5748" s="37"/>
    </row>
    <row r="5749" spans="1:32" x14ac:dyDescent="0.25">
      <c r="A5749" s="37"/>
      <c r="B5749" s="37"/>
      <c r="C5749" s="37"/>
      <c r="F5749" s="38"/>
      <c r="G5749" s="38"/>
      <c r="H5749" s="38"/>
      <c r="I5749" s="37"/>
      <c r="J5749" s="38"/>
      <c r="K5749" s="38"/>
      <c r="L5749" s="42"/>
      <c r="M5749" s="42"/>
      <c r="N5749" s="42"/>
      <c r="O5749" s="42"/>
      <c r="R5749" s="37"/>
      <c r="S5749" s="37"/>
      <c r="T5749" s="91"/>
      <c r="U5749" s="91"/>
      <c r="V5749" s="41"/>
      <c r="W5749" s="37"/>
      <c r="X5749" s="37"/>
      <c r="Y5749" s="43"/>
      <c r="Z5749" s="37"/>
      <c r="AA5749" s="37"/>
      <c r="AD5749" s="37"/>
      <c r="AE5749" s="37"/>
      <c r="AF5749" s="37"/>
    </row>
    <row r="5750" spans="1:32" x14ac:dyDescent="0.25">
      <c r="A5750" s="37"/>
      <c r="B5750" s="37"/>
      <c r="C5750" s="37"/>
      <c r="F5750" s="38"/>
      <c r="G5750" s="38"/>
      <c r="H5750" s="38"/>
      <c r="I5750" s="37"/>
      <c r="J5750" s="38"/>
      <c r="K5750" s="38"/>
      <c r="L5750" s="42"/>
      <c r="M5750" s="42"/>
      <c r="N5750" s="42"/>
      <c r="O5750" s="42"/>
      <c r="R5750" s="37"/>
      <c r="S5750" s="37"/>
      <c r="T5750" s="91"/>
      <c r="U5750" s="91"/>
      <c r="V5750" s="41"/>
      <c r="W5750" s="37"/>
      <c r="X5750" s="37"/>
      <c r="Y5750" s="43"/>
      <c r="Z5750" s="37"/>
      <c r="AA5750" s="37"/>
      <c r="AD5750" s="37"/>
      <c r="AE5750" s="37"/>
      <c r="AF5750" s="37"/>
    </row>
    <row r="5751" spans="1:32" x14ac:dyDescent="0.25">
      <c r="A5751" s="37"/>
      <c r="B5751" s="37"/>
      <c r="C5751" s="37"/>
      <c r="F5751" s="38"/>
      <c r="G5751" s="38"/>
      <c r="H5751" s="38"/>
      <c r="I5751" s="37"/>
      <c r="J5751" s="38"/>
      <c r="K5751" s="38"/>
      <c r="L5751" s="42"/>
      <c r="M5751" s="42"/>
      <c r="N5751" s="42"/>
      <c r="O5751" s="42"/>
      <c r="R5751" s="37"/>
      <c r="S5751" s="37"/>
      <c r="T5751" s="91"/>
      <c r="U5751" s="91"/>
      <c r="V5751" s="41"/>
      <c r="W5751" s="37"/>
      <c r="X5751" s="37"/>
      <c r="Y5751" s="43"/>
      <c r="Z5751" s="37"/>
      <c r="AA5751" s="37"/>
      <c r="AD5751" s="37"/>
      <c r="AE5751" s="37"/>
      <c r="AF5751" s="37"/>
    </row>
    <row r="5752" spans="1:32" x14ac:dyDescent="0.25">
      <c r="A5752" s="37"/>
      <c r="B5752" s="37"/>
      <c r="C5752" s="37"/>
      <c r="F5752" s="38"/>
      <c r="G5752" s="38"/>
      <c r="H5752" s="38"/>
      <c r="I5752" s="37"/>
      <c r="J5752" s="38"/>
      <c r="K5752" s="38"/>
      <c r="L5752" s="42"/>
      <c r="M5752" s="42"/>
      <c r="N5752" s="42"/>
      <c r="O5752" s="42"/>
      <c r="R5752" s="37"/>
      <c r="S5752" s="37"/>
      <c r="T5752" s="91"/>
      <c r="U5752" s="91"/>
      <c r="V5752" s="41"/>
      <c r="W5752" s="37"/>
      <c r="X5752" s="37"/>
      <c r="Y5752" s="43"/>
      <c r="Z5752" s="37"/>
      <c r="AA5752" s="37"/>
      <c r="AD5752" s="37"/>
      <c r="AE5752" s="37"/>
      <c r="AF5752" s="37"/>
    </row>
    <row r="5753" spans="1:32" x14ac:dyDescent="0.25">
      <c r="A5753" s="37"/>
      <c r="B5753" s="37"/>
      <c r="C5753" s="37"/>
      <c r="F5753" s="38"/>
      <c r="G5753" s="38"/>
      <c r="H5753" s="38"/>
      <c r="I5753" s="37"/>
      <c r="J5753" s="38"/>
      <c r="K5753" s="38"/>
      <c r="L5753" s="42"/>
      <c r="M5753" s="42"/>
      <c r="N5753" s="42"/>
      <c r="O5753" s="42"/>
      <c r="R5753" s="37"/>
      <c r="S5753" s="37"/>
      <c r="T5753" s="91"/>
      <c r="U5753" s="91"/>
      <c r="V5753" s="41"/>
      <c r="W5753" s="37"/>
      <c r="X5753" s="37"/>
      <c r="Y5753" s="43"/>
      <c r="Z5753" s="37"/>
      <c r="AA5753" s="37"/>
      <c r="AD5753" s="37"/>
      <c r="AE5753" s="37"/>
      <c r="AF5753" s="37"/>
    </row>
    <row r="5754" spans="1:32" x14ac:dyDescent="0.25">
      <c r="A5754" s="37"/>
      <c r="B5754" s="37"/>
      <c r="C5754" s="37"/>
      <c r="F5754" s="38"/>
      <c r="G5754" s="38"/>
      <c r="H5754" s="38"/>
      <c r="I5754" s="37"/>
      <c r="J5754" s="38"/>
      <c r="K5754" s="38"/>
      <c r="L5754" s="42"/>
      <c r="M5754" s="42"/>
      <c r="N5754" s="42"/>
      <c r="O5754" s="42"/>
      <c r="R5754" s="37"/>
      <c r="S5754" s="37"/>
      <c r="T5754" s="91"/>
      <c r="U5754" s="91"/>
      <c r="V5754" s="41"/>
      <c r="W5754" s="37"/>
      <c r="X5754" s="37"/>
      <c r="Y5754" s="43"/>
      <c r="Z5754" s="37"/>
      <c r="AA5754" s="37"/>
      <c r="AD5754" s="37"/>
      <c r="AE5754" s="37"/>
      <c r="AF5754" s="37"/>
    </row>
    <row r="5755" spans="1:32" x14ac:dyDescent="0.25">
      <c r="A5755" s="37"/>
      <c r="B5755" s="37"/>
      <c r="C5755" s="37"/>
      <c r="F5755" s="38"/>
      <c r="G5755" s="38"/>
      <c r="H5755" s="38"/>
      <c r="I5755" s="37"/>
      <c r="J5755" s="38"/>
      <c r="K5755" s="38"/>
      <c r="L5755" s="42"/>
      <c r="M5755" s="42"/>
      <c r="N5755" s="42"/>
      <c r="O5755" s="42"/>
      <c r="R5755" s="37"/>
      <c r="S5755" s="37"/>
      <c r="T5755" s="91"/>
      <c r="U5755" s="91"/>
      <c r="V5755" s="41"/>
      <c r="W5755" s="37"/>
      <c r="X5755" s="37"/>
      <c r="Y5755" s="43"/>
      <c r="Z5755" s="37"/>
      <c r="AA5755" s="37"/>
      <c r="AD5755" s="37"/>
      <c r="AE5755" s="37"/>
      <c r="AF5755" s="37"/>
    </row>
    <row r="5756" spans="1:32" x14ac:dyDescent="0.25">
      <c r="A5756" s="37"/>
      <c r="B5756" s="37"/>
      <c r="C5756" s="37"/>
      <c r="F5756" s="38"/>
      <c r="G5756" s="38"/>
      <c r="H5756" s="38"/>
      <c r="I5756" s="37"/>
      <c r="J5756" s="38"/>
      <c r="K5756" s="38"/>
      <c r="L5756" s="42"/>
      <c r="M5756" s="42"/>
      <c r="N5756" s="42"/>
      <c r="O5756" s="42"/>
      <c r="R5756" s="37"/>
      <c r="S5756" s="37"/>
      <c r="T5756" s="91"/>
      <c r="U5756" s="91"/>
      <c r="V5756" s="41"/>
      <c r="W5756" s="37"/>
      <c r="X5756" s="37"/>
      <c r="Y5756" s="43"/>
      <c r="Z5756" s="37"/>
      <c r="AA5756" s="37"/>
      <c r="AD5756" s="37"/>
      <c r="AE5756" s="37"/>
      <c r="AF5756" s="37"/>
    </row>
    <row r="5757" spans="1:32" x14ac:dyDescent="0.25">
      <c r="A5757" s="37"/>
      <c r="B5757" s="37"/>
      <c r="C5757" s="37"/>
      <c r="F5757" s="38"/>
      <c r="G5757" s="38"/>
      <c r="H5757" s="38"/>
      <c r="I5757" s="37"/>
      <c r="J5757" s="38"/>
      <c r="K5757" s="38"/>
      <c r="L5757" s="42"/>
      <c r="M5757" s="42"/>
      <c r="N5757" s="42"/>
      <c r="O5757" s="42"/>
      <c r="R5757" s="37"/>
      <c r="S5757" s="37"/>
      <c r="T5757" s="91"/>
      <c r="U5757" s="91"/>
      <c r="V5757" s="41"/>
      <c r="W5757" s="37"/>
      <c r="X5757" s="37"/>
      <c r="Y5757" s="43"/>
      <c r="Z5757" s="37"/>
      <c r="AA5757" s="37"/>
      <c r="AD5757" s="37"/>
      <c r="AE5757" s="37"/>
      <c r="AF5757" s="37"/>
    </row>
    <row r="5758" spans="1:32" x14ac:dyDescent="0.25">
      <c r="A5758" s="37"/>
      <c r="B5758" s="37"/>
      <c r="C5758" s="37"/>
      <c r="F5758" s="38"/>
      <c r="G5758" s="38"/>
      <c r="H5758" s="38"/>
      <c r="I5758" s="37"/>
      <c r="J5758" s="38"/>
      <c r="K5758" s="38"/>
      <c r="L5758" s="42"/>
      <c r="M5758" s="42"/>
      <c r="N5758" s="42"/>
      <c r="O5758" s="42"/>
      <c r="R5758" s="37"/>
      <c r="S5758" s="37"/>
      <c r="T5758" s="91"/>
      <c r="U5758" s="91"/>
      <c r="V5758" s="41"/>
      <c r="W5758" s="37"/>
      <c r="X5758" s="37"/>
      <c r="Y5758" s="43"/>
      <c r="Z5758" s="37"/>
      <c r="AA5758" s="37"/>
      <c r="AD5758" s="37"/>
      <c r="AE5758" s="37"/>
      <c r="AF5758" s="37"/>
    </row>
    <row r="5759" spans="1:32" x14ac:dyDescent="0.25">
      <c r="A5759" s="37"/>
      <c r="B5759" s="37"/>
      <c r="C5759" s="37"/>
      <c r="F5759" s="38"/>
      <c r="G5759" s="38"/>
      <c r="H5759" s="38"/>
      <c r="I5759" s="37"/>
      <c r="J5759" s="38"/>
      <c r="K5759" s="38"/>
      <c r="L5759" s="42"/>
      <c r="M5759" s="42"/>
      <c r="N5759" s="42"/>
      <c r="O5759" s="42"/>
      <c r="R5759" s="37"/>
      <c r="S5759" s="37"/>
      <c r="T5759" s="91"/>
      <c r="U5759" s="91"/>
      <c r="V5759" s="41"/>
      <c r="W5759" s="37"/>
      <c r="X5759" s="37"/>
      <c r="Y5759" s="43"/>
      <c r="Z5759" s="37"/>
      <c r="AA5759" s="37"/>
      <c r="AD5759" s="37"/>
      <c r="AE5759" s="37"/>
      <c r="AF5759" s="37"/>
    </row>
    <row r="5760" spans="1:32" x14ac:dyDescent="0.25">
      <c r="A5760" s="37"/>
      <c r="B5760" s="37"/>
      <c r="C5760" s="37"/>
      <c r="F5760" s="38"/>
      <c r="G5760" s="38"/>
      <c r="H5760" s="38"/>
      <c r="I5760" s="37"/>
      <c r="J5760" s="38"/>
      <c r="K5760" s="38"/>
      <c r="L5760" s="42"/>
      <c r="M5760" s="42"/>
      <c r="N5760" s="42"/>
      <c r="O5760" s="42"/>
      <c r="R5760" s="37"/>
      <c r="S5760" s="37"/>
      <c r="T5760" s="91"/>
      <c r="U5760" s="91"/>
      <c r="V5760" s="41"/>
      <c r="W5760" s="37"/>
      <c r="X5760" s="37"/>
      <c r="Y5760" s="43"/>
      <c r="Z5760" s="37"/>
      <c r="AA5760" s="37"/>
      <c r="AD5760" s="37"/>
      <c r="AE5760" s="37"/>
      <c r="AF5760" s="37"/>
    </row>
    <row r="5761" spans="1:32" x14ac:dyDescent="0.25">
      <c r="A5761" s="37"/>
      <c r="B5761" s="37"/>
      <c r="C5761" s="37"/>
      <c r="F5761" s="38"/>
      <c r="G5761" s="38"/>
      <c r="H5761" s="38"/>
      <c r="I5761" s="37"/>
      <c r="J5761" s="38"/>
      <c r="K5761" s="38"/>
      <c r="L5761" s="42"/>
      <c r="M5761" s="42"/>
      <c r="N5761" s="42"/>
      <c r="O5761" s="42"/>
      <c r="R5761" s="37"/>
      <c r="S5761" s="37"/>
      <c r="T5761" s="91"/>
      <c r="U5761" s="91"/>
      <c r="V5761" s="41"/>
      <c r="W5761" s="37"/>
      <c r="X5761" s="37"/>
      <c r="Y5761" s="43"/>
      <c r="Z5761" s="37"/>
      <c r="AA5761" s="37"/>
      <c r="AD5761" s="37"/>
      <c r="AE5761" s="37"/>
      <c r="AF5761" s="37"/>
    </row>
    <row r="5762" spans="1:32" x14ac:dyDescent="0.25">
      <c r="A5762" s="37"/>
      <c r="B5762" s="37"/>
      <c r="C5762" s="37"/>
      <c r="F5762" s="38"/>
      <c r="G5762" s="38"/>
      <c r="H5762" s="38"/>
      <c r="I5762" s="37"/>
      <c r="J5762" s="38"/>
      <c r="K5762" s="38"/>
      <c r="L5762" s="42"/>
      <c r="M5762" s="42"/>
      <c r="N5762" s="42"/>
      <c r="O5762" s="42"/>
      <c r="R5762" s="37"/>
      <c r="S5762" s="37"/>
      <c r="T5762" s="91"/>
      <c r="U5762" s="91"/>
      <c r="V5762" s="41"/>
      <c r="W5762" s="37"/>
      <c r="X5762" s="37"/>
      <c r="Y5762" s="43"/>
      <c r="Z5762" s="37"/>
      <c r="AA5762" s="37"/>
      <c r="AD5762" s="37"/>
      <c r="AE5762" s="37"/>
      <c r="AF5762" s="37"/>
    </row>
    <row r="5763" spans="1:32" x14ac:dyDescent="0.25">
      <c r="A5763" s="37"/>
      <c r="B5763" s="37"/>
      <c r="C5763" s="37"/>
      <c r="F5763" s="38"/>
      <c r="G5763" s="38"/>
      <c r="H5763" s="38"/>
      <c r="I5763" s="37"/>
      <c r="J5763" s="38"/>
      <c r="K5763" s="38"/>
      <c r="L5763" s="42"/>
      <c r="M5763" s="42"/>
      <c r="N5763" s="42"/>
      <c r="O5763" s="42"/>
      <c r="R5763" s="37"/>
      <c r="S5763" s="37"/>
      <c r="T5763" s="91"/>
      <c r="U5763" s="91"/>
      <c r="V5763" s="41"/>
      <c r="W5763" s="37"/>
      <c r="X5763" s="37"/>
      <c r="Y5763" s="43"/>
      <c r="Z5763" s="37"/>
      <c r="AA5763" s="37"/>
      <c r="AD5763" s="37"/>
      <c r="AE5763" s="37"/>
      <c r="AF5763" s="37"/>
    </row>
    <row r="5764" spans="1:32" x14ac:dyDescent="0.25">
      <c r="A5764" s="37"/>
      <c r="B5764" s="37"/>
      <c r="C5764" s="37"/>
      <c r="F5764" s="38"/>
      <c r="G5764" s="38"/>
      <c r="H5764" s="38"/>
      <c r="I5764" s="37"/>
      <c r="J5764" s="38"/>
      <c r="K5764" s="38"/>
      <c r="L5764" s="42"/>
      <c r="M5764" s="42"/>
      <c r="N5764" s="42"/>
      <c r="O5764" s="42"/>
      <c r="R5764" s="37"/>
      <c r="S5764" s="37"/>
      <c r="T5764" s="91"/>
      <c r="U5764" s="91"/>
      <c r="V5764" s="41"/>
      <c r="W5764" s="37"/>
      <c r="X5764" s="37"/>
      <c r="Y5764" s="43"/>
      <c r="Z5764" s="37"/>
      <c r="AA5764" s="37"/>
      <c r="AD5764" s="37"/>
      <c r="AE5764" s="37"/>
      <c r="AF5764" s="37"/>
    </row>
    <row r="5765" spans="1:32" x14ac:dyDescent="0.25">
      <c r="A5765" s="37"/>
      <c r="B5765" s="37"/>
      <c r="C5765" s="37"/>
      <c r="F5765" s="38"/>
      <c r="G5765" s="38"/>
      <c r="H5765" s="38"/>
      <c r="I5765" s="37"/>
      <c r="J5765" s="38"/>
      <c r="K5765" s="38"/>
      <c r="L5765" s="42"/>
      <c r="M5765" s="42"/>
      <c r="N5765" s="42"/>
      <c r="O5765" s="42"/>
      <c r="R5765" s="37"/>
      <c r="S5765" s="37"/>
      <c r="T5765" s="91"/>
      <c r="U5765" s="91"/>
      <c r="V5765" s="41"/>
      <c r="W5765" s="37"/>
      <c r="X5765" s="37"/>
      <c r="Y5765" s="43"/>
      <c r="Z5765" s="37"/>
      <c r="AA5765" s="37"/>
      <c r="AD5765" s="37"/>
      <c r="AE5765" s="37"/>
      <c r="AF5765" s="37"/>
    </row>
    <row r="5766" spans="1:32" x14ac:dyDescent="0.25">
      <c r="A5766" s="37"/>
      <c r="B5766" s="37"/>
      <c r="C5766" s="37"/>
      <c r="F5766" s="38"/>
      <c r="G5766" s="38"/>
      <c r="H5766" s="38"/>
      <c r="I5766" s="37"/>
      <c r="J5766" s="38"/>
      <c r="K5766" s="38"/>
      <c r="L5766" s="42"/>
      <c r="M5766" s="42"/>
      <c r="N5766" s="42"/>
      <c r="O5766" s="42"/>
      <c r="R5766" s="37"/>
      <c r="S5766" s="37"/>
      <c r="T5766" s="91"/>
      <c r="U5766" s="91"/>
      <c r="V5766" s="41"/>
      <c r="W5766" s="37"/>
      <c r="X5766" s="37"/>
      <c r="Y5766" s="43"/>
      <c r="Z5766" s="37"/>
      <c r="AA5766" s="37"/>
      <c r="AD5766" s="37"/>
      <c r="AE5766" s="37"/>
      <c r="AF5766" s="37"/>
    </row>
    <row r="5767" spans="1:32" x14ac:dyDescent="0.25">
      <c r="A5767" s="37"/>
      <c r="B5767" s="37"/>
      <c r="C5767" s="37"/>
      <c r="F5767" s="38"/>
      <c r="G5767" s="38"/>
      <c r="H5767" s="38"/>
      <c r="I5767" s="37"/>
      <c r="J5767" s="38"/>
      <c r="K5767" s="38"/>
      <c r="L5767" s="42"/>
      <c r="M5767" s="42"/>
      <c r="N5767" s="42"/>
      <c r="O5767" s="42"/>
      <c r="R5767" s="37"/>
      <c r="S5767" s="37"/>
      <c r="T5767" s="91"/>
      <c r="U5767" s="91"/>
      <c r="V5767" s="41"/>
      <c r="W5767" s="37"/>
      <c r="X5767" s="37"/>
      <c r="Y5767" s="43"/>
      <c r="Z5767" s="37"/>
      <c r="AA5767" s="37"/>
      <c r="AD5767" s="37"/>
      <c r="AE5767" s="37"/>
      <c r="AF5767" s="37"/>
    </row>
    <row r="5768" spans="1:32" x14ac:dyDescent="0.25">
      <c r="A5768" s="37"/>
      <c r="B5768" s="37"/>
      <c r="C5768" s="37"/>
      <c r="F5768" s="38"/>
      <c r="G5768" s="38"/>
      <c r="H5768" s="38"/>
      <c r="I5768" s="37"/>
      <c r="J5768" s="38"/>
      <c r="K5768" s="38"/>
      <c r="L5768" s="42"/>
      <c r="M5768" s="42"/>
      <c r="N5768" s="42"/>
      <c r="O5768" s="42"/>
      <c r="R5768" s="37"/>
      <c r="S5768" s="37"/>
      <c r="T5768" s="91"/>
      <c r="U5768" s="91"/>
      <c r="V5768" s="41"/>
      <c r="W5768" s="37"/>
      <c r="X5768" s="37"/>
      <c r="Y5768" s="43"/>
      <c r="Z5768" s="37"/>
      <c r="AA5768" s="37"/>
      <c r="AD5768" s="37"/>
      <c r="AE5768" s="37"/>
      <c r="AF5768" s="37"/>
    </row>
    <row r="5769" spans="1:32" x14ac:dyDescent="0.25">
      <c r="A5769" s="37"/>
      <c r="B5769" s="37"/>
      <c r="C5769" s="37"/>
      <c r="F5769" s="38"/>
      <c r="G5769" s="38"/>
      <c r="H5769" s="38"/>
      <c r="I5769" s="37"/>
      <c r="J5769" s="38"/>
      <c r="K5769" s="38"/>
      <c r="L5769" s="42"/>
      <c r="M5769" s="42"/>
      <c r="N5769" s="42"/>
      <c r="O5769" s="42"/>
      <c r="R5769" s="37"/>
      <c r="S5769" s="37"/>
      <c r="T5769" s="91"/>
      <c r="U5769" s="91"/>
      <c r="V5769" s="41"/>
      <c r="W5769" s="37"/>
      <c r="X5769" s="37"/>
      <c r="Y5769" s="43"/>
      <c r="Z5769" s="37"/>
      <c r="AA5769" s="37"/>
      <c r="AD5769" s="37"/>
      <c r="AE5769" s="37"/>
      <c r="AF5769" s="37"/>
    </row>
    <row r="5770" spans="1:32" x14ac:dyDescent="0.25">
      <c r="A5770" s="37"/>
      <c r="B5770" s="37"/>
      <c r="C5770" s="37"/>
      <c r="F5770" s="38"/>
      <c r="G5770" s="38"/>
      <c r="H5770" s="38"/>
      <c r="I5770" s="37"/>
      <c r="J5770" s="38"/>
      <c r="K5770" s="38"/>
      <c r="L5770" s="42"/>
      <c r="M5770" s="42"/>
      <c r="N5770" s="42"/>
      <c r="O5770" s="42"/>
      <c r="R5770" s="37"/>
      <c r="S5770" s="37"/>
      <c r="T5770" s="91"/>
      <c r="U5770" s="91"/>
      <c r="V5770" s="41"/>
      <c r="W5770" s="37"/>
      <c r="X5770" s="37"/>
      <c r="Y5770" s="43"/>
      <c r="Z5770" s="37"/>
      <c r="AA5770" s="37"/>
      <c r="AD5770" s="37"/>
      <c r="AE5770" s="37"/>
      <c r="AF5770" s="37"/>
    </row>
    <row r="5771" spans="1:32" x14ac:dyDescent="0.25">
      <c r="A5771" s="37"/>
      <c r="B5771" s="37"/>
      <c r="C5771" s="37"/>
      <c r="F5771" s="38"/>
      <c r="G5771" s="38"/>
      <c r="H5771" s="38"/>
      <c r="I5771" s="37"/>
      <c r="J5771" s="38"/>
      <c r="K5771" s="38"/>
      <c r="L5771" s="42"/>
      <c r="M5771" s="42"/>
      <c r="N5771" s="42"/>
      <c r="O5771" s="42"/>
      <c r="R5771" s="37"/>
      <c r="S5771" s="37"/>
      <c r="T5771" s="91"/>
      <c r="U5771" s="91"/>
      <c r="V5771" s="41"/>
      <c r="W5771" s="37"/>
      <c r="X5771" s="37"/>
      <c r="Y5771" s="43"/>
      <c r="Z5771" s="37"/>
      <c r="AA5771" s="37"/>
      <c r="AD5771" s="37"/>
      <c r="AE5771" s="37"/>
      <c r="AF5771" s="37"/>
    </row>
    <row r="5772" spans="1:32" x14ac:dyDescent="0.25">
      <c r="A5772" s="37"/>
      <c r="B5772" s="37"/>
      <c r="C5772" s="37"/>
      <c r="F5772" s="38"/>
      <c r="G5772" s="38"/>
      <c r="H5772" s="38"/>
      <c r="I5772" s="37"/>
      <c r="J5772" s="38"/>
      <c r="K5772" s="38"/>
      <c r="L5772" s="42"/>
      <c r="M5772" s="42"/>
      <c r="N5772" s="42"/>
      <c r="O5772" s="42"/>
      <c r="R5772" s="37"/>
      <c r="S5772" s="37"/>
      <c r="T5772" s="91"/>
      <c r="U5772" s="91"/>
      <c r="V5772" s="41"/>
      <c r="W5772" s="37"/>
      <c r="X5772" s="37"/>
      <c r="Y5772" s="43"/>
      <c r="Z5772" s="37"/>
      <c r="AA5772" s="37"/>
      <c r="AD5772" s="37"/>
      <c r="AE5772" s="37"/>
      <c r="AF5772" s="37"/>
    </row>
    <row r="5773" spans="1:32" x14ac:dyDescent="0.25">
      <c r="A5773" s="37"/>
      <c r="B5773" s="37"/>
      <c r="C5773" s="37"/>
      <c r="F5773" s="38"/>
      <c r="G5773" s="38"/>
      <c r="H5773" s="38"/>
      <c r="I5773" s="37"/>
      <c r="J5773" s="38"/>
      <c r="K5773" s="38"/>
      <c r="L5773" s="42"/>
      <c r="M5773" s="42"/>
      <c r="N5773" s="42"/>
      <c r="O5773" s="42"/>
      <c r="R5773" s="37"/>
      <c r="S5773" s="37"/>
      <c r="T5773" s="91"/>
      <c r="U5773" s="91"/>
      <c r="V5773" s="41"/>
      <c r="W5773" s="37"/>
      <c r="X5773" s="37"/>
      <c r="Y5773" s="43"/>
      <c r="Z5773" s="37"/>
      <c r="AA5773" s="37"/>
      <c r="AD5773" s="37"/>
      <c r="AE5773" s="37"/>
      <c r="AF5773" s="37"/>
    </row>
    <row r="5774" spans="1:32" x14ac:dyDescent="0.25">
      <c r="A5774" s="37"/>
      <c r="B5774" s="37"/>
      <c r="C5774" s="37"/>
      <c r="F5774" s="38"/>
      <c r="G5774" s="38"/>
      <c r="H5774" s="38"/>
      <c r="I5774" s="37"/>
      <c r="J5774" s="38"/>
      <c r="K5774" s="38"/>
      <c r="L5774" s="42"/>
      <c r="M5774" s="42"/>
      <c r="N5774" s="42"/>
      <c r="O5774" s="42"/>
      <c r="R5774" s="37"/>
      <c r="S5774" s="37"/>
      <c r="T5774" s="91"/>
      <c r="U5774" s="91"/>
      <c r="V5774" s="41"/>
      <c r="W5774" s="37"/>
      <c r="X5774" s="37"/>
      <c r="Y5774" s="43"/>
      <c r="Z5774" s="37"/>
      <c r="AA5774" s="37"/>
      <c r="AD5774" s="37"/>
      <c r="AE5774" s="37"/>
      <c r="AF5774" s="37"/>
    </row>
    <row r="5775" spans="1:32" x14ac:dyDescent="0.25">
      <c r="A5775" s="37"/>
      <c r="B5775" s="37"/>
      <c r="C5775" s="37"/>
      <c r="F5775" s="38"/>
      <c r="G5775" s="38"/>
      <c r="H5775" s="38"/>
      <c r="I5775" s="37"/>
      <c r="J5775" s="38"/>
      <c r="K5775" s="38"/>
      <c r="L5775" s="42"/>
      <c r="M5775" s="42"/>
      <c r="N5775" s="42"/>
      <c r="O5775" s="42"/>
      <c r="R5775" s="37"/>
      <c r="S5775" s="37"/>
      <c r="T5775" s="91"/>
      <c r="U5775" s="91"/>
      <c r="V5775" s="41"/>
      <c r="W5775" s="37"/>
      <c r="X5775" s="37"/>
      <c r="Y5775" s="43"/>
      <c r="Z5775" s="37"/>
      <c r="AA5775" s="37"/>
      <c r="AD5775" s="37"/>
      <c r="AE5775" s="37"/>
      <c r="AF5775" s="37"/>
    </row>
    <row r="5776" spans="1:32" x14ac:dyDescent="0.25">
      <c r="A5776" s="37"/>
      <c r="B5776" s="37"/>
      <c r="C5776" s="37"/>
      <c r="F5776" s="38"/>
      <c r="G5776" s="38"/>
      <c r="H5776" s="38"/>
      <c r="I5776" s="37"/>
      <c r="J5776" s="38"/>
      <c r="K5776" s="38"/>
      <c r="L5776" s="42"/>
      <c r="M5776" s="42"/>
      <c r="N5776" s="42"/>
      <c r="O5776" s="42"/>
      <c r="R5776" s="37"/>
      <c r="S5776" s="37"/>
      <c r="T5776" s="91"/>
      <c r="U5776" s="91"/>
      <c r="V5776" s="41"/>
      <c r="W5776" s="37"/>
      <c r="X5776" s="37"/>
      <c r="Y5776" s="43"/>
      <c r="Z5776" s="37"/>
      <c r="AA5776" s="37"/>
      <c r="AD5776" s="37"/>
      <c r="AE5776" s="37"/>
      <c r="AF5776" s="37"/>
    </row>
    <row r="5777" spans="1:32" x14ac:dyDescent="0.25">
      <c r="A5777" s="37"/>
      <c r="B5777" s="37"/>
      <c r="C5777" s="37"/>
      <c r="F5777" s="38"/>
      <c r="G5777" s="38"/>
      <c r="H5777" s="38"/>
      <c r="I5777" s="37"/>
      <c r="J5777" s="38"/>
      <c r="K5777" s="38"/>
      <c r="L5777" s="42"/>
      <c r="M5777" s="42"/>
      <c r="N5777" s="42"/>
      <c r="O5777" s="42"/>
      <c r="R5777" s="37"/>
      <c r="S5777" s="37"/>
      <c r="T5777" s="91"/>
      <c r="U5777" s="91"/>
      <c r="V5777" s="41"/>
      <c r="W5777" s="37"/>
      <c r="X5777" s="37"/>
      <c r="Y5777" s="43"/>
      <c r="Z5777" s="37"/>
      <c r="AA5777" s="37"/>
      <c r="AD5777" s="37"/>
      <c r="AE5777" s="37"/>
      <c r="AF5777" s="37"/>
    </row>
    <row r="5778" spans="1:32" x14ac:dyDescent="0.25">
      <c r="A5778" s="37"/>
      <c r="B5778" s="37"/>
      <c r="C5778" s="37"/>
      <c r="F5778" s="38"/>
      <c r="G5778" s="38"/>
      <c r="H5778" s="38"/>
      <c r="I5778" s="37"/>
      <c r="J5778" s="38"/>
      <c r="K5778" s="38"/>
      <c r="L5778" s="42"/>
      <c r="M5778" s="42"/>
      <c r="N5778" s="42"/>
      <c r="O5778" s="42"/>
      <c r="R5778" s="37"/>
      <c r="S5778" s="37"/>
      <c r="T5778" s="91"/>
      <c r="U5778" s="91"/>
      <c r="V5778" s="41"/>
      <c r="W5778" s="37"/>
      <c r="X5778" s="37"/>
      <c r="Y5778" s="43"/>
      <c r="Z5778" s="37"/>
      <c r="AA5778" s="37"/>
      <c r="AD5778" s="37"/>
      <c r="AE5778" s="37"/>
      <c r="AF5778" s="37"/>
    </row>
    <row r="5779" spans="1:32" x14ac:dyDescent="0.25">
      <c r="A5779" s="37"/>
      <c r="B5779" s="37"/>
      <c r="C5779" s="37"/>
      <c r="F5779" s="38"/>
      <c r="G5779" s="38"/>
      <c r="H5779" s="38"/>
      <c r="I5779" s="37"/>
      <c r="J5779" s="38"/>
      <c r="K5779" s="38"/>
      <c r="L5779" s="42"/>
      <c r="M5779" s="42"/>
      <c r="N5779" s="42"/>
      <c r="O5779" s="42"/>
      <c r="R5779" s="37"/>
      <c r="S5779" s="37"/>
      <c r="T5779" s="91"/>
      <c r="U5779" s="91"/>
      <c r="V5779" s="41"/>
      <c r="W5779" s="37"/>
      <c r="X5779" s="37"/>
      <c r="Y5779" s="43"/>
      <c r="Z5779" s="37"/>
      <c r="AA5779" s="37"/>
      <c r="AD5779" s="37"/>
      <c r="AE5779" s="37"/>
      <c r="AF5779" s="37"/>
    </row>
    <row r="5780" spans="1:32" x14ac:dyDescent="0.25">
      <c r="A5780" s="37"/>
      <c r="B5780" s="37"/>
      <c r="C5780" s="37"/>
      <c r="F5780" s="38"/>
      <c r="G5780" s="38"/>
      <c r="H5780" s="38"/>
      <c r="I5780" s="37"/>
      <c r="J5780" s="38"/>
      <c r="K5780" s="38"/>
      <c r="L5780" s="42"/>
      <c r="M5780" s="42"/>
      <c r="N5780" s="42"/>
      <c r="O5780" s="42"/>
      <c r="R5780" s="37"/>
      <c r="S5780" s="37"/>
      <c r="T5780" s="91"/>
      <c r="U5780" s="91"/>
      <c r="V5780" s="41"/>
      <c r="W5780" s="37"/>
      <c r="X5780" s="37"/>
      <c r="Y5780" s="43"/>
      <c r="Z5780" s="37"/>
      <c r="AA5780" s="37"/>
      <c r="AD5780" s="37"/>
      <c r="AE5780" s="37"/>
      <c r="AF5780" s="37"/>
    </row>
    <row r="5781" spans="1:32" x14ac:dyDescent="0.25">
      <c r="A5781" s="37"/>
      <c r="B5781" s="37"/>
      <c r="C5781" s="37"/>
      <c r="F5781" s="38"/>
      <c r="G5781" s="38"/>
      <c r="H5781" s="38"/>
      <c r="I5781" s="37"/>
      <c r="J5781" s="38"/>
      <c r="K5781" s="38"/>
      <c r="L5781" s="42"/>
      <c r="M5781" s="42"/>
      <c r="N5781" s="42"/>
      <c r="O5781" s="42"/>
      <c r="R5781" s="37"/>
      <c r="S5781" s="37"/>
      <c r="T5781" s="91"/>
      <c r="U5781" s="91"/>
      <c r="V5781" s="41"/>
      <c r="W5781" s="37"/>
      <c r="X5781" s="37"/>
      <c r="Y5781" s="43"/>
      <c r="Z5781" s="37"/>
      <c r="AA5781" s="37"/>
      <c r="AD5781" s="37"/>
      <c r="AE5781" s="37"/>
      <c r="AF5781" s="37"/>
    </row>
    <row r="5782" spans="1:32" x14ac:dyDescent="0.25">
      <c r="A5782" s="37"/>
      <c r="B5782" s="37"/>
      <c r="C5782" s="37"/>
      <c r="F5782" s="38"/>
      <c r="G5782" s="38"/>
      <c r="H5782" s="38"/>
      <c r="I5782" s="37"/>
      <c r="J5782" s="38"/>
      <c r="K5782" s="38"/>
      <c r="L5782" s="42"/>
      <c r="M5782" s="42"/>
      <c r="N5782" s="42"/>
      <c r="O5782" s="42"/>
      <c r="R5782" s="37"/>
      <c r="S5782" s="37"/>
      <c r="T5782" s="91"/>
      <c r="U5782" s="91"/>
      <c r="V5782" s="41"/>
      <c r="W5782" s="37"/>
      <c r="X5782" s="37"/>
      <c r="Y5782" s="43"/>
      <c r="Z5782" s="37"/>
      <c r="AA5782" s="37"/>
      <c r="AD5782" s="37"/>
      <c r="AE5782" s="37"/>
      <c r="AF5782" s="37"/>
    </row>
    <row r="5783" spans="1:32" x14ac:dyDescent="0.25">
      <c r="A5783" s="37"/>
      <c r="B5783" s="37"/>
      <c r="C5783" s="37"/>
      <c r="F5783" s="38"/>
      <c r="G5783" s="38"/>
      <c r="H5783" s="38"/>
      <c r="I5783" s="37"/>
      <c r="J5783" s="38"/>
      <c r="K5783" s="38"/>
      <c r="L5783" s="42"/>
      <c r="M5783" s="42"/>
      <c r="N5783" s="42"/>
      <c r="O5783" s="42"/>
      <c r="R5783" s="37"/>
      <c r="S5783" s="37"/>
      <c r="T5783" s="91"/>
      <c r="U5783" s="91"/>
      <c r="V5783" s="41"/>
      <c r="W5783" s="37"/>
      <c r="X5783" s="37"/>
      <c r="Y5783" s="43"/>
      <c r="Z5783" s="37"/>
      <c r="AA5783" s="37"/>
      <c r="AD5783" s="37"/>
      <c r="AE5783" s="37"/>
      <c r="AF5783" s="37"/>
    </row>
    <row r="5784" spans="1:32" x14ac:dyDescent="0.25">
      <c r="A5784" s="37"/>
      <c r="B5784" s="37"/>
      <c r="C5784" s="37"/>
      <c r="F5784" s="38"/>
      <c r="G5784" s="38"/>
      <c r="H5784" s="38"/>
      <c r="I5784" s="37"/>
      <c r="J5784" s="38"/>
      <c r="K5784" s="38"/>
      <c r="L5784" s="42"/>
      <c r="M5784" s="42"/>
      <c r="N5784" s="42"/>
      <c r="O5784" s="42"/>
      <c r="R5784" s="37"/>
      <c r="S5784" s="37"/>
      <c r="T5784" s="91"/>
      <c r="U5784" s="91"/>
      <c r="V5784" s="41"/>
      <c r="W5784" s="37"/>
      <c r="X5784" s="37"/>
      <c r="Y5784" s="43"/>
      <c r="Z5784" s="37"/>
      <c r="AA5784" s="37"/>
      <c r="AD5784" s="37"/>
      <c r="AE5784" s="37"/>
      <c r="AF5784" s="37"/>
    </row>
    <row r="5785" spans="1:32" x14ac:dyDescent="0.25">
      <c r="A5785" s="37"/>
      <c r="B5785" s="37"/>
      <c r="C5785" s="37"/>
      <c r="F5785" s="38"/>
      <c r="G5785" s="38"/>
      <c r="H5785" s="38"/>
      <c r="I5785" s="37"/>
      <c r="J5785" s="38"/>
      <c r="K5785" s="38"/>
      <c r="L5785" s="42"/>
      <c r="M5785" s="42"/>
      <c r="N5785" s="42"/>
      <c r="O5785" s="42"/>
      <c r="R5785" s="37"/>
      <c r="S5785" s="37"/>
      <c r="T5785" s="91"/>
      <c r="U5785" s="91"/>
      <c r="V5785" s="41"/>
      <c r="W5785" s="37"/>
      <c r="X5785" s="37"/>
      <c r="Y5785" s="43"/>
      <c r="Z5785" s="37"/>
      <c r="AA5785" s="37"/>
      <c r="AD5785" s="37"/>
      <c r="AE5785" s="37"/>
      <c r="AF5785" s="37"/>
    </row>
    <row r="5786" spans="1:32" x14ac:dyDescent="0.25">
      <c r="A5786" s="37"/>
      <c r="B5786" s="37"/>
      <c r="C5786" s="37"/>
      <c r="F5786" s="38"/>
      <c r="G5786" s="38"/>
      <c r="H5786" s="38"/>
      <c r="I5786" s="37"/>
      <c r="J5786" s="38"/>
      <c r="K5786" s="38"/>
      <c r="L5786" s="42"/>
      <c r="M5786" s="42"/>
      <c r="N5786" s="42"/>
      <c r="O5786" s="42"/>
      <c r="R5786" s="37"/>
      <c r="S5786" s="37"/>
      <c r="T5786" s="91"/>
      <c r="U5786" s="91"/>
      <c r="V5786" s="41"/>
      <c r="W5786" s="37"/>
      <c r="X5786" s="37"/>
      <c r="Y5786" s="43"/>
      <c r="Z5786" s="37"/>
      <c r="AA5786" s="37"/>
      <c r="AD5786" s="37"/>
      <c r="AE5786" s="37"/>
      <c r="AF5786" s="37"/>
    </row>
    <row r="5787" spans="1:32" x14ac:dyDescent="0.25">
      <c r="A5787" s="37"/>
      <c r="B5787" s="37"/>
      <c r="C5787" s="37"/>
      <c r="F5787" s="38"/>
      <c r="G5787" s="38"/>
      <c r="H5787" s="38"/>
      <c r="I5787" s="37"/>
      <c r="J5787" s="38"/>
      <c r="K5787" s="38"/>
      <c r="L5787" s="42"/>
      <c r="M5787" s="42"/>
      <c r="N5787" s="42"/>
      <c r="O5787" s="42"/>
      <c r="R5787" s="37"/>
      <c r="S5787" s="37"/>
      <c r="T5787" s="91"/>
      <c r="U5787" s="91"/>
      <c r="V5787" s="41"/>
      <c r="W5787" s="37"/>
      <c r="X5787" s="37"/>
      <c r="Y5787" s="43"/>
      <c r="Z5787" s="37"/>
      <c r="AA5787" s="37"/>
      <c r="AD5787" s="37"/>
      <c r="AE5787" s="37"/>
      <c r="AF5787" s="37"/>
    </row>
    <row r="5788" spans="1:32" x14ac:dyDescent="0.25">
      <c r="A5788" s="37"/>
      <c r="B5788" s="37"/>
      <c r="C5788" s="37"/>
      <c r="F5788" s="38"/>
      <c r="G5788" s="38"/>
      <c r="H5788" s="38"/>
      <c r="I5788" s="37"/>
      <c r="J5788" s="38"/>
      <c r="K5788" s="38"/>
      <c r="L5788" s="42"/>
      <c r="M5788" s="42"/>
      <c r="N5788" s="42"/>
      <c r="O5788" s="42"/>
      <c r="R5788" s="37"/>
      <c r="S5788" s="37"/>
      <c r="T5788" s="91"/>
      <c r="U5788" s="91"/>
      <c r="V5788" s="41"/>
      <c r="W5788" s="37"/>
      <c r="X5788" s="37"/>
      <c r="Y5788" s="43"/>
      <c r="Z5788" s="37"/>
      <c r="AA5788" s="37"/>
      <c r="AD5788" s="37"/>
      <c r="AE5788" s="37"/>
      <c r="AF5788" s="37"/>
    </row>
    <row r="5789" spans="1:32" x14ac:dyDescent="0.25">
      <c r="A5789" s="37"/>
      <c r="B5789" s="37"/>
      <c r="C5789" s="37"/>
      <c r="F5789" s="38"/>
      <c r="G5789" s="38"/>
      <c r="H5789" s="38"/>
      <c r="I5789" s="37"/>
      <c r="J5789" s="38"/>
      <c r="K5789" s="38"/>
      <c r="L5789" s="42"/>
      <c r="M5789" s="42"/>
      <c r="N5789" s="42"/>
      <c r="O5789" s="42"/>
      <c r="R5789" s="37"/>
      <c r="S5789" s="37"/>
      <c r="T5789" s="91"/>
      <c r="U5789" s="91"/>
      <c r="V5789" s="41"/>
      <c r="W5789" s="37"/>
      <c r="X5789" s="37"/>
      <c r="Y5789" s="43"/>
      <c r="Z5789" s="37"/>
      <c r="AA5789" s="37"/>
      <c r="AD5789" s="37"/>
      <c r="AE5789" s="37"/>
      <c r="AF5789" s="37"/>
    </row>
    <row r="5790" spans="1:32" x14ac:dyDescent="0.25">
      <c r="A5790" s="37"/>
      <c r="B5790" s="37"/>
      <c r="C5790" s="37"/>
      <c r="F5790" s="38"/>
      <c r="G5790" s="38"/>
      <c r="H5790" s="38"/>
      <c r="I5790" s="37"/>
      <c r="J5790" s="38"/>
      <c r="K5790" s="38"/>
      <c r="L5790" s="42"/>
      <c r="M5790" s="42"/>
      <c r="N5790" s="42"/>
      <c r="O5790" s="42"/>
      <c r="R5790" s="37"/>
      <c r="S5790" s="37"/>
      <c r="T5790" s="91"/>
      <c r="U5790" s="91"/>
      <c r="V5790" s="41"/>
      <c r="W5790" s="37"/>
      <c r="X5790" s="37"/>
      <c r="Y5790" s="43"/>
      <c r="Z5790" s="37"/>
      <c r="AA5790" s="37"/>
      <c r="AD5790" s="37"/>
      <c r="AE5790" s="37"/>
      <c r="AF5790" s="37"/>
    </row>
    <row r="5791" spans="1:32" x14ac:dyDescent="0.25">
      <c r="A5791" s="37"/>
      <c r="B5791" s="37"/>
      <c r="C5791" s="37"/>
      <c r="F5791" s="38"/>
      <c r="G5791" s="38"/>
      <c r="H5791" s="38"/>
      <c r="I5791" s="37"/>
      <c r="J5791" s="38"/>
      <c r="K5791" s="38"/>
      <c r="L5791" s="42"/>
      <c r="M5791" s="42"/>
      <c r="N5791" s="42"/>
      <c r="O5791" s="42"/>
      <c r="R5791" s="37"/>
      <c r="S5791" s="37"/>
      <c r="T5791" s="91"/>
      <c r="U5791" s="91"/>
      <c r="V5791" s="41"/>
      <c r="W5791" s="37"/>
      <c r="X5791" s="37"/>
      <c r="Y5791" s="43"/>
      <c r="Z5791" s="37"/>
      <c r="AA5791" s="37"/>
      <c r="AD5791" s="37"/>
      <c r="AE5791" s="37"/>
      <c r="AF5791" s="37"/>
    </row>
    <row r="5792" spans="1:32" x14ac:dyDescent="0.25">
      <c r="A5792" s="37"/>
      <c r="B5792" s="37"/>
      <c r="C5792" s="37"/>
      <c r="F5792" s="38"/>
      <c r="G5792" s="38"/>
      <c r="H5792" s="38"/>
      <c r="I5792" s="37"/>
      <c r="J5792" s="38"/>
      <c r="K5792" s="38"/>
      <c r="L5792" s="42"/>
      <c r="M5792" s="42"/>
      <c r="N5792" s="42"/>
      <c r="O5792" s="42"/>
      <c r="R5792" s="37"/>
      <c r="S5792" s="37"/>
      <c r="T5792" s="91"/>
      <c r="U5792" s="91"/>
      <c r="V5792" s="41"/>
      <c r="W5792" s="37"/>
      <c r="X5792" s="37"/>
      <c r="Y5792" s="43"/>
      <c r="Z5792" s="37"/>
      <c r="AA5792" s="37"/>
      <c r="AD5792" s="37"/>
      <c r="AE5792" s="37"/>
      <c r="AF5792" s="37"/>
    </row>
    <row r="5793" spans="1:32" x14ac:dyDescent="0.25">
      <c r="A5793" s="37"/>
      <c r="B5793" s="37"/>
      <c r="C5793" s="37"/>
      <c r="F5793" s="38"/>
      <c r="G5793" s="38"/>
      <c r="H5793" s="38"/>
      <c r="I5793" s="37"/>
      <c r="J5793" s="38"/>
      <c r="K5793" s="38"/>
      <c r="L5793" s="42"/>
      <c r="M5793" s="42"/>
      <c r="N5793" s="42"/>
      <c r="O5793" s="42"/>
      <c r="R5793" s="37"/>
      <c r="S5793" s="37"/>
      <c r="T5793" s="91"/>
      <c r="U5793" s="91"/>
      <c r="V5793" s="41"/>
      <c r="W5793" s="37"/>
      <c r="X5793" s="37"/>
      <c r="Y5793" s="43"/>
      <c r="Z5793" s="37"/>
      <c r="AA5793" s="37"/>
      <c r="AD5793" s="37"/>
      <c r="AE5793" s="37"/>
      <c r="AF5793" s="37"/>
    </row>
    <row r="5794" spans="1:32" x14ac:dyDescent="0.25">
      <c r="A5794" s="37"/>
      <c r="B5794" s="37"/>
      <c r="C5794" s="37"/>
      <c r="F5794" s="38"/>
      <c r="G5794" s="38"/>
      <c r="H5794" s="38"/>
      <c r="I5794" s="37"/>
      <c r="J5794" s="38"/>
      <c r="K5794" s="38"/>
      <c r="L5794" s="42"/>
      <c r="M5794" s="42"/>
      <c r="N5794" s="42"/>
      <c r="O5794" s="42"/>
      <c r="R5794" s="37"/>
      <c r="S5794" s="37"/>
      <c r="T5794" s="91"/>
      <c r="U5794" s="91"/>
      <c r="V5794" s="41"/>
      <c r="W5794" s="37"/>
      <c r="X5794" s="37"/>
      <c r="Y5794" s="43"/>
      <c r="Z5794" s="37"/>
      <c r="AA5794" s="37"/>
      <c r="AD5794" s="37"/>
      <c r="AE5794" s="37"/>
      <c r="AF5794" s="37"/>
    </row>
    <row r="5795" spans="1:32" x14ac:dyDescent="0.25">
      <c r="A5795" s="37"/>
      <c r="B5795" s="37"/>
      <c r="C5795" s="37"/>
      <c r="F5795" s="38"/>
      <c r="G5795" s="38"/>
      <c r="H5795" s="38"/>
      <c r="I5795" s="37"/>
      <c r="J5795" s="38"/>
      <c r="K5795" s="38"/>
      <c r="L5795" s="42"/>
      <c r="M5795" s="42"/>
      <c r="N5795" s="42"/>
      <c r="O5795" s="42"/>
      <c r="R5795" s="37"/>
      <c r="S5795" s="37"/>
      <c r="T5795" s="91"/>
      <c r="U5795" s="91"/>
      <c r="V5795" s="41"/>
      <c r="W5795" s="37"/>
      <c r="X5795" s="37"/>
      <c r="Y5795" s="43"/>
      <c r="Z5795" s="37"/>
      <c r="AA5795" s="37"/>
      <c r="AD5795" s="37"/>
      <c r="AE5795" s="37"/>
      <c r="AF5795" s="37"/>
    </row>
    <row r="5796" spans="1:32" x14ac:dyDescent="0.25">
      <c r="A5796" s="37"/>
      <c r="B5796" s="37"/>
      <c r="C5796" s="37"/>
      <c r="F5796" s="38"/>
      <c r="G5796" s="38"/>
      <c r="H5796" s="38"/>
      <c r="I5796" s="37"/>
      <c r="J5796" s="38"/>
      <c r="K5796" s="38"/>
      <c r="L5796" s="42"/>
      <c r="M5796" s="42"/>
      <c r="N5796" s="42"/>
      <c r="O5796" s="42"/>
      <c r="R5796" s="37"/>
      <c r="S5796" s="37"/>
      <c r="T5796" s="91"/>
      <c r="U5796" s="91"/>
      <c r="V5796" s="41"/>
      <c r="W5796" s="37"/>
      <c r="X5796" s="37"/>
      <c r="Y5796" s="43"/>
      <c r="Z5796" s="37"/>
      <c r="AA5796" s="37"/>
      <c r="AD5796" s="37"/>
      <c r="AE5796" s="37"/>
      <c r="AF5796" s="37"/>
    </row>
    <row r="5797" spans="1:32" x14ac:dyDescent="0.25">
      <c r="A5797" s="37"/>
      <c r="B5797" s="37"/>
      <c r="C5797" s="37"/>
      <c r="F5797" s="38"/>
      <c r="G5797" s="38"/>
      <c r="H5797" s="38"/>
      <c r="I5797" s="37"/>
      <c r="J5797" s="38"/>
      <c r="K5797" s="38"/>
      <c r="L5797" s="42"/>
      <c r="M5797" s="42"/>
      <c r="N5797" s="42"/>
      <c r="O5797" s="42"/>
      <c r="R5797" s="37"/>
      <c r="S5797" s="37"/>
      <c r="T5797" s="91"/>
      <c r="U5797" s="91"/>
      <c r="V5797" s="41"/>
      <c r="W5797" s="37"/>
      <c r="X5797" s="37"/>
      <c r="Y5797" s="43"/>
      <c r="Z5797" s="37"/>
      <c r="AA5797" s="37"/>
      <c r="AD5797" s="37"/>
      <c r="AE5797" s="37"/>
      <c r="AF5797" s="37"/>
    </row>
    <row r="5798" spans="1:32" x14ac:dyDescent="0.25">
      <c r="A5798" s="37"/>
      <c r="B5798" s="37"/>
      <c r="C5798" s="37"/>
      <c r="F5798" s="38"/>
      <c r="G5798" s="38"/>
      <c r="H5798" s="38"/>
      <c r="I5798" s="37"/>
      <c r="J5798" s="38"/>
      <c r="K5798" s="38"/>
      <c r="L5798" s="42"/>
      <c r="M5798" s="42"/>
      <c r="N5798" s="42"/>
      <c r="O5798" s="42"/>
      <c r="R5798" s="37"/>
      <c r="S5798" s="37"/>
      <c r="T5798" s="91"/>
      <c r="U5798" s="91"/>
      <c r="V5798" s="41"/>
      <c r="W5798" s="37"/>
      <c r="X5798" s="37"/>
      <c r="Y5798" s="43"/>
      <c r="Z5798" s="37"/>
      <c r="AA5798" s="37"/>
      <c r="AD5798" s="37"/>
      <c r="AE5798" s="37"/>
      <c r="AF5798" s="37"/>
    </row>
    <row r="5799" spans="1:32" x14ac:dyDescent="0.25">
      <c r="A5799" s="37"/>
      <c r="B5799" s="37"/>
      <c r="C5799" s="37"/>
      <c r="F5799" s="38"/>
      <c r="G5799" s="38"/>
      <c r="H5799" s="38"/>
      <c r="I5799" s="37"/>
      <c r="J5799" s="38"/>
      <c r="K5799" s="38"/>
      <c r="L5799" s="42"/>
      <c r="M5799" s="42"/>
      <c r="N5799" s="42"/>
      <c r="O5799" s="42"/>
      <c r="R5799" s="37"/>
      <c r="S5799" s="37"/>
      <c r="T5799" s="91"/>
      <c r="U5799" s="91"/>
      <c r="V5799" s="41"/>
      <c r="W5799" s="37"/>
      <c r="X5799" s="37"/>
      <c r="Y5799" s="43"/>
      <c r="Z5799" s="37"/>
      <c r="AA5799" s="37"/>
      <c r="AD5799" s="37"/>
      <c r="AE5799" s="37"/>
      <c r="AF5799" s="37"/>
    </row>
    <row r="5800" spans="1:32" x14ac:dyDescent="0.25">
      <c r="A5800" s="37"/>
      <c r="B5800" s="37"/>
      <c r="C5800" s="37"/>
      <c r="F5800" s="38"/>
      <c r="G5800" s="38"/>
      <c r="H5800" s="38"/>
      <c r="I5800" s="37"/>
      <c r="J5800" s="38"/>
      <c r="K5800" s="38"/>
      <c r="L5800" s="42"/>
      <c r="M5800" s="42"/>
      <c r="N5800" s="42"/>
      <c r="O5800" s="42"/>
      <c r="R5800" s="37"/>
      <c r="S5800" s="37"/>
      <c r="T5800" s="91"/>
      <c r="U5800" s="91"/>
      <c r="V5800" s="41"/>
      <c r="W5800" s="37"/>
      <c r="X5800" s="37"/>
      <c r="Y5800" s="43"/>
      <c r="Z5800" s="37"/>
      <c r="AA5800" s="37"/>
      <c r="AD5800" s="37"/>
      <c r="AE5800" s="37"/>
      <c r="AF5800" s="37"/>
    </row>
    <row r="5801" spans="1:32" x14ac:dyDescent="0.25">
      <c r="A5801" s="37"/>
      <c r="B5801" s="37"/>
      <c r="C5801" s="37"/>
      <c r="F5801" s="38"/>
      <c r="G5801" s="38"/>
      <c r="H5801" s="38"/>
      <c r="I5801" s="37"/>
      <c r="J5801" s="38"/>
      <c r="K5801" s="38"/>
      <c r="L5801" s="42"/>
      <c r="M5801" s="42"/>
      <c r="N5801" s="42"/>
      <c r="O5801" s="42"/>
      <c r="R5801" s="37"/>
      <c r="S5801" s="37"/>
      <c r="T5801" s="91"/>
      <c r="U5801" s="91"/>
      <c r="V5801" s="41"/>
      <c r="W5801" s="37"/>
      <c r="X5801" s="37"/>
      <c r="Y5801" s="43"/>
      <c r="Z5801" s="37"/>
      <c r="AA5801" s="37"/>
      <c r="AD5801" s="37"/>
      <c r="AE5801" s="37"/>
      <c r="AF5801" s="37"/>
    </row>
    <row r="5802" spans="1:32" x14ac:dyDescent="0.25">
      <c r="A5802" s="37"/>
      <c r="B5802" s="37"/>
      <c r="C5802" s="37"/>
      <c r="F5802" s="38"/>
      <c r="G5802" s="38"/>
      <c r="H5802" s="38"/>
      <c r="I5802" s="37"/>
      <c r="J5802" s="38"/>
      <c r="K5802" s="38"/>
      <c r="L5802" s="42"/>
      <c r="M5802" s="42"/>
      <c r="N5802" s="42"/>
      <c r="O5802" s="42"/>
      <c r="R5802" s="37"/>
      <c r="S5802" s="37"/>
      <c r="T5802" s="91"/>
      <c r="U5802" s="91"/>
      <c r="V5802" s="41"/>
      <c r="W5802" s="37"/>
      <c r="X5802" s="37"/>
      <c r="Y5802" s="43"/>
      <c r="Z5802" s="37"/>
      <c r="AA5802" s="37"/>
      <c r="AD5802" s="37"/>
      <c r="AE5802" s="37"/>
      <c r="AF5802" s="37"/>
    </row>
    <row r="5803" spans="1:32" x14ac:dyDescent="0.25">
      <c r="A5803" s="37"/>
      <c r="B5803" s="37"/>
      <c r="C5803" s="37"/>
      <c r="F5803" s="38"/>
      <c r="G5803" s="38"/>
      <c r="H5803" s="38"/>
      <c r="I5803" s="37"/>
      <c r="J5803" s="38"/>
      <c r="K5803" s="38"/>
      <c r="L5803" s="42"/>
      <c r="M5803" s="42"/>
      <c r="N5803" s="42"/>
      <c r="O5803" s="42"/>
      <c r="R5803" s="37"/>
      <c r="S5803" s="37"/>
      <c r="T5803" s="91"/>
      <c r="U5803" s="91"/>
      <c r="V5803" s="41"/>
      <c r="W5803" s="37"/>
      <c r="X5803" s="37"/>
      <c r="Y5803" s="43"/>
      <c r="Z5803" s="37"/>
      <c r="AA5803" s="37"/>
      <c r="AD5803" s="37"/>
      <c r="AE5803" s="37"/>
      <c r="AF5803" s="37"/>
    </row>
    <row r="5804" spans="1:32" x14ac:dyDescent="0.25">
      <c r="A5804" s="37"/>
      <c r="B5804" s="37"/>
      <c r="C5804" s="37"/>
      <c r="F5804" s="38"/>
      <c r="G5804" s="38"/>
      <c r="H5804" s="38"/>
      <c r="I5804" s="37"/>
      <c r="J5804" s="38"/>
      <c r="K5804" s="38"/>
      <c r="L5804" s="42"/>
      <c r="M5804" s="42"/>
      <c r="N5804" s="42"/>
      <c r="O5804" s="42"/>
      <c r="R5804" s="37"/>
      <c r="S5804" s="37"/>
      <c r="T5804" s="91"/>
      <c r="U5804" s="91"/>
      <c r="V5804" s="41"/>
      <c r="W5804" s="37"/>
      <c r="X5804" s="37"/>
      <c r="Y5804" s="43"/>
      <c r="Z5804" s="37"/>
      <c r="AA5804" s="37"/>
      <c r="AD5804" s="37"/>
      <c r="AE5804" s="37"/>
      <c r="AF5804" s="37"/>
    </row>
    <row r="5805" spans="1:32" x14ac:dyDescent="0.25">
      <c r="A5805" s="37"/>
      <c r="B5805" s="37"/>
      <c r="C5805" s="37"/>
      <c r="F5805" s="38"/>
      <c r="G5805" s="38"/>
      <c r="H5805" s="38"/>
      <c r="I5805" s="37"/>
      <c r="J5805" s="38"/>
      <c r="K5805" s="38"/>
      <c r="L5805" s="42"/>
      <c r="M5805" s="42"/>
      <c r="N5805" s="42"/>
      <c r="O5805" s="42"/>
      <c r="R5805" s="37"/>
      <c r="S5805" s="37"/>
      <c r="T5805" s="91"/>
      <c r="U5805" s="91"/>
      <c r="V5805" s="41"/>
      <c r="W5805" s="37"/>
      <c r="X5805" s="37"/>
      <c r="Y5805" s="43"/>
      <c r="Z5805" s="37"/>
      <c r="AA5805" s="37"/>
      <c r="AD5805" s="37"/>
      <c r="AE5805" s="37"/>
      <c r="AF5805" s="37"/>
    </row>
    <row r="5806" spans="1:32" x14ac:dyDescent="0.25">
      <c r="A5806" s="37"/>
      <c r="B5806" s="37"/>
      <c r="C5806" s="37"/>
      <c r="F5806" s="38"/>
      <c r="G5806" s="38"/>
      <c r="H5806" s="38"/>
      <c r="I5806" s="37"/>
      <c r="J5806" s="38"/>
      <c r="K5806" s="38"/>
      <c r="L5806" s="42"/>
      <c r="M5806" s="42"/>
      <c r="N5806" s="42"/>
      <c r="O5806" s="42"/>
      <c r="R5806" s="37"/>
      <c r="S5806" s="37"/>
      <c r="T5806" s="91"/>
      <c r="U5806" s="91"/>
      <c r="V5806" s="41"/>
      <c r="W5806" s="37"/>
      <c r="X5806" s="37"/>
      <c r="Y5806" s="43"/>
      <c r="Z5806" s="37"/>
      <c r="AA5806" s="37"/>
      <c r="AD5806" s="37"/>
      <c r="AE5806" s="37"/>
      <c r="AF5806" s="37"/>
    </row>
    <row r="5807" spans="1:32" x14ac:dyDescent="0.25">
      <c r="A5807" s="37"/>
      <c r="B5807" s="37"/>
      <c r="C5807" s="37"/>
      <c r="F5807" s="38"/>
      <c r="G5807" s="38"/>
      <c r="H5807" s="38"/>
      <c r="I5807" s="37"/>
      <c r="J5807" s="38"/>
      <c r="K5807" s="38"/>
      <c r="L5807" s="42"/>
      <c r="M5807" s="42"/>
      <c r="N5807" s="42"/>
      <c r="O5807" s="42"/>
      <c r="R5807" s="37"/>
      <c r="S5807" s="37"/>
      <c r="T5807" s="91"/>
      <c r="U5807" s="91"/>
      <c r="V5807" s="41"/>
      <c r="W5807" s="37"/>
      <c r="X5807" s="37"/>
      <c r="Y5807" s="43"/>
      <c r="Z5807" s="37"/>
      <c r="AA5807" s="37"/>
      <c r="AD5807" s="37"/>
      <c r="AE5807" s="37"/>
      <c r="AF5807" s="37"/>
    </row>
    <row r="5808" spans="1:32" x14ac:dyDescent="0.25">
      <c r="A5808" s="37"/>
      <c r="B5808" s="37"/>
      <c r="C5808" s="37"/>
      <c r="F5808" s="38"/>
      <c r="G5808" s="38"/>
      <c r="H5808" s="38"/>
      <c r="I5808" s="37"/>
      <c r="J5808" s="38"/>
      <c r="K5808" s="38"/>
      <c r="L5808" s="42"/>
      <c r="M5808" s="42"/>
      <c r="N5808" s="42"/>
      <c r="O5808" s="42"/>
      <c r="R5808" s="37"/>
      <c r="S5808" s="37"/>
      <c r="T5808" s="91"/>
      <c r="U5808" s="91"/>
      <c r="V5808" s="41"/>
      <c r="W5808" s="37"/>
      <c r="X5808" s="37"/>
      <c r="Y5808" s="43"/>
      <c r="Z5808" s="37"/>
      <c r="AA5808" s="37"/>
      <c r="AD5808" s="37"/>
      <c r="AE5808" s="37"/>
      <c r="AF5808" s="37"/>
    </row>
    <row r="5809" spans="1:32" x14ac:dyDescent="0.25">
      <c r="A5809" s="37"/>
      <c r="B5809" s="37"/>
      <c r="C5809" s="37"/>
      <c r="F5809" s="38"/>
      <c r="G5809" s="38"/>
      <c r="H5809" s="38"/>
      <c r="I5809" s="37"/>
      <c r="J5809" s="38"/>
      <c r="K5809" s="38"/>
      <c r="L5809" s="42"/>
      <c r="M5809" s="42"/>
      <c r="N5809" s="42"/>
      <c r="O5809" s="42"/>
      <c r="R5809" s="37"/>
      <c r="S5809" s="37"/>
      <c r="T5809" s="91"/>
      <c r="U5809" s="91"/>
      <c r="V5809" s="41"/>
      <c r="W5809" s="37"/>
      <c r="X5809" s="37"/>
      <c r="Y5809" s="43"/>
      <c r="Z5809" s="37"/>
      <c r="AA5809" s="37"/>
      <c r="AD5809" s="37"/>
      <c r="AE5809" s="37"/>
      <c r="AF5809" s="37"/>
    </row>
    <row r="5810" spans="1:32" x14ac:dyDescent="0.25">
      <c r="A5810" s="37"/>
      <c r="B5810" s="37"/>
      <c r="C5810" s="37"/>
      <c r="F5810" s="38"/>
      <c r="G5810" s="38"/>
      <c r="H5810" s="38"/>
      <c r="I5810" s="37"/>
      <c r="J5810" s="38"/>
      <c r="K5810" s="38"/>
      <c r="L5810" s="42"/>
      <c r="M5810" s="42"/>
      <c r="N5810" s="42"/>
      <c r="O5810" s="42"/>
      <c r="R5810" s="37"/>
      <c r="S5810" s="37"/>
      <c r="T5810" s="91"/>
      <c r="U5810" s="91"/>
      <c r="V5810" s="41"/>
      <c r="W5810" s="37"/>
      <c r="X5810" s="37"/>
      <c r="Y5810" s="43"/>
      <c r="Z5810" s="37"/>
      <c r="AA5810" s="37"/>
      <c r="AD5810" s="37"/>
      <c r="AE5810" s="37"/>
      <c r="AF5810" s="37"/>
    </row>
    <row r="5811" spans="1:32" x14ac:dyDescent="0.25">
      <c r="A5811" s="37"/>
      <c r="B5811" s="37"/>
      <c r="C5811" s="37"/>
      <c r="F5811" s="38"/>
      <c r="G5811" s="38"/>
      <c r="H5811" s="38"/>
      <c r="I5811" s="37"/>
      <c r="J5811" s="38"/>
      <c r="K5811" s="38"/>
      <c r="L5811" s="42"/>
      <c r="M5811" s="42"/>
      <c r="N5811" s="42"/>
      <c r="O5811" s="42"/>
      <c r="R5811" s="37"/>
      <c r="S5811" s="37"/>
      <c r="T5811" s="91"/>
      <c r="U5811" s="91"/>
      <c r="V5811" s="41"/>
      <c r="W5811" s="37"/>
      <c r="X5811" s="37"/>
      <c r="Y5811" s="43"/>
      <c r="Z5811" s="37"/>
      <c r="AA5811" s="37"/>
      <c r="AD5811" s="37"/>
      <c r="AE5811" s="37"/>
      <c r="AF5811" s="37"/>
    </row>
    <row r="5812" spans="1:32" x14ac:dyDescent="0.25">
      <c r="A5812" s="37"/>
      <c r="B5812" s="37"/>
      <c r="C5812" s="37"/>
      <c r="F5812" s="38"/>
      <c r="G5812" s="38"/>
      <c r="H5812" s="38"/>
      <c r="I5812" s="37"/>
      <c r="J5812" s="38"/>
      <c r="K5812" s="38"/>
      <c r="L5812" s="42"/>
      <c r="M5812" s="42"/>
      <c r="N5812" s="42"/>
      <c r="O5812" s="42"/>
      <c r="R5812" s="37"/>
      <c r="S5812" s="37"/>
      <c r="T5812" s="91"/>
      <c r="U5812" s="91"/>
      <c r="V5812" s="41"/>
      <c r="W5812" s="37"/>
      <c r="X5812" s="37"/>
      <c r="Y5812" s="43"/>
      <c r="Z5812" s="37"/>
      <c r="AA5812" s="37"/>
      <c r="AD5812" s="37"/>
      <c r="AE5812" s="37"/>
      <c r="AF5812" s="37"/>
    </row>
    <row r="5813" spans="1:32" x14ac:dyDescent="0.25">
      <c r="A5813" s="37"/>
      <c r="B5813" s="37"/>
      <c r="C5813" s="37"/>
      <c r="F5813" s="38"/>
      <c r="G5813" s="38"/>
      <c r="H5813" s="38"/>
      <c r="I5813" s="37"/>
      <c r="J5813" s="38"/>
      <c r="K5813" s="38"/>
      <c r="L5813" s="42"/>
      <c r="M5813" s="42"/>
      <c r="N5813" s="42"/>
      <c r="O5813" s="42"/>
      <c r="R5813" s="37"/>
      <c r="S5813" s="37"/>
      <c r="T5813" s="91"/>
      <c r="U5813" s="91"/>
      <c r="V5813" s="41"/>
      <c r="W5813" s="37"/>
      <c r="X5813" s="37"/>
      <c r="Y5813" s="43"/>
      <c r="Z5813" s="37"/>
      <c r="AA5813" s="37"/>
      <c r="AD5813" s="37"/>
      <c r="AE5813" s="37"/>
      <c r="AF5813" s="37"/>
    </row>
    <row r="5814" spans="1:32" x14ac:dyDescent="0.25">
      <c r="A5814" s="37"/>
      <c r="B5814" s="37"/>
      <c r="C5814" s="37"/>
      <c r="F5814" s="38"/>
      <c r="G5814" s="38"/>
      <c r="H5814" s="38"/>
      <c r="I5814" s="37"/>
      <c r="J5814" s="38"/>
      <c r="K5814" s="38"/>
      <c r="L5814" s="42"/>
      <c r="M5814" s="42"/>
      <c r="N5814" s="42"/>
      <c r="O5814" s="42"/>
      <c r="R5814" s="37"/>
      <c r="S5814" s="37"/>
      <c r="T5814" s="91"/>
      <c r="U5814" s="91"/>
      <c r="V5814" s="41"/>
      <c r="W5814" s="37"/>
      <c r="X5814" s="37"/>
      <c r="Y5814" s="43"/>
      <c r="Z5814" s="37"/>
      <c r="AA5814" s="37"/>
      <c r="AD5814" s="37"/>
      <c r="AE5814" s="37"/>
      <c r="AF5814" s="37"/>
    </row>
    <row r="5815" spans="1:32" x14ac:dyDescent="0.25">
      <c r="A5815" s="37"/>
      <c r="B5815" s="37"/>
      <c r="C5815" s="37"/>
      <c r="F5815" s="38"/>
      <c r="G5815" s="38"/>
      <c r="H5815" s="38"/>
      <c r="I5815" s="37"/>
      <c r="J5815" s="38"/>
      <c r="K5815" s="38"/>
      <c r="L5815" s="42"/>
      <c r="M5815" s="42"/>
      <c r="N5815" s="42"/>
      <c r="O5815" s="42"/>
      <c r="R5815" s="37"/>
      <c r="S5815" s="37"/>
      <c r="T5815" s="91"/>
      <c r="U5815" s="91"/>
      <c r="V5815" s="41"/>
      <c r="W5815" s="37"/>
      <c r="X5815" s="37"/>
      <c r="Y5815" s="43"/>
      <c r="Z5815" s="37"/>
      <c r="AA5815" s="37"/>
      <c r="AD5815" s="37"/>
      <c r="AE5815" s="37"/>
      <c r="AF5815" s="37"/>
    </row>
    <row r="5816" spans="1:32" x14ac:dyDescent="0.25">
      <c r="A5816" s="37"/>
      <c r="B5816" s="37"/>
      <c r="C5816" s="37"/>
      <c r="F5816" s="38"/>
      <c r="G5816" s="38"/>
      <c r="H5816" s="38"/>
      <c r="I5816" s="37"/>
      <c r="J5816" s="38"/>
      <c r="K5816" s="38"/>
      <c r="L5816" s="42"/>
      <c r="M5816" s="42"/>
      <c r="N5816" s="42"/>
      <c r="O5816" s="42"/>
      <c r="R5816" s="37"/>
      <c r="S5816" s="37"/>
      <c r="T5816" s="91"/>
      <c r="U5816" s="91"/>
      <c r="V5816" s="41"/>
      <c r="W5816" s="37"/>
      <c r="X5816" s="37"/>
      <c r="Y5816" s="43"/>
      <c r="Z5816" s="37"/>
      <c r="AA5816" s="37"/>
      <c r="AD5816" s="37"/>
      <c r="AE5816" s="37"/>
      <c r="AF5816" s="37"/>
    </row>
    <row r="5817" spans="1:32" x14ac:dyDescent="0.25">
      <c r="A5817" s="37"/>
      <c r="B5817" s="37"/>
      <c r="C5817" s="37"/>
      <c r="F5817" s="38"/>
      <c r="G5817" s="38"/>
      <c r="H5817" s="38"/>
      <c r="I5817" s="37"/>
      <c r="J5817" s="38"/>
      <c r="K5817" s="38"/>
      <c r="L5817" s="42"/>
      <c r="M5817" s="42"/>
      <c r="N5817" s="42"/>
      <c r="O5817" s="42"/>
      <c r="R5817" s="37"/>
      <c r="S5817" s="37"/>
      <c r="T5817" s="91"/>
      <c r="U5817" s="91"/>
      <c r="V5817" s="41"/>
      <c r="W5817" s="37"/>
      <c r="X5817" s="37"/>
      <c r="Y5817" s="43"/>
      <c r="Z5817" s="37"/>
      <c r="AA5817" s="37"/>
      <c r="AD5817" s="37"/>
      <c r="AE5817" s="37"/>
      <c r="AF5817" s="37"/>
    </row>
    <row r="5818" spans="1:32" x14ac:dyDescent="0.25">
      <c r="A5818" s="37"/>
      <c r="B5818" s="37"/>
      <c r="C5818" s="37"/>
      <c r="F5818" s="38"/>
      <c r="G5818" s="38"/>
      <c r="H5818" s="38"/>
      <c r="I5818" s="37"/>
      <c r="J5818" s="38"/>
      <c r="K5818" s="38"/>
      <c r="L5818" s="42"/>
      <c r="M5818" s="42"/>
      <c r="N5818" s="42"/>
      <c r="O5818" s="42"/>
      <c r="R5818" s="37"/>
      <c r="S5818" s="37"/>
      <c r="T5818" s="91"/>
      <c r="U5818" s="91"/>
      <c r="V5818" s="41"/>
      <c r="W5818" s="37"/>
      <c r="X5818" s="37"/>
      <c r="Y5818" s="43"/>
      <c r="Z5818" s="37"/>
      <c r="AA5818" s="37"/>
      <c r="AD5818" s="37"/>
      <c r="AE5818" s="37"/>
      <c r="AF5818" s="37"/>
    </row>
    <row r="5819" spans="1:32" x14ac:dyDescent="0.25">
      <c r="A5819" s="37"/>
      <c r="B5819" s="37"/>
      <c r="C5819" s="37"/>
      <c r="F5819" s="38"/>
      <c r="G5819" s="38"/>
      <c r="H5819" s="38"/>
      <c r="I5819" s="37"/>
      <c r="J5819" s="38"/>
      <c r="K5819" s="38"/>
      <c r="L5819" s="42"/>
      <c r="M5819" s="42"/>
      <c r="N5819" s="42"/>
      <c r="O5819" s="42"/>
      <c r="R5819" s="37"/>
      <c r="S5819" s="37"/>
      <c r="T5819" s="91"/>
      <c r="U5819" s="91"/>
      <c r="V5819" s="41"/>
      <c r="W5819" s="37"/>
      <c r="X5819" s="37"/>
      <c r="Y5819" s="43"/>
      <c r="Z5819" s="37"/>
      <c r="AA5819" s="37"/>
      <c r="AD5819" s="37"/>
      <c r="AE5819" s="37"/>
      <c r="AF5819" s="37"/>
    </row>
    <row r="5820" spans="1:32" x14ac:dyDescent="0.25">
      <c r="A5820" s="37"/>
      <c r="B5820" s="37"/>
      <c r="C5820" s="37"/>
      <c r="F5820" s="38"/>
      <c r="G5820" s="38"/>
      <c r="H5820" s="38"/>
      <c r="I5820" s="37"/>
      <c r="J5820" s="38"/>
      <c r="K5820" s="38"/>
      <c r="L5820" s="42"/>
      <c r="M5820" s="42"/>
      <c r="N5820" s="42"/>
      <c r="O5820" s="42"/>
      <c r="R5820" s="37"/>
      <c r="S5820" s="37"/>
      <c r="T5820" s="91"/>
      <c r="U5820" s="91"/>
      <c r="V5820" s="41"/>
      <c r="W5820" s="37"/>
      <c r="X5820" s="37"/>
      <c r="Y5820" s="43"/>
      <c r="Z5820" s="37"/>
      <c r="AA5820" s="37"/>
      <c r="AD5820" s="37"/>
      <c r="AE5820" s="37"/>
      <c r="AF5820" s="37"/>
    </row>
    <row r="5821" spans="1:32" x14ac:dyDescent="0.25">
      <c r="A5821" s="37"/>
      <c r="B5821" s="37"/>
      <c r="C5821" s="37"/>
      <c r="F5821" s="38"/>
      <c r="G5821" s="38"/>
      <c r="H5821" s="38"/>
      <c r="I5821" s="37"/>
      <c r="J5821" s="38"/>
      <c r="K5821" s="38"/>
      <c r="L5821" s="42"/>
      <c r="M5821" s="42"/>
      <c r="N5821" s="42"/>
      <c r="O5821" s="42"/>
      <c r="R5821" s="37"/>
      <c r="S5821" s="37"/>
      <c r="T5821" s="91"/>
      <c r="U5821" s="91"/>
      <c r="V5821" s="41"/>
      <c r="W5821" s="37"/>
      <c r="X5821" s="37"/>
      <c r="Y5821" s="43"/>
      <c r="Z5821" s="37"/>
      <c r="AA5821" s="37"/>
      <c r="AD5821" s="37"/>
      <c r="AE5821" s="37"/>
      <c r="AF5821" s="37"/>
    </row>
    <row r="5822" spans="1:32" x14ac:dyDescent="0.25">
      <c r="A5822" s="37"/>
      <c r="B5822" s="37"/>
      <c r="C5822" s="37"/>
      <c r="F5822" s="38"/>
      <c r="G5822" s="38"/>
      <c r="H5822" s="38"/>
      <c r="I5822" s="37"/>
      <c r="J5822" s="38"/>
      <c r="K5822" s="38"/>
      <c r="L5822" s="42"/>
      <c r="M5822" s="42"/>
      <c r="N5822" s="42"/>
      <c r="O5822" s="42"/>
      <c r="R5822" s="37"/>
      <c r="S5822" s="37"/>
      <c r="T5822" s="91"/>
      <c r="U5822" s="91"/>
      <c r="V5822" s="41"/>
      <c r="W5822" s="37"/>
      <c r="X5822" s="37"/>
      <c r="Y5822" s="43"/>
      <c r="Z5822" s="37"/>
      <c r="AA5822" s="37"/>
      <c r="AD5822" s="37"/>
      <c r="AE5822" s="37"/>
      <c r="AF5822" s="37"/>
    </row>
    <row r="5823" spans="1:32" x14ac:dyDescent="0.25">
      <c r="A5823" s="37"/>
      <c r="B5823" s="37"/>
      <c r="C5823" s="37"/>
      <c r="F5823" s="38"/>
      <c r="G5823" s="38"/>
      <c r="H5823" s="38"/>
      <c r="I5823" s="37"/>
      <c r="J5823" s="38"/>
      <c r="K5823" s="38"/>
      <c r="L5823" s="42"/>
      <c r="M5823" s="42"/>
      <c r="N5823" s="42"/>
      <c r="O5823" s="42"/>
      <c r="R5823" s="37"/>
      <c r="S5823" s="37"/>
      <c r="T5823" s="91"/>
      <c r="U5823" s="91"/>
      <c r="V5823" s="41"/>
      <c r="W5823" s="37"/>
      <c r="X5823" s="37"/>
      <c r="Y5823" s="43"/>
      <c r="Z5823" s="37"/>
      <c r="AA5823" s="37"/>
      <c r="AD5823" s="37"/>
      <c r="AE5823" s="37"/>
      <c r="AF5823" s="37"/>
    </row>
    <row r="5824" spans="1:32" x14ac:dyDescent="0.25">
      <c r="A5824" s="37"/>
      <c r="B5824" s="37"/>
      <c r="C5824" s="37"/>
      <c r="F5824" s="38"/>
      <c r="G5824" s="38"/>
      <c r="H5824" s="38"/>
      <c r="I5824" s="37"/>
      <c r="J5824" s="38"/>
      <c r="K5824" s="38"/>
      <c r="L5824" s="42"/>
      <c r="M5824" s="42"/>
      <c r="N5824" s="42"/>
      <c r="O5824" s="42"/>
      <c r="R5824" s="37"/>
      <c r="S5824" s="37"/>
      <c r="T5824" s="91"/>
      <c r="U5824" s="91"/>
      <c r="V5824" s="41"/>
      <c r="W5824" s="37"/>
      <c r="X5824" s="37"/>
      <c r="Y5824" s="43"/>
      <c r="Z5824" s="37"/>
      <c r="AA5824" s="37"/>
      <c r="AD5824" s="37"/>
      <c r="AE5824" s="37"/>
      <c r="AF5824" s="37"/>
    </row>
    <row r="5825" spans="1:32" x14ac:dyDescent="0.25">
      <c r="A5825" s="37"/>
      <c r="B5825" s="37"/>
      <c r="C5825" s="37"/>
      <c r="F5825" s="38"/>
      <c r="G5825" s="38"/>
      <c r="H5825" s="38"/>
      <c r="I5825" s="37"/>
      <c r="J5825" s="38"/>
      <c r="K5825" s="38"/>
      <c r="L5825" s="42"/>
      <c r="M5825" s="42"/>
      <c r="N5825" s="42"/>
      <c r="O5825" s="42"/>
      <c r="R5825" s="37"/>
      <c r="S5825" s="37"/>
      <c r="T5825" s="91"/>
      <c r="U5825" s="91"/>
      <c r="V5825" s="41"/>
      <c r="W5825" s="37"/>
      <c r="X5825" s="37"/>
      <c r="Y5825" s="43"/>
      <c r="Z5825" s="37"/>
      <c r="AA5825" s="37"/>
      <c r="AD5825" s="37"/>
      <c r="AE5825" s="37"/>
      <c r="AF5825" s="37"/>
    </row>
    <row r="5826" spans="1:32" x14ac:dyDescent="0.25">
      <c r="A5826" s="37"/>
      <c r="B5826" s="37"/>
      <c r="C5826" s="37"/>
      <c r="F5826" s="38"/>
      <c r="G5826" s="38"/>
      <c r="H5826" s="38"/>
      <c r="I5826" s="37"/>
      <c r="J5826" s="38"/>
      <c r="K5826" s="38"/>
      <c r="L5826" s="42"/>
      <c r="M5826" s="42"/>
      <c r="N5826" s="42"/>
      <c r="O5826" s="42"/>
      <c r="R5826" s="37"/>
      <c r="S5826" s="37"/>
      <c r="T5826" s="91"/>
      <c r="U5826" s="91"/>
      <c r="V5826" s="41"/>
      <c r="W5826" s="37"/>
      <c r="X5826" s="37"/>
      <c r="Y5826" s="43"/>
      <c r="Z5826" s="37"/>
      <c r="AA5826" s="37"/>
      <c r="AD5826" s="37"/>
      <c r="AE5826" s="37"/>
      <c r="AF5826" s="37"/>
    </row>
    <row r="5827" spans="1:32" x14ac:dyDescent="0.25">
      <c r="A5827" s="37"/>
      <c r="B5827" s="37"/>
      <c r="C5827" s="37"/>
      <c r="F5827" s="38"/>
      <c r="G5827" s="38"/>
      <c r="H5827" s="38"/>
      <c r="I5827" s="37"/>
      <c r="J5827" s="38"/>
      <c r="K5827" s="38"/>
      <c r="L5827" s="42"/>
      <c r="M5827" s="42"/>
      <c r="N5827" s="42"/>
      <c r="O5827" s="42"/>
      <c r="R5827" s="37"/>
      <c r="S5827" s="37"/>
      <c r="T5827" s="91"/>
      <c r="U5827" s="91"/>
      <c r="V5827" s="41"/>
      <c r="W5827" s="37"/>
      <c r="X5827" s="37"/>
      <c r="Y5827" s="43"/>
      <c r="Z5827" s="37"/>
      <c r="AA5827" s="37"/>
      <c r="AD5827" s="37"/>
      <c r="AE5827" s="37"/>
      <c r="AF5827" s="37"/>
    </row>
    <row r="5828" spans="1:32" x14ac:dyDescent="0.25">
      <c r="A5828" s="37"/>
      <c r="B5828" s="37"/>
      <c r="C5828" s="37"/>
      <c r="F5828" s="38"/>
      <c r="G5828" s="38"/>
      <c r="H5828" s="38"/>
      <c r="I5828" s="37"/>
      <c r="J5828" s="38"/>
      <c r="K5828" s="38"/>
      <c r="L5828" s="42"/>
      <c r="M5828" s="42"/>
      <c r="N5828" s="42"/>
      <c r="O5828" s="42"/>
      <c r="R5828" s="37"/>
      <c r="S5828" s="37"/>
      <c r="T5828" s="91"/>
      <c r="U5828" s="91"/>
      <c r="V5828" s="41"/>
      <c r="W5828" s="37"/>
      <c r="X5828" s="37"/>
      <c r="Y5828" s="43"/>
      <c r="Z5828" s="37"/>
      <c r="AA5828" s="37"/>
      <c r="AD5828" s="37"/>
      <c r="AE5828" s="37"/>
      <c r="AF5828" s="37"/>
    </row>
    <row r="5829" spans="1:32" x14ac:dyDescent="0.25">
      <c r="A5829" s="37"/>
      <c r="B5829" s="37"/>
      <c r="C5829" s="37"/>
      <c r="F5829" s="38"/>
      <c r="G5829" s="38"/>
      <c r="H5829" s="38"/>
      <c r="I5829" s="37"/>
      <c r="J5829" s="38"/>
      <c r="K5829" s="38"/>
      <c r="L5829" s="42"/>
      <c r="M5829" s="42"/>
      <c r="N5829" s="42"/>
      <c r="O5829" s="42"/>
      <c r="R5829" s="37"/>
      <c r="S5829" s="37"/>
      <c r="T5829" s="91"/>
      <c r="U5829" s="91"/>
      <c r="V5829" s="41"/>
      <c r="W5829" s="37"/>
      <c r="X5829" s="37"/>
      <c r="Y5829" s="43"/>
      <c r="Z5829" s="37"/>
      <c r="AA5829" s="37"/>
      <c r="AD5829" s="37"/>
      <c r="AE5829" s="37"/>
      <c r="AF5829" s="37"/>
    </row>
    <row r="5830" spans="1:32" x14ac:dyDescent="0.25">
      <c r="A5830" s="37"/>
      <c r="B5830" s="37"/>
      <c r="C5830" s="37"/>
      <c r="F5830" s="38"/>
      <c r="G5830" s="38"/>
      <c r="H5830" s="38"/>
      <c r="I5830" s="37"/>
      <c r="J5830" s="38"/>
      <c r="K5830" s="38"/>
      <c r="L5830" s="42"/>
      <c r="M5830" s="42"/>
      <c r="N5830" s="42"/>
      <c r="O5830" s="42"/>
      <c r="R5830" s="37"/>
      <c r="S5830" s="37"/>
      <c r="T5830" s="91"/>
      <c r="U5830" s="91"/>
      <c r="V5830" s="41"/>
      <c r="W5830" s="37"/>
      <c r="X5830" s="37"/>
      <c r="Y5830" s="43"/>
      <c r="Z5830" s="37"/>
      <c r="AA5830" s="37"/>
      <c r="AD5830" s="37"/>
      <c r="AE5830" s="37"/>
      <c r="AF5830" s="37"/>
    </row>
    <row r="5831" spans="1:32" x14ac:dyDescent="0.25">
      <c r="A5831" s="37"/>
      <c r="B5831" s="37"/>
      <c r="C5831" s="37"/>
      <c r="F5831" s="38"/>
      <c r="G5831" s="38"/>
      <c r="H5831" s="38"/>
      <c r="I5831" s="37"/>
      <c r="J5831" s="38"/>
      <c r="K5831" s="38"/>
      <c r="L5831" s="42"/>
      <c r="M5831" s="42"/>
      <c r="N5831" s="42"/>
      <c r="O5831" s="42"/>
      <c r="R5831" s="37"/>
      <c r="S5831" s="37"/>
      <c r="T5831" s="91"/>
      <c r="U5831" s="91"/>
      <c r="V5831" s="41"/>
      <c r="W5831" s="37"/>
      <c r="X5831" s="37"/>
      <c r="Y5831" s="43"/>
      <c r="Z5831" s="37"/>
      <c r="AA5831" s="37"/>
      <c r="AD5831" s="37"/>
      <c r="AE5831" s="37"/>
      <c r="AF5831" s="37"/>
    </row>
    <row r="5832" spans="1:32" x14ac:dyDescent="0.25">
      <c r="A5832" s="37"/>
      <c r="B5832" s="37"/>
      <c r="C5832" s="37"/>
      <c r="F5832" s="38"/>
      <c r="G5832" s="38"/>
      <c r="H5832" s="38"/>
      <c r="I5832" s="37"/>
      <c r="J5832" s="38"/>
      <c r="K5832" s="38"/>
      <c r="L5832" s="42"/>
      <c r="M5832" s="42"/>
      <c r="N5832" s="42"/>
      <c r="O5832" s="42"/>
      <c r="R5832" s="37"/>
      <c r="S5832" s="37"/>
      <c r="T5832" s="91"/>
      <c r="U5832" s="91"/>
      <c r="V5832" s="41"/>
      <c r="W5832" s="37"/>
      <c r="X5832" s="37"/>
      <c r="Y5832" s="43"/>
      <c r="Z5832" s="37"/>
      <c r="AA5832" s="37"/>
      <c r="AD5832" s="37"/>
      <c r="AE5832" s="37"/>
      <c r="AF5832" s="37"/>
    </row>
    <row r="5833" spans="1:32" x14ac:dyDescent="0.25">
      <c r="A5833" s="37"/>
      <c r="B5833" s="37"/>
      <c r="C5833" s="37"/>
      <c r="F5833" s="38"/>
      <c r="G5833" s="38"/>
      <c r="H5833" s="38"/>
      <c r="I5833" s="37"/>
      <c r="J5833" s="38"/>
      <c r="K5833" s="38"/>
      <c r="L5833" s="42"/>
      <c r="M5833" s="42"/>
      <c r="N5833" s="42"/>
      <c r="O5833" s="42"/>
      <c r="R5833" s="37"/>
      <c r="S5833" s="37"/>
      <c r="T5833" s="91"/>
      <c r="U5833" s="91"/>
      <c r="V5833" s="41"/>
      <c r="W5833" s="37"/>
      <c r="X5833" s="37"/>
      <c r="Y5833" s="43"/>
      <c r="Z5833" s="37"/>
      <c r="AA5833" s="37"/>
      <c r="AD5833" s="37"/>
      <c r="AE5833" s="37"/>
      <c r="AF5833" s="37"/>
    </row>
    <row r="5834" spans="1:32" x14ac:dyDescent="0.25">
      <c r="A5834" s="37"/>
      <c r="B5834" s="37"/>
      <c r="C5834" s="37"/>
      <c r="F5834" s="38"/>
      <c r="G5834" s="38"/>
      <c r="H5834" s="38"/>
      <c r="I5834" s="37"/>
      <c r="J5834" s="38"/>
      <c r="K5834" s="38"/>
      <c r="L5834" s="42"/>
      <c r="M5834" s="42"/>
      <c r="N5834" s="42"/>
      <c r="O5834" s="42"/>
      <c r="R5834" s="37"/>
      <c r="S5834" s="37"/>
      <c r="T5834" s="91"/>
      <c r="U5834" s="91"/>
      <c r="V5834" s="41"/>
      <c r="W5834" s="37"/>
      <c r="X5834" s="37"/>
      <c r="Y5834" s="43"/>
      <c r="Z5834" s="37"/>
      <c r="AA5834" s="37"/>
      <c r="AD5834" s="37"/>
      <c r="AE5834" s="37"/>
      <c r="AF5834" s="37"/>
    </row>
    <row r="5835" spans="1:32" x14ac:dyDescent="0.25">
      <c r="A5835" s="37"/>
      <c r="B5835" s="37"/>
      <c r="C5835" s="37"/>
      <c r="F5835" s="38"/>
      <c r="G5835" s="38"/>
      <c r="H5835" s="38"/>
      <c r="I5835" s="37"/>
      <c r="J5835" s="38"/>
      <c r="K5835" s="38"/>
      <c r="L5835" s="42"/>
      <c r="M5835" s="42"/>
      <c r="N5835" s="42"/>
      <c r="O5835" s="42"/>
      <c r="R5835" s="37"/>
      <c r="S5835" s="37"/>
      <c r="T5835" s="91"/>
      <c r="U5835" s="91"/>
      <c r="V5835" s="41"/>
      <c r="W5835" s="37"/>
      <c r="X5835" s="37"/>
      <c r="Y5835" s="43"/>
      <c r="Z5835" s="37"/>
      <c r="AA5835" s="37"/>
      <c r="AD5835" s="37"/>
      <c r="AE5835" s="37"/>
      <c r="AF5835" s="37"/>
    </row>
    <row r="5836" spans="1:32" x14ac:dyDescent="0.25">
      <c r="A5836" s="37"/>
      <c r="B5836" s="37"/>
      <c r="C5836" s="37"/>
      <c r="F5836" s="38"/>
      <c r="G5836" s="38"/>
      <c r="H5836" s="38"/>
      <c r="I5836" s="37"/>
      <c r="J5836" s="38"/>
      <c r="K5836" s="38"/>
      <c r="L5836" s="42"/>
      <c r="M5836" s="42"/>
      <c r="N5836" s="42"/>
      <c r="O5836" s="42"/>
      <c r="R5836" s="37"/>
      <c r="S5836" s="37"/>
      <c r="T5836" s="91"/>
      <c r="U5836" s="91"/>
      <c r="V5836" s="41"/>
      <c r="W5836" s="37"/>
      <c r="X5836" s="37"/>
      <c r="Y5836" s="43"/>
      <c r="Z5836" s="37"/>
      <c r="AA5836" s="37"/>
      <c r="AD5836" s="37"/>
      <c r="AE5836" s="37"/>
      <c r="AF5836" s="37"/>
    </row>
    <row r="5837" spans="1:32" x14ac:dyDescent="0.25">
      <c r="A5837" s="37"/>
      <c r="B5837" s="37"/>
      <c r="C5837" s="37"/>
      <c r="F5837" s="38"/>
      <c r="G5837" s="38"/>
      <c r="H5837" s="38"/>
      <c r="I5837" s="37"/>
      <c r="J5837" s="38"/>
      <c r="K5837" s="38"/>
      <c r="L5837" s="42"/>
      <c r="M5837" s="42"/>
      <c r="N5837" s="42"/>
      <c r="O5837" s="42"/>
      <c r="R5837" s="37"/>
      <c r="S5837" s="37"/>
      <c r="T5837" s="91"/>
      <c r="U5837" s="91"/>
      <c r="V5837" s="41"/>
      <c r="W5837" s="37"/>
      <c r="X5837" s="37"/>
      <c r="Y5837" s="43"/>
      <c r="Z5837" s="37"/>
      <c r="AA5837" s="37"/>
      <c r="AD5837" s="37"/>
      <c r="AE5837" s="37"/>
      <c r="AF5837" s="37"/>
    </row>
    <row r="5838" spans="1:32" x14ac:dyDescent="0.25">
      <c r="A5838" s="37"/>
      <c r="B5838" s="37"/>
      <c r="C5838" s="37"/>
      <c r="F5838" s="38"/>
      <c r="G5838" s="38"/>
      <c r="H5838" s="38"/>
      <c r="I5838" s="37"/>
      <c r="J5838" s="38"/>
      <c r="K5838" s="38"/>
      <c r="L5838" s="42"/>
      <c r="M5838" s="42"/>
      <c r="N5838" s="42"/>
      <c r="O5838" s="42"/>
      <c r="R5838" s="37"/>
      <c r="S5838" s="37"/>
      <c r="T5838" s="91"/>
      <c r="U5838" s="91"/>
      <c r="V5838" s="41"/>
      <c r="W5838" s="37"/>
      <c r="X5838" s="37"/>
      <c r="Y5838" s="43"/>
      <c r="Z5838" s="37"/>
      <c r="AA5838" s="37"/>
      <c r="AD5838" s="37"/>
      <c r="AE5838" s="37"/>
      <c r="AF5838" s="37"/>
    </row>
    <row r="5839" spans="1:32" x14ac:dyDescent="0.25">
      <c r="A5839" s="37"/>
      <c r="B5839" s="37"/>
      <c r="C5839" s="37"/>
      <c r="F5839" s="38"/>
      <c r="G5839" s="38"/>
      <c r="H5839" s="38"/>
      <c r="I5839" s="37"/>
      <c r="J5839" s="38"/>
      <c r="K5839" s="38"/>
      <c r="L5839" s="42"/>
      <c r="M5839" s="42"/>
      <c r="N5839" s="42"/>
      <c r="O5839" s="42"/>
      <c r="R5839" s="37"/>
      <c r="S5839" s="37"/>
      <c r="T5839" s="91"/>
      <c r="U5839" s="91"/>
      <c r="V5839" s="41"/>
      <c r="W5839" s="37"/>
      <c r="X5839" s="37"/>
      <c r="Y5839" s="43"/>
      <c r="Z5839" s="37"/>
      <c r="AA5839" s="37"/>
      <c r="AD5839" s="37"/>
      <c r="AE5839" s="37"/>
      <c r="AF5839" s="37"/>
    </row>
    <row r="5840" spans="1:32" x14ac:dyDescent="0.25">
      <c r="A5840" s="37"/>
      <c r="B5840" s="37"/>
      <c r="C5840" s="37"/>
      <c r="F5840" s="38"/>
      <c r="G5840" s="38"/>
      <c r="H5840" s="38"/>
      <c r="I5840" s="37"/>
      <c r="J5840" s="38"/>
      <c r="K5840" s="38"/>
      <c r="L5840" s="42"/>
      <c r="M5840" s="42"/>
      <c r="N5840" s="42"/>
      <c r="O5840" s="42"/>
      <c r="R5840" s="37"/>
      <c r="S5840" s="37"/>
      <c r="T5840" s="91"/>
      <c r="U5840" s="91"/>
      <c r="V5840" s="41"/>
      <c r="W5840" s="37"/>
      <c r="X5840" s="37"/>
      <c r="Y5840" s="43"/>
      <c r="Z5840" s="37"/>
      <c r="AA5840" s="37"/>
      <c r="AD5840" s="37"/>
      <c r="AE5840" s="37"/>
      <c r="AF5840" s="37"/>
    </row>
    <row r="5841" spans="1:32" x14ac:dyDescent="0.25">
      <c r="A5841" s="37"/>
      <c r="B5841" s="37"/>
      <c r="C5841" s="37"/>
      <c r="F5841" s="38"/>
      <c r="G5841" s="38"/>
      <c r="H5841" s="38"/>
      <c r="I5841" s="37"/>
      <c r="J5841" s="38"/>
      <c r="K5841" s="38"/>
      <c r="L5841" s="42"/>
      <c r="M5841" s="42"/>
      <c r="N5841" s="42"/>
      <c r="O5841" s="42"/>
      <c r="R5841" s="37"/>
      <c r="S5841" s="37"/>
      <c r="T5841" s="91"/>
      <c r="U5841" s="91"/>
      <c r="V5841" s="41"/>
      <c r="W5841" s="37"/>
      <c r="X5841" s="37"/>
      <c r="Y5841" s="43"/>
      <c r="Z5841" s="37"/>
      <c r="AA5841" s="37"/>
      <c r="AD5841" s="37"/>
      <c r="AE5841" s="37"/>
      <c r="AF5841" s="37"/>
    </row>
    <row r="5842" spans="1:32" x14ac:dyDescent="0.25">
      <c r="A5842" s="37"/>
      <c r="B5842" s="37"/>
      <c r="C5842" s="37"/>
      <c r="F5842" s="38"/>
      <c r="G5842" s="38"/>
      <c r="H5842" s="38"/>
      <c r="I5842" s="37"/>
      <c r="J5842" s="38"/>
      <c r="K5842" s="38"/>
      <c r="L5842" s="42"/>
      <c r="M5842" s="42"/>
      <c r="N5842" s="42"/>
      <c r="O5842" s="42"/>
      <c r="R5842" s="37"/>
      <c r="S5842" s="37"/>
      <c r="T5842" s="91"/>
      <c r="U5842" s="91"/>
      <c r="V5842" s="41"/>
      <c r="W5842" s="37"/>
      <c r="X5842" s="37"/>
      <c r="Y5842" s="43"/>
      <c r="Z5842" s="37"/>
      <c r="AA5842" s="37"/>
      <c r="AD5842" s="37"/>
      <c r="AE5842" s="37"/>
      <c r="AF5842" s="37"/>
    </row>
    <row r="5843" spans="1:32" x14ac:dyDescent="0.25">
      <c r="A5843" s="37"/>
      <c r="B5843" s="37"/>
      <c r="C5843" s="37"/>
      <c r="F5843" s="38"/>
      <c r="G5843" s="38"/>
      <c r="H5843" s="38"/>
      <c r="I5843" s="37"/>
      <c r="J5843" s="38"/>
      <c r="K5843" s="38"/>
      <c r="L5843" s="42"/>
      <c r="M5843" s="42"/>
      <c r="N5843" s="42"/>
      <c r="O5843" s="42"/>
      <c r="R5843" s="37"/>
      <c r="S5843" s="37"/>
      <c r="T5843" s="91"/>
      <c r="U5843" s="91"/>
      <c r="V5843" s="41"/>
      <c r="W5843" s="37"/>
      <c r="X5843" s="37"/>
      <c r="Y5843" s="43"/>
      <c r="Z5843" s="37"/>
      <c r="AA5843" s="37"/>
      <c r="AD5843" s="37"/>
      <c r="AE5843" s="37"/>
      <c r="AF5843" s="37"/>
    </row>
    <row r="5844" spans="1:32" x14ac:dyDescent="0.25">
      <c r="A5844" s="37"/>
      <c r="B5844" s="37"/>
      <c r="C5844" s="37"/>
      <c r="F5844" s="38"/>
      <c r="G5844" s="38"/>
      <c r="H5844" s="38"/>
      <c r="I5844" s="37"/>
      <c r="J5844" s="38"/>
      <c r="K5844" s="38"/>
      <c r="L5844" s="42"/>
      <c r="M5844" s="42"/>
      <c r="N5844" s="42"/>
      <c r="O5844" s="42"/>
      <c r="R5844" s="37"/>
      <c r="S5844" s="37"/>
      <c r="T5844" s="91"/>
      <c r="U5844" s="91"/>
      <c r="V5844" s="41"/>
      <c r="W5844" s="37"/>
      <c r="X5844" s="37"/>
      <c r="Y5844" s="43"/>
      <c r="Z5844" s="37"/>
      <c r="AA5844" s="37"/>
      <c r="AD5844" s="37"/>
      <c r="AE5844" s="37"/>
      <c r="AF5844" s="37"/>
    </row>
    <row r="5845" spans="1:32" x14ac:dyDescent="0.25">
      <c r="A5845" s="37"/>
      <c r="B5845" s="37"/>
      <c r="C5845" s="37"/>
      <c r="F5845" s="38"/>
      <c r="G5845" s="38"/>
      <c r="H5845" s="38"/>
      <c r="I5845" s="37"/>
      <c r="J5845" s="38"/>
      <c r="K5845" s="38"/>
      <c r="L5845" s="42"/>
      <c r="M5845" s="42"/>
      <c r="N5845" s="42"/>
      <c r="O5845" s="42"/>
      <c r="R5845" s="37"/>
      <c r="S5845" s="37"/>
      <c r="T5845" s="91"/>
      <c r="U5845" s="91"/>
      <c r="V5845" s="41"/>
      <c r="W5845" s="37"/>
      <c r="X5845" s="37"/>
      <c r="Y5845" s="43"/>
      <c r="Z5845" s="37"/>
      <c r="AA5845" s="37"/>
      <c r="AD5845" s="37"/>
      <c r="AE5845" s="37"/>
      <c r="AF5845" s="37"/>
    </row>
    <row r="5846" spans="1:32" x14ac:dyDescent="0.25">
      <c r="A5846" s="37"/>
      <c r="B5846" s="37"/>
      <c r="C5846" s="37"/>
      <c r="F5846" s="38"/>
      <c r="G5846" s="38"/>
      <c r="H5846" s="38"/>
      <c r="I5846" s="37"/>
      <c r="J5846" s="38"/>
      <c r="K5846" s="38"/>
      <c r="L5846" s="42"/>
      <c r="M5846" s="42"/>
      <c r="N5846" s="42"/>
      <c r="O5846" s="42"/>
      <c r="R5846" s="37"/>
      <c r="S5846" s="37"/>
      <c r="T5846" s="91"/>
      <c r="U5846" s="91"/>
      <c r="V5846" s="41"/>
      <c r="W5846" s="37"/>
      <c r="X5846" s="37"/>
      <c r="Y5846" s="43"/>
      <c r="Z5846" s="37"/>
      <c r="AA5846" s="37"/>
      <c r="AD5846" s="37"/>
      <c r="AE5846" s="37"/>
      <c r="AF5846" s="37"/>
    </row>
    <row r="5847" spans="1:32" x14ac:dyDescent="0.25">
      <c r="A5847" s="37"/>
      <c r="B5847" s="37"/>
      <c r="C5847" s="37"/>
      <c r="F5847" s="38"/>
      <c r="G5847" s="38"/>
      <c r="H5847" s="38"/>
      <c r="I5847" s="37"/>
      <c r="J5847" s="38"/>
      <c r="K5847" s="38"/>
      <c r="L5847" s="42"/>
      <c r="M5847" s="42"/>
      <c r="N5847" s="42"/>
      <c r="O5847" s="42"/>
      <c r="R5847" s="37"/>
      <c r="S5847" s="37"/>
      <c r="T5847" s="91"/>
      <c r="U5847" s="91"/>
      <c r="V5847" s="41"/>
      <c r="W5847" s="37"/>
      <c r="X5847" s="37"/>
      <c r="Y5847" s="43"/>
      <c r="Z5847" s="37"/>
      <c r="AA5847" s="37"/>
      <c r="AD5847" s="37"/>
      <c r="AE5847" s="37"/>
      <c r="AF5847" s="37"/>
    </row>
    <row r="5848" spans="1:32" x14ac:dyDescent="0.25">
      <c r="A5848" s="37"/>
      <c r="B5848" s="37"/>
      <c r="C5848" s="37"/>
      <c r="F5848" s="38"/>
      <c r="G5848" s="38"/>
      <c r="H5848" s="38"/>
      <c r="I5848" s="37"/>
      <c r="J5848" s="38"/>
      <c r="K5848" s="38"/>
      <c r="L5848" s="42"/>
      <c r="M5848" s="42"/>
      <c r="N5848" s="42"/>
      <c r="O5848" s="42"/>
      <c r="R5848" s="37"/>
      <c r="S5848" s="37"/>
      <c r="T5848" s="91"/>
      <c r="U5848" s="91"/>
      <c r="V5848" s="41"/>
      <c r="W5848" s="37"/>
      <c r="X5848" s="37"/>
      <c r="Y5848" s="43"/>
      <c r="Z5848" s="37"/>
      <c r="AA5848" s="37"/>
      <c r="AD5848" s="37"/>
      <c r="AE5848" s="37"/>
      <c r="AF5848" s="37"/>
    </row>
    <row r="5849" spans="1:32" x14ac:dyDescent="0.25">
      <c r="A5849" s="37"/>
      <c r="B5849" s="37"/>
      <c r="C5849" s="37"/>
      <c r="F5849" s="38"/>
      <c r="G5849" s="38"/>
      <c r="H5849" s="38"/>
      <c r="I5849" s="37"/>
      <c r="J5849" s="38"/>
      <c r="K5849" s="38"/>
      <c r="L5849" s="42"/>
      <c r="M5849" s="42"/>
      <c r="N5849" s="42"/>
      <c r="O5849" s="42"/>
      <c r="R5849" s="37"/>
      <c r="S5849" s="37"/>
      <c r="T5849" s="91"/>
      <c r="U5849" s="91"/>
      <c r="V5849" s="41"/>
      <c r="W5849" s="37"/>
      <c r="X5849" s="37"/>
      <c r="Y5849" s="43"/>
      <c r="Z5849" s="37"/>
      <c r="AA5849" s="37"/>
      <c r="AD5849" s="37"/>
      <c r="AE5849" s="37"/>
      <c r="AF5849" s="37"/>
    </row>
    <row r="5850" spans="1:32" x14ac:dyDescent="0.25">
      <c r="A5850" s="37"/>
      <c r="B5850" s="37"/>
      <c r="C5850" s="37"/>
      <c r="F5850" s="38"/>
      <c r="G5850" s="38"/>
      <c r="H5850" s="38"/>
      <c r="I5850" s="37"/>
      <c r="J5850" s="38"/>
      <c r="K5850" s="38"/>
      <c r="L5850" s="42"/>
      <c r="M5850" s="42"/>
      <c r="N5850" s="42"/>
      <c r="O5850" s="42"/>
      <c r="R5850" s="37"/>
      <c r="S5850" s="37"/>
      <c r="T5850" s="91"/>
      <c r="U5850" s="91"/>
      <c r="V5850" s="41"/>
      <c r="W5850" s="37"/>
      <c r="X5850" s="37"/>
      <c r="Y5850" s="43"/>
      <c r="Z5850" s="37"/>
      <c r="AA5850" s="37"/>
      <c r="AD5850" s="37"/>
      <c r="AE5850" s="37"/>
      <c r="AF5850" s="37"/>
    </row>
    <row r="5851" spans="1:32" x14ac:dyDescent="0.25">
      <c r="A5851" s="37"/>
      <c r="B5851" s="37"/>
      <c r="C5851" s="37"/>
      <c r="F5851" s="38"/>
      <c r="G5851" s="38"/>
      <c r="H5851" s="38"/>
      <c r="I5851" s="37"/>
      <c r="J5851" s="38"/>
      <c r="K5851" s="38"/>
      <c r="L5851" s="42"/>
      <c r="M5851" s="42"/>
      <c r="N5851" s="42"/>
      <c r="O5851" s="42"/>
      <c r="R5851" s="37"/>
      <c r="S5851" s="37"/>
      <c r="T5851" s="91"/>
      <c r="U5851" s="91"/>
      <c r="V5851" s="41"/>
      <c r="W5851" s="37"/>
      <c r="X5851" s="37"/>
      <c r="Y5851" s="43"/>
      <c r="Z5851" s="37"/>
      <c r="AA5851" s="37"/>
      <c r="AD5851" s="37"/>
      <c r="AE5851" s="37"/>
      <c r="AF5851" s="37"/>
    </row>
    <row r="5852" spans="1:32" x14ac:dyDescent="0.25">
      <c r="A5852" s="37"/>
      <c r="B5852" s="37"/>
      <c r="C5852" s="37"/>
      <c r="F5852" s="38"/>
      <c r="G5852" s="38"/>
      <c r="H5852" s="38"/>
      <c r="I5852" s="37"/>
      <c r="J5852" s="38"/>
      <c r="K5852" s="38"/>
      <c r="L5852" s="42"/>
      <c r="M5852" s="42"/>
      <c r="N5852" s="42"/>
      <c r="O5852" s="42"/>
      <c r="R5852" s="37"/>
      <c r="S5852" s="37"/>
      <c r="T5852" s="91"/>
      <c r="U5852" s="91"/>
      <c r="V5852" s="41"/>
      <c r="W5852" s="37"/>
      <c r="X5852" s="37"/>
      <c r="Y5852" s="43"/>
      <c r="Z5852" s="37"/>
      <c r="AA5852" s="37"/>
      <c r="AD5852" s="37"/>
      <c r="AE5852" s="37"/>
      <c r="AF5852" s="37"/>
    </row>
    <row r="5853" spans="1:32" x14ac:dyDescent="0.25">
      <c r="A5853" s="37"/>
      <c r="B5853" s="37"/>
      <c r="C5853" s="37"/>
      <c r="F5853" s="38"/>
      <c r="G5853" s="38"/>
      <c r="H5853" s="38"/>
      <c r="I5853" s="37"/>
      <c r="J5853" s="38"/>
      <c r="K5853" s="38"/>
      <c r="L5853" s="42"/>
      <c r="M5853" s="42"/>
      <c r="N5853" s="42"/>
      <c r="O5853" s="42"/>
      <c r="R5853" s="37"/>
      <c r="S5853" s="37"/>
      <c r="T5853" s="91"/>
      <c r="U5853" s="91"/>
      <c r="V5853" s="41"/>
      <c r="W5853" s="37"/>
      <c r="X5853" s="37"/>
      <c r="Y5853" s="43"/>
      <c r="Z5853" s="37"/>
      <c r="AA5853" s="37"/>
      <c r="AD5853" s="37"/>
      <c r="AE5853" s="37"/>
      <c r="AF5853" s="37"/>
    </row>
    <row r="5854" spans="1:32" x14ac:dyDescent="0.25">
      <c r="A5854" s="37"/>
      <c r="B5854" s="37"/>
      <c r="C5854" s="37"/>
      <c r="F5854" s="38"/>
      <c r="G5854" s="38"/>
      <c r="H5854" s="38"/>
      <c r="I5854" s="37"/>
      <c r="J5854" s="38"/>
      <c r="K5854" s="38"/>
      <c r="L5854" s="42"/>
      <c r="M5854" s="42"/>
      <c r="N5854" s="42"/>
      <c r="O5854" s="42"/>
      <c r="R5854" s="37"/>
      <c r="S5854" s="37"/>
      <c r="T5854" s="91"/>
      <c r="U5854" s="91"/>
      <c r="V5854" s="41"/>
      <c r="W5854" s="37"/>
      <c r="X5854" s="37"/>
      <c r="Y5854" s="43"/>
      <c r="Z5854" s="37"/>
      <c r="AA5854" s="37"/>
      <c r="AD5854" s="37"/>
      <c r="AE5854" s="37"/>
      <c r="AF5854" s="37"/>
    </row>
    <row r="5855" spans="1:32" x14ac:dyDescent="0.25">
      <c r="A5855" s="37"/>
      <c r="B5855" s="37"/>
      <c r="C5855" s="37"/>
      <c r="F5855" s="38"/>
      <c r="G5855" s="38"/>
      <c r="H5855" s="38"/>
      <c r="I5855" s="37"/>
      <c r="J5855" s="38"/>
      <c r="K5855" s="38"/>
      <c r="L5855" s="42"/>
      <c r="M5855" s="42"/>
      <c r="N5855" s="42"/>
      <c r="O5855" s="42"/>
      <c r="R5855" s="37"/>
      <c r="S5855" s="37"/>
      <c r="T5855" s="91"/>
      <c r="U5855" s="91"/>
      <c r="V5855" s="41"/>
      <c r="W5855" s="37"/>
      <c r="X5855" s="37"/>
      <c r="Y5855" s="43"/>
      <c r="Z5855" s="37"/>
      <c r="AA5855" s="37"/>
      <c r="AD5855" s="37"/>
      <c r="AE5855" s="37"/>
      <c r="AF5855" s="37"/>
    </row>
    <row r="5856" spans="1:32" x14ac:dyDescent="0.25">
      <c r="A5856" s="37"/>
      <c r="B5856" s="37"/>
      <c r="C5856" s="37"/>
      <c r="F5856" s="38"/>
      <c r="G5856" s="38"/>
      <c r="H5856" s="38"/>
      <c r="I5856" s="37"/>
      <c r="J5856" s="38"/>
      <c r="K5856" s="38"/>
      <c r="L5856" s="42"/>
      <c r="M5856" s="42"/>
      <c r="N5856" s="42"/>
      <c r="O5856" s="42"/>
      <c r="R5856" s="37"/>
      <c r="S5856" s="37"/>
      <c r="T5856" s="91"/>
      <c r="U5856" s="91"/>
      <c r="V5856" s="41"/>
      <c r="W5856" s="37"/>
      <c r="X5856" s="37"/>
      <c r="Y5856" s="43"/>
      <c r="Z5856" s="37"/>
      <c r="AA5856" s="37"/>
      <c r="AD5856" s="37"/>
      <c r="AE5856" s="37"/>
      <c r="AF5856" s="37"/>
    </row>
    <row r="5857" spans="1:32" x14ac:dyDescent="0.25">
      <c r="A5857" s="37"/>
      <c r="B5857" s="37"/>
      <c r="C5857" s="37"/>
      <c r="F5857" s="38"/>
      <c r="G5857" s="38"/>
      <c r="H5857" s="38"/>
      <c r="I5857" s="37"/>
      <c r="J5857" s="38"/>
      <c r="K5857" s="38"/>
      <c r="L5857" s="42"/>
      <c r="M5857" s="42"/>
      <c r="N5857" s="42"/>
      <c r="O5857" s="42"/>
      <c r="R5857" s="37"/>
      <c r="S5857" s="37"/>
      <c r="T5857" s="91"/>
      <c r="U5857" s="91"/>
      <c r="V5857" s="41"/>
      <c r="W5857" s="37"/>
      <c r="X5857" s="37"/>
      <c r="Y5857" s="43"/>
      <c r="Z5857" s="37"/>
      <c r="AA5857" s="37"/>
      <c r="AD5857" s="37"/>
      <c r="AE5857" s="37"/>
      <c r="AF5857" s="37"/>
    </row>
    <row r="5858" spans="1:32" x14ac:dyDescent="0.25">
      <c r="A5858" s="37"/>
      <c r="B5858" s="37"/>
      <c r="C5858" s="37"/>
      <c r="F5858" s="38"/>
      <c r="G5858" s="38"/>
      <c r="H5858" s="38"/>
      <c r="I5858" s="37"/>
      <c r="J5858" s="38"/>
      <c r="K5858" s="38"/>
      <c r="L5858" s="42"/>
      <c r="M5858" s="42"/>
      <c r="N5858" s="42"/>
      <c r="O5858" s="42"/>
      <c r="R5858" s="37"/>
      <c r="S5858" s="37"/>
      <c r="T5858" s="91"/>
      <c r="U5858" s="91"/>
      <c r="V5858" s="41"/>
      <c r="W5858" s="37"/>
      <c r="X5858" s="37"/>
      <c r="Y5858" s="43"/>
      <c r="Z5858" s="37"/>
      <c r="AA5858" s="37"/>
      <c r="AD5858" s="37"/>
      <c r="AE5858" s="37"/>
      <c r="AF5858" s="37"/>
    </row>
    <row r="5859" spans="1:32" x14ac:dyDescent="0.25">
      <c r="A5859" s="37"/>
      <c r="B5859" s="37"/>
      <c r="C5859" s="37"/>
      <c r="F5859" s="38"/>
      <c r="G5859" s="38"/>
      <c r="H5859" s="38"/>
      <c r="I5859" s="37"/>
      <c r="J5859" s="38"/>
      <c r="K5859" s="38"/>
      <c r="L5859" s="42"/>
      <c r="M5859" s="42"/>
      <c r="N5859" s="42"/>
      <c r="O5859" s="42"/>
      <c r="R5859" s="37"/>
      <c r="S5859" s="37"/>
      <c r="T5859" s="91"/>
      <c r="U5859" s="91"/>
      <c r="V5859" s="41"/>
      <c r="W5859" s="37"/>
      <c r="X5859" s="37"/>
      <c r="Y5859" s="43"/>
      <c r="Z5859" s="37"/>
      <c r="AA5859" s="37"/>
      <c r="AD5859" s="37"/>
      <c r="AE5859" s="37"/>
      <c r="AF5859" s="37"/>
    </row>
    <row r="5860" spans="1:32" x14ac:dyDescent="0.25">
      <c r="A5860" s="37"/>
      <c r="B5860" s="37"/>
      <c r="C5860" s="37"/>
      <c r="F5860" s="38"/>
      <c r="G5860" s="38"/>
      <c r="H5860" s="38"/>
      <c r="I5860" s="37"/>
      <c r="J5860" s="38"/>
      <c r="K5860" s="38"/>
      <c r="L5860" s="42"/>
      <c r="M5860" s="42"/>
      <c r="N5860" s="42"/>
      <c r="O5860" s="42"/>
      <c r="R5860" s="37"/>
      <c r="S5860" s="37"/>
      <c r="T5860" s="91"/>
      <c r="U5860" s="91"/>
      <c r="V5860" s="41"/>
      <c r="W5860" s="37"/>
      <c r="X5860" s="37"/>
      <c r="Y5860" s="43"/>
      <c r="Z5860" s="37"/>
      <c r="AA5860" s="37"/>
      <c r="AD5860" s="37"/>
      <c r="AE5860" s="37"/>
      <c r="AF5860" s="37"/>
    </row>
    <row r="5861" spans="1:32" x14ac:dyDescent="0.25">
      <c r="A5861" s="37"/>
      <c r="B5861" s="37"/>
      <c r="C5861" s="37"/>
      <c r="F5861" s="38"/>
      <c r="G5861" s="38"/>
      <c r="H5861" s="38"/>
      <c r="I5861" s="37"/>
      <c r="J5861" s="38"/>
      <c r="K5861" s="38"/>
      <c r="L5861" s="42"/>
      <c r="M5861" s="42"/>
      <c r="N5861" s="42"/>
      <c r="O5861" s="42"/>
      <c r="R5861" s="37"/>
      <c r="S5861" s="37"/>
      <c r="T5861" s="91"/>
      <c r="U5861" s="91"/>
      <c r="V5861" s="41"/>
      <c r="W5861" s="37"/>
      <c r="X5861" s="37"/>
      <c r="Y5861" s="43"/>
      <c r="Z5861" s="37"/>
      <c r="AA5861" s="37"/>
      <c r="AD5861" s="37"/>
      <c r="AE5861" s="37"/>
      <c r="AF5861" s="37"/>
    </row>
    <row r="5862" spans="1:32" x14ac:dyDescent="0.25">
      <c r="A5862" s="37"/>
      <c r="B5862" s="37"/>
      <c r="C5862" s="37"/>
      <c r="F5862" s="38"/>
      <c r="G5862" s="38"/>
      <c r="H5862" s="38"/>
      <c r="I5862" s="37"/>
      <c r="J5862" s="38"/>
      <c r="K5862" s="38"/>
      <c r="L5862" s="42"/>
      <c r="M5862" s="42"/>
      <c r="N5862" s="42"/>
      <c r="O5862" s="42"/>
      <c r="R5862" s="37"/>
      <c r="S5862" s="37"/>
      <c r="T5862" s="91"/>
      <c r="U5862" s="91"/>
      <c r="V5862" s="41"/>
      <c r="W5862" s="37"/>
      <c r="X5862" s="37"/>
      <c r="Y5862" s="43"/>
      <c r="Z5862" s="37"/>
      <c r="AA5862" s="37"/>
      <c r="AD5862" s="37"/>
      <c r="AE5862" s="37"/>
      <c r="AF5862" s="37"/>
    </row>
    <row r="5863" spans="1:32" x14ac:dyDescent="0.25">
      <c r="A5863" s="37"/>
      <c r="B5863" s="37"/>
      <c r="C5863" s="37"/>
      <c r="F5863" s="38"/>
      <c r="G5863" s="38"/>
      <c r="H5863" s="38"/>
      <c r="I5863" s="37"/>
      <c r="J5863" s="38"/>
      <c r="K5863" s="38"/>
      <c r="L5863" s="42"/>
      <c r="M5863" s="42"/>
      <c r="N5863" s="42"/>
      <c r="O5863" s="42"/>
      <c r="R5863" s="37"/>
      <c r="S5863" s="37"/>
      <c r="T5863" s="91"/>
      <c r="U5863" s="91"/>
      <c r="V5863" s="41"/>
      <c r="W5863" s="37"/>
      <c r="X5863" s="37"/>
      <c r="Y5863" s="43"/>
      <c r="Z5863" s="37"/>
      <c r="AA5863" s="37"/>
      <c r="AD5863" s="37"/>
      <c r="AE5863" s="37"/>
      <c r="AF5863" s="37"/>
    </row>
    <row r="5864" spans="1:32" x14ac:dyDescent="0.25">
      <c r="A5864" s="37"/>
      <c r="B5864" s="37"/>
      <c r="C5864" s="37"/>
      <c r="F5864" s="38"/>
      <c r="G5864" s="38"/>
      <c r="H5864" s="38"/>
      <c r="I5864" s="37"/>
      <c r="J5864" s="38"/>
      <c r="K5864" s="38"/>
      <c r="L5864" s="42"/>
      <c r="M5864" s="42"/>
      <c r="N5864" s="42"/>
      <c r="O5864" s="42"/>
      <c r="R5864" s="37"/>
      <c r="S5864" s="37"/>
      <c r="T5864" s="91"/>
      <c r="U5864" s="91"/>
      <c r="V5864" s="41"/>
      <c r="W5864" s="37"/>
      <c r="X5864" s="37"/>
      <c r="Y5864" s="43"/>
      <c r="Z5864" s="37"/>
      <c r="AA5864" s="37"/>
      <c r="AD5864" s="37"/>
      <c r="AE5864" s="37"/>
      <c r="AF5864" s="37"/>
    </row>
    <row r="5865" spans="1:32" x14ac:dyDescent="0.25">
      <c r="A5865" s="37"/>
      <c r="B5865" s="37"/>
      <c r="C5865" s="37"/>
      <c r="F5865" s="38"/>
      <c r="G5865" s="38"/>
      <c r="H5865" s="38"/>
      <c r="I5865" s="37"/>
      <c r="J5865" s="38"/>
      <c r="K5865" s="38"/>
      <c r="L5865" s="42"/>
      <c r="M5865" s="42"/>
      <c r="N5865" s="42"/>
      <c r="O5865" s="42"/>
      <c r="R5865" s="37"/>
      <c r="S5865" s="37"/>
      <c r="T5865" s="91"/>
      <c r="U5865" s="91"/>
      <c r="V5865" s="41"/>
      <c r="W5865" s="37"/>
      <c r="X5865" s="37"/>
      <c r="Y5865" s="43"/>
      <c r="Z5865" s="37"/>
      <c r="AA5865" s="37"/>
      <c r="AD5865" s="37"/>
      <c r="AE5865" s="37"/>
      <c r="AF5865" s="37"/>
    </row>
    <row r="5866" spans="1:32" x14ac:dyDescent="0.25">
      <c r="A5866" s="37"/>
      <c r="B5866" s="37"/>
      <c r="C5866" s="37"/>
      <c r="F5866" s="38"/>
      <c r="G5866" s="38"/>
      <c r="H5866" s="38"/>
      <c r="I5866" s="37"/>
      <c r="J5866" s="38"/>
      <c r="K5866" s="38"/>
      <c r="L5866" s="42"/>
      <c r="M5866" s="42"/>
      <c r="N5866" s="42"/>
      <c r="O5866" s="42"/>
      <c r="R5866" s="37"/>
      <c r="S5866" s="37"/>
      <c r="T5866" s="91"/>
      <c r="U5866" s="91"/>
      <c r="V5866" s="41"/>
      <c r="W5866" s="37"/>
      <c r="X5866" s="37"/>
      <c r="Y5866" s="43"/>
      <c r="Z5866" s="37"/>
      <c r="AA5866" s="37"/>
      <c r="AD5866" s="37"/>
      <c r="AE5866" s="37"/>
      <c r="AF5866" s="37"/>
    </row>
    <row r="5867" spans="1:32" x14ac:dyDescent="0.25">
      <c r="A5867" s="37"/>
      <c r="B5867" s="37"/>
      <c r="C5867" s="37"/>
      <c r="F5867" s="38"/>
      <c r="G5867" s="38"/>
      <c r="H5867" s="38"/>
      <c r="I5867" s="37"/>
      <c r="J5867" s="38"/>
      <c r="K5867" s="38"/>
      <c r="L5867" s="42"/>
      <c r="M5867" s="42"/>
      <c r="N5867" s="42"/>
      <c r="O5867" s="42"/>
      <c r="R5867" s="37"/>
      <c r="S5867" s="37"/>
      <c r="T5867" s="91"/>
      <c r="U5867" s="91"/>
      <c r="V5867" s="41"/>
      <c r="W5867" s="37"/>
      <c r="X5867" s="37"/>
      <c r="Y5867" s="43"/>
      <c r="Z5867" s="37"/>
      <c r="AA5867" s="37"/>
      <c r="AD5867" s="37"/>
      <c r="AE5867" s="37"/>
      <c r="AF5867" s="37"/>
    </row>
    <row r="5868" spans="1:32" x14ac:dyDescent="0.25">
      <c r="A5868" s="37"/>
      <c r="B5868" s="37"/>
      <c r="C5868" s="37"/>
      <c r="F5868" s="38"/>
      <c r="G5868" s="38"/>
      <c r="H5868" s="38"/>
      <c r="I5868" s="37"/>
      <c r="J5868" s="38"/>
      <c r="K5868" s="38"/>
      <c r="L5868" s="42"/>
      <c r="M5868" s="42"/>
      <c r="N5868" s="42"/>
      <c r="O5868" s="42"/>
      <c r="R5868" s="37"/>
      <c r="S5868" s="37"/>
      <c r="T5868" s="91"/>
      <c r="U5868" s="91"/>
      <c r="V5868" s="41"/>
      <c r="W5868" s="37"/>
      <c r="X5868" s="37"/>
      <c r="Y5868" s="43"/>
      <c r="Z5868" s="37"/>
      <c r="AA5868" s="37"/>
      <c r="AD5868" s="37"/>
      <c r="AE5868" s="37"/>
      <c r="AF5868" s="37"/>
    </row>
    <row r="5869" spans="1:32" x14ac:dyDescent="0.25">
      <c r="A5869" s="37"/>
      <c r="B5869" s="37"/>
      <c r="C5869" s="37"/>
      <c r="F5869" s="38"/>
      <c r="G5869" s="38"/>
      <c r="H5869" s="38"/>
      <c r="I5869" s="37"/>
      <c r="J5869" s="38"/>
      <c r="K5869" s="38"/>
      <c r="L5869" s="42"/>
      <c r="M5869" s="42"/>
      <c r="N5869" s="42"/>
      <c r="O5869" s="42"/>
      <c r="R5869" s="37"/>
      <c r="S5869" s="37"/>
      <c r="T5869" s="91"/>
      <c r="U5869" s="91"/>
      <c r="V5869" s="41"/>
      <c r="W5869" s="37"/>
      <c r="X5869" s="37"/>
      <c r="Y5869" s="43"/>
      <c r="Z5869" s="37"/>
      <c r="AA5869" s="37"/>
      <c r="AD5869" s="37"/>
      <c r="AE5869" s="37"/>
      <c r="AF5869" s="37"/>
    </row>
    <row r="5870" spans="1:32" x14ac:dyDescent="0.25">
      <c r="A5870" s="37"/>
      <c r="B5870" s="37"/>
      <c r="C5870" s="37"/>
      <c r="F5870" s="38"/>
      <c r="G5870" s="38"/>
      <c r="H5870" s="38"/>
      <c r="I5870" s="37"/>
      <c r="J5870" s="38"/>
      <c r="K5870" s="38"/>
      <c r="L5870" s="42"/>
      <c r="M5870" s="42"/>
      <c r="N5870" s="42"/>
      <c r="O5870" s="42"/>
      <c r="R5870" s="37"/>
      <c r="S5870" s="37"/>
      <c r="T5870" s="91"/>
      <c r="U5870" s="91"/>
      <c r="V5870" s="41"/>
      <c r="W5870" s="37"/>
      <c r="X5870" s="37"/>
      <c r="Y5870" s="43"/>
      <c r="Z5870" s="37"/>
      <c r="AA5870" s="37"/>
      <c r="AD5870" s="37"/>
      <c r="AE5870" s="37"/>
      <c r="AF5870" s="37"/>
    </row>
    <row r="5871" spans="1:32" x14ac:dyDescent="0.25">
      <c r="A5871" s="37"/>
      <c r="B5871" s="37"/>
      <c r="C5871" s="37"/>
      <c r="F5871" s="38"/>
      <c r="G5871" s="38"/>
      <c r="H5871" s="38"/>
      <c r="I5871" s="37"/>
      <c r="J5871" s="38"/>
      <c r="K5871" s="38"/>
      <c r="L5871" s="42"/>
      <c r="M5871" s="42"/>
      <c r="N5871" s="42"/>
      <c r="O5871" s="42"/>
      <c r="R5871" s="37"/>
      <c r="S5871" s="37"/>
      <c r="T5871" s="91"/>
      <c r="U5871" s="91"/>
      <c r="V5871" s="41"/>
      <c r="W5871" s="37"/>
      <c r="X5871" s="37"/>
      <c r="Y5871" s="43"/>
      <c r="Z5871" s="37"/>
      <c r="AA5871" s="37"/>
      <c r="AD5871" s="37"/>
      <c r="AE5871" s="37"/>
      <c r="AF5871" s="37"/>
    </row>
    <row r="5872" spans="1:32" x14ac:dyDescent="0.25">
      <c r="A5872" s="37"/>
      <c r="B5872" s="37"/>
      <c r="C5872" s="37"/>
      <c r="F5872" s="38"/>
      <c r="G5872" s="38"/>
      <c r="H5872" s="38"/>
      <c r="I5872" s="37"/>
      <c r="J5872" s="38"/>
      <c r="K5872" s="38"/>
      <c r="L5872" s="42"/>
      <c r="M5872" s="42"/>
      <c r="N5872" s="42"/>
      <c r="O5872" s="42"/>
      <c r="R5872" s="37"/>
      <c r="S5872" s="37"/>
      <c r="T5872" s="91"/>
      <c r="U5872" s="91"/>
      <c r="V5872" s="41"/>
      <c r="W5872" s="37"/>
      <c r="X5872" s="37"/>
      <c r="Y5872" s="43"/>
      <c r="Z5872" s="37"/>
      <c r="AA5872" s="37"/>
      <c r="AD5872" s="37"/>
      <c r="AE5872" s="37"/>
      <c r="AF5872" s="37"/>
    </row>
    <row r="5873" spans="1:32" x14ac:dyDescent="0.25">
      <c r="A5873" s="37"/>
      <c r="B5873" s="37"/>
      <c r="C5873" s="37"/>
      <c r="F5873" s="38"/>
      <c r="G5873" s="38"/>
      <c r="H5873" s="38"/>
      <c r="I5873" s="37"/>
      <c r="J5873" s="38"/>
      <c r="K5873" s="38"/>
      <c r="L5873" s="42"/>
      <c r="M5873" s="42"/>
      <c r="N5873" s="42"/>
      <c r="O5873" s="42"/>
      <c r="R5873" s="37"/>
      <c r="S5873" s="37"/>
      <c r="T5873" s="91"/>
      <c r="U5873" s="91"/>
      <c r="V5873" s="41"/>
      <c r="W5873" s="37"/>
      <c r="X5873" s="37"/>
      <c r="Y5873" s="43"/>
      <c r="Z5873" s="37"/>
      <c r="AA5873" s="37"/>
      <c r="AD5873" s="37"/>
      <c r="AE5873" s="37"/>
      <c r="AF5873" s="37"/>
    </row>
    <row r="5874" spans="1:32" x14ac:dyDescent="0.25">
      <c r="A5874" s="37"/>
      <c r="B5874" s="37"/>
      <c r="C5874" s="37"/>
      <c r="F5874" s="38"/>
      <c r="G5874" s="38"/>
      <c r="H5874" s="38"/>
      <c r="I5874" s="37"/>
      <c r="J5874" s="38"/>
      <c r="K5874" s="38"/>
      <c r="L5874" s="42"/>
      <c r="M5874" s="42"/>
      <c r="N5874" s="42"/>
      <c r="O5874" s="42"/>
      <c r="R5874" s="37"/>
      <c r="S5874" s="37"/>
      <c r="T5874" s="91"/>
      <c r="U5874" s="91"/>
      <c r="V5874" s="41"/>
      <c r="W5874" s="37"/>
      <c r="X5874" s="37"/>
      <c r="Y5874" s="43"/>
      <c r="Z5874" s="37"/>
      <c r="AA5874" s="37"/>
      <c r="AD5874" s="37"/>
      <c r="AE5874" s="37"/>
      <c r="AF5874" s="37"/>
    </row>
    <row r="5875" spans="1:32" x14ac:dyDescent="0.25">
      <c r="A5875" s="37"/>
      <c r="B5875" s="37"/>
      <c r="C5875" s="37"/>
      <c r="F5875" s="38"/>
      <c r="G5875" s="38"/>
      <c r="H5875" s="38"/>
      <c r="I5875" s="37"/>
      <c r="J5875" s="38"/>
      <c r="K5875" s="38"/>
      <c r="L5875" s="42"/>
      <c r="M5875" s="42"/>
      <c r="N5875" s="42"/>
      <c r="O5875" s="42"/>
      <c r="R5875" s="37"/>
      <c r="S5875" s="37"/>
      <c r="T5875" s="91"/>
      <c r="U5875" s="91"/>
      <c r="V5875" s="41"/>
      <c r="W5875" s="37"/>
      <c r="X5875" s="37"/>
      <c r="Y5875" s="43"/>
      <c r="Z5875" s="37"/>
      <c r="AA5875" s="37"/>
      <c r="AD5875" s="37"/>
      <c r="AE5875" s="37"/>
      <c r="AF5875" s="37"/>
    </row>
    <row r="5876" spans="1:32" x14ac:dyDescent="0.25">
      <c r="A5876" s="37"/>
      <c r="B5876" s="37"/>
      <c r="C5876" s="37"/>
      <c r="F5876" s="38"/>
      <c r="G5876" s="38"/>
      <c r="H5876" s="38"/>
      <c r="I5876" s="37"/>
      <c r="J5876" s="38"/>
      <c r="K5876" s="38"/>
      <c r="L5876" s="42"/>
      <c r="M5876" s="42"/>
      <c r="N5876" s="42"/>
      <c r="O5876" s="42"/>
      <c r="R5876" s="37"/>
      <c r="S5876" s="37"/>
      <c r="T5876" s="91"/>
      <c r="U5876" s="91"/>
      <c r="V5876" s="41"/>
      <c r="W5876" s="37"/>
      <c r="X5876" s="37"/>
      <c r="Y5876" s="43"/>
      <c r="Z5876" s="37"/>
      <c r="AA5876" s="37"/>
      <c r="AD5876" s="37"/>
      <c r="AE5876" s="37"/>
      <c r="AF5876" s="37"/>
    </row>
    <row r="5877" spans="1:32" x14ac:dyDescent="0.25">
      <c r="A5877" s="37"/>
      <c r="B5877" s="37"/>
      <c r="C5877" s="37"/>
      <c r="F5877" s="38"/>
      <c r="G5877" s="38"/>
      <c r="H5877" s="38"/>
      <c r="I5877" s="37"/>
      <c r="J5877" s="38"/>
      <c r="K5877" s="38"/>
      <c r="L5877" s="42"/>
      <c r="M5877" s="42"/>
      <c r="N5877" s="42"/>
      <c r="O5877" s="42"/>
      <c r="R5877" s="37"/>
      <c r="S5877" s="37"/>
      <c r="T5877" s="91"/>
      <c r="U5877" s="91"/>
      <c r="V5877" s="41"/>
      <c r="W5877" s="37"/>
      <c r="X5877" s="37"/>
      <c r="Y5877" s="43"/>
      <c r="Z5877" s="37"/>
      <c r="AA5877" s="37"/>
      <c r="AD5877" s="37"/>
      <c r="AE5877" s="37"/>
      <c r="AF5877" s="37"/>
    </row>
    <row r="5878" spans="1:32" x14ac:dyDescent="0.25">
      <c r="A5878" s="37"/>
      <c r="B5878" s="37"/>
      <c r="C5878" s="37"/>
      <c r="F5878" s="38"/>
      <c r="G5878" s="38"/>
      <c r="H5878" s="38"/>
      <c r="I5878" s="37"/>
      <c r="J5878" s="38"/>
      <c r="K5878" s="38"/>
      <c r="L5878" s="42"/>
      <c r="M5878" s="42"/>
      <c r="N5878" s="42"/>
      <c r="O5878" s="42"/>
      <c r="R5878" s="37"/>
      <c r="S5878" s="37"/>
      <c r="T5878" s="91"/>
      <c r="U5878" s="91"/>
      <c r="V5878" s="41"/>
      <c r="W5878" s="37"/>
      <c r="X5878" s="37"/>
      <c r="Y5878" s="43"/>
      <c r="Z5878" s="37"/>
      <c r="AA5878" s="37"/>
      <c r="AD5878" s="37"/>
      <c r="AE5878" s="37"/>
      <c r="AF5878" s="37"/>
    </row>
    <row r="5879" spans="1:32" x14ac:dyDescent="0.25">
      <c r="A5879" s="37"/>
      <c r="B5879" s="37"/>
      <c r="C5879" s="37"/>
      <c r="F5879" s="38"/>
      <c r="G5879" s="38"/>
      <c r="H5879" s="38"/>
      <c r="I5879" s="37"/>
      <c r="J5879" s="38"/>
      <c r="K5879" s="38"/>
      <c r="L5879" s="42"/>
      <c r="M5879" s="42"/>
      <c r="N5879" s="42"/>
      <c r="O5879" s="42"/>
      <c r="R5879" s="37"/>
      <c r="S5879" s="37"/>
      <c r="T5879" s="91"/>
      <c r="U5879" s="91"/>
      <c r="V5879" s="41"/>
      <c r="W5879" s="37"/>
      <c r="X5879" s="37"/>
      <c r="Y5879" s="43"/>
      <c r="Z5879" s="37"/>
      <c r="AA5879" s="37"/>
      <c r="AD5879" s="37"/>
      <c r="AE5879" s="37"/>
      <c r="AF5879" s="37"/>
    </row>
    <row r="5880" spans="1:32" x14ac:dyDescent="0.25">
      <c r="A5880" s="37"/>
      <c r="B5880" s="37"/>
      <c r="C5880" s="37"/>
      <c r="F5880" s="38"/>
      <c r="G5880" s="38"/>
      <c r="H5880" s="38"/>
      <c r="I5880" s="37"/>
      <c r="J5880" s="38"/>
      <c r="K5880" s="38"/>
      <c r="L5880" s="42"/>
      <c r="M5880" s="42"/>
      <c r="N5880" s="42"/>
      <c r="O5880" s="42"/>
      <c r="R5880" s="37"/>
      <c r="S5880" s="37"/>
      <c r="T5880" s="91"/>
      <c r="U5880" s="91"/>
      <c r="V5880" s="41"/>
      <c r="W5880" s="37"/>
      <c r="X5880" s="37"/>
      <c r="Y5880" s="43"/>
      <c r="Z5880" s="37"/>
      <c r="AA5880" s="37"/>
      <c r="AD5880" s="37"/>
      <c r="AE5880" s="37"/>
      <c r="AF5880" s="37"/>
    </row>
    <row r="5881" spans="1:32" x14ac:dyDescent="0.25">
      <c r="A5881" s="37"/>
      <c r="B5881" s="37"/>
      <c r="C5881" s="37"/>
      <c r="F5881" s="38"/>
      <c r="G5881" s="38"/>
      <c r="H5881" s="38"/>
      <c r="I5881" s="37"/>
      <c r="J5881" s="38"/>
      <c r="K5881" s="38"/>
      <c r="L5881" s="42"/>
      <c r="M5881" s="42"/>
      <c r="N5881" s="42"/>
      <c r="O5881" s="42"/>
      <c r="R5881" s="37"/>
      <c r="S5881" s="37"/>
      <c r="T5881" s="91"/>
      <c r="U5881" s="91"/>
      <c r="V5881" s="41"/>
      <c r="W5881" s="37"/>
      <c r="X5881" s="37"/>
      <c r="Y5881" s="43"/>
      <c r="Z5881" s="37"/>
      <c r="AA5881" s="37"/>
      <c r="AD5881" s="37"/>
      <c r="AE5881" s="37"/>
      <c r="AF5881" s="37"/>
    </row>
    <row r="5882" spans="1:32" x14ac:dyDescent="0.25">
      <c r="A5882" s="37"/>
      <c r="B5882" s="37"/>
      <c r="C5882" s="37"/>
      <c r="F5882" s="38"/>
      <c r="G5882" s="38"/>
      <c r="H5882" s="38"/>
      <c r="I5882" s="37"/>
      <c r="J5882" s="38"/>
      <c r="K5882" s="38"/>
      <c r="L5882" s="42"/>
      <c r="M5882" s="42"/>
      <c r="N5882" s="42"/>
      <c r="O5882" s="42"/>
      <c r="R5882" s="37"/>
      <c r="S5882" s="37"/>
      <c r="T5882" s="91"/>
      <c r="U5882" s="91"/>
      <c r="V5882" s="41"/>
      <c r="W5882" s="37"/>
      <c r="X5882" s="37"/>
      <c r="Y5882" s="43"/>
      <c r="Z5882" s="37"/>
      <c r="AA5882" s="37"/>
      <c r="AD5882" s="37"/>
      <c r="AE5882" s="37"/>
      <c r="AF5882" s="37"/>
    </row>
    <row r="5883" spans="1:32" x14ac:dyDescent="0.25">
      <c r="A5883" s="37"/>
      <c r="B5883" s="37"/>
      <c r="C5883" s="37"/>
      <c r="F5883" s="38"/>
      <c r="G5883" s="38"/>
      <c r="H5883" s="38"/>
      <c r="I5883" s="37"/>
      <c r="J5883" s="38"/>
      <c r="K5883" s="38"/>
      <c r="L5883" s="42"/>
      <c r="M5883" s="42"/>
      <c r="N5883" s="42"/>
      <c r="O5883" s="42"/>
      <c r="R5883" s="37"/>
      <c r="S5883" s="37"/>
      <c r="T5883" s="91"/>
      <c r="U5883" s="91"/>
      <c r="V5883" s="41"/>
      <c r="W5883" s="37"/>
      <c r="X5883" s="37"/>
      <c r="Y5883" s="43"/>
      <c r="Z5883" s="37"/>
      <c r="AA5883" s="37"/>
      <c r="AD5883" s="37"/>
      <c r="AE5883" s="37"/>
      <c r="AF5883" s="37"/>
    </row>
    <row r="5884" spans="1:32" x14ac:dyDescent="0.25">
      <c r="A5884" s="37"/>
      <c r="B5884" s="37"/>
      <c r="C5884" s="37"/>
      <c r="F5884" s="38"/>
      <c r="G5884" s="38"/>
      <c r="H5884" s="38"/>
      <c r="I5884" s="37"/>
      <c r="J5884" s="38"/>
      <c r="K5884" s="38"/>
      <c r="L5884" s="42"/>
      <c r="M5884" s="42"/>
      <c r="N5884" s="42"/>
      <c r="O5884" s="42"/>
      <c r="R5884" s="37"/>
      <c r="S5884" s="37"/>
      <c r="T5884" s="91"/>
      <c r="U5884" s="91"/>
      <c r="V5884" s="41"/>
      <c r="W5884" s="37"/>
      <c r="X5884" s="37"/>
      <c r="Y5884" s="43"/>
      <c r="Z5884" s="37"/>
      <c r="AA5884" s="37"/>
      <c r="AD5884" s="37"/>
      <c r="AE5884" s="37"/>
      <c r="AF5884" s="37"/>
    </row>
    <row r="5885" spans="1:32" x14ac:dyDescent="0.25">
      <c r="A5885" s="37"/>
      <c r="B5885" s="37"/>
      <c r="C5885" s="37"/>
      <c r="F5885" s="38"/>
      <c r="G5885" s="38"/>
      <c r="H5885" s="38"/>
      <c r="I5885" s="37"/>
      <c r="J5885" s="38"/>
      <c r="K5885" s="38"/>
      <c r="L5885" s="42"/>
      <c r="M5885" s="42"/>
      <c r="N5885" s="42"/>
      <c r="O5885" s="42"/>
      <c r="R5885" s="37"/>
      <c r="S5885" s="37"/>
      <c r="T5885" s="91"/>
      <c r="U5885" s="91"/>
      <c r="V5885" s="41"/>
      <c r="W5885" s="37"/>
      <c r="X5885" s="37"/>
      <c r="Y5885" s="43"/>
      <c r="Z5885" s="37"/>
      <c r="AA5885" s="37"/>
      <c r="AD5885" s="37"/>
      <c r="AE5885" s="37"/>
      <c r="AF5885" s="37"/>
    </row>
    <row r="5886" spans="1:32" x14ac:dyDescent="0.25">
      <c r="A5886" s="37"/>
      <c r="B5886" s="37"/>
      <c r="C5886" s="37"/>
      <c r="F5886" s="38"/>
      <c r="G5886" s="38"/>
      <c r="H5886" s="38"/>
      <c r="I5886" s="37"/>
      <c r="J5886" s="38"/>
      <c r="K5886" s="38"/>
      <c r="L5886" s="42"/>
      <c r="M5886" s="42"/>
      <c r="N5886" s="42"/>
      <c r="O5886" s="42"/>
      <c r="R5886" s="37"/>
      <c r="S5886" s="37"/>
      <c r="T5886" s="91"/>
      <c r="U5886" s="91"/>
      <c r="V5886" s="41"/>
      <c r="W5886" s="37"/>
      <c r="X5886" s="37"/>
      <c r="Y5886" s="43"/>
      <c r="Z5886" s="37"/>
      <c r="AA5886" s="37"/>
      <c r="AD5886" s="37"/>
      <c r="AE5886" s="37"/>
      <c r="AF5886" s="37"/>
    </row>
    <row r="5887" spans="1:32" x14ac:dyDescent="0.25">
      <c r="A5887" s="37"/>
      <c r="B5887" s="37"/>
      <c r="C5887" s="37"/>
      <c r="F5887" s="38"/>
      <c r="G5887" s="38"/>
      <c r="H5887" s="38"/>
      <c r="I5887" s="37"/>
      <c r="J5887" s="38"/>
      <c r="K5887" s="38"/>
      <c r="L5887" s="42"/>
      <c r="M5887" s="42"/>
      <c r="N5887" s="42"/>
      <c r="O5887" s="42"/>
      <c r="R5887" s="37"/>
      <c r="S5887" s="37"/>
      <c r="T5887" s="91"/>
      <c r="U5887" s="91"/>
      <c r="V5887" s="41"/>
      <c r="W5887" s="37"/>
      <c r="X5887" s="37"/>
      <c r="Y5887" s="43"/>
      <c r="Z5887" s="37"/>
      <c r="AA5887" s="37"/>
      <c r="AD5887" s="37"/>
      <c r="AE5887" s="37"/>
      <c r="AF5887" s="37"/>
    </row>
    <row r="5888" spans="1:32" x14ac:dyDescent="0.25">
      <c r="A5888" s="37"/>
      <c r="B5888" s="37"/>
      <c r="C5888" s="37"/>
      <c r="F5888" s="38"/>
      <c r="G5888" s="38"/>
      <c r="H5888" s="38"/>
      <c r="I5888" s="37"/>
      <c r="J5888" s="38"/>
      <c r="K5888" s="38"/>
      <c r="L5888" s="42"/>
      <c r="M5888" s="42"/>
      <c r="N5888" s="42"/>
      <c r="O5888" s="42"/>
      <c r="R5888" s="37"/>
      <c r="S5888" s="37"/>
      <c r="T5888" s="91"/>
      <c r="U5888" s="91"/>
      <c r="V5888" s="41"/>
      <c r="W5888" s="37"/>
      <c r="X5888" s="37"/>
      <c r="Y5888" s="43"/>
      <c r="Z5888" s="37"/>
      <c r="AA5888" s="37"/>
      <c r="AD5888" s="37"/>
      <c r="AE5888" s="37"/>
      <c r="AF5888" s="37"/>
    </row>
    <row r="5889" spans="1:32" x14ac:dyDescent="0.25">
      <c r="A5889" s="37"/>
      <c r="B5889" s="37"/>
      <c r="C5889" s="37"/>
      <c r="F5889" s="38"/>
      <c r="G5889" s="38"/>
      <c r="H5889" s="38"/>
      <c r="I5889" s="37"/>
      <c r="J5889" s="38"/>
      <c r="K5889" s="38"/>
      <c r="L5889" s="42"/>
      <c r="M5889" s="42"/>
      <c r="N5889" s="42"/>
      <c r="O5889" s="42"/>
      <c r="R5889" s="37"/>
      <c r="S5889" s="37"/>
      <c r="T5889" s="91"/>
      <c r="U5889" s="91"/>
      <c r="V5889" s="41"/>
      <c r="W5889" s="37"/>
      <c r="X5889" s="37"/>
      <c r="Y5889" s="43"/>
      <c r="Z5889" s="37"/>
      <c r="AA5889" s="37"/>
      <c r="AD5889" s="37"/>
      <c r="AE5889" s="37"/>
      <c r="AF5889" s="37"/>
    </row>
    <row r="5890" spans="1:32" x14ac:dyDescent="0.25">
      <c r="A5890" s="37"/>
      <c r="B5890" s="37"/>
      <c r="C5890" s="37"/>
      <c r="F5890" s="38"/>
      <c r="G5890" s="38"/>
      <c r="H5890" s="38"/>
      <c r="I5890" s="37"/>
      <c r="J5890" s="38"/>
      <c r="K5890" s="38"/>
      <c r="L5890" s="42"/>
      <c r="M5890" s="42"/>
      <c r="N5890" s="42"/>
      <c r="O5890" s="42"/>
      <c r="R5890" s="37"/>
      <c r="S5890" s="37"/>
      <c r="T5890" s="91"/>
      <c r="U5890" s="91"/>
      <c r="V5890" s="41"/>
      <c r="W5890" s="37"/>
      <c r="X5890" s="37"/>
      <c r="Y5890" s="43"/>
      <c r="Z5890" s="37"/>
      <c r="AA5890" s="37"/>
      <c r="AD5890" s="37"/>
      <c r="AE5890" s="37"/>
      <c r="AF5890" s="37"/>
    </row>
    <row r="5891" spans="1:32" x14ac:dyDescent="0.25">
      <c r="A5891" s="37"/>
      <c r="B5891" s="37"/>
      <c r="C5891" s="37"/>
      <c r="F5891" s="38"/>
      <c r="G5891" s="38"/>
      <c r="H5891" s="38"/>
      <c r="I5891" s="37"/>
      <c r="J5891" s="38"/>
      <c r="K5891" s="38"/>
      <c r="L5891" s="42"/>
      <c r="M5891" s="42"/>
      <c r="N5891" s="42"/>
      <c r="O5891" s="42"/>
      <c r="R5891" s="37"/>
      <c r="S5891" s="37"/>
      <c r="T5891" s="91"/>
      <c r="U5891" s="91"/>
      <c r="V5891" s="41"/>
      <c r="W5891" s="37"/>
      <c r="X5891" s="37"/>
      <c r="Y5891" s="43"/>
      <c r="Z5891" s="37"/>
      <c r="AA5891" s="37"/>
      <c r="AD5891" s="37"/>
      <c r="AE5891" s="37"/>
      <c r="AF5891" s="37"/>
    </row>
    <row r="5892" spans="1:32" x14ac:dyDescent="0.25">
      <c r="A5892" s="37"/>
      <c r="B5892" s="37"/>
      <c r="C5892" s="37"/>
      <c r="F5892" s="38"/>
      <c r="G5892" s="38"/>
      <c r="H5892" s="38"/>
      <c r="I5892" s="37"/>
      <c r="J5892" s="38"/>
      <c r="K5892" s="38"/>
      <c r="L5892" s="42"/>
      <c r="M5892" s="42"/>
      <c r="N5892" s="42"/>
      <c r="O5892" s="42"/>
      <c r="R5892" s="37"/>
      <c r="S5892" s="37"/>
      <c r="T5892" s="91"/>
      <c r="U5892" s="91"/>
      <c r="V5892" s="41"/>
      <c r="W5892" s="37"/>
      <c r="X5892" s="37"/>
      <c r="Y5892" s="43"/>
      <c r="Z5892" s="37"/>
      <c r="AA5892" s="37"/>
      <c r="AD5892" s="37"/>
      <c r="AE5892" s="37"/>
      <c r="AF5892" s="37"/>
    </row>
    <row r="5893" spans="1:32" x14ac:dyDescent="0.25">
      <c r="A5893" s="37"/>
      <c r="B5893" s="37"/>
      <c r="C5893" s="37"/>
      <c r="F5893" s="38"/>
      <c r="G5893" s="38"/>
      <c r="H5893" s="38"/>
      <c r="I5893" s="37"/>
      <c r="J5893" s="38"/>
      <c r="K5893" s="38"/>
      <c r="L5893" s="42"/>
      <c r="M5893" s="42"/>
      <c r="N5893" s="42"/>
      <c r="O5893" s="42"/>
      <c r="R5893" s="37"/>
      <c r="S5893" s="37"/>
      <c r="T5893" s="91"/>
      <c r="U5893" s="91"/>
      <c r="V5893" s="41"/>
      <c r="W5893" s="37"/>
      <c r="X5893" s="37"/>
      <c r="Y5893" s="43"/>
      <c r="Z5893" s="37"/>
      <c r="AA5893" s="37"/>
      <c r="AD5893" s="37"/>
      <c r="AE5893" s="37"/>
      <c r="AF5893" s="37"/>
    </row>
    <row r="5894" spans="1:32" x14ac:dyDescent="0.25">
      <c r="A5894" s="37"/>
      <c r="B5894" s="37"/>
      <c r="C5894" s="37"/>
      <c r="F5894" s="38"/>
      <c r="G5894" s="38"/>
      <c r="H5894" s="38"/>
      <c r="I5894" s="37"/>
      <c r="J5894" s="38"/>
      <c r="K5894" s="38"/>
      <c r="L5894" s="42"/>
      <c r="M5894" s="42"/>
      <c r="N5894" s="42"/>
      <c r="O5894" s="42"/>
      <c r="R5894" s="37"/>
      <c r="S5894" s="37"/>
      <c r="T5894" s="91"/>
      <c r="U5894" s="91"/>
      <c r="V5894" s="41"/>
      <c r="W5894" s="37"/>
      <c r="X5894" s="37"/>
      <c r="Y5894" s="43"/>
      <c r="Z5894" s="37"/>
      <c r="AA5894" s="37"/>
      <c r="AD5894" s="37"/>
      <c r="AE5894" s="37"/>
      <c r="AF5894" s="37"/>
    </row>
    <row r="5895" spans="1:32" x14ac:dyDescent="0.25">
      <c r="A5895" s="37"/>
      <c r="B5895" s="37"/>
      <c r="C5895" s="37"/>
      <c r="F5895" s="38"/>
      <c r="G5895" s="38"/>
      <c r="H5895" s="38"/>
      <c r="I5895" s="37"/>
      <c r="J5895" s="38"/>
      <c r="K5895" s="38"/>
      <c r="L5895" s="42"/>
      <c r="M5895" s="42"/>
      <c r="N5895" s="42"/>
      <c r="O5895" s="42"/>
      <c r="R5895" s="37"/>
      <c r="S5895" s="37"/>
      <c r="T5895" s="91"/>
      <c r="U5895" s="91"/>
      <c r="V5895" s="41"/>
      <c r="W5895" s="37"/>
      <c r="X5895" s="37"/>
      <c r="Y5895" s="43"/>
      <c r="Z5895" s="37"/>
      <c r="AA5895" s="37"/>
      <c r="AD5895" s="37"/>
      <c r="AE5895" s="37"/>
      <c r="AF5895" s="37"/>
    </row>
    <row r="5896" spans="1:32" x14ac:dyDescent="0.25">
      <c r="A5896" s="37"/>
      <c r="B5896" s="37"/>
      <c r="C5896" s="37"/>
      <c r="F5896" s="38"/>
      <c r="G5896" s="38"/>
      <c r="H5896" s="38"/>
      <c r="I5896" s="37"/>
      <c r="J5896" s="38"/>
      <c r="K5896" s="38"/>
      <c r="L5896" s="42"/>
      <c r="M5896" s="42"/>
      <c r="N5896" s="42"/>
      <c r="O5896" s="42"/>
      <c r="R5896" s="37"/>
      <c r="S5896" s="37"/>
      <c r="T5896" s="91"/>
      <c r="U5896" s="91"/>
      <c r="V5896" s="41"/>
      <c r="W5896" s="37"/>
      <c r="X5896" s="37"/>
      <c r="Y5896" s="43"/>
      <c r="Z5896" s="37"/>
      <c r="AA5896" s="37"/>
      <c r="AD5896" s="37"/>
      <c r="AE5896" s="37"/>
      <c r="AF5896" s="37"/>
    </row>
    <row r="5897" spans="1:32" x14ac:dyDescent="0.25">
      <c r="A5897" s="37"/>
      <c r="B5897" s="37"/>
      <c r="C5897" s="37"/>
      <c r="F5897" s="38"/>
      <c r="G5897" s="38"/>
      <c r="H5897" s="38"/>
      <c r="I5897" s="37"/>
      <c r="J5897" s="38"/>
      <c r="K5897" s="38"/>
      <c r="L5897" s="42"/>
      <c r="M5897" s="42"/>
      <c r="N5897" s="42"/>
      <c r="O5897" s="42"/>
      <c r="R5897" s="37"/>
      <c r="S5897" s="37"/>
      <c r="T5897" s="91"/>
      <c r="U5897" s="91"/>
      <c r="V5897" s="41"/>
      <c r="W5897" s="37"/>
      <c r="X5897" s="37"/>
      <c r="Y5897" s="43"/>
      <c r="Z5897" s="37"/>
      <c r="AA5897" s="37"/>
      <c r="AD5897" s="37"/>
      <c r="AE5897" s="37"/>
      <c r="AF5897" s="37"/>
    </row>
    <row r="5898" spans="1:32" x14ac:dyDescent="0.25">
      <c r="A5898" s="37"/>
      <c r="B5898" s="37"/>
      <c r="C5898" s="37"/>
      <c r="F5898" s="38"/>
      <c r="G5898" s="38"/>
      <c r="H5898" s="38"/>
      <c r="I5898" s="37"/>
      <c r="J5898" s="38"/>
      <c r="K5898" s="38"/>
      <c r="L5898" s="42"/>
      <c r="M5898" s="42"/>
      <c r="N5898" s="42"/>
      <c r="O5898" s="42"/>
      <c r="R5898" s="37"/>
      <c r="S5898" s="37"/>
      <c r="T5898" s="91"/>
      <c r="U5898" s="91"/>
      <c r="V5898" s="41"/>
      <c r="W5898" s="37"/>
      <c r="X5898" s="37"/>
      <c r="Y5898" s="43"/>
      <c r="Z5898" s="37"/>
      <c r="AA5898" s="37"/>
      <c r="AD5898" s="37"/>
      <c r="AE5898" s="37"/>
      <c r="AF5898" s="37"/>
    </row>
    <row r="5899" spans="1:32" x14ac:dyDescent="0.25">
      <c r="A5899" s="37"/>
      <c r="B5899" s="37"/>
      <c r="C5899" s="37"/>
      <c r="F5899" s="38"/>
      <c r="G5899" s="38"/>
      <c r="H5899" s="38"/>
      <c r="I5899" s="37"/>
      <c r="J5899" s="38"/>
      <c r="K5899" s="38"/>
      <c r="L5899" s="42"/>
      <c r="M5899" s="42"/>
      <c r="N5899" s="42"/>
      <c r="O5899" s="42"/>
      <c r="R5899" s="37"/>
      <c r="S5899" s="37"/>
      <c r="T5899" s="91"/>
      <c r="U5899" s="91"/>
      <c r="V5899" s="41"/>
      <c r="W5899" s="37"/>
      <c r="X5899" s="37"/>
      <c r="Y5899" s="43"/>
      <c r="Z5899" s="37"/>
      <c r="AA5899" s="37"/>
      <c r="AD5899" s="37"/>
      <c r="AE5899" s="37"/>
      <c r="AF5899" s="37"/>
    </row>
    <row r="5900" spans="1:32" x14ac:dyDescent="0.25">
      <c r="A5900" s="37"/>
      <c r="B5900" s="37"/>
      <c r="C5900" s="37"/>
      <c r="F5900" s="38"/>
      <c r="G5900" s="38"/>
      <c r="H5900" s="38"/>
      <c r="I5900" s="37"/>
      <c r="J5900" s="38"/>
      <c r="K5900" s="38"/>
      <c r="L5900" s="42"/>
      <c r="M5900" s="42"/>
      <c r="N5900" s="42"/>
      <c r="O5900" s="42"/>
      <c r="R5900" s="37"/>
      <c r="S5900" s="37"/>
      <c r="T5900" s="91"/>
      <c r="U5900" s="91"/>
      <c r="V5900" s="41"/>
      <c r="W5900" s="37"/>
      <c r="X5900" s="37"/>
      <c r="Y5900" s="43"/>
      <c r="Z5900" s="37"/>
      <c r="AA5900" s="37"/>
      <c r="AD5900" s="37"/>
      <c r="AE5900" s="37"/>
      <c r="AF5900" s="37"/>
    </row>
    <row r="5901" spans="1:32" x14ac:dyDescent="0.25">
      <c r="A5901" s="37"/>
      <c r="B5901" s="37"/>
      <c r="C5901" s="37"/>
      <c r="F5901" s="38"/>
      <c r="G5901" s="38"/>
      <c r="H5901" s="38"/>
      <c r="I5901" s="37"/>
      <c r="J5901" s="38"/>
      <c r="K5901" s="38"/>
      <c r="L5901" s="42"/>
      <c r="M5901" s="42"/>
      <c r="N5901" s="42"/>
      <c r="O5901" s="42"/>
      <c r="R5901" s="37"/>
      <c r="S5901" s="37"/>
      <c r="T5901" s="91"/>
      <c r="U5901" s="91"/>
      <c r="V5901" s="41"/>
      <c r="W5901" s="37"/>
      <c r="X5901" s="37"/>
      <c r="Y5901" s="43"/>
      <c r="Z5901" s="37"/>
      <c r="AA5901" s="37"/>
      <c r="AD5901" s="37"/>
      <c r="AE5901" s="37"/>
      <c r="AF5901" s="37"/>
    </row>
    <row r="5902" spans="1:32" x14ac:dyDescent="0.25">
      <c r="A5902" s="37"/>
      <c r="B5902" s="37"/>
      <c r="C5902" s="37"/>
      <c r="F5902" s="38"/>
      <c r="G5902" s="38"/>
      <c r="H5902" s="38"/>
      <c r="I5902" s="37"/>
      <c r="J5902" s="38"/>
      <c r="K5902" s="38"/>
      <c r="L5902" s="42"/>
      <c r="M5902" s="42"/>
      <c r="N5902" s="42"/>
      <c r="O5902" s="42"/>
      <c r="R5902" s="37"/>
      <c r="S5902" s="37"/>
      <c r="T5902" s="91"/>
      <c r="U5902" s="91"/>
      <c r="V5902" s="41"/>
      <c r="W5902" s="37"/>
      <c r="X5902" s="37"/>
      <c r="Y5902" s="43"/>
      <c r="Z5902" s="37"/>
      <c r="AA5902" s="37"/>
      <c r="AD5902" s="37"/>
      <c r="AE5902" s="37"/>
      <c r="AF5902" s="37"/>
    </row>
    <row r="5903" spans="1:32" x14ac:dyDescent="0.25">
      <c r="A5903" s="37"/>
      <c r="B5903" s="37"/>
      <c r="C5903" s="37"/>
      <c r="F5903" s="38"/>
      <c r="G5903" s="38"/>
      <c r="H5903" s="38"/>
      <c r="I5903" s="37"/>
      <c r="J5903" s="38"/>
      <c r="K5903" s="38"/>
      <c r="L5903" s="42"/>
      <c r="M5903" s="42"/>
      <c r="N5903" s="42"/>
      <c r="O5903" s="42"/>
      <c r="R5903" s="37"/>
      <c r="S5903" s="37"/>
      <c r="T5903" s="91"/>
      <c r="U5903" s="91"/>
      <c r="V5903" s="41"/>
      <c r="W5903" s="37"/>
      <c r="X5903" s="37"/>
      <c r="Y5903" s="43"/>
      <c r="Z5903" s="37"/>
      <c r="AA5903" s="37"/>
      <c r="AD5903" s="37"/>
      <c r="AE5903" s="37"/>
      <c r="AF5903" s="37"/>
    </row>
    <row r="5904" spans="1:32" x14ac:dyDescent="0.25">
      <c r="A5904" s="37"/>
      <c r="B5904" s="37"/>
      <c r="C5904" s="37"/>
      <c r="F5904" s="38"/>
      <c r="G5904" s="38"/>
      <c r="H5904" s="38"/>
      <c r="I5904" s="37"/>
      <c r="J5904" s="38"/>
      <c r="K5904" s="38"/>
      <c r="L5904" s="42"/>
      <c r="M5904" s="42"/>
      <c r="N5904" s="42"/>
      <c r="O5904" s="42"/>
      <c r="R5904" s="37"/>
      <c r="S5904" s="37"/>
      <c r="T5904" s="91"/>
      <c r="U5904" s="91"/>
      <c r="V5904" s="41"/>
      <c r="W5904" s="37"/>
      <c r="X5904" s="37"/>
      <c r="Y5904" s="43"/>
      <c r="Z5904" s="37"/>
      <c r="AA5904" s="37"/>
      <c r="AD5904" s="37"/>
      <c r="AE5904" s="37"/>
      <c r="AF5904" s="37"/>
    </row>
    <row r="5905" spans="1:32" x14ac:dyDescent="0.25">
      <c r="A5905" s="37"/>
      <c r="B5905" s="37"/>
      <c r="C5905" s="37"/>
      <c r="F5905" s="38"/>
      <c r="G5905" s="38"/>
      <c r="H5905" s="38"/>
      <c r="I5905" s="37"/>
      <c r="J5905" s="38"/>
      <c r="K5905" s="38"/>
      <c r="L5905" s="42"/>
      <c r="M5905" s="42"/>
      <c r="N5905" s="42"/>
      <c r="O5905" s="42"/>
      <c r="R5905" s="37"/>
      <c r="S5905" s="37"/>
      <c r="T5905" s="91"/>
      <c r="U5905" s="91"/>
      <c r="V5905" s="41"/>
      <c r="W5905" s="37"/>
      <c r="X5905" s="37"/>
      <c r="Y5905" s="43"/>
      <c r="Z5905" s="37"/>
      <c r="AA5905" s="37"/>
      <c r="AD5905" s="37"/>
      <c r="AE5905" s="37"/>
      <c r="AF5905" s="37"/>
    </row>
    <row r="5906" spans="1:32" x14ac:dyDescent="0.25">
      <c r="A5906" s="37"/>
      <c r="B5906" s="37"/>
      <c r="C5906" s="37"/>
      <c r="F5906" s="38"/>
      <c r="G5906" s="38"/>
      <c r="H5906" s="38"/>
      <c r="I5906" s="37"/>
      <c r="J5906" s="38"/>
      <c r="K5906" s="38"/>
      <c r="L5906" s="42"/>
      <c r="M5906" s="42"/>
      <c r="N5906" s="42"/>
      <c r="O5906" s="42"/>
      <c r="R5906" s="37"/>
      <c r="S5906" s="37"/>
      <c r="T5906" s="91"/>
      <c r="U5906" s="91"/>
      <c r="V5906" s="41"/>
      <c r="W5906" s="37"/>
      <c r="X5906" s="37"/>
      <c r="Y5906" s="43"/>
      <c r="Z5906" s="37"/>
      <c r="AA5906" s="37"/>
      <c r="AD5906" s="37"/>
      <c r="AE5906" s="37"/>
      <c r="AF5906" s="37"/>
    </row>
    <row r="5907" spans="1:32" x14ac:dyDescent="0.25">
      <c r="A5907" s="37"/>
      <c r="B5907" s="37"/>
      <c r="C5907" s="37"/>
      <c r="F5907" s="38"/>
      <c r="G5907" s="38"/>
      <c r="H5907" s="38"/>
      <c r="I5907" s="37"/>
      <c r="J5907" s="38"/>
      <c r="K5907" s="38"/>
      <c r="L5907" s="42"/>
      <c r="M5907" s="42"/>
      <c r="N5907" s="42"/>
      <c r="O5907" s="42"/>
      <c r="R5907" s="37"/>
      <c r="S5907" s="37"/>
      <c r="T5907" s="91"/>
      <c r="U5907" s="91"/>
      <c r="V5907" s="41"/>
      <c r="W5907" s="37"/>
      <c r="X5907" s="37"/>
      <c r="Y5907" s="43"/>
      <c r="Z5907" s="37"/>
      <c r="AA5907" s="37"/>
      <c r="AD5907" s="37"/>
      <c r="AE5907" s="37"/>
      <c r="AF5907" s="37"/>
    </row>
    <row r="5908" spans="1:32" x14ac:dyDescent="0.25">
      <c r="A5908" s="37"/>
      <c r="B5908" s="37"/>
      <c r="C5908" s="37"/>
      <c r="F5908" s="38"/>
      <c r="G5908" s="38"/>
      <c r="H5908" s="38"/>
      <c r="I5908" s="37"/>
      <c r="J5908" s="38"/>
      <c r="K5908" s="38"/>
      <c r="L5908" s="42"/>
      <c r="M5908" s="42"/>
      <c r="N5908" s="42"/>
      <c r="O5908" s="42"/>
      <c r="R5908" s="37"/>
      <c r="S5908" s="37"/>
      <c r="T5908" s="91"/>
      <c r="U5908" s="91"/>
      <c r="V5908" s="41"/>
      <c r="W5908" s="37"/>
      <c r="X5908" s="37"/>
      <c r="Y5908" s="43"/>
      <c r="Z5908" s="37"/>
      <c r="AA5908" s="37"/>
      <c r="AD5908" s="37"/>
      <c r="AE5908" s="37"/>
      <c r="AF5908" s="37"/>
    </row>
    <row r="5909" spans="1:32" x14ac:dyDescent="0.25">
      <c r="A5909" s="37"/>
      <c r="B5909" s="37"/>
      <c r="C5909" s="37"/>
      <c r="F5909" s="38"/>
      <c r="G5909" s="38"/>
      <c r="H5909" s="38"/>
      <c r="I5909" s="37"/>
      <c r="J5909" s="38"/>
      <c r="K5909" s="38"/>
      <c r="L5909" s="42"/>
      <c r="M5909" s="42"/>
      <c r="N5909" s="42"/>
      <c r="O5909" s="42"/>
      <c r="R5909" s="37"/>
      <c r="S5909" s="37"/>
      <c r="T5909" s="91"/>
      <c r="U5909" s="91"/>
      <c r="V5909" s="41"/>
      <c r="W5909" s="37"/>
      <c r="X5909" s="37"/>
      <c r="Y5909" s="43"/>
      <c r="Z5909" s="37"/>
      <c r="AA5909" s="37"/>
      <c r="AD5909" s="37"/>
      <c r="AE5909" s="37"/>
      <c r="AF5909" s="37"/>
    </row>
    <row r="5910" spans="1:32" x14ac:dyDescent="0.25">
      <c r="A5910" s="37"/>
      <c r="B5910" s="37"/>
      <c r="C5910" s="37"/>
      <c r="F5910" s="38"/>
      <c r="G5910" s="38"/>
      <c r="H5910" s="38"/>
      <c r="I5910" s="37"/>
      <c r="J5910" s="38"/>
      <c r="K5910" s="38"/>
      <c r="L5910" s="42"/>
      <c r="M5910" s="42"/>
      <c r="N5910" s="42"/>
      <c r="O5910" s="42"/>
      <c r="R5910" s="37"/>
      <c r="S5910" s="37"/>
      <c r="T5910" s="91"/>
      <c r="U5910" s="91"/>
      <c r="V5910" s="41"/>
      <c r="W5910" s="37"/>
      <c r="X5910" s="37"/>
      <c r="Y5910" s="43"/>
      <c r="Z5910" s="37"/>
      <c r="AA5910" s="37"/>
      <c r="AD5910" s="37"/>
      <c r="AE5910" s="37"/>
      <c r="AF5910" s="37"/>
    </row>
    <row r="5911" spans="1:32" x14ac:dyDescent="0.25">
      <c r="A5911" s="37"/>
      <c r="B5911" s="37"/>
      <c r="C5911" s="37"/>
      <c r="F5911" s="38"/>
      <c r="G5911" s="38"/>
      <c r="H5911" s="38"/>
      <c r="I5911" s="37"/>
      <c r="J5911" s="38"/>
      <c r="K5911" s="38"/>
      <c r="L5911" s="42"/>
      <c r="M5911" s="42"/>
      <c r="N5911" s="42"/>
      <c r="O5911" s="42"/>
      <c r="R5911" s="37"/>
      <c r="S5911" s="37"/>
      <c r="T5911" s="91"/>
      <c r="U5911" s="91"/>
      <c r="V5911" s="41"/>
      <c r="W5911" s="37"/>
      <c r="X5911" s="37"/>
      <c r="Y5911" s="43"/>
      <c r="Z5911" s="37"/>
      <c r="AA5911" s="37"/>
      <c r="AD5911" s="37"/>
      <c r="AE5911" s="37"/>
      <c r="AF5911" s="37"/>
    </row>
    <row r="5912" spans="1:32" x14ac:dyDescent="0.25">
      <c r="A5912" s="37"/>
      <c r="B5912" s="37"/>
      <c r="C5912" s="37"/>
      <c r="F5912" s="38"/>
      <c r="G5912" s="38"/>
      <c r="H5912" s="38"/>
      <c r="I5912" s="37"/>
      <c r="J5912" s="38"/>
      <c r="K5912" s="38"/>
      <c r="L5912" s="42"/>
      <c r="M5912" s="42"/>
      <c r="N5912" s="42"/>
      <c r="O5912" s="42"/>
      <c r="R5912" s="37"/>
      <c r="S5912" s="37"/>
      <c r="T5912" s="91"/>
      <c r="U5912" s="91"/>
      <c r="V5912" s="41"/>
      <c r="W5912" s="37"/>
      <c r="X5912" s="37"/>
      <c r="Y5912" s="43"/>
      <c r="Z5912" s="37"/>
      <c r="AA5912" s="37"/>
      <c r="AD5912" s="37"/>
      <c r="AE5912" s="37"/>
      <c r="AF5912" s="37"/>
    </row>
    <row r="5913" spans="1:32" x14ac:dyDescent="0.25">
      <c r="A5913" s="37"/>
      <c r="B5913" s="37"/>
      <c r="C5913" s="37"/>
      <c r="F5913" s="38"/>
      <c r="G5913" s="38"/>
      <c r="H5913" s="38"/>
      <c r="I5913" s="37"/>
      <c r="J5913" s="38"/>
      <c r="K5913" s="38"/>
      <c r="L5913" s="42"/>
      <c r="M5913" s="42"/>
      <c r="N5913" s="42"/>
      <c r="O5913" s="42"/>
      <c r="R5913" s="37"/>
      <c r="S5913" s="37"/>
      <c r="T5913" s="91"/>
      <c r="U5913" s="91"/>
      <c r="V5913" s="41"/>
      <c r="W5913" s="37"/>
      <c r="X5913" s="37"/>
      <c r="Y5913" s="43"/>
      <c r="Z5913" s="37"/>
      <c r="AA5913" s="37"/>
      <c r="AD5913" s="37"/>
      <c r="AE5913" s="37"/>
      <c r="AF5913" s="37"/>
    </row>
    <row r="5914" spans="1:32" x14ac:dyDescent="0.25">
      <c r="A5914" s="37"/>
      <c r="B5914" s="37"/>
      <c r="C5914" s="37"/>
      <c r="F5914" s="38"/>
      <c r="G5914" s="38"/>
      <c r="H5914" s="38"/>
      <c r="I5914" s="37"/>
      <c r="J5914" s="38"/>
      <c r="K5914" s="38"/>
      <c r="L5914" s="42"/>
      <c r="M5914" s="42"/>
      <c r="N5914" s="42"/>
      <c r="O5914" s="42"/>
      <c r="R5914" s="37"/>
      <c r="S5914" s="37"/>
      <c r="T5914" s="91"/>
      <c r="U5914" s="91"/>
      <c r="V5914" s="41"/>
      <c r="W5914" s="37"/>
      <c r="X5914" s="37"/>
      <c r="Y5914" s="43"/>
      <c r="Z5914" s="37"/>
      <c r="AA5914" s="37"/>
      <c r="AD5914" s="37"/>
      <c r="AE5914" s="37"/>
      <c r="AF5914" s="37"/>
    </row>
    <row r="5915" spans="1:32" x14ac:dyDescent="0.25">
      <c r="A5915" s="37"/>
      <c r="B5915" s="37"/>
      <c r="C5915" s="37"/>
      <c r="F5915" s="38"/>
      <c r="G5915" s="38"/>
      <c r="H5915" s="38"/>
      <c r="I5915" s="37"/>
      <c r="J5915" s="38"/>
      <c r="K5915" s="38"/>
      <c r="L5915" s="42"/>
      <c r="M5915" s="42"/>
      <c r="N5915" s="42"/>
      <c r="O5915" s="42"/>
      <c r="R5915" s="37"/>
      <c r="S5915" s="37"/>
      <c r="T5915" s="91"/>
      <c r="U5915" s="91"/>
      <c r="V5915" s="41"/>
      <c r="W5915" s="37"/>
      <c r="X5915" s="37"/>
      <c r="Y5915" s="43"/>
      <c r="Z5915" s="37"/>
      <c r="AA5915" s="37"/>
      <c r="AD5915" s="37"/>
      <c r="AE5915" s="37"/>
      <c r="AF5915" s="37"/>
    </row>
    <row r="5916" spans="1:32" x14ac:dyDescent="0.25">
      <c r="A5916" s="37"/>
      <c r="B5916" s="37"/>
      <c r="C5916" s="37"/>
      <c r="F5916" s="38"/>
      <c r="G5916" s="38"/>
      <c r="H5916" s="38"/>
      <c r="I5916" s="37"/>
      <c r="J5916" s="38"/>
      <c r="K5916" s="38"/>
      <c r="L5916" s="42"/>
      <c r="M5916" s="42"/>
      <c r="N5916" s="42"/>
      <c r="O5916" s="42"/>
      <c r="R5916" s="37"/>
      <c r="S5916" s="37"/>
      <c r="T5916" s="91"/>
      <c r="U5916" s="91"/>
      <c r="V5916" s="41"/>
      <c r="W5916" s="37"/>
      <c r="X5916" s="37"/>
      <c r="Y5916" s="43"/>
      <c r="Z5916" s="37"/>
      <c r="AA5916" s="37"/>
      <c r="AD5916" s="37"/>
      <c r="AE5916" s="37"/>
      <c r="AF5916" s="37"/>
    </row>
    <row r="5917" spans="1:32" x14ac:dyDescent="0.25">
      <c r="A5917" s="37"/>
      <c r="B5917" s="37"/>
      <c r="C5917" s="37"/>
      <c r="F5917" s="38"/>
      <c r="G5917" s="38"/>
      <c r="H5917" s="38"/>
      <c r="I5917" s="37"/>
      <c r="J5917" s="38"/>
      <c r="K5917" s="38"/>
      <c r="L5917" s="42"/>
      <c r="M5917" s="42"/>
      <c r="N5917" s="42"/>
      <c r="O5917" s="42"/>
      <c r="R5917" s="37"/>
      <c r="S5917" s="37"/>
      <c r="T5917" s="91"/>
      <c r="U5917" s="91"/>
      <c r="V5917" s="41"/>
      <c r="W5917" s="37"/>
      <c r="X5917" s="37"/>
      <c r="Y5917" s="43"/>
      <c r="Z5917" s="37"/>
      <c r="AA5917" s="37"/>
      <c r="AD5917" s="37"/>
      <c r="AE5917" s="37"/>
      <c r="AF5917" s="37"/>
    </row>
    <row r="5918" spans="1:32" x14ac:dyDescent="0.25">
      <c r="A5918" s="37"/>
      <c r="B5918" s="37"/>
      <c r="C5918" s="37"/>
      <c r="F5918" s="38"/>
      <c r="G5918" s="38"/>
      <c r="H5918" s="38"/>
      <c r="I5918" s="37"/>
      <c r="J5918" s="38"/>
      <c r="K5918" s="38"/>
      <c r="L5918" s="42"/>
      <c r="M5918" s="42"/>
      <c r="N5918" s="42"/>
      <c r="O5918" s="42"/>
      <c r="R5918" s="37"/>
      <c r="S5918" s="37"/>
      <c r="T5918" s="91"/>
      <c r="U5918" s="91"/>
      <c r="V5918" s="41"/>
      <c r="W5918" s="37"/>
      <c r="X5918" s="37"/>
      <c r="Y5918" s="43"/>
      <c r="Z5918" s="37"/>
      <c r="AA5918" s="37"/>
      <c r="AD5918" s="37"/>
      <c r="AE5918" s="37"/>
      <c r="AF5918" s="37"/>
    </row>
    <row r="5919" spans="1:32" x14ac:dyDescent="0.25">
      <c r="A5919" s="37"/>
      <c r="B5919" s="37"/>
      <c r="C5919" s="37"/>
      <c r="F5919" s="38"/>
      <c r="G5919" s="38"/>
      <c r="H5919" s="38"/>
      <c r="I5919" s="37"/>
      <c r="J5919" s="38"/>
      <c r="K5919" s="38"/>
      <c r="L5919" s="42"/>
      <c r="M5919" s="42"/>
      <c r="N5919" s="42"/>
      <c r="O5919" s="42"/>
      <c r="R5919" s="37"/>
      <c r="S5919" s="37"/>
      <c r="T5919" s="91"/>
      <c r="U5919" s="91"/>
      <c r="V5919" s="41"/>
      <c r="W5919" s="37"/>
      <c r="X5919" s="37"/>
      <c r="Y5919" s="43"/>
      <c r="Z5919" s="37"/>
      <c r="AA5919" s="37"/>
      <c r="AD5919" s="37"/>
      <c r="AE5919" s="37"/>
      <c r="AF5919" s="37"/>
    </row>
    <row r="5920" spans="1:32" x14ac:dyDescent="0.25">
      <c r="A5920" s="37"/>
      <c r="B5920" s="37"/>
      <c r="C5920" s="37"/>
      <c r="F5920" s="38"/>
      <c r="G5920" s="38"/>
      <c r="H5920" s="38"/>
      <c r="I5920" s="37"/>
      <c r="J5920" s="38"/>
      <c r="K5920" s="38"/>
      <c r="L5920" s="42"/>
      <c r="M5920" s="42"/>
      <c r="N5920" s="42"/>
      <c r="O5920" s="42"/>
      <c r="R5920" s="37"/>
      <c r="S5920" s="37"/>
      <c r="T5920" s="91"/>
      <c r="U5920" s="91"/>
      <c r="V5920" s="41"/>
      <c r="W5920" s="37"/>
      <c r="X5920" s="37"/>
      <c r="Y5920" s="43"/>
      <c r="Z5920" s="37"/>
      <c r="AA5920" s="37"/>
      <c r="AD5920" s="37"/>
      <c r="AE5920" s="37"/>
      <c r="AF5920" s="37"/>
    </row>
    <row r="5921" spans="1:32" x14ac:dyDescent="0.25">
      <c r="A5921" s="37"/>
      <c r="B5921" s="37"/>
      <c r="C5921" s="37"/>
      <c r="F5921" s="38"/>
      <c r="G5921" s="38"/>
      <c r="H5921" s="38"/>
      <c r="I5921" s="37"/>
      <c r="J5921" s="38"/>
      <c r="K5921" s="38"/>
      <c r="L5921" s="42"/>
      <c r="M5921" s="42"/>
      <c r="N5921" s="42"/>
      <c r="O5921" s="42"/>
      <c r="R5921" s="37"/>
      <c r="S5921" s="37"/>
      <c r="T5921" s="91"/>
      <c r="U5921" s="91"/>
      <c r="V5921" s="41"/>
      <c r="W5921" s="37"/>
      <c r="X5921" s="37"/>
      <c r="Y5921" s="43"/>
      <c r="Z5921" s="37"/>
      <c r="AA5921" s="37"/>
      <c r="AD5921" s="37"/>
      <c r="AE5921" s="37"/>
      <c r="AF5921" s="37"/>
    </row>
    <row r="5922" spans="1:32" x14ac:dyDescent="0.25">
      <c r="A5922" s="37"/>
      <c r="B5922" s="37"/>
      <c r="C5922" s="37"/>
      <c r="F5922" s="38"/>
      <c r="G5922" s="38"/>
      <c r="H5922" s="38"/>
      <c r="I5922" s="37"/>
      <c r="J5922" s="38"/>
      <c r="K5922" s="38"/>
      <c r="L5922" s="42"/>
      <c r="M5922" s="42"/>
      <c r="N5922" s="42"/>
      <c r="O5922" s="42"/>
      <c r="R5922" s="37"/>
      <c r="S5922" s="37"/>
      <c r="T5922" s="91"/>
      <c r="U5922" s="91"/>
      <c r="V5922" s="41"/>
      <c r="W5922" s="37"/>
      <c r="X5922" s="37"/>
      <c r="Y5922" s="43"/>
      <c r="Z5922" s="37"/>
      <c r="AA5922" s="37"/>
      <c r="AD5922" s="37"/>
      <c r="AE5922" s="37"/>
      <c r="AF5922" s="37"/>
    </row>
    <row r="5923" spans="1:32" x14ac:dyDescent="0.25">
      <c r="A5923" s="37"/>
      <c r="B5923" s="37"/>
      <c r="C5923" s="37"/>
      <c r="F5923" s="38"/>
      <c r="G5923" s="38"/>
      <c r="H5923" s="38"/>
      <c r="I5923" s="37"/>
      <c r="J5923" s="38"/>
      <c r="K5923" s="38"/>
      <c r="L5923" s="42"/>
      <c r="M5923" s="42"/>
      <c r="N5923" s="42"/>
      <c r="O5923" s="42"/>
      <c r="R5923" s="37"/>
      <c r="S5923" s="37"/>
      <c r="T5923" s="91"/>
      <c r="U5923" s="91"/>
      <c r="V5923" s="41"/>
      <c r="W5923" s="37"/>
      <c r="X5923" s="37"/>
      <c r="Y5923" s="43"/>
      <c r="Z5923" s="37"/>
      <c r="AA5923" s="37"/>
      <c r="AD5923" s="37"/>
      <c r="AE5923" s="37"/>
      <c r="AF5923" s="37"/>
    </row>
    <row r="5924" spans="1:32" x14ac:dyDescent="0.25">
      <c r="A5924" s="37"/>
      <c r="B5924" s="37"/>
      <c r="C5924" s="37"/>
      <c r="F5924" s="38"/>
      <c r="G5924" s="38"/>
      <c r="H5924" s="38"/>
      <c r="I5924" s="37"/>
      <c r="J5924" s="38"/>
      <c r="K5924" s="38"/>
      <c r="L5924" s="42"/>
      <c r="M5924" s="42"/>
      <c r="N5924" s="42"/>
      <c r="O5924" s="42"/>
      <c r="R5924" s="37"/>
      <c r="S5924" s="37"/>
      <c r="T5924" s="91"/>
      <c r="U5924" s="91"/>
      <c r="V5924" s="41"/>
      <c r="W5924" s="37"/>
      <c r="X5924" s="37"/>
      <c r="Y5924" s="43"/>
      <c r="Z5924" s="37"/>
      <c r="AA5924" s="37"/>
      <c r="AD5924" s="37"/>
      <c r="AE5924" s="37"/>
      <c r="AF5924" s="37"/>
    </row>
    <row r="5925" spans="1:32" x14ac:dyDescent="0.25">
      <c r="A5925" s="37"/>
      <c r="B5925" s="37"/>
      <c r="C5925" s="37"/>
      <c r="F5925" s="38"/>
      <c r="G5925" s="38"/>
      <c r="H5925" s="38"/>
      <c r="I5925" s="37"/>
      <c r="J5925" s="38"/>
      <c r="K5925" s="38"/>
      <c r="L5925" s="42"/>
      <c r="M5925" s="42"/>
      <c r="N5925" s="42"/>
      <c r="O5925" s="42"/>
      <c r="R5925" s="37"/>
      <c r="S5925" s="37"/>
      <c r="T5925" s="91"/>
      <c r="U5925" s="91"/>
      <c r="V5925" s="41"/>
      <c r="W5925" s="37"/>
      <c r="X5925" s="37"/>
      <c r="Y5925" s="43"/>
      <c r="Z5925" s="37"/>
      <c r="AA5925" s="37"/>
      <c r="AD5925" s="37"/>
      <c r="AE5925" s="37"/>
      <c r="AF5925" s="37"/>
    </row>
    <row r="5926" spans="1:32" x14ac:dyDescent="0.25">
      <c r="A5926" s="37"/>
      <c r="B5926" s="37"/>
      <c r="C5926" s="37"/>
      <c r="F5926" s="38"/>
      <c r="G5926" s="38"/>
      <c r="H5926" s="38"/>
      <c r="I5926" s="37"/>
      <c r="J5926" s="38"/>
      <c r="K5926" s="38"/>
      <c r="L5926" s="42"/>
      <c r="M5926" s="42"/>
      <c r="N5926" s="42"/>
      <c r="O5926" s="42"/>
      <c r="R5926" s="37"/>
      <c r="S5926" s="37"/>
      <c r="T5926" s="91"/>
      <c r="U5926" s="91"/>
      <c r="V5926" s="41"/>
      <c r="W5926" s="37"/>
      <c r="X5926" s="37"/>
      <c r="Y5926" s="43"/>
      <c r="Z5926" s="37"/>
      <c r="AA5926" s="37"/>
      <c r="AD5926" s="37"/>
      <c r="AE5926" s="37"/>
      <c r="AF5926" s="37"/>
    </row>
    <row r="5927" spans="1:32" x14ac:dyDescent="0.25">
      <c r="A5927" s="37"/>
      <c r="B5927" s="37"/>
      <c r="C5927" s="37"/>
      <c r="F5927" s="38"/>
      <c r="G5927" s="38"/>
      <c r="H5927" s="38"/>
      <c r="I5927" s="37"/>
      <c r="J5927" s="38"/>
      <c r="K5927" s="38"/>
      <c r="L5927" s="42"/>
      <c r="M5927" s="42"/>
      <c r="N5927" s="42"/>
      <c r="O5927" s="42"/>
      <c r="R5927" s="37"/>
      <c r="S5927" s="37"/>
      <c r="T5927" s="91"/>
      <c r="U5927" s="91"/>
      <c r="V5927" s="41"/>
      <c r="W5927" s="37"/>
      <c r="X5927" s="37"/>
      <c r="Y5927" s="43"/>
      <c r="Z5927" s="37"/>
      <c r="AA5927" s="37"/>
      <c r="AD5927" s="37"/>
      <c r="AE5927" s="37"/>
      <c r="AF5927" s="37"/>
    </row>
    <row r="5928" spans="1:32" x14ac:dyDescent="0.25">
      <c r="A5928" s="37"/>
      <c r="B5928" s="37"/>
      <c r="C5928" s="37"/>
      <c r="F5928" s="38"/>
      <c r="G5928" s="38"/>
      <c r="H5928" s="38"/>
      <c r="I5928" s="37"/>
      <c r="J5928" s="38"/>
      <c r="K5928" s="38"/>
      <c r="L5928" s="42"/>
      <c r="M5928" s="42"/>
      <c r="N5928" s="42"/>
      <c r="O5928" s="42"/>
      <c r="R5928" s="37"/>
      <c r="S5928" s="37"/>
      <c r="T5928" s="91"/>
      <c r="U5928" s="91"/>
      <c r="V5928" s="41"/>
      <c r="W5928" s="37"/>
      <c r="X5928" s="37"/>
      <c r="Y5928" s="43"/>
      <c r="Z5928" s="37"/>
      <c r="AA5928" s="37"/>
      <c r="AD5928" s="37"/>
      <c r="AE5928" s="37"/>
      <c r="AF5928" s="37"/>
    </row>
    <row r="5929" spans="1:32" x14ac:dyDescent="0.25">
      <c r="A5929" s="37"/>
      <c r="B5929" s="37"/>
      <c r="C5929" s="37"/>
      <c r="F5929" s="38"/>
      <c r="G5929" s="38"/>
      <c r="H5929" s="38"/>
      <c r="I5929" s="37"/>
      <c r="J5929" s="38"/>
      <c r="K5929" s="38"/>
      <c r="L5929" s="42"/>
      <c r="M5929" s="42"/>
      <c r="N5929" s="42"/>
      <c r="O5929" s="42"/>
      <c r="R5929" s="37"/>
      <c r="S5929" s="37"/>
      <c r="T5929" s="91"/>
      <c r="U5929" s="91"/>
      <c r="V5929" s="41"/>
      <c r="W5929" s="37"/>
      <c r="X5929" s="37"/>
      <c r="Y5929" s="43"/>
      <c r="Z5929" s="37"/>
      <c r="AA5929" s="37"/>
      <c r="AD5929" s="37"/>
      <c r="AE5929" s="37"/>
      <c r="AF5929" s="37"/>
    </row>
    <row r="5930" spans="1:32" x14ac:dyDescent="0.25">
      <c r="A5930" s="37"/>
      <c r="B5930" s="37"/>
      <c r="C5930" s="37"/>
      <c r="F5930" s="38"/>
      <c r="G5930" s="38"/>
      <c r="H5930" s="38"/>
      <c r="I5930" s="37"/>
      <c r="J5930" s="38"/>
      <c r="K5930" s="38"/>
      <c r="L5930" s="42"/>
      <c r="M5930" s="42"/>
      <c r="N5930" s="42"/>
      <c r="O5930" s="42"/>
      <c r="R5930" s="37"/>
      <c r="S5930" s="37"/>
      <c r="T5930" s="91"/>
      <c r="U5930" s="91"/>
      <c r="V5930" s="41"/>
      <c r="W5930" s="37"/>
      <c r="X5930" s="37"/>
      <c r="Y5930" s="43"/>
      <c r="Z5930" s="37"/>
      <c r="AA5930" s="37"/>
      <c r="AD5930" s="37"/>
      <c r="AE5930" s="37"/>
      <c r="AF5930" s="37"/>
    </row>
    <row r="5931" spans="1:32" x14ac:dyDescent="0.25">
      <c r="A5931" s="37"/>
      <c r="B5931" s="37"/>
      <c r="C5931" s="37"/>
      <c r="F5931" s="38"/>
      <c r="G5931" s="38"/>
      <c r="H5931" s="38"/>
      <c r="I5931" s="37"/>
      <c r="J5931" s="38"/>
      <c r="K5931" s="38"/>
      <c r="L5931" s="42"/>
      <c r="M5931" s="42"/>
      <c r="N5931" s="42"/>
      <c r="O5931" s="42"/>
      <c r="R5931" s="37"/>
      <c r="S5931" s="37"/>
      <c r="T5931" s="91"/>
      <c r="U5931" s="91"/>
      <c r="V5931" s="41"/>
      <c r="W5931" s="37"/>
      <c r="X5931" s="37"/>
      <c r="Y5931" s="43"/>
      <c r="Z5931" s="37"/>
      <c r="AA5931" s="37"/>
      <c r="AD5931" s="37"/>
      <c r="AE5931" s="37"/>
      <c r="AF5931" s="37"/>
    </row>
    <row r="5932" spans="1:32" x14ac:dyDescent="0.25">
      <c r="A5932" s="37"/>
      <c r="B5932" s="37"/>
      <c r="C5932" s="37"/>
      <c r="F5932" s="38"/>
      <c r="G5932" s="38"/>
      <c r="H5932" s="38"/>
      <c r="I5932" s="37"/>
      <c r="J5932" s="38"/>
      <c r="K5932" s="38"/>
      <c r="L5932" s="42"/>
      <c r="M5932" s="42"/>
      <c r="N5932" s="42"/>
      <c r="O5932" s="42"/>
      <c r="R5932" s="37"/>
      <c r="S5932" s="37"/>
      <c r="T5932" s="91"/>
      <c r="U5932" s="91"/>
      <c r="V5932" s="41"/>
      <c r="W5932" s="37"/>
      <c r="X5932" s="37"/>
      <c r="Y5932" s="43"/>
      <c r="Z5932" s="37"/>
      <c r="AA5932" s="37"/>
      <c r="AD5932" s="37"/>
      <c r="AE5932" s="37"/>
      <c r="AF5932" s="37"/>
    </row>
    <row r="5933" spans="1:32" x14ac:dyDescent="0.25">
      <c r="A5933" s="37"/>
      <c r="B5933" s="37"/>
      <c r="C5933" s="37"/>
      <c r="F5933" s="38"/>
      <c r="G5933" s="38"/>
      <c r="H5933" s="38"/>
      <c r="I5933" s="37"/>
      <c r="J5933" s="38"/>
      <c r="K5933" s="38"/>
      <c r="L5933" s="42"/>
      <c r="M5933" s="42"/>
      <c r="N5933" s="42"/>
      <c r="O5933" s="42"/>
      <c r="R5933" s="37"/>
      <c r="S5933" s="37"/>
      <c r="T5933" s="91"/>
      <c r="U5933" s="91"/>
      <c r="V5933" s="41"/>
      <c r="W5933" s="37"/>
      <c r="X5933" s="37"/>
      <c r="Y5933" s="43"/>
      <c r="Z5933" s="37"/>
      <c r="AA5933" s="37"/>
      <c r="AD5933" s="37"/>
      <c r="AE5933" s="37"/>
      <c r="AF5933" s="37"/>
    </row>
    <row r="5934" spans="1:32" x14ac:dyDescent="0.25">
      <c r="A5934" s="37"/>
      <c r="B5934" s="37"/>
      <c r="C5934" s="37"/>
      <c r="F5934" s="38"/>
      <c r="G5934" s="38"/>
      <c r="H5934" s="38"/>
      <c r="I5934" s="37"/>
      <c r="J5934" s="38"/>
      <c r="K5934" s="38"/>
      <c r="L5934" s="42"/>
      <c r="M5934" s="42"/>
      <c r="N5934" s="42"/>
      <c r="O5934" s="42"/>
      <c r="R5934" s="37"/>
      <c r="S5934" s="37"/>
      <c r="T5934" s="91"/>
      <c r="U5934" s="91"/>
      <c r="V5934" s="41"/>
      <c r="W5934" s="37"/>
      <c r="X5934" s="37"/>
      <c r="Y5934" s="43"/>
      <c r="Z5934" s="37"/>
      <c r="AA5934" s="37"/>
      <c r="AD5934" s="37"/>
      <c r="AE5934" s="37"/>
      <c r="AF5934" s="37"/>
    </row>
    <row r="5935" spans="1:32" x14ac:dyDescent="0.25">
      <c r="A5935" s="37"/>
      <c r="B5935" s="37"/>
      <c r="C5935" s="37"/>
      <c r="F5935" s="38"/>
      <c r="G5935" s="38"/>
      <c r="H5935" s="38"/>
      <c r="I5935" s="37"/>
      <c r="J5935" s="38"/>
      <c r="K5935" s="38"/>
      <c r="L5935" s="42"/>
      <c r="M5935" s="42"/>
      <c r="N5935" s="42"/>
      <c r="O5935" s="42"/>
      <c r="R5935" s="37"/>
      <c r="S5935" s="37"/>
      <c r="T5935" s="91"/>
      <c r="U5935" s="91"/>
      <c r="V5935" s="41"/>
      <c r="W5935" s="37"/>
      <c r="X5935" s="37"/>
      <c r="Y5935" s="43"/>
      <c r="Z5935" s="37"/>
      <c r="AA5935" s="37"/>
      <c r="AD5935" s="37"/>
      <c r="AE5935" s="37"/>
      <c r="AF5935" s="37"/>
    </row>
    <row r="5936" spans="1:32" x14ac:dyDescent="0.25">
      <c r="A5936" s="37"/>
      <c r="B5936" s="37"/>
      <c r="C5936" s="37"/>
      <c r="F5936" s="38"/>
      <c r="G5936" s="38"/>
      <c r="H5936" s="38"/>
      <c r="I5936" s="37"/>
      <c r="J5936" s="38"/>
      <c r="K5936" s="38"/>
      <c r="L5936" s="42"/>
      <c r="M5936" s="42"/>
      <c r="N5936" s="42"/>
      <c r="O5936" s="42"/>
      <c r="R5936" s="37"/>
      <c r="S5936" s="37"/>
      <c r="T5936" s="91"/>
      <c r="U5936" s="91"/>
      <c r="V5936" s="41"/>
      <c r="W5936" s="37"/>
      <c r="X5936" s="37"/>
      <c r="Y5936" s="43"/>
      <c r="Z5936" s="37"/>
      <c r="AA5936" s="37"/>
      <c r="AD5936" s="37"/>
      <c r="AE5936" s="37"/>
      <c r="AF5936" s="37"/>
    </row>
    <row r="5937" spans="1:32" x14ac:dyDescent="0.25">
      <c r="A5937" s="37"/>
      <c r="B5937" s="37"/>
      <c r="C5937" s="37"/>
      <c r="F5937" s="38"/>
      <c r="G5937" s="38"/>
      <c r="H5937" s="38"/>
      <c r="I5937" s="37"/>
      <c r="J5937" s="38"/>
      <c r="K5937" s="38"/>
      <c r="L5937" s="42"/>
      <c r="M5937" s="42"/>
      <c r="N5937" s="42"/>
      <c r="O5937" s="42"/>
      <c r="R5937" s="37"/>
      <c r="S5937" s="37"/>
      <c r="T5937" s="91"/>
      <c r="U5937" s="91"/>
      <c r="V5937" s="41"/>
      <c r="W5937" s="37"/>
      <c r="X5937" s="37"/>
      <c r="Y5937" s="43"/>
      <c r="Z5937" s="37"/>
      <c r="AA5937" s="37"/>
      <c r="AD5937" s="37"/>
      <c r="AE5937" s="37"/>
      <c r="AF5937" s="37"/>
    </row>
    <row r="5938" spans="1:32" x14ac:dyDescent="0.25">
      <c r="A5938" s="37"/>
      <c r="B5938" s="37"/>
      <c r="C5938" s="37"/>
      <c r="F5938" s="38"/>
      <c r="G5938" s="38"/>
      <c r="H5938" s="38"/>
      <c r="I5938" s="37"/>
      <c r="J5938" s="38"/>
      <c r="K5938" s="38"/>
      <c r="L5938" s="42"/>
      <c r="M5938" s="42"/>
      <c r="N5938" s="42"/>
      <c r="O5938" s="42"/>
      <c r="R5938" s="37"/>
      <c r="S5938" s="37"/>
      <c r="T5938" s="91"/>
      <c r="U5938" s="91"/>
      <c r="V5938" s="41"/>
      <c r="W5938" s="37"/>
      <c r="X5938" s="37"/>
      <c r="Y5938" s="43"/>
      <c r="Z5938" s="37"/>
      <c r="AA5938" s="37"/>
      <c r="AD5938" s="37"/>
      <c r="AE5938" s="37"/>
      <c r="AF5938" s="37"/>
    </row>
    <row r="5939" spans="1:32" x14ac:dyDescent="0.25">
      <c r="A5939" s="37"/>
      <c r="B5939" s="37"/>
      <c r="C5939" s="37"/>
      <c r="F5939" s="38"/>
      <c r="G5939" s="38"/>
      <c r="H5939" s="38"/>
      <c r="I5939" s="37"/>
      <c r="J5939" s="38"/>
      <c r="K5939" s="38"/>
      <c r="L5939" s="42"/>
      <c r="M5939" s="42"/>
      <c r="N5939" s="42"/>
      <c r="O5939" s="42"/>
      <c r="R5939" s="37"/>
      <c r="S5939" s="37"/>
      <c r="T5939" s="91"/>
      <c r="U5939" s="91"/>
      <c r="V5939" s="41"/>
      <c r="W5939" s="37"/>
      <c r="X5939" s="37"/>
      <c r="Y5939" s="43"/>
      <c r="Z5939" s="37"/>
      <c r="AA5939" s="37"/>
      <c r="AD5939" s="37"/>
      <c r="AE5939" s="37"/>
      <c r="AF5939" s="37"/>
    </row>
    <row r="5940" spans="1:32" x14ac:dyDescent="0.25">
      <c r="A5940" s="37"/>
      <c r="B5940" s="37"/>
      <c r="C5940" s="37"/>
      <c r="F5940" s="38"/>
      <c r="G5940" s="38"/>
      <c r="H5940" s="38"/>
      <c r="I5940" s="37"/>
      <c r="J5940" s="38"/>
      <c r="K5940" s="38"/>
      <c r="L5940" s="42"/>
      <c r="M5940" s="42"/>
      <c r="N5940" s="42"/>
      <c r="O5940" s="42"/>
      <c r="R5940" s="37"/>
      <c r="S5940" s="37"/>
      <c r="T5940" s="91"/>
      <c r="U5940" s="91"/>
      <c r="V5940" s="41"/>
      <c r="W5940" s="37"/>
      <c r="X5940" s="37"/>
      <c r="Y5940" s="43"/>
      <c r="Z5940" s="37"/>
      <c r="AA5940" s="37"/>
      <c r="AD5940" s="37"/>
      <c r="AE5940" s="37"/>
      <c r="AF5940" s="37"/>
    </row>
    <row r="5941" spans="1:32" x14ac:dyDescent="0.25">
      <c r="A5941" s="37"/>
      <c r="B5941" s="37"/>
      <c r="C5941" s="37"/>
      <c r="F5941" s="38"/>
      <c r="G5941" s="38"/>
      <c r="H5941" s="38"/>
      <c r="I5941" s="37"/>
      <c r="J5941" s="38"/>
      <c r="K5941" s="38"/>
      <c r="L5941" s="42"/>
      <c r="M5941" s="42"/>
      <c r="N5941" s="42"/>
      <c r="O5941" s="42"/>
      <c r="R5941" s="37"/>
      <c r="S5941" s="37"/>
      <c r="T5941" s="91"/>
      <c r="U5941" s="91"/>
      <c r="V5941" s="41"/>
      <c r="W5941" s="37"/>
      <c r="X5941" s="37"/>
      <c r="Y5941" s="43"/>
      <c r="Z5941" s="37"/>
      <c r="AA5941" s="37"/>
      <c r="AD5941" s="37"/>
      <c r="AE5941" s="37"/>
      <c r="AF5941" s="37"/>
    </row>
    <row r="5942" spans="1:32" x14ac:dyDescent="0.25">
      <c r="A5942" s="37"/>
      <c r="B5942" s="37"/>
      <c r="C5942" s="37"/>
      <c r="F5942" s="38"/>
      <c r="G5942" s="38"/>
      <c r="H5942" s="38"/>
      <c r="I5942" s="37"/>
      <c r="J5942" s="38"/>
      <c r="K5942" s="38"/>
      <c r="L5942" s="42"/>
      <c r="M5942" s="42"/>
      <c r="N5942" s="42"/>
      <c r="O5942" s="42"/>
      <c r="R5942" s="37"/>
      <c r="S5942" s="37"/>
      <c r="T5942" s="91"/>
      <c r="U5942" s="91"/>
      <c r="V5942" s="41"/>
      <c r="W5942" s="37"/>
      <c r="X5942" s="37"/>
      <c r="Y5942" s="43"/>
      <c r="Z5942" s="37"/>
      <c r="AA5942" s="37"/>
      <c r="AD5942" s="37"/>
      <c r="AE5942" s="37"/>
      <c r="AF5942" s="37"/>
    </row>
    <row r="5943" spans="1:32" x14ac:dyDescent="0.25">
      <c r="A5943" s="37"/>
      <c r="B5943" s="37"/>
      <c r="C5943" s="37"/>
      <c r="F5943" s="38"/>
      <c r="G5943" s="38"/>
      <c r="H5943" s="38"/>
      <c r="I5943" s="37"/>
      <c r="J5943" s="38"/>
      <c r="K5943" s="38"/>
      <c r="L5943" s="42"/>
      <c r="M5943" s="42"/>
      <c r="N5943" s="42"/>
      <c r="O5943" s="42"/>
      <c r="R5943" s="37"/>
      <c r="S5943" s="37"/>
      <c r="T5943" s="91"/>
      <c r="U5943" s="91"/>
      <c r="V5943" s="41"/>
      <c r="W5943" s="37"/>
      <c r="X5943" s="37"/>
      <c r="Y5943" s="43"/>
      <c r="Z5943" s="37"/>
      <c r="AA5943" s="37"/>
      <c r="AD5943" s="37"/>
      <c r="AE5943" s="37"/>
      <c r="AF5943" s="37"/>
    </row>
    <row r="5944" spans="1:32" x14ac:dyDescent="0.25">
      <c r="A5944" s="37"/>
      <c r="B5944" s="37"/>
      <c r="C5944" s="37"/>
      <c r="F5944" s="38"/>
      <c r="G5944" s="38"/>
      <c r="H5944" s="38"/>
      <c r="I5944" s="37"/>
      <c r="J5944" s="38"/>
      <c r="K5944" s="38"/>
      <c r="L5944" s="42"/>
      <c r="M5944" s="42"/>
      <c r="N5944" s="42"/>
      <c r="O5944" s="42"/>
      <c r="R5944" s="37"/>
      <c r="S5944" s="37"/>
      <c r="T5944" s="91"/>
      <c r="U5944" s="91"/>
      <c r="V5944" s="41"/>
      <c r="W5944" s="37"/>
      <c r="X5944" s="37"/>
      <c r="Y5944" s="43"/>
      <c r="Z5944" s="37"/>
      <c r="AA5944" s="37"/>
      <c r="AD5944" s="37"/>
      <c r="AE5944" s="37"/>
      <c r="AF5944" s="37"/>
    </row>
    <row r="5945" spans="1:32" x14ac:dyDescent="0.25">
      <c r="A5945" s="37"/>
      <c r="B5945" s="37"/>
      <c r="C5945" s="37"/>
      <c r="F5945" s="38"/>
      <c r="G5945" s="38"/>
      <c r="H5945" s="38"/>
      <c r="I5945" s="37"/>
      <c r="J5945" s="38"/>
      <c r="K5945" s="38"/>
      <c r="L5945" s="42"/>
      <c r="M5945" s="42"/>
      <c r="N5945" s="42"/>
      <c r="O5945" s="42"/>
      <c r="R5945" s="37"/>
      <c r="S5945" s="37"/>
      <c r="T5945" s="91"/>
      <c r="U5945" s="91"/>
      <c r="V5945" s="41"/>
      <c r="W5945" s="37"/>
      <c r="X5945" s="37"/>
      <c r="Y5945" s="43"/>
      <c r="Z5945" s="37"/>
      <c r="AA5945" s="37"/>
      <c r="AD5945" s="37"/>
      <c r="AE5945" s="37"/>
      <c r="AF5945" s="37"/>
    </row>
    <row r="5946" spans="1:32" x14ac:dyDescent="0.25">
      <c r="A5946" s="37"/>
      <c r="B5946" s="37"/>
      <c r="C5946" s="37"/>
      <c r="F5946" s="38"/>
      <c r="G5946" s="38"/>
      <c r="H5946" s="38"/>
      <c r="I5946" s="37"/>
      <c r="J5946" s="38"/>
      <c r="K5946" s="38"/>
      <c r="L5946" s="42"/>
      <c r="M5946" s="42"/>
      <c r="N5946" s="42"/>
      <c r="O5946" s="42"/>
      <c r="R5946" s="37"/>
      <c r="S5946" s="37"/>
      <c r="T5946" s="91"/>
      <c r="U5946" s="91"/>
      <c r="V5946" s="41"/>
      <c r="W5946" s="37"/>
      <c r="X5946" s="37"/>
      <c r="Y5946" s="43"/>
      <c r="Z5946" s="37"/>
      <c r="AA5946" s="37"/>
      <c r="AD5946" s="37"/>
      <c r="AE5946" s="37"/>
      <c r="AF5946" s="37"/>
    </row>
    <row r="5947" spans="1:32" x14ac:dyDescent="0.25">
      <c r="A5947" s="37"/>
      <c r="B5947" s="37"/>
      <c r="C5947" s="37"/>
      <c r="F5947" s="38"/>
      <c r="G5947" s="38"/>
      <c r="H5947" s="38"/>
      <c r="I5947" s="37"/>
      <c r="J5947" s="38"/>
      <c r="K5947" s="38"/>
      <c r="L5947" s="42"/>
      <c r="M5947" s="42"/>
      <c r="N5947" s="42"/>
      <c r="O5947" s="42"/>
      <c r="R5947" s="37"/>
      <c r="S5947" s="37"/>
      <c r="T5947" s="91"/>
      <c r="U5947" s="91"/>
      <c r="V5947" s="41"/>
      <c r="W5947" s="37"/>
      <c r="X5947" s="37"/>
      <c r="Y5947" s="43"/>
      <c r="Z5947" s="37"/>
      <c r="AA5947" s="37"/>
      <c r="AD5947" s="37"/>
      <c r="AE5947" s="37"/>
      <c r="AF5947" s="37"/>
    </row>
    <row r="5948" spans="1:32" x14ac:dyDescent="0.25">
      <c r="A5948" s="37"/>
      <c r="B5948" s="37"/>
      <c r="C5948" s="37"/>
      <c r="F5948" s="38"/>
      <c r="G5948" s="38"/>
      <c r="H5948" s="38"/>
      <c r="I5948" s="37"/>
      <c r="J5948" s="38"/>
      <c r="K5948" s="38"/>
      <c r="L5948" s="42"/>
      <c r="M5948" s="42"/>
      <c r="N5948" s="42"/>
      <c r="O5948" s="42"/>
      <c r="R5948" s="37"/>
      <c r="S5948" s="37"/>
      <c r="T5948" s="91"/>
      <c r="U5948" s="91"/>
      <c r="V5948" s="41"/>
      <c r="W5948" s="37"/>
      <c r="X5948" s="37"/>
      <c r="Y5948" s="43"/>
      <c r="Z5948" s="37"/>
      <c r="AA5948" s="37"/>
      <c r="AD5948" s="37"/>
      <c r="AE5948" s="37"/>
      <c r="AF5948" s="37"/>
    </row>
    <row r="5949" spans="1:32" x14ac:dyDescent="0.25">
      <c r="A5949" s="37"/>
      <c r="B5949" s="37"/>
      <c r="C5949" s="37"/>
      <c r="F5949" s="38"/>
      <c r="G5949" s="38"/>
      <c r="H5949" s="38"/>
      <c r="I5949" s="37"/>
      <c r="J5949" s="38"/>
      <c r="K5949" s="38"/>
      <c r="L5949" s="42"/>
      <c r="M5949" s="42"/>
      <c r="N5949" s="42"/>
      <c r="O5949" s="42"/>
      <c r="R5949" s="37"/>
      <c r="S5949" s="37"/>
      <c r="T5949" s="91"/>
      <c r="U5949" s="91"/>
      <c r="V5949" s="41"/>
      <c r="W5949" s="37"/>
      <c r="X5949" s="37"/>
      <c r="Y5949" s="43"/>
      <c r="Z5949" s="37"/>
      <c r="AA5949" s="37"/>
      <c r="AD5949" s="37"/>
      <c r="AE5949" s="37"/>
      <c r="AF5949" s="37"/>
    </row>
    <row r="5950" spans="1:32" x14ac:dyDescent="0.25">
      <c r="A5950" s="37"/>
      <c r="B5950" s="37"/>
      <c r="C5950" s="37"/>
      <c r="F5950" s="38"/>
      <c r="G5950" s="38"/>
      <c r="H5950" s="38"/>
      <c r="I5950" s="37"/>
      <c r="J5950" s="38"/>
      <c r="K5950" s="38"/>
      <c r="L5950" s="42"/>
      <c r="M5950" s="42"/>
      <c r="N5950" s="42"/>
      <c r="O5950" s="42"/>
      <c r="R5950" s="37"/>
      <c r="S5950" s="37"/>
      <c r="T5950" s="91"/>
      <c r="U5950" s="91"/>
      <c r="V5950" s="41"/>
      <c r="W5950" s="37"/>
      <c r="X5950" s="37"/>
      <c r="Y5950" s="43"/>
      <c r="Z5950" s="37"/>
      <c r="AA5950" s="37"/>
      <c r="AD5950" s="37"/>
      <c r="AE5950" s="37"/>
      <c r="AF5950" s="37"/>
    </row>
    <row r="5951" spans="1:32" x14ac:dyDescent="0.25">
      <c r="A5951" s="37"/>
      <c r="B5951" s="37"/>
      <c r="C5951" s="37"/>
      <c r="F5951" s="38"/>
      <c r="G5951" s="38"/>
      <c r="H5951" s="38"/>
      <c r="I5951" s="37"/>
      <c r="J5951" s="38"/>
      <c r="K5951" s="38"/>
      <c r="L5951" s="42"/>
      <c r="M5951" s="42"/>
      <c r="N5951" s="42"/>
      <c r="O5951" s="42"/>
      <c r="R5951" s="37"/>
      <c r="S5951" s="37"/>
      <c r="T5951" s="91"/>
      <c r="U5951" s="91"/>
      <c r="V5951" s="41"/>
      <c r="W5951" s="37"/>
      <c r="X5951" s="37"/>
      <c r="Y5951" s="43"/>
      <c r="Z5951" s="37"/>
      <c r="AA5951" s="37"/>
      <c r="AD5951" s="37"/>
      <c r="AE5951" s="37"/>
      <c r="AF5951" s="37"/>
    </row>
    <row r="5952" spans="1:32" x14ac:dyDescent="0.25">
      <c r="A5952" s="37"/>
      <c r="B5952" s="37"/>
      <c r="C5952" s="37"/>
      <c r="F5952" s="38"/>
      <c r="G5952" s="38"/>
      <c r="H5952" s="38"/>
      <c r="I5952" s="37"/>
      <c r="J5952" s="38"/>
      <c r="K5952" s="38"/>
      <c r="L5952" s="42"/>
      <c r="M5952" s="42"/>
      <c r="N5952" s="42"/>
      <c r="O5952" s="42"/>
      <c r="R5952" s="37"/>
      <c r="S5952" s="37"/>
      <c r="T5952" s="91"/>
      <c r="U5952" s="91"/>
      <c r="V5952" s="41"/>
      <c r="W5952" s="37"/>
      <c r="X5952" s="37"/>
      <c r="Y5952" s="43"/>
      <c r="Z5952" s="37"/>
      <c r="AA5952" s="37"/>
      <c r="AD5952" s="37"/>
      <c r="AE5952" s="37"/>
      <c r="AF5952" s="37"/>
    </row>
    <row r="5953" spans="1:32" x14ac:dyDescent="0.25">
      <c r="A5953" s="37"/>
      <c r="B5953" s="37"/>
      <c r="C5953" s="37"/>
      <c r="F5953" s="38"/>
      <c r="G5953" s="38"/>
      <c r="H5953" s="38"/>
      <c r="I5953" s="37"/>
      <c r="J5953" s="38"/>
      <c r="K5953" s="38"/>
      <c r="L5953" s="42"/>
      <c r="M5953" s="42"/>
      <c r="N5953" s="42"/>
      <c r="O5953" s="42"/>
      <c r="R5953" s="37"/>
      <c r="S5953" s="37"/>
      <c r="T5953" s="91"/>
      <c r="U5953" s="91"/>
      <c r="V5953" s="41"/>
      <c r="W5953" s="37"/>
      <c r="X5953" s="37"/>
      <c r="Y5953" s="43"/>
      <c r="Z5953" s="37"/>
      <c r="AA5953" s="37"/>
      <c r="AD5953" s="37"/>
      <c r="AE5953" s="37"/>
      <c r="AF5953" s="37"/>
    </row>
    <row r="5954" spans="1:32" x14ac:dyDescent="0.25">
      <c r="A5954" s="37"/>
      <c r="B5954" s="37"/>
      <c r="C5954" s="37"/>
      <c r="F5954" s="38"/>
      <c r="G5954" s="38"/>
      <c r="H5954" s="38"/>
      <c r="I5954" s="37"/>
      <c r="J5954" s="38"/>
      <c r="K5954" s="38"/>
      <c r="L5954" s="42"/>
      <c r="M5954" s="42"/>
      <c r="N5954" s="42"/>
      <c r="O5954" s="42"/>
      <c r="R5954" s="37"/>
      <c r="S5954" s="37"/>
      <c r="T5954" s="91"/>
      <c r="U5954" s="91"/>
      <c r="V5954" s="41"/>
      <c r="W5954" s="37"/>
      <c r="X5954" s="37"/>
      <c r="Y5954" s="43"/>
      <c r="Z5954" s="37"/>
      <c r="AA5954" s="37"/>
      <c r="AD5954" s="37"/>
      <c r="AE5954" s="37"/>
      <c r="AF5954" s="37"/>
    </row>
    <row r="5955" spans="1:32" x14ac:dyDescent="0.25">
      <c r="A5955" s="37"/>
      <c r="B5955" s="37"/>
      <c r="C5955" s="37"/>
      <c r="F5955" s="38"/>
      <c r="G5955" s="38"/>
      <c r="H5955" s="38"/>
      <c r="I5955" s="37"/>
      <c r="J5955" s="38"/>
      <c r="K5955" s="38"/>
      <c r="L5955" s="42"/>
      <c r="M5955" s="42"/>
      <c r="N5955" s="42"/>
      <c r="O5955" s="42"/>
      <c r="R5955" s="37"/>
      <c r="S5955" s="37"/>
      <c r="T5955" s="91"/>
      <c r="U5955" s="91"/>
      <c r="V5955" s="41"/>
      <c r="W5955" s="37"/>
      <c r="X5955" s="37"/>
      <c r="Y5955" s="43"/>
      <c r="Z5955" s="37"/>
      <c r="AA5955" s="37"/>
      <c r="AD5955" s="37"/>
      <c r="AE5955" s="37"/>
      <c r="AF5955" s="37"/>
    </row>
    <row r="5956" spans="1:32" x14ac:dyDescent="0.25">
      <c r="A5956" s="37"/>
      <c r="B5956" s="37"/>
      <c r="C5956" s="37"/>
      <c r="F5956" s="38"/>
      <c r="G5956" s="38"/>
      <c r="H5956" s="38"/>
      <c r="I5956" s="37"/>
      <c r="J5956" s="38"/>
      <c r="K5956" s="38"/>
      <c r="L5956" s="42"/>
      <c r="M5956" s="42"/>
      <c r="N5956" s="42"/>
      <c r="O5956" s="42"/>
      <c r="R5956" s="37"/>
      <c r="S5956" s="37"/>
      <c r="T5956" s="91"/>
      <c r="U5956" s="91"/>
      <c r="V5956" s="41"/>
      <c r="W5956" s="37"/>
      <c r="X5956" s="37"/>
      <c r="Y5956" s="43"/>
      <c r="Z5956" s="37"/>
      <c r="AA5956" s="37"/>
      <c r="AD5956" s="37"/>
      <c r="AE5956" s="37"/>
      <c r="AF5956" s="37"/>
    </row>
    <row r="5957" spans="1:32" x14ac:dyDescent="0.25">
      <c r="A5957" s="37"/>
      <c r="B5957" s="37"/>
      <c r="C5957" s="37"/>
      <c r="F5957" s="38"/>
      <c r="G5957" s="38"/>
      <c r="H5957" s="38"/>
      <c r="I5957" s="37"/>
      <c r="J5957" s="38"/>
      <c r="K5957" s="38"/>
      <c r="L5957" s="42"/>
      <c r="M5957" s="42"/>
      <c r="N5957" s="42"/>
      <c r="O5957" s="42"/>
      <c r="R5957" s="37"/>
      <c r="S5957" s="37"/>
      <c r="T5957" s="91"/>
      <c r="U5957" s="91"/>
      <c r="V5957" s="41"/>
      <c r="W5957" s="37"/>
      <c r="X5957" s="37"/>
      <c r="Y5957" s="43"/>
      <c r="Z5957" s="37"/>
      <c r="AA5957" s="37"/>
      <c r="AD5957" s="37"/>
      <c r="AE5957" s="37"/>
      <c r="AF5957" s="37"/>
    </row>
    <row r="5958" spans="1:32" x14ac:dyDescent="0.25">
      <c r="A5958" s="37"/>
      <c r="B5958" s="37"/>
      <c r="C5958" s="37"/>
      <c r="F5958" s="38"/>
      <c r="G5958" s="38"/>
      <c r="H5958" s="38"/>
      <c r="I5958" s="37"/>
      <c r="J5958" s="38"/>
      <c r="K5958" s="38"/>
      <c r="L5958" s="42"/>
      <c r="M5958" s="42"/>
      <c r="N5958" s="42"/>
      <c r="O5958" s="42"/>
      <c r="R5958" s="37"/>
      <c r="S5958" s="37"/>
      <c r="T5958" s="91"/>
      <c r="U5958" s="91"/>
      <c r="V5958" s="41"/>
      <c r="W5958" s="37"/>
      <c r="X5958" s="37"/>
      <c r="Y5958" s="43"/>
      <c r="Z5958" s="37"/>
      <c r="AA5958" s="37"/>
      <c r="AD5958" s="37"/>
      <c r="AE5958" s="37"/>
      <c r="AF5958" s="37"/>
    </row>
    <row r="5959" spans="1:32" x14ac:dyDescent="0.25">
      <c r="A5959" s="37"/>
      <c r="B5959" s="37"/>
      <c r="C5959" s="37"/>
      <c r="F5959" s="38"/>
      <c r="G5959" s="38"/>
      <c r="H5959" s="38"/>
      <c r="I5959" s="37"/>
      <c r="J5959" s="38"/>
      <c r="K5959" s="38"/>
      <c r="L5959" s="42"/>
      <c r="M5959" s="42"/>
      <c r="N5959" s="42"/>
      <c r="O5959" s="42"/>
      <c r="R5959" s="37"/>
      <c r="S5959" s="37"/>
      <c r="T5959" s="91"/>
      <c r="U5959" s="91"/>
      <c r="V5959" s="41"/>
      <c r="W5959" s="37"/>
      <c r="X5959" s="37"/>
      <c r="Y5959" s="43"/>
      <c r="Z5959" s="37"/>
      <c r="AA5959" s="37"/>
      <c r="AD5959" s="37"/>
      <c r="AE5959" s="37"/>
      <c r="AF5959" s="37"/>
    </row>
    <row r="5960" spans="1:32" x14ac:dyDescent="0.25">
      <c r="A5960" s="37"/>
      <c r="B5960" s="37"/>
      <c r="C5960" s="37"/>
      <c r="F5960" s="38"/>
      <c r="G5960" s="38"/>
      <c r="H5960" s="38"/>
      <c r="I5960" s="37"/>
      <c r="J5960" s="38"/>
      <c r="K5960" s="38"/>
      <c r="L5960" s="42"/>
      <c r="M5960" s="42"/>
      <c r="N5960" s="42"/>
      <c r="O5960" s="42"/>
      <c r="R5960" s="37"/>
      <c r="S5960" s="37"/>
      <c r="T5960" s="91"/>
      <c r="U5960" s="91"/>
      <c r="V5960" s="41"/>
      <c r="W5960" s="37"/>
      <c r="X5960" s="37"/>
      <c r="Y5960" s="43"/>
      <c r="Z5960" s="37"/>
      <c r="AA5960" s="37"/>
      <c r="AD5960" s="37"/>
      <c r="AE5960" s="37"/>
      <c r="AF5960" s="37"/>
    </row>
    <row r="5961" spans="1:32" x14ac:dyDescent="0.25">
      <c r="A5961" s="37"/>
      <c r="B5961" s="37"/>
      <c r="C5961" s="37"/>
      <c r="F5961" s="38"/>
      <c r="G5961" s="38"/>
      <c r="H5961" s="38"/>
      <c r="I5961" s="37"/>
      <c r="J5961" s="38"/>
      <c r="K5961" s="38"/>
      <c r="L5961" s="42"/>
      <c r="M5961" s="42"/>
      <c r="N5961" s="42"/>
      <c r="O5961" s="42"/>
      <c r="R5961" s="37"/>
      <c r="S5961" s="37"/>
      <c r="T5961" s="91"/>
      <c r="U5961" s="91"/>
      <c r="V5961" s="41"/>
      <c r="W5961" s="37"/>
      <c r="X5961" s="37"/>
      <c r="Y5961" s="43"/>
      <c r="Z5961" s="37"/>
      <c r="AA5961" s="37"/>
      <c r="AD5961" s="37"/>
      <c r="AE5961" s="37"/>
      <c r="AF5961" s="37"/>
    </row>
    <row r="5962" spans="1:32" x14ac:dyDescent="0.25">
      <c r="A5962" s="37"/>
      <c r="B5962" s="37"/>
      <c r="C5962" s="37"/>
      <c r="F5962" s="38"/>
      <c r="G5962" s="38"/>
      <c r="H5962" s="38"/>
      <c r="I5962" s="37"/>
      <c r="J5962" s="38"/>
      <c r="K5962" s="38"/>
      <c r="L5962" s="42"/>
      <c r="M5962" s="42"/>
      <c r="N5962" s="42"/>
      <c r="O5962" s="42"/>
      <c r="R5962" s="37"/>
      <c r="S5962" s="37"/>
      <c r="T5962" s="91"/>
      <c r="U5962" s="91"/>
      <c r="V5962" s="41"/>
      <c r="W5962" s="37"/>
      <c r="X5962" s="37"/>
      <c r="Y5962" s="43"/>
      <c r="Z5962" s="37"/>
      <c r="AA5962" s="37"/>
      <c r="AD5962" s="37"/>
      <c r="AE5962" s="37"/>
      <c r="AF5962" s="37"/>
    </row>
    <row r="5963" spans="1:32" x14ac:dyDescent="0.25">
      <c r="A5963" s="37"/>
      <c r="B5963" s="37"/>
      <c r="C5963" s="37"/>
      <c r="F5963" s="38"/>
      <c r="G5963" s="38"/>
      <c r="H5963" s="38"/>
      <c r="I5963" s="37"/>
      <c r="J5963" s="38"/>
      <c r="K5963" s="38"/>
      <c r="L5963" s="42"/>
      <c r="M5963" s="42"/>
      <c r="N5963" s="42"/>
      <c r="O5963" s="42"/>
      <c r="R5963" s="37"/>
      <c r="S5963" s="37"/>
      <c r="T5963" s="91"/>
      <c r="U5963" s="91"/>
      <c r="V5963" s="41"/>
      <c r="W5963" s="37"/>
      <c r="X5963" s="37"/>
      <c r="Y5963" s="43"/>
      <c r="Z5963" s="37"/>
      <c r="AA5963" s="37"/>
      <c r="AD5963" s="37"/>
      <c r="AE5963" s="37"/>
      <c r="AF5963" s="37"/>
    </row>
    <row r="5964" spans="1:32" x14ac:dyDescent="0.25">
      <c r="A5964" s="37"/>
      <c r="B5964" s="37"/>
      <c r="C5964" s="37"/>
      <c r="F5964" s="38"/>
      <c r="G5964" s="38"/>
      <c r="H5964" s="38"/>
      <c r="I5964" s="37"/>
      <c r="J5964" s="38"/>
      <c r="K5964" s="38"/>
      <c r="L5964" s="42"/>
      <c r="M5964" s="42"/>
      <c r="N5964" s="42"/>
      <c r="O5964" s="42"/>
      <c r="R5964" s="37"/>
      <c r="S5964" s="37"/>
      <c r="T5964" s="91"/>
      <c r="U5964" s="91"/>
      <c r="V5964" s="41"/>
      <c r="W5964" s="37"/>
      <c r="X5964" s="37"/>
      <c r="Y5964" s="43"/>
      <c r="Z5964" s="37"/>
      <c r="AA5964" s="37"/>
      <c r="AD5964" s="37"/>
      <c r="AE5964" s="37"/>
      <c r="AF5964" s="37"/>
    </row>
    <row r="5965" spans="1:32" x14ac:dyDescent="0.25">
      <c r="A5965" s="37"/>
      <c r="B5965" s="37"/>
      <c r="C5965" s="37"/>
      <c r="F5965" s="38"/>
      <c r="G5965" s="38"/>
      <c r="H5965" s="38"/>
      <c r="I5965" s="37"/>
      <c r="J5965" s="38"/>
      <c r="K5965" s="38"/>
      <c r="L5965" s="42"/>
      <c r="M5965" s="42"/>
      <c r="N5965" s="42"/>
      <c r="O5965" s="42"/>
      <c r="R5965" s="37"/>
      <c r="S5965" s="37"/>
      <c r="T5965" s="91"/>
      <c r="U5965" s="91"/>
      <c r="V5965" s="41"/>
      <c r="W5965" s="37"/>
      <c r="X5965" s="37"/>
      <c r="Y5965" s="43"/>
      <c r="Z5965" s="37"/>
      <c r="AA5965" s="37"/>
      <c r="AD5965" s="37"/>
      <c r="AE5965" s="37"/>
      <c r="AF5965" s="37"/>
    </row>
    <row r="5966" spans="1:32" x14ac:dyDescent="0.25">
      <c r="A5966" s="37"/>
      <c r="B5966" s="37"/>
      <c r="C5966" s="37"/>
      <c r="F5966" s="38"/>
      <c r="G5966" s="38"/>
      <c r="H5966" s="38"/>
      <c r="I5966" s="37"/>
      <c r="J5966" s="38"/>
      <c r="K5966" s="38"/>
      <c r="L5966" s="42"/>
      <c r="M5966" s="42"/>
      <c r="N5966" s="42"/>
      <c r="O5966" s="42"/>
      <c r="R5966" s="37"/>
      <c r="S5966" s="37"/>
      <c r="T5966" s="91"/>
      <c r="U5966" s="91"/>
      <c r="V5966" s="41"/>
      <c r="W5966" s="37"/>
      <c r="X5966" s="37"/>
      <c r="Y5966" s="43"/>
      <c r="Z5966" s="37"/>
      <c r="AA5966" s="37"/>
      <c r="AD5966" s="37"/>
      <c r="AE5966" s="37"/>
      <c r="AF5966" s="37"/>
    </row>
    <row r="5967" spans="1:32" x14ac:dyDescent="0.25">
      <c r="A5967" s="37"/>
      <c r="B5967" s="37"/>
      <c r="C5967" s="37"/>
      <c r="F5967" s="38"/>
      <c r="G5967" s="38"/>
      <c r="H5967" s="38"/>
      <c r="I5967" s="37"/>
      <c r="J5967" s="38"/>
      <c r="K5967" s="38"/>
      <c r="L5967" s="42"/>
      <c r="M5967" s="42"/>
      <c r="N5967" s="42"/>
      <c r="O5967" s="42"/>
      <c r="R5967" s="37"/>
      <c r="S5967" s="37"/>
      <c r="T5967" s="91"/>
      <c r="U5967" s="91"/>
      <c r="V5967" s="41"/>
      <c r="W5967" s="37"/>
      <c r="X5967" s="37"/>
      <c r="Y5967" s="43"/>
      <c r="Z5967" s="37"/>
      <c r="AA5967" s="37"/>
      <c r="AD5967" s="37"/>
      <c r="AE5967" s="37"/>
      <c r="AF5967" s="37"/>
    </row>
    <row r="5968" spans="1:32" x14ac:dyDescent="0.25">
      <c r="A5968" s="37"/>
      <c r="B5968" s="37"/>
      <c r="C5968" s="37"/>
      <c r="F5968" s="38"/>
      <c r="G5968" s="38"/>
      <c r="H5968" s="38"/>
      <c r="I5968" s="37"/>
      <c r="J5968" s="38"/>
      <c r="K5968" s="38"/>
      <c r="L5968" s="42"/>
      <c r="M5968" s="42"/>
      <c r="N5968" s="42"/>
      <c r="O5968" s="42"/>
      <c r="R5968" s="37"/>
      <c r="S5968" s="37"/>
      <c r="T5968" s="91"/>
      <c r="U5968" s="91"/>
      <c r="V5968" s="41"/>
      <c r="W5968" s="37"/>
      <c r="X5968" s="37"/>
      <c r="Y5968" s="43"/>
      <c r="Z5968" s="37"/>
      <c r="AA5968" s="37"/>
      <c r="AD5968" s="37"/>
      <c r="AE5968" s="37"/>
      <c r="AF5968" s="37"/>
    </row>
    <row r="5969" spans="1:32" x14ac:dyDescent="0.25">
      <c r="A5969" s="37"/>
      <c r="B5969" s="37"/>
      <c r="C5969" s="37"/>
      <c r="F5969" s="38"/>
      <c r="G5969" s="38"/>
      <c r="H5969" s="38"/>
      <c r="I5969" s="37"/>
      <c r="J5969" s="38"/>
      <c r="K5969" s="38"/>
      <c r="L5969" s="42"/>
      <c r="M5969" s="42"/>
      <c r="N5969" s="42"/>
      <c r="O5969" s="42"/>
      <c r="R5969" s="37"/>
      <c r="S5969" s="37"/>
      <c r="T5969" s="91"/>
      <c r="U5969" s="91"/>
      <c r="V5969" s="41"/>
      <c r="W5969" s="37"/>
      <c r="X5969" s="37"/>
      <c r="Y5969" s="43"/>
      <c r="Z5969" s="37"/>
      <c r="AA5969" s="37"/>
      <c r="AD5969" s="37"/>
      <c r="AE5969" s="37"/>
      <c r="AF5969" s="37"/>
    </row>
    <row r="5970" spans="1:32" x14ac:dyDescent="0.25">
      <c r="A5970" s="37"/>
      <c r="B5970" s="37"/>
      <c r="C5970" s="37"/>
      <c r="F5970" s="38"/>
      <c r="G5970" s="38"/>
      <c r="H5970" s="38"/>
      <c r="I5970" s="37"/>
      <c r="J5970" s="38"/>
      <c r="K5970" s="38"/>
      <c r="L5970" s="42"/>
      <c r="M5970" s="42"/>
      <c r="N5970" s="42"/>
      <c r="O5970" s="42"/>
      <c r="R5970" s="37"/>
      <c r="S5970" s="37"/>
      <c r="T5970" s="91"/>
      <c r="U5970" s="91"/>
      <c r="V5970" s="41"/>
      <c r="W5970" s="37"/>
      <c r="X5970" s="37"/>
      <c r="Y5970" s="43"/>
      <c r="Z5970" s="37"/>
      <c r="AA5970" s="37"/>
      <c r="AD5970" s="37"/>
      <c r="AE5970" s="37"/>
      <c r="AF5970" s="37"/>
    </row>
    <row r="5971" spans="1:32" x14ac:dyDescent="0.25">
      <c r="A5971" s="37"/>
      <c r="B5971" s="37"/>
      <c r="C5971" s="37"/>
      <c r="F5971" s="38"/>
      <c r="G5971" s="38"/>
      <c r="H5971" s="38"/>
      <c r="I5971" s="37"/>
      <c r="J5971" s="38"/>
      <c r="K5971" s="38"/>
      <c r="L5971" s="42"/>
      <c r="M5971" s="42"/>
      <c r="N5971" s="42"/>
      <c r="O5971" s="42"/>
      <c r="R5971" s="37"/>
      <c r="S5971" s="37"/>
      <c r="T5971" s="91"/>
      <c r="U5971" s="91"/>
      <c r="V5971" s="41"/>
      <c r="W5971" s="37"/>
      <c r="X5971" s="37"/>
      <c r="Y5971" s="43"/>
      <c r="Z5971" s="37"/>
      <c r="AA5971" s="37"/>
      <c r="AD5971" s="37"/>
      <c r="AE5971" s="37"/>
      <c r="AF5971" s="37"/>
    </row>
    <row r="5972" spans="1:32" x14ac:dyDescent="0.25">
      <c r="A5972" s="37"/>
      <c r="B5972" s="37"/>
      <c r="C5972" s="37"/>
      <c r="F5972" s="38"/>
      <c r="G5972" s="38"/>
      <c r="H5972" s="38"/>
      <c r="I5972" s="37"/>
      <c r="J5972" s="38"/>
      <c r="K5972" s="38"/>
      <c r="L5972" s="42"/>
      <c r="M5972" s="42"/>
      <c r="N5972" s="42"/>
      <c r="O5972" s="42"/>
      <c r="R5972" s="37"/>
      <c r="S5972" s="37"/>
      <c r="T5972" s="91"/>
      <c r="U5972" s="91"/>
      <c r="V5972" s="41"/>
      <c r="W5972" s="37"/>
      <c r="X5972" s="37"/>
      <c r="Y5972" s="43"/>
      <c r="Z5972" s="37"/>
      <c r="AA5972" s="37"/>
      <c r="AD5972" s="37"/>
      <c r="AE5972" s="37"/>
      <c r="AF5972" s="37"/>
    </row>
    <row r="5973" spans="1:32" x14ac:dyDescent="0.25">
      <c r="A5973" s="37"/>
      <c r="B5973" s="37"/>
      <c r="C5973" s="37"/>
      <c r="F5973" s="38"/>
      <c r="G5973" s="38"/>
      <c r="H5973" s="38"/>
      <c r="I5973" s="37"/>
      <c r="J5973" s="38"/>
      <c r="K5973" s="38"/>
      <c r="L5973" s="42"/>
      <c r="M5973" s="42"/>
      <c r="N5973" s="42"/>
      <c r="O5973" s="42"/>
      <c r="R5973" s="37"/>
      <c r="S5973" s="37"/>
      <c r="T5973" s="91"/>
      <c r="U5973" s="91"/>
      <c r="V5973" s="41"/>
      <c r="W5973" s="37"/>
      <c r="X5973" s="37"/>
      <c r="Y5973" s="43"/>
      <c r="Z5973" s="37"/>
      <c r="AA5973" s="37"/>
      <c r="AD5973" s="37"/>
      <c r="AE5973" s="37"/>
      <c r="AF5973" s="37"/>
    </row>
    <row r="5974" spans="1:32" x14ac:dyDescent="0.25">
      <c r="A5974" s="37"/>
      <c r="B5974" s="37"/>
      <c r="C5974" s="37"/>
      <c r="F5974" s="38"/>
      <c r="G5974" s="38"/>
      <c r="H5974" s="38"/>
      <c r="I5974" s="37"/>
      <c r="J5974" s="38"/>
      <c r="K5974" s="38"/>
      <c r="L5974" s="42"/>
      <c r="M5974" s="42"/>
      <c r="N5974" s="42"/>
      <c r="O5974" s="42"/>
      <c r="R5974" s="37"/>
      <c r="S5974" s="37"/>
      <c r="T5974" s="91"/>
      <c r="U5974" s="91"/>
      <c r="V5974" s="41"/>
      <c r="W5974" s="37"/>
      <c r="X5974" s="37"/>
      <c r="Y5974" s="43"/>
      <c r="Z5974" s="37"/>
      <c r="AA5974" s="37"/>
      <c r="AD5974" s="37"/>
      <c r="AE5974" s="37"/>
      <c r="AF5974" s="37"/>
    </row>
    <row r="5975" spans="1:32" x14ac:dyDescent="0.25">
      <c r="A5975" s="37"/>
      <c r="B5975" s="37"/>
      <c r="C5975" s="37"/>
      <c r="F5975" s="38"/>
      <c r="G5975" s="38"/>
      <c r="H5975" s="38"/>
      <c r="I5975" s="37"/>
      <c r="J5975" s="38"/>
      <c r="K5975" s="38"/>
      <c r="L5975" s="42"/>
      <c r="M5975" s="42"/>
      <c r="N5975" s="42"/>
      <c r="O5975" s="42"/>
      <c r="R5975" s="37"/>
      <c r="S5975" s="37"/>
      <c r="T5975" s="91"/>
      <c r="U5975" s="91"/>
      <c r="V5975" s="41"/>
      <c r="W5975" s="37"/>
      <c r="X5975" s="37"/>
      <c r="Y5975" s="43"/>
      <c r="Z5975" s="37"/>
      <c r="AA5975" s="37"/>
      <c r="AD5975" s="37"/>
      <c r="AE5975" s="37"/>
      <c r="AF5975" s="37"/>
    </row>
    <row r="5976" spans="1:32" x14ac:dyDescent="0.25">
      <c r="A5976" s="37"/>
      <c r="B5976" s="37"/>
      <c r="C5976" s="37"/>
      <c r="F5976" s="38"/>
      <c r="G5976" s="38"/>
      <c r="H5976" s="38"/>
      <c r="I5976" s="37"/>
      <c r="J5976" s="38"/>
      <c r="K5976" s="38"/>
      <c r="L5976" s="42"/>
      <c r="M5976" s="42"/>
      <c r="N5976" s="42"/>
      <c r="O5976" s="42"/>
      <c r="R5976" s="37"/>
      <c r="S5976" s="37"/>
      <c r="T5976" s="91"/>
      <c r="U5976" s="91"/>
      <c r="V5976" s="41"/>
      <c r="W5976" s="37"/>
      <c r="X5976" s="37"/>
      <c r="Y5976" s="43"/>
      <c r="Z5976" s="37"/>
      <c r="AA5976" s="37"/>
      <c r="AD5976" s="37"/>
      <c r="AE5976" s="37"/>
      <c r="AF5976" s="37"/>
    </row>
    <row r="5977" spans="1:32" x14ac:dyDescent="0.25">
      <c r="A5977" s="37"/>
      <c r="B5977" s="37"/>
      <c r="C5977" s="37"/>
      <c r="F5977" s="38"/>
      <c r="G5977" s="38"/>
      <c r="H5977" s="38"/>
      <c r="I5977" s="37"/>
      <c r="J5977" s="38"/>
      <c r="K5977" s="38"/>
      <c r="L5977" s="42"/>
      <c r="M5977" s="42"/>
      <c r="N5977" s="42"/>
      <c r="O5977" s="42"/>
      <c r="R5977" s="37"/>
      <c r="S5977" s="37"/>
      <c r="T5977" s="91"/>
      <c r="U5977" s="91"/>
      <c r="V5977" s="41"/>
      <c r="W5977" s="37"/>
      <c r="X5977" s="37"/>
      <c r="Y5977" s="43"/>
      <c r="Z5977" s="37"/>
      <c r="AA5977" s="37"/>
      <c r="AD5977" s="37"/>
      <c r="AE5977" s="37"/>
      <c r="AF5977" s="37"/>
    </row>
    <row r="5978" spans="1:32" x14ac:dyDescent="0.25">
      <c r="A5978" s="37"/>
      <c r="B5978" s="37"/>
      <c r="C5978" s="37"/>
      <c r="F5978" s="38"/>
      <c r="G5978" s="38"/>
      <c r="H5978" s="38"/>
      <c r="I5978" s="37"/>
      <c r="J5978" s="38"/>
      <c r="K5978" s="38"/>
      <c r="L5978" s="42"/>
      <c r="M5978" s="42"/>
      <c r="N5978" s="42"/>
      <c r="O5978" s="42"/>
      <c r="R5978" s="37"/>
      <c r="S5978" s="37"/>
      <c r="T5978" s="91"/>
      <c r="U5978" s="91"/>
      <c r="V5978" s="41"/>
      <c r="W5978" s="37"/>
      <c r="X5978" s="37"/>
      <c r="Y5978" s="43"/>
      <c r="Z5978" s="37"/>
      <c r="AA5978" s="37"/>
      <c r="AD5978" s="37"/>
      <c r="AE5978" s="37"/>
      <c r="AF5978" s="37"/>
    </row>
    <row r="5979" spans="1:32" x14ac:dyDescent="0.25">
      <c r="A5979" s="37"/>
      <c r="B5979" s="37"/>
      <c r="C5979" s="37"/>
      <c r="F5979" s="38"/>
      <c r="G5979" s="38"/>
      <c r="H5979" s="38"/>
      <c r="I5979" s="37"/>
      <c r="J5979" s="38"/>
      <c r="K5979" s="38"/>
      <c r="L5979" s="42"/>
      <c r="M5979" s="42"/>
      <c r="N5979" s="42"/>
      <c r="O5979" s="42"/>
      <c r="R5979" s="37"/>
      <c r="S5979" s="37"/>
      <c r="T5979" s="91"/>
      <c r="U5979" s="91"/>
      <c r="V5979" s="41"/>
      <c r="W5979" s="37"/>
      <c r="X5979" s="37"/>
      <c r="Y5979" s="43"/>
      <c r="Z5979" s="37"/>
      <c r="AA5979" s="37"/>
      <c r="AD5979" s="37"/>
      <c r="AE5979" s="37"/>
      <c r="AF5979" s="37"/>
    </row>
    <row r="5980" spans="1:32" x14ac:dyDescent="0.25">
      <c r="A5980" s="37"/>
      <c r="B5980" s="37"/>
      <c r="C5980" s="37"/>
      <c r="F5980" s="38"/>
      <c r="G5980" s="38"/>
      <c r="H5980" s="38"/>
      <c r="I5980" s="37"/>
      <c r="J5980" s="38"/>
      <c r="K5980" s="38"/>
      <c r="L5980" s="42"/>
      <c r="M5980" s="42"/>
      <c r="N5980" s="42"/>
      <c r="O5980" s="42"/>
      <c r="R5980" s="37"/>
      <c r="S5980" s="37"/>
      <c r="T5980" s="91"/>
      <c r="U5980" s="91"/>
      <c r="V5980" s="41"/>
      <c r="W5980" s="37"/>
      <c r="X5980" s="37"/>
      <c r="Y5980" s="43"/>
      <c r="Z5980" s="37"/>
      <c r="AA5980" s="37"/>
      <c r="AD5980" s="37"/>
      <c r="AE5980" s="37"/>
      <c r="AF5980" s="37"/>
    </row>
    <row r="5981" spans="1:32" x14ac:dyDescent="0.25">
      <c r="A5981" s="37"/>
      <c r="B5981" s="37"/>
      <c r="C5981" s="37"/>
      <c r="F5981" s="38"/>
      <c r="G5981" s="38"/>
      <c r="H5981" s="38"/>
      <c r="I5981" s="37"/>
      <c r="J5981" s="38"/>
      <c r="K5981" s="38"/>
      <c r="L5981" s="42"/>
      <c r="M5981" s="42"/>
      <c r="N5981" s="42"/>
      <c r="O5981" s="42"/>
      <c r="R5981" s="37"/>
      <c r="S5981" s="37"/>
      <c r="T5981" s="91"/>
      <c r="U5981" s="91"/>
      <c r="V5981" s="41"/>
      <c r="W5981" s="37"/>
      <c r="X5981" s="37"/>
      <c r="Y5981" s="43"/>
      <c r="Z5981" s="37"/>
      <c r="AA5981" s="37"/>
      <c r="AD5981" s="37"/>
      <c r="AE5981" s="37"/>
      <c r="AF5981" s="37"/>
    </row>
    <row r="5982" spans="1:32" x14ac:dyDescent="0.25">
      <c r="A5982" s="37"/>
      <c r="B5982" s="37"/>
      <c r="C5982" s="37"/>
      <c r="F5982" s="38"/>
      <c r="G5982" s="38"/>
      <c r="H5982" s="38"/>
      <c r="I5982" s="37"/>
      <c r="J5982" s="38"/>
      <c r="K5982" s="38"/>
      <c r="L5982" s="42"/>
      <c r="M5982" s="42"/>
      <c r="N5982" s="42"/>
      <c r="O5982" s="42"/>
      <c r="R5982" s="37"/>
      <c r="S5982" s="37"/>
      <c r="T5982" s="91"/>
      <c r="U5982" s="91"/>
      <c r="V5982" s="41"/>
      <c r="W5982" s="37"/>
      <c r="X5982" s="37"/>
      <c r="Y5982" s="43"/>
      <c r="Z5982" s="37"/>
      <c r="AA5982" s="37"/>
      <c r="AD5982" s="37"/>
      <c r="AE5982" s="37"/>
      <c r="AF5982" s="37"/>
    </row>
    <row r="5983" spans="1:32" x14ac:dyDescent="0.25">
      <c r="A5983" s="37"/>
      <c r="B5983" s="37"/>
      <c r="C5983" s="37"/>
      <c r="F5983" s="38"/>
      <c r="G5983" s="38"/>
      <c r="H5983" s="38"/>
      <c r="I5983" s="37"/>
      <c r="J5983" s="38"/>
      <c r="K5983" s="38"/>
      <c r="L5983" s="42"/>
      <c r="M5983" s="42"/>
      <c r="N5983" s="42"/>
      <c r="O5983" s="42"/>
      <c r="R5983" s="37"/>
      <c r="S5983" s="37"/>
      <c r="T5983" s="91"/>
      <c r="U5983" s="91"/>
      <c r="V5983" s="41"/>
      <c r="W5983" s="37"/>
      <c r="X5983" s="37"/>
      <c r="Y5983" s="43"/>
      <c r="Z5983" s="37"/>
      <c r="AA5983" s="37"/>
      <c r="AD5983" s="37"/>
      <c r="AE5983" s="37"/>
      <c r="AF5983" s="37"/>
    </row>
    <row r="5984" spans="1:32" x14ac:dyDescent="0.25">
      <c r="A5984" s="37"/>
      <c r="B5984" s="37"/>
      <c r="C5984" s="37"/>
      <c r="F5984" s="38"/>
      <c r="G5984" s="38"/>
      <c r="H5984" s="38"/>
      <c r="I5984" s="37"/>
      <c r="J5984" s="38"/>
      <c r="K5984" s="38"/>
      <c r="L5984" s="42"/>
      <c r="M5984" s="42"/>
      <c r="N5984" s="42"/>
      <c r="O5984" s="42"/>
      <c r="R5984" s="37"/>
      <c r="S5984" s="37"/>
      <c r="T5984" s="91"/>
      <c r="U5984" s="91"/>
      <c r="V5984" s="41"/>
      <c r="W5984" s="37"/>
      <c r="X5984" s="37"/>
      <c r="Y5984" s="43"/>
      <c r="Z5984" s="37"/>
      <c r="AA5984" s="37"/>
      <c r="AD5984" s="37"/>
      <c r="AE5984" s="37"/>
      <c r="AF5984" s="37"/>
    </row>
    <row r="5985" spans="1:32" x14ac:dyDescent="0.25">
      <c r="A5985" s="37"/>
      <c r="B5985" s="37"/>
      <c r="C5985" s="37"/>
      <c r="F5985" s="38"/>
      <c r="G5985" s="38"/>
      <c r="H5985" s="38"/>
      <c r="I5985" s="37"/>
      <c r="J5985" s="38"/>
      <c r="K5985" s="38"/>
      <c r="L5985" s="42"/>
      <c r="M5985" s="42"/>
      <c r="N5985" s="42"/>
      <c r="O5985" s="42"/>
      <c r="R5985" s="37"/>
      <c r="S5985" s="37"/>
      <c r="T5985" s="91"/>
      <c r="U5985" s="91"/>
      <c r="V5985" s="41"/>
      <c r="W5985" s="37"/>
      <c r="X5985" s="37"/>
      <c r="Y5985" s="43"/>
      <c r="Z5985" s="37"/>
      <c r="AA5985" s="37"/>
      <c r="AD5985" s="37"/>
      <c r="AE5985" s="37"/>
      <c r="AF5985" s="37"/>
    </row>
    <row r="5986" spans="1:32" x14ac:dyDescent="0.25">
      <c r="A5986" s="37"/>
      <c r="B5986" s="37"/>
      <c r="C5986" s="37"/>
      <c r="F5986" s="38"/>
      <c r="G5986" s="38"/>
      <c r="H5986" s="38"/>
      <c r="I5986" s="37"/>
      <c r="J5986" s="38"/>
      <c r="K5986" s="38"/>
      <c r="L5986" s="42"/>
      <c r="M5986" s="42"/>
      <c r="N5986" s="42"/>
      <c r="O5986" s="42"/>
      <c r="R5986" s="37"/>
      <c r="S5986" s="37"/>
      <c r="T5986" s="91"/>
      <c r="U5986" s="91"/>
      <c r="V5986" s="41"/>
      <c r="W5986" s="37"/>
      <c r="X5986" s="37"/>
      <c r="Y5986" s="43"/>
      <c r="Z5986" s="37"/>
      <c r="AA5986" s="37"/>
      <c r="AD5986" s="37"/>
      <c r="AE5986" s="37"/>
      <c r="AF5986" s="37"/>
    </row>
    <row r="5987" spans="1:32" x14ac:dyDescent="0.25">
      <c r="A5987" s="37"/>
      <c r="B5987" s="37"/>
      <c r="C5987" s="37"/>
      <c r="F5987" s="38"/>
      <c r="G5987" s="38"/>
      <c r="H5987" s="38"/>
      <c r="I5987" s="37"/>
      <c r="J5987" s="38"/>
      <c r="K5987" s="38"/>
      <c r="L5987" s="42"/>
      <c r="M5987" s="42"/>
      <c r="N5987" s="42"/>
      <c r="O5987" s="42"/>
      <c r="R5987" s="37"/>
      <c r="S5987" s="37"/>
      <c r="T5987" s="91"/>
      <c r="U5987" s="91"/>
      <c r="V5987" s="41"/>
      <c r="W5987" s="37"/>
      <c r="X5987" s="37"/>
      <c r="Y5987" s="43"/>
      <c r="Z5987" s="37"/>
      <c r="AA5987" s="37"/>
      <c r="AD5987" s="37"/>
      <c r="AE5987" s="37"/>
      <c r="AF5987" s="37"/>
    </row>
    <row r="5988" spans="1:32" x14ac:dyDescent="0.25">
      <c r="A5988" s="37"/>
      <c r="B5988" s="37"/>
      <c r="C5988" s="37"/>
      <c r="F5988" s="38"/>
      <c r="G5988" s="38"/>
      <c r="H5988" s="38"/>
      <c r="I5988" s="37"/>
      <c r="J5988" s="38"/>
      <c r="K5988" s="38"/>
      <c r="L5988" s="42"/>
      <c r="M5988" s="42"/>
      <c r="N5988" s="42"/>
      <c r="O5988" s="42"/>
      <c r="R5988" s="37"/>
      <c r="S5988" s="37"/>
      <c r="T5988" s="91"/>
      <c r="U5988" s="91"/>
      <c r="V5988" s="41"/>
      <c r="W5988" s="37"/>
      <c r="X5988" s="37"/>
      <c r="Y5988" s="43"/>
      <c r="Z5988" s="37"/>
      <c r="AA5988" s="37"/>
      <c r="AD5988" s="37"/>
      <c r="AE5988" s="37"/>
      <c r="AF5988" s="37"/>
    </row>
    <row r="5989" spans="1:32" x14ac:dyDescent="0.25">
      <c r="A5989" s="37"/>
      <c r="B5989" s="37"/>
      <c r="C5989" s="37"/>
      <c r="F5989" s="38"/>
      <c r="G5989" s="38"/>
      <c r="H5989" s="38"/>
      <c r="I5989" s="37"/>
      <c r="J5989" s="38"/>
      <c r="K5989" s="38"/>
      <c r="L5989" s="42"/>
      <c r="M5989" s="42"/>
      <c r="N5989" s="42"/>
      <c r="O5989" s="42"/>
      <c r="R5989" s="37"/>
      <c r="S5989" s="37"/>
      <c r="T5989" s="91"/>
      <c r="U5989" s="91"/>
      <c r="V5989" s="41"/>
      <c r="W5989" s="37"/>
      <c r="X5989" s="37"/>
      <c r="Y5989" s="43"/>
      <c r="Z5989" s="37"/>
      <c r="AA5989" s="37"/>
      <c r="AD5989" s="37"/>
      <c r="AE5989" s="37"/>
      <c r="AF5989" s="37"/>
    </row>
    <row r="5990" spans="1:32" x14ac:dyDescent="0.25">
      <c r="A5990" s="37"/>
      <c r="B5990" s="37"/>
      <c r="C5990" s="37"/>
      <c r="F5990" s="38"/>
      <c r="G5990" s="38"/>
      <c r="H5990" s="38"/>
      <c r="I5990" s="37"/>
      <c r="J5990" s="38"/>
      <c r="K5990" s="38"/>
      <c r="L5990" s="42"/>
      <c r="M5990" s="42"/>
      <c r="N5990" s="42"/>
      <c r="O5990" s="42"/>
      <c r="R5990" s="37"/>
      <c r="S5990" s="37"/>
      <c r="T5990" s="91"/>
      <c r="U5990" s="91"/>
      <c r="V5990" s="41"/>
      <c r="W5990" s="37"/>
      <c r="X5990" s="37"/>
      <c r="Y5990" s="43"/>
      <c r="Z5990" s="37"/>
      <c r="AA5990" s="37"/>
      <c r="AD5990" s="37"/>
      <c r="AE5990" s="37"/>
      <c r="AF5990" s="37"/>
    </row>
    <row r="5991" spans="1:32" x14ac:dyDescent="0.25">
      <c r="A5991" s="37"/>
      <c r="B5991" s="37"/>
      <c r="C5991" s="37"/>
      <c r="F5991" s="38"/>
      <c r="G5991" s="38"/>
      <c r="H5991" s="38"/>
      <c r="I5991" s="37"/>
      <c r="J5991" s="38"/>
      <c r="K5991" s="38"/>
      <c r="L5991" s="42"/>
      <c r="M5991" s="42"/>
      <c r="N5991" s="42"/>
      <c r="O5991" s="42"/>
      <c r="R5991" s="37"/>
      <c r="S5991" s="37"/>
      <c r="T5991" s="91"/>
      <c r="U5991" s="91"/>
      <c r="V5991" s="41"/>
      <c r="W5991" s="37"/>
      <c r="X5991" s="37"/>
      <c r="Y5991" s="43"/>
      <c r="Z5991" s="37"/>
      <c r="AA5991" s="37"/>
      <c r="AD5991" s="37"/>
      <c r="AE5991" s="37"/>
      <c r="AF5991" s="37"/>
    </row>
    <row r="5992" spans="1:32" x14ac:dyDescent="0.25">
      <c r="A5992" s="37"/>
      <c r="B5992" s="37"/>
      <c r="C5992" s="37"/>
      <c r="F5992" s="38"/>
      <c r="G5992" s="38"/>
      <c r="H5992" s="38"/>
      <c r="I5992" s="37"/>
      <c r="J5992" s="38"/>
      <c r="K5992" s="38"/>
      <c r="L5992" s="42"/>
      <c r="M5992" s="42"/>
      <c r="N5992" s="42"/>
      <c r="O5992" s="42"/>
      <c r="R5992" s="37"/>
      <c r="S5992" s="37"/>
      <c r="T5992" s="91"/>
      <c r="U5992" s="91"/>
      <c r="V5992" s="41"/>
      <c r="W5992" s="37"/>
      <c r="X5992" s="37"/>
      <c r="Y5992" s="43"/>
      <c r="Z5992" s="37"/>
      <c r="AA5992" s="37"/>
      <c r="AD5992" s="37"/>
      <c r="AE5992" s="37"/>
      <c r="AF5992" s="37"/>
    </row>
    <row r="5993" spans="1:32" x14ac:dyDescent="0.25">
      <c r="A5993" s="37"/>
      <c r="B5993" s="37"/>
      <c r="C5993" s="37"/>
      <c r="F5993" s="38"/>
      <c r="G5993" s="38"/>
      <c r="H5993" s="38"/>
      <c r="I5993" s="37"/>
      <c r="J5993" s="38"/>
      <c r="K5993" s="38"/>
      <c r="L5993" s="42"/>
      <c r="M5993" s="42"/>
      <c r="N5993" s="42"/>
      <c r="O5993" s="42"/>
      <c r="R5993" s="37"/>
      <c r="S5993" s="37"/>
      <c r="T5993" s="91"/>
      <c r="U5993" s="91"/>
      <c r="V5993" s="41"/>
      <c r="W5993" s="37"/>
      <c r="X5993" s="37"/>
      <c r="Y5993" s="43"/>
      <c r="Z5993" s="37"/>
      <c r="AA5993" s="37"/>
      <c r="AD5993" s="37"/>
      <c r="AE5993" s="37"/>
      <c r="AF5993" s="37"/>
    </row>
    <row r="5994" spans="1:32" x14ac:dyDescent="0.25">
      <c r="A5994" s="37"/>
      <c r="B5994" s="37"/>
      <c r="C5994" s="37"/>
      <c r="F5994" s="38"/>
      <c r="G5994" s="38"/>
      <c r="H5994" s="38"/>
      <c r="I5994" s="37"/>
      <c r="J5994" s="38"/>
      <c r="K5994" s="38"/>
      <c r="L5994" s="42"/>
      <c r="M5994" s="42"/>
      <c r="N5994" s="42"/>
      <c r="O5994" s="42"/>
      <c r="R5994" s="37"/>
      <c r="S5994" s="37"/>
      <c r="T5994" s="91"/>
      <c r="U5994" s="91"/>
      <c r="V5994" s="41"/>
      <c r="W5994" s="37"/>
      <c r="X5994" s="37"/>
      <c r="Y5994" s="43"/>
      <c r="Z5994" s="37"/>
      <c r="AA5994" s="37"/>
      <c r="AD5994" s="37"/>
      <c r="AE5994" s="37"/>
      <c r="AF5994" s="37"/>
    </row>
    <row r="5995" spans="1:32" x14ac:dyDescent="0.25">
      <c r="A5995" s="37"/>
      <c r="B5995" s="37"/>
      <c r="C5995" s="37"/>
      <c r="F5995" s="38"/>
      <c r="G5995" s="38"/>
      <c r="H5995" s="38"/>
      <c r="I5995" s="37"/>
      <c r="J5995" s="38"/>
      <c r="K5995" s="38"/>
      <c r="L5995" s="42"/>
      <c r="M5995" s="42"/>
      <c r="N5995" s="42"/>
      <c r="O5995" s="42"/>
      <c r="R5995" s="37"/>
      <c r="S5995" s="37"/>
      <c r="T5995" s="91"/>
      <c r="U5995" s="91"/>
      <c r="V5995" s="41"/>
      <c r="W5995" s="37"/>
      <c r="X5995" s="37"/>
      <c r="Y5995" s="43"/>
      <c r="Z5995" s="37"/>
      <c r="AA5995" s="37"/>
      <c r="AD5995" s="37"/>
      <c r="AE5995" s="37"/>
      <c r="AF5995" s="37"/>
    </row>
    <row r="5996" spans="1:32" x14ac:dyDescent="0.25">
      <c r="A5996" s="37"/>
      <c r="B5996" s="37"/>
      <c r="C5996" s="37"/>
      <c r="F5996" s="38"/>
      <c r="G5996" s="38"/>
      <c r="H5996" s="38"/>
      <c r="I5996" s="37"/>
      <c r="J5996" s="38"/>
      <c r="K5996" s="38"/>
      <c r="L5996" s="42"/>
      <c r="M5996" s="42"/>
      <c r="N5996" s="42"/>
      <c r="O5996" s="42"/>
      <c r="R5996" s="37"/>
      <c r="S5996" s="37"/>
      <c r="T5996" s="91"/>
      <c r="U5996" s="91"/>
      <c r="V5996" s="41"/>
      <c r="W5996" s="37"/>
      <c r="X5996" s="37"/>
      <c r="Y5996" s="43"/>
      <c r="Z5996" s="37"/>
      <c r="AA5996" s="37"/>
      <c r="AD5996" s="37"/>
      <c r="AE5996" s="37"/>
      <c r="AF5996" s="37"/>
    </row>
    <row r="5997" spans="1:32" x14ac:dyDescent="0.25">
      <c r="A5997" s="37"/>
      <c r="B5997" s="37"/>
      <c r="C5997" s="37"/>
      <c r="F5997" s="38"/>
      <c r="G5997" s="38"/>
      <c r="H5997" s="38"/>
      <c r="I5997" s="37"/>
      <c r="J5997" s="38"/>
      <c r="K5997" s="38"/>
      <c r="L5997" s="42"/>
      <c r="M5997" s="42"/>
      <c r="N5997" s="42"/>
      <c r="O5997" s="42"/>
      <c r="R5997" s="37"/>
      <c r="S5997" s="37"/>
      <c r="T5997" s="91"/>
      <c r="U5997" s="91"/>
      <c r="V5997" s="41"/>
      <c r="W5997" s="37"/>
      <c r="X5997" s="37"/>
      <c r="Y5997" s="43"/>
      <c r="Z5997" s="37"/>
      <c r="AA5997" s="37"/>
      <c r="AD5997" s="37"/>
      <c r="AE5997" s="37"/>
      <c r="AF5997" s="37"/>
    </row>
    <row r="5998" spans="1:32" x14ac:dyDescent="0.25">
      <c r="A5998" s="37"/>
      <c r="B5998" s="37"/>
      <c r="C5998" s="37"/>
      <c r="F5998" s="38"/>
      <c r="G5998" s="38"/>
      <c r="H5998" s="38"/>
      <c r="I5998" s="37"/>
      <c r="J5998" s="38"/>
      <c r="K5998" s="38"/>
      <c r="L5998" s="42"/>
      <c r="M5998" s="42"/>
      <c r="N5998" s="42"/>
      <c r="O5998" s="42"/>
      <c r="R5998" s="37"/>
      <c r="S5998" s="37"/>
      <c r="T5998" s="91"/>
      <c r="U5998" s="91"/>
      <c r="V5998" s="41"/>
      <c r="W5998" s="37"/>
      <c r="X5998" s="37"/>
      <c r="Y5998" s="43"/>
      <c r="Z5998" s="37"/>
      <c r="AA5998" s="37"/>
      <c r="AD5998" s="37"/>
      <c r="AE5998" s="37"/>
      <c r="AF5998" s="37"/>
    </row>
    <row r="5999" spans="1:32" x14ac:dyDescent="0.25">
      <c r="A5999" s="37"/>
      <c r="B5999" s="37"/>
      <c r="C5999" s="37"/>
      <c r="F5999" s="38"/>
      <c r="G5999" s="38"/>
      <c r="H5999" s="38"/>
      <c r="I5999" s="37"/>
      <c r="J5999" s="38"/>
      <c r="K5999" s="38"/>
      <c r="L5999" s="42"/>
      <c r="M5999" s="42"/>
      <c r="N5999" s="42"/>
      <c r="O5999" s="42"/>
      <c r="R5999" s="37"/>
      <c r="S5999" s="37"/>
      <c r="T5999" s="91"/>
      <c r="U5999" s="91"/>
      <c r="V5999" s="41"/>
      <c r="W5999" s="37"/>
      <c r="X5999" s="37"/>
      <c r="Y5999" s="43"/>
      <c r="Z5999" s="37"/>
      <c r="AA5999" s="37"/>
      <c r="AD5999" s="37"/>
      <c r="AE5999" s="37"/>
      <c r="AF5999" s="37"/>
    </row>
    <row r="6000" spans="1:32" x14ac:dyDescent="0.25">
      <c r="A6000" s="37"/>
      <c r="B6000" s="37"/>
      <c r="C6000" s="37"/>
      <c r="F6000" s="38"/>
      <c r="G6000" s="38"/>
      <c r="H6000" s="38"/>
      <c r="I6000" s="37"/>
      <c r="J6000" s="38"/>
      <c r="K6000" s="38"/>
      <c r="L6000" s="42"/>
      <c r="M6000" s="42"/>
      <c r="N6000" s="42"/>
      <c r="O6000" s="42"/>
      <c r="R6000" s="37"/>
      <c r="S6000" s="37"/>
      <c r="T6000" s="91"/>
      <c r="U6000" s="91"/>
      <c r="V6000" s="41"/>
      <c r="W6000" s="37"/>
      <c r="X6000" s="37"/>
      <c r="Y6000" s="43"/>
      <c r="Z6000" s="37"/>
      <c r="AA6000" s="37"/>
      <c r="AD6000" s="37"/>
      <c r="AE6000" s="37"/>
      <c r="AF6000" s="37"/>
    </row>
    <row r="6001" spans="1:32" x14ac:dyDescent="0.25">
      <c r="A6001" s="37"/>
      <c r="B6001" s="37"/>
      <c r="C6001" s="37"/>
      <c r="F6001" s="38"/>
      <c r="G6001" s="38"/>
      <c r="H6001" s="38"/>
      <c r="I6001" s="37"/>
      <c r="J6001" s="38"/>
      <c r="K6001" s="38"/>
      <c r="L6001" s="42"/>
      <c r="M6001" s="42"/>
      <c r="N6001" s="42"/>
      <c r="O6001" s="42"/>
      <c r="R6001" s="37"/>
      <c r="S6001" s="37"/>
      <c r="T6001" s="91"/>
      <c r="U6001" s="91"/>
      <c r="V6001" s="41"/>
      <c r="W6001" s="37"/>
      <c r="X6001" s="37"/>
      <c r="Y6001" s="43"/>
      <c r="Z6001" s="37"/>
      <c r="AA6001" s="37"/>
      <c r="AD6001" s="37"/>
      <c r="AE6001" s="37"/>
      <c r="AF6001" s="37"/>
    </row>
    <row r="6002" spans="1:32" x14ac:dyDescent="0.25">
      <c r="A6002" s="37"/>
      <c r="B6002" s="37"/>
      <c r="C6002" s="37"/>
      <c r="F6002" s="38"/>
      <c r="G6002" s="38"/>
      <c r="H6002" s="38"/>
      <c r="I6002" s="37"/>
      <c r="J6002" s="38"/>
      <c r="K6002" s="38"/>
      <c r="L6002" s="42"/>
      <c r="M6002" s="42"/>
      <c r="N6002" s="42"/>
      <c r="O6002" s="42"/>
      <c r="R6002" s="37"/>
      <c r="S6002" s="37"/>
      <c r="T6002" s="91"/>
      <c r="U6002" s="91"/>
      <c r="V6002" s="41"/>
      <c r="W6002" s="37"/>
      <c r="X6002" s="37"/>
      <c r="Y6002" s="43"/>
      <c r="Z6002" s="37"/>
      <c r="AA6002" s="37"/>
      <c r="AD6002" s="37"/>
      <c r="AE6002" s="37"/>
      <c r="AF6002" s="37"/>
    </row>
    <row r="6003" spans="1:32" x14ac:dyDescent="0.25">
      <c r="A6003" s="37"/>
      <c r="B6003" s="37"/>
      <c r="C6003" s="37"/>
      <c r="F6003" s="38"/>
      <c r="G6003" s="38"/>
      <c r="H6003" s="38"/>
      <c r="I6003" s="37"/>
      <c r="J6003" s="38"/>
      <c r="K6003" s="38"/>
      <c r="L6003" s="42"/>
      <c r="M6003" s="42"/>
      <c r="N6003" s="42"/>
      <c r="O6003" s="42"/>
      <c r="R6003" s="37"/>
      <c r="S6003" s="37"/>
      <c r="T6003" s="91"/>
      <c r="U6003" s="91"/>
      <c r="V6003" s="41"/>
      <c r="W6003" s="37"/>
      <c r="X6003" s="37"/>
      <c r="Y6003" s="43"/>
      <c r="Z6003" s="37"/>
      <c r="AA6003" s="37"/>
      <c r="AD6003" s="37"/>
      <c r="AE6003" s="37"/>
      <c r="AF6003" s="37"/>
    </row>
    <row r="6004" spans="1:32" x14ac:dyDescent="0.25">
      <c r="A6004" s="37"/>
      <c r="B6004" s="37"/>
      <c r="C6004" s="37"/>
      <c r="F6004" s="38"/>
      <c r="G6004" s="38"/>
      <c r="H6004" s="38"/>
      <c r="I6004" s="37"/>
      <c r="J6004" s="38"/>
      <c r="K6004" s="38"/>
      <c r="L6004" s="42"/>
      <c r="M6004" s="42"/>
      <c r="N6004" s="42"/>
      <c r="O6004" s="42"/>
      <c r="R6004" s="37"/>
      <c r="S6004" s="37"/>
      <c r="T6004" s="91"/>
      <c r="U6004" s="91"/>
      <c r="V6004" s="41"/>
      <c r="W6004" s="37"/>
      <c r="X6004" s="37"/>
      <c r="Y6004" s="43"/>
      <c r="Z6004" s="37"/>
      <c r="AA6004" s="37"/>
      <c r="AD6004" s="37"/>
      <c r="AE6004" s="37"/>
      <c r="AF6004" s="37"/>
    </row>
    <row r="6005" spans="1:32" x14ac:dyDescent="0.25">
      <c r="A6005" s="37"/>
      <c r="B6005" s="37"/>
      <c r="C6005" s="37"/>
      <c r="F6005" s="38"/>
      <c r="G6005" s="38"/>
      <c r="H6005" s="38"/>
      <c r="I6005" s="37"/>
      <c r="J6005" s="38"/>
      <c r="K6005" s="38"/>
      <c r="L6005" s="42"/>
      <c r="M6005" s="42"/>
      <c r="N6005" s="42"/>
      <c r="O6005" s="42"/>
      <c r="R6005" s="37"/>
      <c r="S6005" s="37"/>
      <c r="T6005" s="91"/>
      <c r="U6005" s="91"/>
      <c r="V6005" s="41"/>
      <c r="W6005" s="37"/>
      <c r="X6005" s="37"/>
      <c r="Y6005" s="43"/>
      <c r="Z6005" s="37"/>
      <c r="AA6005" s="37"/>
      <c r="AD6005" s="37"/>
      <c r="AE6005" s="37"/>
      <c r="AF6005" s="37"/>
    </row>
    <row r="6006" spans="1:32" x14ac:dyDescent="0.25">
      <c r="A6006" s="37"/>
      <c r="B6006" s="37"/>
      <c r="C6006" s="37"/>
      <c r="F6006" s="38"/>
      <c r="G6006" s="38"/>
      <c r="H6006" s="38"/>
      <c r="I6006" s="37"/>
      <c r="J6006" s="38"/>
      <c r="K6006" s="38"/>
      <c r="L6006" s="42"/>
      <c r="M6006" s="42"/>
      <c r="N6006" s="42"/>
      <c r="O6006" s="42"/>
      <c r="R6006" s="37"/>
      <c r="S6006" s="37"/>
      <c r="T6006" s="91"/>
      <c r="U6006" s="91"/>
      <c r="V6006" s="41"/>
      <c r="W6006" s="37"/>
      <c r="X6006" s="37"/>
      <c r="Y6006" s="43"/>
      <c r="Z6006" s="37"/>
      <c r="AA6006" s="37"/>
      <c r="AD6006" s="37"/>
      <c r="AE6006" s="37"/>
      <c r="AF6006" s="37"/>
    </row>
    <row r="6007" spans="1:32" x14ac:dyDescent="0.25">
      <c r="A6007" s="37"/>
      <c r="B6007" s="37"/>
      <c r="C6007" s="37"/>
      <c r="F6007" s="38"/>
      <c r="G6007" s="38"/>
      <c r="H6007" s="38"/>
      <c r="I6007" s="37"/>
      <c r="J6007" s="38"/>
      <c r="K6007" s="38"/>
      <c r="L6007" s="42"/>
      <c r="M6007" s="42"/>
      <c r="N6007" s="42"/>
      <c r="O6007" s="42"/>
      <c r="R6007" s="37"/>
      <c r="S6007" s="37"/>
      <c r="T6007" s="91"/>
      <c r="U6007" s="91"/>
      <c r="V6007" s="41"/>
      <c r="W6007" s="37"/>
      <c r="X6007" s="37"/>
      <c r="Y6007" s="43"/>
      <c r="Z6007" s="37"/>
      <c r="AA6007" s="37"/>
      <c r="AD6007" s="37"/>
      <c r="AE6007" s="37"/>
      <c r="AF6007" s="37"/>
    </row>
    <row r="6008" spans="1:32" x14ac:dyDescent="0.25">
      <c r="A6008" s="37"/>
      <c r="B6008" s="37"/>
      <c r="C6008" s="37"/>
      <c r="F6008" s="38"/>
      <c r="G6008" s="38"/>
      <c r="H6008" s="38"/>
      <c r="I6008" s="37"/>
      <c r="J6008" s="38"/>
      <c r="K6008" s="38"/>
      <c r="L6008" s="42"/>
      <c r="M6008" s="42"/>
      <c r="N6008" s="42"/>
      <c r="O6008" s="42"/>
      <c r="R6008" s="37"/>
      <c r="S6008" s="37"/>
      <c r="T6008" s="91"/>
      <c r="U6008" s="91"/>
      <c r="V6008" s="41"/>
      <c r="W6008" s="37"/>
      <c r="X6008" s="37"/>
      <c r="Y6008" s="43"/>
      <c r="Z6008" s="37"/>
      <c r="AA6008" s="37"/>
      <c r="AD6008" s="37"/>
      <c r="AE6008" s="37"/>
      <c r="AF6008" s="37"/>
    </row>
    <row r="6009" spans="1:32" x14ac:dyDescent="0.25">
      <c r="A6009" s="37"/>
      <c r="B6009" s="37"/>
      <c r="C6009" s="37"/>
      <c r="F6009" s="38"/>
      <c r="G6009" s="38"/>
      <c r="H6009" s="38"/>
      <c r="I6009" s="37"/>
      <c r="J6009" s="38"/>
      <c r="K6009" s="38"/>
      <c r="L6009" s="42"/>
      <c r="M6009" s="42"/>
      <c r="N6009" s="42"/>
      <c r="O6009" s="42"/>
      <c r="R6009" s="37"/>
      <c r="S6009" s="37"/>
      <c r="T6009" s="91"/>
      <c r="U6009" s="91"/>
      <c r="V6009" s="41"/>
      <c r="W6009" s="37"/>
      <c r="X6009" s="37"/>
      <c r="Y6009" s="43"/>
      <c r="Z6009" s="37"/>
      <c r="AA6009" s="37"/>
      <c r="AD6009" s="37"/>
      <c r="AE6009" s="37"/>
      <c r="AF6009" s="37"/>
    </row>
    <row r="6010" spans="1:32" x14ac:dyDescent="0.25">
      <c r="A6010" s="37"/>
      <c r="B6010" s="37"/>
      <c r="C6010" s="37"/>
      <c r="F6010" s="38"/>
      <c r="G6010" s="38"/>
      <c r="H6010" s="38"/>
      <c r="I6010" s="37"/>
      <c r="J6010" s="38"/>
      <c r="K6010" s="38"/>
      <c r="L6010" s="42"/>
      <c r="M6010" s="42"/>
      <c r="N6010" s="42"/>
      <c r="O6010" s="42"/>
      <c r="R6010" s="37"/>
      <c r="S6010" s="37"/>
      <c r="T6010" s="91"/>
      <c r="U6010" s="91"/>
      <c r="V6010" s="41"/>
      <c r="W6010" s="37"/>
      <c r="X6010" s="37"/>
      <c r="Y6010" s="43"/>
      <c r="Z6010" s="37"/>
      <c r="AA6010" s="37"/>
      <c r="AD6010" s="37"/>
      <c r="AE6010" s="37"/>
      <c r="AF6010" s="37"/>
    </row>
    <row r="6011" spans="1:32" x14ac:dyDescent="0.25">
      <c r="A6011" s="37"/>
      <c r="B6011" s="37"/>
      <c r="C6011" s="37"/>
      <c r="F6011" s="38"/>
      <c r="G6011" s="38"/>
      <c r="H6011" s="38"/>
      <c r="I6011" s="37"/>
      <c r="J6011" s="38"/>
      <c r="K6011" s="38"/>
      <c r="L6011" s="42"/>
      <c r="M6011" s="42"/>
      <c r="N6011" s="42"/>
      <c r="O6011" s="42"/>
      <c r="R6011" s="37"/>
      <c r="S6011" s="37"/>
      <c r="T6011" s="91"/>
      <c r="U6011" s="91"/>
      <c r="V6011" s="41"/>
      <c r="W6011" s="37"/>
      <c r="X6011" s="37"/>
      <c r="Y6011" s="43"/>
      <c r="Z6011" s="37"/>
      <c r="AA6011" s="37"/>
      <c r="AD6011" s="37"/>
      <c r="AE6011" s="37"/>
      <c r="AF6011" s="37"/>
    </row>
    <row r="6012" spans="1:32" x14ac:dyDescent="0.25">
      <c r="A6012" s="37"/>
      <c r="B6012" s="37"/>
      <c r="C6012" s="37"/>
      <c r="F6012" s="38"/>
      <c r="G6012" s="38"/>
      <c r="H6012" s="38"/>
      <c r="I6012" s="37"/>
      <c r="J6012" s="38"/>
      <c r="K6012" s="38"/>
      <c r="L6012" s="42"/>
      <c r="M6012" s="42"/>
      <c r="N6012" s="42"/>
      <c r="O6012" s="42"/>
      <c r="R6012" s="37"/>
      <c r="S6012" s="37"/>
      <c r="T6012" s="91"/>
      <c r="U6012" s="91"/>
      <c r="V6012" s="41"/>
      <c r="W6012" s="37"/>
      <c r="X6012" s="37"/>
      <c r="Y6012" s="43"/>
      <c r="Z6012" s="37"/>
      <c r="AA6012" s="37"/>
      <c r="AD6012" s="37"/>
      <c r="AE6012" s="37"/>
      <c r="AF6012" s="37"/>
    </row>
    <row r="6013" spans="1:32" x14ac:dyDescent="0.25">
      <c r="A6013" s="37"/>
      <c r="B6013" s="37"/>
      <c r="C6013" s="37"/>
      <c r="F6013" s="38"/>
      <c r="G6013" s="38"/>
      <c r="H6013" s="38"/>
      <c r="I6013" s="37"/>
      <c r="J6013" s="38"/>
      <c r="K6013" s="38"/>
      <c r="L6013" s="42"/>
      <c r="M6013" s="42"/>
      <c r="N6013" s="42"/>
      <c r="O6013" s="42"/>
      <c r="R6013" s="37"/>
      <c r="S6013" s="37"/>
      <c r="T6013" s="91"/>
      <c r="U6013" s="91"/>
      <c r="V6013" s="41"/>
      <c r="W6013" s="37"/>
      <c r="X6013" s="37"/>
      <c r="Y6013" s="43"/>
      <c r="Z6013" s="37"/>
      <c r="AA6013" s="37"/>
      <c r="AD6013" s="37"/>
      <c r="AE6013" s="37"/>
      <c r="AF6013" s="37"/>
    </row>
    <row r="6014" spans="1:32" x14ac:dyDescent="0.25">
      <c r="A6014" s="37"/>
      <c r="B6014" s="37"/>
      <c r="C6014" s="37"/>
      <c r="F6014" s="38"/>
      <c r="G6014" s="38"/>
      <c r="H6014" s="38"/>
      <c r="I6014" s="37"/>
      <c r="J6014" s="38"/>
      <c r="K6014" s="38"/>
      <c r="L6014" s="42"/>
      <c r="M6014" s="42"/>
      <c r="N6014" s="42"/>
      <c r="O6014" s="42"/>
      <c r="R6014" s="37"/>
      <c r="S6014" s="37"/>
      <c r="T6014" s="91"/>
      <c r="U6014" s="91"/>
      <c r="V6014" s="41"/>
      <c r="W6014" s="37"/>
      <c r="X6014" s="37"/>
      <c r="Y6014" s="43"/>
      <c r="Z6014" s="37"/>
      <c r="AA6014" s="37"/>
      <c r="AD6014" s="37"/>
      <c r="AE6014" s="37"/>
      <c r="AF6014" s="37"/>
    </row>
    <row r="6015" spans="1:32" x14ac:dyDescent="0.25">
      <c r="A6015" s="37"/>
      <c r="B6015" s="37"/>
      <c r="C6015" s="37"/>
      <c r="F6015" s="38"/>
      <c r="G6015" s="38"/>
      <c r="H6015" s="38"/>
      <c r="I6015" s="37"/>
      <c r="J6015" s="38"/>
      <c r="K6015" s="38"/>
      <c r="L6015" s="42"/>
      <c r="M6015" s="42"/>
      <c r="N6015" s="42"/>
      <c r="O6015" s="42"/>
      <c r="R6015" s="37"/>
      <c r="S6015" s="37"/>
      <c r="T6015" s="91"/>
      <c r="U6015" s="91"/>
      <c r="V6015" s="41"/>
      <c r="W6015" s="37"/>
      <c r="X6015" s="37"/>
      <c r="Y6015" s="43"/>
      <c r="Z6015" s="37"/>
      <c r="AA6015" s="37"/>
      <c r="AD6015" s="37"/>
      <c r="AE6015" s="37"/>
      <c r="AF6015" s="37"/>
    </row>
    <row r="6016" spans="1:32" x14ac:dyDescent="0.25">
      <c r="A6016" s="37"/>
      <c r="B6016" s="37"/>
      <c r="C6016" s="37"/>
      <c r="F6016" s="38"/>
      <c r="G6016" s="38"/>
      <c r="H6016" s="38"/>
      <c r="I6016" s="37"/>
      <c r="J6016" s="38"/>
      <c r="K6016" s="38"/>
      <c r="L6016" s="42"/>
      <c r="M6016" s="42"/>
      <c r="N6016" s="42"/>
      <c r="O6016" s="42"/>
      <c r="R6016" s="37"/>
      <c r="S6016" s="37"/>
      <c r="T6016" s="91"/>
      <c r="U6016" s="91"/>
      <c r="V6016" s="41"/>
      <c r="W6016" s="37"/>
      <c r="X6016" s="37"/>
      <c r="Y6016" s="43"/>
      <c r="Z6016" s="37"/>
      <c r="AA6016" s="37"/>
      <c r="AD6016" s="37"/>
      <c r="AE6016" s="37"/>
      <c r="AF6016" s="37"/>
    </row>
    <row r="6017" spans="1:32" x14ac:dyDescent="0.25">
      <c r="A6017" s="37"/>
      <c r="B6017" s="37"/>
      <c r="C6017" s="37"/>
      <c r="F6017" s="38"/>
      <c r="G6017" s="38"/>
      <c r="H6017" s="38"/>
      <c r="I6017" s="37"/>
      <c r="J6017" s="38"/>
      <c r="K6017" s="38"/>
      <c r="L6017" s="42"/>
      <c r="M6017" s="42"/>
      <c r="N6017" s="42"/>
      <c r="O6017" s="42"/>
      <c r="R6017" s="37"/>
      <c r="S6017" s="37"/>
      <c r="T6017" s="91"/>
      <c r="U6017" s="91"/>
      <c r="V6017" s="41"/>
      <c r="W6017" s="37"/>
      <c r="X6017" s="37"/>
      <c r="Y6017" s="43"/>
      <c r="Z6017" s="37"/>
      <c r="AA6017" s="37"/>
      <c r="AD6017" s="37"/>
      <c r="AE6017" s="37"/>
      <c r="AF6017" s="37"/>
    </row>
    <row r="6018" spans="1:32" x14ac:dyDescent="0.25">
      <c r="A6018" s="37"/>
      <c r="B6018" s="37"/>
      <c r="C6018" s="37"/>
      <c r="F6018" s="38"/>
      <c r="G6018" s="38"/>
      <c r="H6018" s="38"/>
      <c r="I6018" s="37"/>
      <c r="J6018" s="38"/>
      <c r="K6018" s="38"/>
      <c r="L6018" s="42"/>
      <c r="M6018" s="42"/>
      <c r="N6018" s="42"/>
      <c r="O6018" s="42"/>
      <c r="R6018" s="37"/>
      <c r="S6018" s="37"/>
      <c r="T6018" s="91"/>
      <c r="U6018" s="91"/>
      <c r="V6018" s="41"/>
      <c r="W6018" s="37"/>
      <c r="X6018" s="37"/>
      <c r="Y6018" s="43"/>
      <c r="Z6018" s="37"/>
      <c r="AA6018" s="37"/>
      <c r="AD6018" s="37"/>
      <c r="AE6018" s="37"/>
      <c r="AF6018" s="37"/>
    </row>
    <row r="6019" spans="1:32" x14ac:dyDescent="0.25">
      <c r="A6019" s="37"/>
      <c r="B6019" s="37"/>
      <c r="C6019" s="37"/>
      <c r="F6019" s="38"/>
      <c r="G6019" s="38"/>
      <c r="H6019" s="38"/>
      <c r="I6019" s="37"/>
      <c r="J6019" s="38"/>
      <c r="K6019" s="38"/>
      <c r="L6019" s="42"/>
      <c r="M6019" s="42"/>
      <c r="N6019" s="42"/>
      <c r="O6019" s="42"/>
      <c r="R6019" s="37"/>
      <c r="S6019" s="37"/>
      <c r="T6019" s="91"/>
      <c r="U6019" s="91"/>
      <c r="V6019" s="41"/>
      <c r="W6019" s="37"/>
      <c r="X6019" s="37"/>
      <c r="Y6019" s="43"/>
      <c r="Z6019" s="37"/>
      <c r="AA6019" s="37"/>
      <c r="AD6019" s="37"/>
      <c r="AE6019" s="37"/>
      <c r="AF6019" s="37"/>
    </row>
    <row r="6020" spans="1:32" x14ac:dyDescent="0.25">
      <c r="A6020" s="37"/>
      <c r="B6020" s="37"/>
      <c r="C6020" s="37"/>
      <c r="F6020" s="38"/>
      <c r="G6020" s="38"/>
      <c r="H6020" s="38"/>
      <c r="I6020" s="37"/>
      <c r="J6020" s="38"/>
      <c r="K6020" s="38"/>
      <c r="L6020" s="42"/>
      <c r="M6020" s="42"/>
      <c r="N6020" s="42"/>
      <c r="O6020" s="42"/>
      <c r="R6020" s="37"/>
      <c r="S6020" s="37"/>
      <c r="T6020" s="91"/>
      <c r="U6020" s="91"/>
      <c r="V6020" s="41"/>
      <c r="W6020" s="37"/>
      <c r="X6020" s="37"/>
      <c r="Y6020" s="43"/>
      <c r="Z6020" s="37"/>
      <c r="AA6020" s="37"/>
      <c r="AD6020" s="37"/>
      <c r="AE6020" s="37"/>
      <c r="AF6020" s="37"/>
    </row>
    <row r="6021" spans="1:32" x14ac:dyDescent="0.25">
      <c r="A6021" s="37"/>
      <c r="B6021" s="37"/>
      <c r="C6021" s="37"/>
      <c r="F6021" s="38"/>
      <c r="G6021" s="38"/>
      <c r="H6021" s="38"/>
      <c r="I6021" s="37"/>
      <c r="J6021" s="38"/>
      <c r="K6021" s="38"/>
      <c r="L6021" s="42"/>
      <c r="M6021" s="42"/>
      <c r="N6021" s="42"/>
      <c r="O6021" s="42"/>
      <c r="R6021" s="37"/>
      <c r="S6021" s="37"/>
      <c r="T6021" s="91"/>
      <c r="U6021" s="91"/>
      <c r="V6021" s="41"/>
      <c r="W6021" s="37"/>
      <c r="X6021" s="37"/>
      <c r="Y6021" s="43"/>
      <c r="Z6021" s="37"/>
      <c r="AA6021" s="37"/>
      <c r="AD6021" s="37"/>
      <c r="AE6021" s="37"/>
      <c r="AF6021" s="37"/>
    </row>
    <row r="6022" spans="1:32" x14ac:dyDescent="0.25">
      <c r="A6022" s="37"/>
      <c r="B6022" s="37"/>
      <c r="C6022" s="37"/>
      <c r="F6022" s="38"/>
      <c r="G6022" s="38"/>
      <c r="H6022" s="38"/>
      <c r="I6022" s="37"/>
      <c r="J6022" s="38"/>
      <c r="K6022" s="38"/>
      <c r="L6022" s="42"/>
      <c r="M6022" s="42"/>
      <c r="N6022" s="42"/>
      <c r="O6022" s="42"/>
      <c r="R6022" s="37"/>
      <c r="S6022" s="37"/>
      <c r="T6022" s="91"/>
      <c r="U6022" s="91"/>
      <c r="V6022" s="41"/>
      <c r="W6022" s="37"/>
      <c r="X6022" s="37"/>
      <c r="Y6022" s="43"/>
      <c r="Z6022" s="37"/>
      <c r="AA6022" s="37"/>
      <c r="AD6022" s="37"/>
      <c r="AE6022" s="37"/>
      <c r="AF6022" s="37"/>
    </row>
    <row r="6023" spans="1:32" x14ac:dyDescent="0.25">
      <c r="A6023" s="37"/>
      <c r="B6023" s="37"/>
      <c r="C6023" s="37"/>
      <c r="F6023" s="38"/>
      <c r="G6023" s="38"/>
      <c r="H6023" s="38"/>
      <c r="I6023" s="37"/>
      <c r="J6023" s="38"/>
      <c r="K6023" s="38"/>
      <c r="L6023" s="42"/>
      <c r="M6023" s="42"/>
      <c r="N6023" s="42"/>
      <c r="O6023" s="42"/>
      <c r="R6023" s="37"/>
      <c r="S6023" s="37"/>
      <c r="T6023" s="91"/>
      <c r="U6023" s="91"/>
      <c r="V6023" s="41"/>
      <c r="W6023" s="37"/>
      <c r="X6023" s="37"/>
      <c r="Y6023" s="43"/>
      <c r="Z6023" s="37"/>
      <c r="AA6023" s="37"/>
      <c r="AD6023" s="37"/>
      <c r="AE6023" s="37"/>
      <c r="AF6023" s="37"/>
    </row>
    <row r="6024" spans="1:32" x14ac:dyDescent="0.25">
      <c r="A6024" s="37"/>
      <c r="B6024" s="37"/>
      <c r="C6024" s="37"/>
      <c r="F6024" s="38"/>
      <c r="G6024" s="38"/>
      <c r="H6024" s="38"/>
      <c r="I6024" s="37"/>
      <c r="J6024" s="38"/>
      <c r="K6024" s="38"/>
      <c r="L6024" s="42"/>
      <c r="M6024" s="42"/>
      <c r="N6024" s="42"/>
      <c r="O6024" s="42"/>
      <c r="R6024" s="37"/>
      <c r="S6024" s="37"/>
      <c r="T6024" s="91"/>
      <c r="U6024" s="91"/>
      <c r="V6024" s="41"/>
      <c r="W6024" s="37"/>
      <c r="X6024" s="37"/>
      <c r="Y6024" s="43"/>
      <c r="Z6024" s="37"/>
      <c r="AA6024" s="37"/>
      <c r="AD6024" s="37"/>
      <c r="AE6024" s="37"/>
      <c r="AF6024" s="37"/>
    </row>
    <row r="6025" spans="1:32" x14ac:dyDescent="0.25">
      <c r="A6025" s="37"/>
      <c r="B6025" s="37"/>
      <c r="C6025" s="37"/>
      <c r="F6025" s="38"/>
      <c r="G6025" s="38"/>
      <c r="H6025" s="38"/>
      <c r="I6025" s="37"/>
      <c r="J6025" s="38"/>
      <c r="K6025" s="38"/>
      <c r="L6025" s="42"/>
      <c r="M6025" s="42"/>
      <c r="N6025" s="42"/>
      <c r="O6025" s="42"/>
      <c r="R6025" s="37"/>
      <c r="S6025" s="37"/>
      <c r="T6025" s="91"/>
      <c r="U6025" s="91"/>
      <c r="V6025" s="41"/>
      <c r="W6025" s="37"/>
      <c r="X6025" s="37"/>
      <c r="Y6025" s="43"/>
      <c r="Z6025" s="37"/>
      <c r="AA6025" s="37"/>
      <c r="AD6025" s="37"/>
      <c r="AE6025" s="37"/>
      <c r="AF6025" s="37"/>
    </row>
    <row r="6026" spans="1:32" x14ac:dyDescent="0.25">
      <c r="A6026" s="37"/>
      <c r="B6026" s="37"/>
      <c r="C6026" s="37"/>
      <c r="F6026" s="38"/>
      <c r="G6026" s="38"/>
      <c r="H6026" s="38"/>
      <c r="I6026" s="37"/>
      <c r="J6026" s="38"/>
      <c r="K6026" s="38"/>
      <c r="L6026" s="42"/>
      <c r="M6026" s="42"/>
      <c r="N6026" s="42"/>
      <c r="O6026" s="42"/>
      <c r="R6026" s="37"/>
      <c r="S6026" s="37"/>
      <c r="T6026" s="91"/>
      <c r="U6026" s="91"/>
      <c r="V6026" s="41"/>
      <c r="W6026" s="37"/>
      <c r="X6026" s="37"/>
      <c r="Y6026" s="43"/>
      <c r="Z6026" s="37"/>
      <c r="AA6026" s="37"/>
      <c r="AD6026" s="37"/>
      <c r="AE6026" s="37"/>
      <c r="AF6026" s="37"/>
    </row>
    <row r="6027" spans="1:32" x14ac:dyDescent="0.25">
      <c r="A6027" s="37"/>
      <c r="B6027" s="37"/>
      <c r="C6027" s="37"/>
      <c r="F6027" s="38"/>
      <c r="G6027" s="38"/>
      <c r="H6027" s="38"/>
      <c r="I6027" s="37"/>
      <c r="J6027" s="38"/>
      <c r="K6027" s="38"/>
      <c r="L6027" s="42"/>
      <c r="M6027" s="42"/>
      <c r="N6027" s="42"/>
      <c r="O6027" s="42"/>
      <c r="R6027" s="37"/>
      <c r="S6027" s="37"/>
      <c r="T6027" s="91"/>
      <c r="U6027" s="91"/>
      <c r="V6027" s="41"/>
      <c r="W6027" s="37"/>
      <c r="X6027" s="37"/>
      <c r="Y6027" s="43"/>
      <c r="Z6027" s="37"/>
      <c r="AA6027" s="37"/>
      <c r="AD6027" s="37"/>
      <c r="AE6027" s="37"/>
      <c r="AF6027" s="37"/>
    </row>
    <row r="6028" spans="1:32" x14ac:dyDescent="0.25">
      <c r="A6028" s="37"/>
      <c r="B6028" s="37"/>
      <c r="C6028" s="37"/>
      <c r="F6028" s="38"/>
      <c r="G6028" s="38"/>
      <c r="H6028" s="38"/>
      <c r="I6028" s="37"/>
      <c r="J6028" s="38"/>
      <c r="K6028" s="38"/>
      <c r="L6028" s="42"/>
      <c r="M6028" s="42"/>
      <c r="N6028" s="42"/>
      <c r="O6028" s="42"/>
      <c r="R6028" s="37"/>
      <c r="S6028" s="37"/>
      <c r="T6028" s="91"/>
      <c r="U6028" s="91"/>
      <c r="V6028" s="41"/>
      <c r="W6028" s="37"/>
      <c r="X6028" s="37"/>
      <c r="Y6028" s="43"/>
      <c r="Z6028" s="37"/>
      <c r="AA6028" s="37"/>
      <c r="AD6028" s="37"/>
      <c r="AE6028" s="37"/>
      <c r="AF6028" s="37"/>
    </row>
    <row r="6029" spans="1:32" x14ac:dyDescent="0.25">
      <c r="A6029" s="37"/>
      <c r="B6029" s="37"/>
      <c r="C6029" s="37"/>
      <c r="F6029" s="38"/>
      <c r="G6029" s="38"/>
      <c r="H6029" s="38"/>
      <c r="I6029" s="37"/>
      <c r="J6029" s="38"/>
      <c r="K6029" s="38"/>
      <c r="L6029" s="42"/>
      <c r="M6029" s="42"/>
      <c r="N6029" s="42"/>
      <c r="O6029" s="42"/>
      <c r="R6029" s="37"/>
      <c r="S6029" s="37"/>
      <c r="T6029" s="91"/>
      <c r="U6029" s="91"/>
      <c r="V6029" s="41"/>
      <c r="W6029" s="37"/>
      <c r="X6029" s="37"/>
      <c r="Y6029" s="43"/>
      <c r="Z6029" s="37"/>
      <c r="AA6029" s="37"/>
      <c r="AD6029" s="37"/>
      <c r="AE6029" s="37"/>
      <c r="AF6029" s="37"/>
    </row>
    <row r="6030" spans="1:32" x14ac:dyDescent="0.25">
      <c r="A6030" s="37"/>
      <c r="B6030" s="37"/>
      <c r="C6030" s="37"/>
      <c r="F6030" s="38"/>
      <c r="G6030" s="38"/>
      <c r="H6030" s="38"/>
      <c r="I6030" s="37"/>
      <c r="J6030" s="38"/>
      <c r="K6030" s="38"/>
      <c r="L6030" s="42"/>
      <c r="M6030" s="42"/>
      <c r="N6030" s="42"/>
      <c r="O6030" s="42"/>
      <c r="R6030" s="37"/>
      <c r="S6030" s="37"/>
      <c r="T6030" s="91"/>
      <c r="U6030" s="91"/>
      <c r="V6030" s="41"/>
      <c r="W6030" s="37"/>
      <c r="X6030" s="37"/>
      <c r="Y6030" s="43"/>
      <c r="Z6030" s="37"/>
      <c r="AA6030" s="37"/>
      <c r="AD6030" s="37"/>
      <c r="AE6030" s="37"/>
      <c r="AF6030" s="37"/>
    </row>
    <row r="6031" spans="1:32" x14ac:dyDescent="0.25">
      <c r="A6031" s="37"/>
      <c r="B6031" s="37"/>
      <c r="C6031" s="37"/>
      <c r="F6031" s="38"/>
      <c r="G6031" s="38"/>
      <c r="H6031" s="38"/>
      <c r="I6031" s="37"/>
      <c r="J6031" s="38"/>
      <c r="K6031" s="38"/>
      <c r="L6031" s="42"/>
      <c r="M6031" s="42"/>
      <c r="N6031" s="42"/>
      <c r="O6031" s="42"/>
      <c r="R6031" s="37"/>
      <c r="S6031" s="37"/>
      <c r="T6031" s="91"/>
      <c r="U6031" s="91"/>
      <c r="V6031" s="41"/>
      <c r="W6031" s="37"/>
      <c r="X6031" s="37"/>
      <c r="Y6031" s="43"/>
      <c r="Z6031" s="37"/>
      <c r="AA6031" s="37"/>
      <c r="AD6031" s="37"/>
      <c r="AE6031" s="37"/>
      <c r="AF6031" s="37"/>
    </row>
    <row r="6032" spans="1:32" x14ac:dyDescent="0.25">
      <c r="A6032" s="37"/>
      <c r="B6032" s="37"/>
      <c r="C6032" s="37"/>
      <c r="F6032" s="38"/>
      <c r="G6032" s="38"/>
      <c r="H6032" s="38"/>
      <c r="I6032" s="37"/>
      <c r="J6032" s="38"/>
      <c r="K6032" s="38"/>
      <c r="L6032" s="42"/>
      <c r="M6032" s="42"/>
      <c r="N6032" s="42"/>
      <c r="O6032" s="42"/>
      <c r="R6032" s="37"/>
      <c r="S6032" s="37"/>
      <c r="T6032" s="91"/>
      <c r="U6032" s="91"/>
      <c r="V6032" s="41"/>
      <c r="W6032" s="37"/>
      <c r="X6032" s="37"/>
      <c r="Y6032" s="43"/>
      <c r="Z6032" s="37"/>
      <c r="AA6032" s="37"/>
      <c r="AD6032" s="37"/>
      <c r="AE6032" s="37"/>
      <c r="AF6032" s="37"/>
    </row>
    <row r="6033" spans="1:32" x14ac:dyDescent="0.25">
      <c r="A6033" s="37"/>
      <c r="B6033" s="37"/>
      <c r="C6033" s="37"/>
      <c r="F6033" s="38"/>
      <c r="G6033" s="38"/>
      <c r="H6033" s="38"/>
      <c r="I6033" s="37"/>
      <c r="J6033" s="38"/>
      <c r="K6033" s="38"/>
      <c r="L6033" s="42"/>
      <c r="M6033" s="42"/>
      <c r="N6033" s="42"/>
      <c r="O6033" s="42"/>
      <c r="R6033" s="37"/>
      <c r="S6033" s="37"/>
      <c r="T6033" s="91"/>
      <c r="U6033" s="91"/>
      <c r="V6033" s="41"/>
      <c r="W6033" s="37"/>
      <c r="X6033" s="37"/>
      <c r="Y6033" s="43"/>
      <c r="Z6033" s="37"/>
      <c r="AA6033" s="37"/>
      <c r="AD6033" s="37"/>
      <c r="AE6033" s="37"/>
      <c r="AF6033" s="37"/>
    </row>
    <row r="6034" spans="1:32" x14ac:dyDescent="0.25">
      <c r="A6034" s="37"/>
      <c r="B6034" s="37"/>
      <c r="C6034" s="37"/>
      <c r="F6034" s="38"/>
      <c r="G6034" s="38"/>
      <c r="H6034" s="38"/>
      <c r="I6034" s="37"/>
      <c r="J6034" s="38"/>
      <c r="K6034" s="38"/>
      <c r="L6034" s="42"/>
      <c r="M6034" s="42"/>
      <c r="N6034" s="42"/>
      <c r="O6034" s="42"/>
      <c r="R6034" s="37"/>
      <c r="S6034" s="37"/>
      <c r="T6034" s="91"/>
      <c r="U6034" s="91"/>
      <c r="V6034" s="41"/>
      <c r="W6034" s="37"/>
      <c r="X6034" s="37"/>
      <c r="Y6034" s="43"/>
      <c r="Z6034" s="37"/>
      <c r="AA6034" s="37"/>
      <c r="AD6034" s="37"/>
      <c r="AE6034" s="37"/>
      <c r="AF6034" s="37"/>
    </row>
    <row r="6035" spans="1:32" x14ac:dyDescent="0.25">
      <c r="A6035" s="37"/>
      <c r="B6035" s="37"/>
      <c r="C6035" s="37"/>
      <c r="F6035" s="38"/>
      <c r="G6035" s="38"/>
      <c r="H6035" s="38"/>
      <c r="I6035" s="37"/>
      <c r="J6035" s="38"/>
      <c r="K6035" s="38"/>
      <c r="L6035" s="42"/>
      <c r="M6035" s="42"/>
      <c r="N6035" s="42"/>
      <c r="O6035" s="42"/>
      <c r="R6035" s="37"/>
      <c r="S6035" s="37"/>
      <c r="T6035" s="91"/>
      <c r="U6035" s="91"/>
      <c r="V6035" s="41"/>
      <c r="W6035" s="37"/>
      <c r="X6035" s="37"/>
      <c r="Y6035" s="43"/>
      <c r="Z6035" s="37"/>
      <c r="AA6035" s="37"/>
      <c r="AD6035" s="37"/>
      <c r="AE6035" s="37"/>
      <c r="AF6035" s="37"/>
    </row>
    <row r="6036" spans="1:32" x14ac:dyDescent="0.25">
      <c r="A6036" s="37"/>
      <c r="B6036" s="37"/>
      <c r="C6036" s="37"/>
      <c r="F6036" s="38"/>
      <c r="G6036" s="38"/>
      <c r="H6036" s="38"/>
      <c r="I6036" s="37"/>
      <c r="J6036" s="38"/>
      <c r="K6036" s="38"/>
      <c r="L6036" s="42"/>
      <c r="M6036" s="42"/>
      <c r="N6036" s="42"/>
      <c r="O6036" s="42"/>
      <c r="R6036" s="37"/>
      <c r="S6036" s="37"/>
      <c r="T6036" s="91"/>
      <c r="U6036" s="91"/>
      <c r="V6036" s="41"/>
      <c r="W6036" s="37"/>
      <c r="X6036" s="37"/>
      <c r="Y6036" s="43"/>
      <c r="Z6036" s="37"/>
      <c r="AA6036" s="37"/>
      <c r="AD6036" s="37"/>
      <c r="AE6036" s="37"/>
      <c r="AF6036" s="37"/>
    </row>
    <row r="6037" spans="1:32" x14ac:dyDescent="0.25">
      <c r="A6037" s="37"/>
      <c r="B6037" s="37"/>
      <c r="C6037" s="37"/>
      <c r="F6037" s="38"/>
      <c r="G6037" s="38"/>
      <c r="H6037" s="38"/>
      <c r="I6037" s="37"/>
      <c r="J6037" s="38"/>
      <c r="K6037" s="38"/>
      <c r="L6037" s="42"/>
      <c r="M6037" s="42"/>
      <c r="N6037" s="42"/>
      <c r="O6037" s="42"/>
      <c r="R6037" s="37"/>
      <c r="S6037" s="37"/>
      <c r="T6037" s="91"/>
      <c r="U6037" s="91"/>
      <c r="V6037" s="41"/>
      <c r="W6037" s="37"/>
      <c r="X6037" s="37"/>
      <c r="Y6037" s="43"/>
      <c r="Z6037" s="37"/>
      <c r="AA6037" s="37"/>
      <c r="AD6037" s="37"/>
      <c r="AE6037" s="37"/>
      <c r="AF6037" s="37"/>
    </row>
    <row r="6038" spans="1:32" x14ac:dyDescent="0.25">
      <c r="A6038" s="37"/>
      <c r="B6038" s="37"/>
      <c r="C6038" s="37"/>
      <c r="F6038" s="38"/>
      <c r="G6038" s="38"/>
      <c r="H6038" s="38"/>
      <c r="I6038" s="37"/>
      <c r="J6038" s="38"/>
      <c r="K6038" s="38"/>
      <c r="L6038" s="42"/>
      <c r="M6038" s="42"/>
      <c r="N6038" s="42"/>
      <c r="O6038" s="42"/>
      <c r="R6038" s="37"/>
      <c r="S6038" s="37"/>
      <c r="T6038" s="91"/>
      <c r="U6038" s="91"/>
      <c r="V6038" s="41"/>
      <c r="W6038" s="37"/>
      <c r="X6038" s="37"/>
      <c r="Y6038" s="43"/>
      <c r="Z6038" s="37"/>
      <c r="AA6038" s="37"/>
      <c r="AD6038" s="37"/>
      <c r="AE6038" s="37"/>
      <c r="AF6038" s="37"/>
    </row>
    <row r="6039" spans="1:32" x14ac:dyDescent="0.25">
      <c r="A6039" s="37"/>
      <c r="B6039" s="37"/>
      <c r="C6039" s="37"/>
      <c r="F6039" s="38"/>
      <c r="G6039" s="38"/>
      <c r="H6039" s="38"/>
      <c r="I6039" s="37"/>
      <c r="J6039" s="38"/>
      <c r="K6039" s="38"/>
      <c r="L6039" s="42"/>
      <c r="M6039" s="42"/>
      <c r="N6039" s="42"/>
      <c r="O6039" s="42"/>
      <c r="R6039" s="37"/>
      <c r="S6039" s="37"/>
      <c r="T6039" s="91"/>
      <c r="U6039" s="91"/>
      <c r="V6039" s="41"/>
      <c r="W6039" s="37"/>
      <c r="X6039" s="37"/>
      <c r="Y6039" s="43"/>
      <c r="Z6039" s="37"/>
      <c r="AA6039" s="37"/>
      <c r="AD6039" s="37"/>
      <c r="AE6039" s="37"/>
      <c r="AF6039" s="37"/>
    </row>
    <row r="6040" spans="1:32" x14ac:dyDescent="0.25">
      <c r="A6040" s="37"/>
      <c r="B6040" s="37"/>
      <c r="C6040" s="37"/>
      <c r="F6040" s="38"/>
      <c r="G6040" s="38"/>
      <c r="H6040" s="38"/>
      <c r="I6040" s="37"/>
      <c r="J6040" s="38"/>
      <c r="K6040" s="38"/>
      <c r="L6040" s="42"/>
      <c r="M6040" s="42"/>
      <c r="N6040" s="42"/>
      <c r="O6040" s="42"/>
      <c r="R6040" s="37"/>
      <c r="S6040" s="37"/>
      <c r="T6040" s="91"/>
      <c r="U6040" s="91"/>
      <c r="V6040" s="41"/>
      <c r="W6040" s="37"/>
      <c r="X6040" s="37"/>
      <c r="Y6040" s="43"/>
      <c r="Z6040" s="37"/>
      <c r="AA6040" s="37"/>
      <c r="AD6040" s="37"/>
      <c r="AE6040" s="37"/>
      <c r="AF6040" s="37"/>
    </row>
    <row r="6041" spans="1:32" x14ac:dyDescent="0.25">
      <c r="A6041" s="37"/>
      <c r="B6041" s="37"/>
      <c r="C6041" s="37"/>
      <c r="F6041" s="38"/>
      <c r="G6041" s="38"/>
      <c r="H6041" s="38"/>
      <c r="I6041" s="37"/>
      <c r="J6041" s="38"/>
      <c r="K6041" s="38"/>
      <c r="L6041" s="42"/>
      <c r="M6041" s="42"/>
      <c r="N6041" s="42"/>
      <c r="O6041" s="42"/>
      <c r="R6041" s="37"/>
      <c r="S6041" s="37"/>
      <c r="T6041" s="91"/>
      <c r="U6041" s="91"/>
      <c r="V6041" s="41"/>
      <c r="W6041" s="37"/>
      <c r="X6041" s="37"/>
      <c r="Y6041" s="43"/>
      <c r="Z6041" s="37"/>
      <c r="AA6041" s="37"/>
      <c r="AD6041" s="37"/>
      <c r="AE6041" s="37"/>
      <c r="AF6041" s="37"/>
    </row>
    <row r="6042" spans="1:32" x14ac:dyDescent="0.25">
      <c r="A6042" s="37"/>
      <c r="B6042" s="37"/>
      <c r="C6042" s="37"/>
      <c r="F6042" s="38"/>
      <c r="G6042" s="38"/>
      <c r="H6042" s="38"/>
      <c r="I6042" s="37"/>
      <c r="J6042" s="38"/>
      <c r="K6042" s="38"/>
      <c r="L6042" s="42"/>
      <c r="M6042" s="42"/>
      <c r="N6042" s="42"/>
      <c r="O6042" s="42"/>
      <c r="R6042" s="37"/>
      <c r="S6042" s="37"/>
      <c r="T6042" s="91"/>
      <c r="U6042" s="91"/>
      <c r="V6042" s="41"/>
      <c r="W6042" s="37"/>
      <c r="X6042" s="37"/>
      <c r="Y6042" s="43"/>
      <c r="Z6042" s="37"/>
      <c r="AA6042" s="37"/>
      <c r="AD6042" s="37"/>
      <c r="AE6042" s="37"/>
      <c r="AF6042" s="37"/>
    </row>
    <row r="6043" spans="1:32" x14ac:dyDescent="0.25">
      <c r="A6043" s="37"/>
      <c r="B6043" s="37"/>
      <c r="C6043" s="37"/>
      <c r="F6043" s="38"/>
      <c r="G6043" s="38"/>
      <c r="H6043" s="38"/>
      <c r="I6043" s="37"/>
      <c r="J6043" s="38"/>
      <c r="K6043" s="38"/>
      <c r="L6043" s="42"/>
      <c r="M6043" s="42"/>
      <c r="N6043" s="42"/>
      <c r="O6043" s="42"/>
      <c r="R6043" s="37"/>
      <c r="S6043" s="37"/>
      <c r="T6043" s="91"/>
      <c r="U6043" s="91"/>
      <c r="V6043" s="41"/>
      <c r="W6043" s="37"/>
      <c r="X6043" s="37"/>
      <c r="Y6043" s="43"/>
      <c r="Z6043" s="37"/>
      <c r="AA6043" s="37"/>
      <c r="AD6043" s="37"/>
      <c r="AE6043" s="37"/>
      <c r="AF6043" s="37"/>
    </row>
    <row r="6044" spans="1:32" x14ac:dyDescent="0.25">
      <c r="A6044" s="37"/>
      <c r="B6044" s="37"/>
      <c r="C6044" s="37"/>
      <c r="F6044" s="38"/>
      <c r="G6044" s="38"/>
      <c r="H6044" s="38"/>
      <c r="I6044" s="37"/>
      <c r="J6044" s="38"/>
      <c r="K6044" s="38"/>
      <c r="L6044" s="42"/>
      <c r="M6044" s="42"/>
      <c r="N6044" s="42"/>
      <c r="O6044" s="42"/>
      <c r="R6044" s="37"/>
      <c r="S6044" s="37"/>
      <c r="T6044" s="91"/>
      <c r="U6044" s="91"/>
      <c r="V6044" s="41"/>
      <c r="W6044" s="37"/>
      <c r="X6044" s="37"/>
      <c r="Y6044" s="43"/>
      <c r="Z6044" s="37"/>
      <c r="AA6044" s="37"/>
      <c r="AD6044" s="37"/>
      <c r="AE6044" s="37"/>
      <c r="AF6044" s="37"/>
    </row>
    <row r="6045" spans="1:32" x14ac:dyDescent="0.25">
      <c r="A6045" s="37"/>
      <c r="B6045" s="37"/>
      <c r="C6045" s="37"/>
      <c r="F6045" s="38"/>
      <c r="G6045" s="38"/>
      <c r="H6045" s="38"/>
      <c r="I6045" s="37"/>
      <c r="J6045" s="38"/>
      <c r="K6045" s="38"/>
      <c r="L6045" s="42"/>
      <c r="M6045" s="42"/>
      <c r="N6045" s="42"/>
      <c r="O6045" s="42"/>
      <c r="R6045" s="37"/>
      <c r="S6045" s="37"/>
      <c r="T6045" s="91"/>
      <c r="U6045" s="91"/>
      <c r="V6045" s="41"/>
      <c r="W6045" s="37"/>
      <c r="X6045" s="37"/>
      <c r="Y6045" s="43"/>
      <c r="Z6045" s="37"/>
      <c r="AA6045" s="37"/>
      <c r="AD6045" s="37"/>
      <c r="AE6045" s="37"/>
      <c r="AF6045" s="37"/>
    </row>
    <row r="6046" spans="1:32" x14ac:dyDescent="0.25">
      <c r="A6046" s="37"/>
      <c r="B6046" s="37"/>
      <c r="C6046" s="37"/>
      <c r="F6046" s="38"/>
      <c r="G6046" s="38"/>
      <c r="H6046" s="38"/>
      <c r="I6046" s="37"/>
      <c r="J6046" s="38"/>
      <c r="K6046" s="38"/>
      <c r="L6046" s="42"/>
      <c r="M6046" s="42"/>
      <c r="N6046" s="42"/>
      <c r="O6046" s="42"/>
      <c r="R6046" s="37"/>
      <c r="S6046" s="37"/>
      <c r="T6046" s="91"/>
      <c r="U6046" s="91"/>
      <c r="V6046" s="41"/>
      <c r="W6046" s="37"/>
      <c r="X6046" s="37"/>
      <c r="Y6046" s="43"/>
      <c r="Z6046" s="37"/>
      <c r="AA6046" s="37"/>
      <c r="AD6046" s="37"/>
      <c r="AE6046" s="37"/>
      <c r="AF6046" s="37"/>
    </row>
    <row r="6047" spans="1:32" x14ac:dyDescent="0.25">
      <c r="A6047" s="37"/>
      <c r="B6047" s="37"/>
      <c r="C6047" s="37"/>
      <c r="F6047" s="38"/>
      <c r="G6047" s="38"/>
      <c r="H6047" s="38"/>
      <c r="I6047" s="37"/>
      <c r="J6047" s="38"/>
      <c r="K6047" s="38"/>
      <c r="L6047" s="42"/>
      <c r="M6047" s="42"/>
      <c r="N6047" s="42"/>
      <c r="O6047" s="42"/>
      <c r="R6047" s="37"/>
      <c r="S6047" s="37"/>
      <c r="T6047" s="91"/>
      <c r="U6047" s="91"/>
      <c r="V6047" s="41"/>
      <c r="W6047" s="37"/>
      <c r="X6047" s="37"/>
      <c r="Y6047" s="43"/>
      <c r="Z6047" s="37"/>
      <c r="AA6047" s="37"/>
      <c r="AD6047" s="37"/>
      <c r="AE6047" s="37"/>
      <c r="AF6047" s="37"/>
    </row>
    <row r="6048" spans="1:32" x14ac:dyDescent="0.25">
      <c r="A6048" s="37"/>
      <c r="B6048" s="37"/>
      <c r="C6048" s="37"/>
      <c r="F6048" s="38"/>
      <c r="G6048" s="38"/>
      <c r="H6048" s="38"/>
      <c r="I6048" s="37"/>
      <c r="J6048" s="38"/>
      <c r="K6048" s="38"/>
      <c r="L6048" s="42"/>
      <c r="M6048" s="42"/>
      <c r="N6048" s="42"/>
      <c r="O6048" s="42"/>
      <c r="R6048" s="37"/>
      <c r="S6048" s="37"/>
      <c r="T6048" s="91"/>
      <c r="U6048" s="91"/>
      <c r="V6048" s="41"/>
      <c r="W6048" s="37"/>
      <c r="X6048" s="37"/>
      <c r="Y6048" s="43"/>
      <c r="Z6048" s="37"/>
      <c r="AA6048" s="37"/>
      <c r="AD6048" s="37"/>
      <c r="AE6048" s="37"/>
      <c r="AF6048" s="37"/>
    </row>
    <row r="6049" spans="1:32" x14ac:dyDescent="0.25">
      <c r="A6049" s="37"/>
      <c r="B6049" s="37"/>
      <c r="C6049" s="37"/>
      <c r="F6049" s="38"/>
      <c r="G6049" s="38"/>
      <c r="H6049" s="38"/>
      <c r="I6049" s="37"/>
      <c r="J6049" s="38"/>
      <c r="K6049" s="38"/>
      <c r="L6049" s="42"/>
      <c r="M6049" s="42"/>
      <c r="N6049" s="42"/>
      <c r="O6049" s="42"/>
      <c r="R6049" s="37"/>
      <c r="S6049" s="37"/>
      <c r="T6049" s="91"/>
      <c r="U6049" s="91"/>
      <c r="V6049" s="41"/>
      <c r="W6049" s="37"/>
      <c r="X6049" s="37"/>
      <c r="Y6049" s="43"/>
      <c r="Z6049" s="37"/>
      <c r="AA6049" s="37"/>
      <c r="AD6049" s="37"/>
      <c r="AE6049" s="37"/>
      <c r="AF6049" s="37"/>
    </row>
    <row r="6050" spans="1:32" x14ac:dyDescent="0.25">
      <c r="A6050" s="37"/>
      <c r="B6050" s="37"/>
      <c r="C6050" s="37"/>
      <c r="F6050" s="38"/>
      <c r="G6050" s="38"/>
      <c r="H6050" s="38"/>
      <c r="I6050" s="37"/>
      <c r="J6050" s="38"/>
      <c r="K6050" s="38"/>
      <c r="L6050" s="42"/>
      <c r="M6050" s="42"/>
      <c r="N6050" s="42"/>
      <c r="O6050" s="42"/>
      <c r="R6050" s="37"/>
      <c r="S6050" s="37"/>
      <c r="T6050" s="91"/>
      <c r="U6050" s="91"/>
      <c r="V6050" s="41"/>
      <c r="W6050" s="37"/>
      <c r="X6050" s="37"/>
      <c r="Y6050" s="43"/>
      <c r="Z6050" s="37"/>
      <c r="AA6050" s="37"/>
      <c r="AD6050" s="37"/>
      <c r="AE6050" s="37"/>
      <c r="AF6050" s="37"/>
    </row>
    <row r="6051" spans="1:32" x14ac:dyDescent="0.25">
      <c r="A6051" s="37"/>
      <c r="B6051" s="37"/>
      <c r="C6051" s="37"/>
      <c r="F6051" s="38"/>
      <c r="G6051" s="38"/>
      <c r="H6051" s="38"/>
      <c r="I6051" s="37"/>
      <c r="J6051" s="38"/>
      <c r="K6051" s="38"/>
      <c r="L6051" s="42"/>
      <c r="M6051" s="42"/>
      <c r="N6051" s="42"/>
      <c r="O6051" s="42"/>
      <c r="R6051" s="37"/>
      <c r="S6051" s="37"/>
      <c r="T6051" s="91"/>
      <c r="U6051" s="91"/>
      <c r="V6051" s="41"/>
      <c r="W6051" s="37"/>
      <c r="X6051" s="37"/>
      <c r="Y6051" s="43"/>
      <c r="Z6051" s="37"/>
      <c r="AA6051" s="37"/>
      <c r="AD6051" s="37"/>
      <c r="AE6051" s="37"/>
      <c r="AF6051" s="37"/>
    </row>
    <row r="6052" spans="1:32" x14ac:dyDescent="0.25">
      <c r="A6052" s="37"/>
      <c r="B6052" s="37"/>
      <c r="C6052" s="37"/>
      <c r="F6052" s="38"/>
      <c r="G6052" s="38"/>
      <c r="H6052" s="38"/>
      <c r="I6052" s="37"/>
      <c r="J6052" s="38"/>
      <c r="K6052" s="38"/>
      <c r="L6052" s="42"/>
      <c r="M6052" s="42"/>
      <c r="N6052" s="42"/>
      <c r="O6052" s="42"/>
      <c r="R6052" s="37"/>
      <c r="S6052" s="37"/>
      <c r="T6052" s="91"/>
      <c r="U6052" s="91"/>
      <c r="V6052" s="41"/>
      <c r="W6052" s="37"/>
      <c r="X6052" s="37"/>
      <c r="Y6052" s="43"/>
      <c r="Z6052" s="37"/>
      <c r="AA6052" s="37"/>
      <c r="AD6052" s="37"/>
      <c r="AE6052" s="37"/>
      <c r="AF6052" s="37"/>
    </row>
    <row r="6053" spans="1:32" x14ac:dyDescent="0.25">
      <c r="A6053" s="37"/>
      <c r="B6053" s="37"/>
      <c r="C6053" s="37"/>
      <c r="F6053" s="38"/>
      <c r="G6053" s="38"/>
      <c r="H6053" s="38"/>
      <c r="I6053" s="37"/>
      <c r="J6053" s="38"/>
      <c r="K6053" s="38"/>
      <c r="L6053" s="42"/>
      <c r="M6053" s="42"/>
      <c r="N6053" s="42"/>
      <c r="O6053" s="42"/>
      <c r="R6053" s="37"/>
      <c r="S6053" s="37"/>
      <c r="T6053" s="91"/>
      <c r="U6053" s="91"/>
      <c r="V6053" s="41"/>
      <c r="W6053" s="37"/>
      <c r="X6053" s="37"/>
      <c r="Y6053" s="43"/>
      <c r="Z6053" s="37"/>
      <c r="AA6053" s="37"/>
      <c r="AD6053" s="37"/>
      <c r="AE6053" s="37"/>
      <c r="AF6053" s="37"/>
    </row>
    <row r="6054" spans="1:32" x14ac:dyDescent="0.25">
      <c r="A6054" s="37"/>
      <c r="B6054" s="37"/>
      <c r="C6054" s="37"/>
      <c r="F6054" s="38"/>
      <c r="G6054" s="38"/>
      <c r="H6054" s="38"/>
      <c r="I6054" s="37"/>
      <c r="J6054" s="38"/>
      <c r="K6054" s="38"/>
      <c r="L6054" s="42"/>
      <c r="M6054" s="42"/>
      <c r="N6054" s="42"/>
      <c r="O6054" s="42"/>
      <c r="R6054" s="37"/>
      <c r="S6054" s="37"/>
      <c r="T6054" s="91"/>
      <c r="U6054" s="91"/>
      <c r="V6054" s="41"/>
      <c r="W6054" s="37"/>
      <c r="X6054" s="37"/>
      <c r="Y6054" s="43"/>
      <c r="Z6054" s="37"/>
      <c r="AA6054" s="37"/>
      <c r="AD6054" s="37"/>
      <c r="AE6054" s="37"/>
      <c r="AF6054" s="37"/>
    </row>
    <row r="6055" spans="1:32" x14ac:dyDescent="0.25">
      <c r="A6055" s="37"/>
      <c r="B6055" s="37"/>
      <c r="C6055" s="37"/>
      <c r="F6055" s="38"/>
      <c r="G6055" s="38"/>
      <c r="H6055" s="38"/>
      <c r="I6055" s="37"/>
      <c r="J6055" s="38"/>
      <c r="K6055" s="38"/>
      <c r="L6055" s="42"/>
      <c r="M6055" s="42"/>
      <c r="N6055" s="42"/>
      <c r="O6055" s="42"/>
      <c r="R6055" s="37"/>
      <c r="S6055" s="37"/>
      <c r="T6055" s="91"/>
      <c r="U6055" s="91"/>
      <c r="V6055" s="41"/>
      <c r="W6055" s="37"/>
      <c r="X6055" s="37"/>
      <c r="Y6055" s="43"/>
      <c r="Z6055" s="37"/>
      <c r="AA6055" s="37"/>
      <c r="AD6055" s="37"/>
      <c r="AE6055" s="37"/>
      <c r="AF6055" s="37"/>
    </row>
    <row r="6056" spans="1:32" x14ac:dyDescent="0.25">
      <c r="A6056" s="37"/>
      <c r="B6056" s="37"/>
      <c r="C6056" s="37"/>
      <c r="F6056" s="38"/>
      <c r="G6056" s="38"/>
      <c r="H6056" s="38"/>
      <c r="I6056" s="37"/>
      <c r="J6056" s="38"/>
      <c r="K6056" s="38"/>
      <c r="L6056" s="42"/>
      <c r="M6056" s="42"/>
      <c r="N6056" s="42"/>
      <c r="O6056" s="42"/>
      <c r="R6056" s="37"/>
      <c r="S6056" s="37"/>
      <c r="T6056" s="91"/>
      <c r="U6056" s="91"/>
      <c r="V6056" s="41"/>
      <c r="W6056" s="37"/>
      <c r="X6056" s="37"/>
      <c r="Y6056" s="43"/>
      <c r="Z6056" s="37"/>
      <c r="AA6056" s="37"/>
      <c r="AD6056" s="37"/>
      <c r="AE6056" s="37"/>
      <c r="AF6056" s="37"/>
    </row>
    <row r="6057" spans="1:32" x14ac:dyDescent="0.25">
      <c r="A6057" s="37"/>
      <c r="B6057" s="37"/>
      <c r="C6057" s="37"/>
      <c r="F6057" s="38"/>
      <c r="G6057" s="38"/>
      <c r="H6057" s="38"/>
      <c r="I6057" s="37"/>
      <c r="J6057" s="38"/>
      <c r="K6057" s="38"/>
      <c r="L6057" s="42"/>
      <c r="M6057" s="42"/>
      <c r="N6057" s="42"/>
      <c r="O6057" s="42"/>
      <c r="R6057" s="37"/>
      <c r="S6057" s="37"/>
      <c r="T6057" s="91"/>
      <c r="U6057" s="91"/>
      <c r="V6057" s="41"/>
      <c r="W6057" s="37"/>
      <c r="X6057" s="37"/>
      <c r="Y6057" s="43"/>
      <c r="Z6057" s="37"/>
      <c r="AA6057" s="37"/>
      <c r="AD6057" s="37"/>
      <c r="AE6057" s="37"/>
      <c r="AF6057" s="37"/>
    </row>
    <row r="6058" spans="1:32" x14ac:dyDescent="0.25">
      <c r="A6058" s="37"/>
      <c r="B6058" s="37"/>
      <c r="C6058" s="37"/>
      <c r="F6058" s="38"/>
      <c r="G6058" s="38"/>
      <c r="H6058" s="38"/>
      <c r="I6058" s="37"/>
      <c r="J6058" s="38"/>
      <c r="K6058" s="38"/>
      <c r="L6058" s="42"/>
      <c r="M6058" s="42"/>
      <c r="N6058" s="42"/>
      <c r="O6058" s="42"/>
      <c r="R6058" s="37"/>
      <c r="S6058" s="37"/>
      <c r="T6058" s="91"/>
      <c r="U6058" s="91"/>
      <c r="V6058" s="41"/>
      <c r="W6058" s="37"/>
      <c r="X6058" s="37"/>
      <c r="Y6058" s="43"/>
      <c r="Z6058" s="37"/>
      <c r="AA6058" s="37"/>
      <c r="AD6058" s="37"/>
      <c r="AE6058" s="37"/>
      <c r="AF6058" s="37"/>
    </row>
    <row r="6059" spans="1:32" x14ac:dyDescent="0.25">
      <c r="A6059" s="37"/>
      <c r="B6059" s="37"/>
      <c r="C6059" s="37"/>
      <c r="F6059" s="38"/>
      <c r="G6059" s="38"/>
      <c r="H6059" s="38"/>
      <c r="I6059" s="37"/>
      <c r="J6059" s="38"/>
      <c r="K6059" s="38"/>
      <c r="L6059" s="42"/>
      <c r="M6059" s="42"/>
      <c r="N6059" s="42"/>
      <c r="O6059" s="42"/>
      <c r="R6059" s="37"/>
      <c r="S6059" s="37"/>
      <c r="T6059" s="91"/>
      <c r="U6059" s="91"/>
      <c r="V6059" s="41"/>
      <c r="W6059" s="37"/>
      <c r="X6059" s="37"/>
      <c r="Y6059" s="43"/>
      <c r="Z6059" s="37"/>
      <c r="AA6059" s="37"/>
      <c r="AD6059" s="37"/>
      <c r="AE6059" s="37"/>
      <c r="AF6059" s="37"/>
    </row>
    <row r="6060" spans="1:32" x14ac:dyDescent="0.25">
      <c r="A6060" s="37"/>
      <c r="B6060" s="37"/>
      <c r="C6060" s="37"/>
      <c r="F6060" s="38"/>
      <c r="G6060" s="38"/>
      <c r="H6060" s="38"/>
      <c r="I6060" s="37"/>
      <c r="J6060" s="38"/>
      <c r="K6060" s="38"/>
      <c r="L6060" s="42"/>
      <c r="M6060" s="42"/>
      <c r="N6060" s="42"/>
      <c r="O6060" s="42"/>
      <c r="R6060" s="37"/>
      <c r="S6060" s="37"/>
      <c r="T6060" s="91"/>
      <c r="U6060" s="91"/>
      <c r="V6060" s="41"/>
      <c r="W6060" s="37"/>
      <c r="X6060" s="37"/>
      <c r="Y6060" s="43"/>
      <c r="Z6060" s="37"/>
      <c r="AA6060" s="37"/>
      <c r="AD6060" s="37"/>
      <c r="AE6060" s="37"/>
      <c r="AF6060" s="37"/>
    </row>
    <row r="6061" spans="1:32" x14ac:dyDescent="0.25">
      <c r="A6061" s="37"/>
      <c r="B6061" s="37"/>
      <c r="C6061" s="37"/>
      <c r="F6061" s="38"/>
      <c r="G6061" s="38"/>
      <c r="H6061" s="38"/>
      <c r="I6061" s="37"/>
      <c r="J6061" s="38"/>
      <c r="K6061" s="38"/>
      <c r="L6061" s="42"/>
      <c r="M6061" s="42"/>
      <c r="N6061" s="42"/>
      <c r="O6061" s="42"/>
      <c r="R6061" s="37"/>
      <c r="S6061" s="37"/>
      <c r="T6061" s="91"/>
      <c r="U6061" s="91"/>
      <c r="V6061" s="41"/>
      <c r="W6061" s="37"/>
      <c r="X6061" s="37"/>
      <c r="Y6061" s="43"/>
      <c r="Z6061" s="37"/>
      <c r="AA6061" s="37"/>
      <c r="AD6061" s="37"/>
      <c r="AE6061" s="37"/>
      <c r="AF6061" s="37"/>
    </row>
    <row r="6062" spans="1:32" x14ac:dyDescent="0.25">
      <c r="A6062" s="37"/>
      <c r="B6062" s="37"/>
      <c r="C6062" s="37"/>
      <c r="F6062" s="38"/>
      <c r="G6062" s="38"/>
      <c r="H6062" s="38"/>
      <c r="I6062" s="37"/>
      <c r="J6062" s="38"/>
      <c r="K6062" s="38"/>
      <c r="L6062" s="42"/>
      <c r="M6062" s="42"/>
      <c r="N6062" s="42"/>
      <c r="O6062" s="42"/>
      <c r="R6062" s="37"/>
      <c r="S6062" s="37"/>
      <c r="T6062" s="91"/>
      <c r="U6062" s="91"/>
      <c r="V6062" s="41"/>
      <c r="W6062" s="37"/>
      <c r="X6062" s="37"/>
      <c r="Y6062" s="43"/>
      <c r="Z6062" s="37"/>
      <c r="AA6062" s="37"/>
      <c r="AD6062" s="37"/>
      <c r="AE6062" s="37"/>
      <c r="AF6062" s="37"/>
    </row>
    <row r="6063" spans="1:32" x14ac:dyDescent="0.25">
      <c r="A6063" s="37"/>
      <c r="B6063" s="37"/>
      <c r="C6063" s="37"/>
      <c r="F6063" s="38"/>
      <c r="G6063" s="38"/>
      <c r="H6063" s="38"/>
      <c r="I6063" s="37"/>
      <c r="J6063" s="38"/>
      <c r="K6063" s="38"/>
      <c r="L6063" s="42"/>
      <c r="M6063" s="42"/>
      <c r="N6063" s="42"/>
      <c r="O6063" s="42"/>
      <c r="R6063" s="37"/>
      <c r="S6063" s="37"/>
      <c r="T6063" s="91"/>
      <c r="U6063" s="91"/>
      <c r="V6063" s="41"/>
      <c r="W6063" s="37"/>
      <c r="X6063" s="37"/>
      <c r="Y6063" s="43"/>
      <c r="Z6063" s="37"/>
      <c r="AA6063" s="37"/>
      <c r="AD6063" s="37"/>
      <c r="AE6063" s="37"/>
      <c r="AF6063" s="37"/>
    </row>
    <row r="6064" spans="1:32" x14ac:dyDescent="0.25">
      <c r="A6064" s="37"/>
      <c r="B6064" s="37"/>
      <c r="C6064" s="37"/>
      <c r="F6064" s="38"/>
      <c r="G6064" s="38"/>
      <c r="H6064" s="38"/>
      <c r="I6064" s="37"/>
      <c r="J6064" s="38"/>
      <c r="K6064" s="38"/>
      <c r="L6064" s="42"/>
      <c r="M6064" s="42"/>
      <c r="N6064" s="42"/>
      <c r="O6064" s="42"/>
      <c r="R6064" s="37"/>
      <c r="S6064" s="37"/>
      <c r="T6064" s="91"/>
      <c r="U6064" s="91"/>
      <c r="V6064" s="41"/>
      <c r="W6064" s="37"/>
      <c r="X6064" s="37"/>
      <c r="Y6064" s="43"/>
      <c r="Z6064" s="37"/>
      <c r="AA6064" s="37"/>
      <c r="AD6064" s="37"/>
      <c r="AE6064" s="37"/>
      <c r="AF6064" s="37"/>
    </row>
    <row r="6065" spans="1:32" x14ac:dyDescent="0.25">
      <c r="A6065" s="37"/>
      <c r="B6065" s="37"/>
      <c r="C6065" s="37"/>
      <c r="F6065" s="38"/>
      <c r="G6065" s="38"/>
      <c r="H6065" s="38"/>
      <c r="I6065" s="37"/>
      <c r="J6065" s="38"/>
      <c r="K6065" s="38"/>
      <c r="L6065" s="42"/>
      <c r="M6065" s="42"/>
      <c r="N6065" s="42"/>
      <c r="O6065" s="42"/>
      <c r="R6065" s="37"/>
      <c r="S6065" s="37"/>
      <c r="T6065" s="91"/>
      <c r="U6065" s="91"/>
      <c r="V6065" s="41"/>
      <c r="W6065" s="37"/>
      <c r="X6065" s="37"/>
      <c r="Y6065" s="43"/>
      <c r="Z6065" s="37"/>
      <c r="AA6065" s="37"/>
      <c r="AD6065" s="37"/>
      <c r="AE6065" s="37"/>
      <c r="AF6065" s="37"/>
    </row>
    <row r="6066" spans="1:32" x14ac:dyDescent="0.25">
      <c r="A6066" s="37"/>
      <c r="B6066" s="37"/>
      <c r="C6066" s="37"/>
      <c r="F6066" s="38"/>
      <c r="G6066" s="38"/>
      <c r="H6066" s="38"/>
      <c r="I6066" s="37"/>
      <c r="J6066" s="38"/>
      <c r="K6066" s="38"/>
      <c r="L6066" s="42"/>
      <c r="M6066" s="42"/>
      <c r="N6066" s="42"/>
      <c r="O6066" s="42"/>
      <c r="R6066" s="37"/>
      <c r="S6066" s="37"/>
      <c r="T6066" s="91"/>
      <c r="U6066" s="91"/>
      <c r="V6066" s="41"/>
      <c r="W6066" s="37"/>
      <c r="X6066" s="37"/>
      <c r="Y6066" s="43"/>
      <c r="Z6066" s="37"/>
      <c r="AA6066" s="37"/>
      <c r="AD6066" s="37"/>
      <c r="AE6066" s="37"/>
      <c r="AF6066" s="37"/>
    </row>
    <row r="6067" spans="1:32" x14ac:dyDescent="0.25">
      <c r="A6067" s="37"/>
      <c r="B6067" s="37"/>
      <c r="C6067" s="37"/>
      <c r="F6067" s="38"/>
      <c r="G6067" s="38"/>
      <c r="H6067" s="38"/>
      <c r="I6067" s="37"/>
      <c r="J6067" s="38"/>
      <c r="K6067" s="38"/>
      <c r="L6067" s="42"/>
      <c r="M6067" s="42"/>
      <c r="N6067" s="42"/>
      <c r="O6067" s="42"/>
      <c r="R6067" s="37"/>
      <c r="S6067" s="37"/>
      <c r="T6067" s="91"/>
      <c r="U6067" s="91"/>
      <c r="V6067" s="41"/>
      <c r="W6067" s="37"/>
      <c r="X6067" s="37"/>
      <c r="Y6067" s="43"/>
      <c r="Z6067" s="37"/>
      <c r="AA6067" s="37"/>
      <c r="AD6067" s="37"/>
      <c r="AE6067" s="37"/>
      <c r="AF6067" s="37"/>
    </row>
    <row r="6068" spans="1:32" x14ac:dyDescent="0.25">
      <c r="A6068" s="37"/>
      <c r="B6068" s="37"/>
      <c r="C6068" s="37"/>
      <c r="F6068" s="38"/>
      <c r="G6068" s="38"/>
      <c r="H6068" s="38"/>
      <c r="I6068" s="37"/>
      <c r="J6068" s="38"/>
      <c r="K6068" s="38"/>
      <c r="L6068" s="42"/>
      <c r="M6068" s="42"/>
      <c r="N6068" s="42"/>
      <c r="O6068" s="42"/>
      <c r="R6068" s="37"/>
      <c r="S6068" s="37"/>
      <c r="T6068" s="91"/>
      <c r="U6068" s="91"/>
      <c r="V6068" s="41"/>
      <c r="W6068" s="37"/>
      <c r="X6068" s="37"/>
      <c r="Y6068" s="43"/>
      <c r="Z6068" s="37"/>
      <c r="AA6068" s="37"/>
      <c r="AD6068" s="37"/>
      <c r="AE6068" s="37"/>
      <c r="AF6068" s="37"/>
    </row>
    <row r="6069" spans="1:32" x14ac:dyDescent="0.25">
      <c r="A6069" s="37"/>
      <c r="B6069" s="37"/>
      <c r="C6069" s="37"/>
      <c r="F6069" s="38"/>
      <c r="G6069" s="38"/>
      <c r="H6069" s="38"/>
      <c r="I6069" s="37"/>
      <c r="J6069" s="38"/>
      <c r="K6069" s="38"/>
      <c r="L6069" s="42"/>
      <c r="M6069" s="42"/>
      <c r="N6069" s="42"/>
      <c r="O6069" s="42"/>
      <c r="R6069" s="37"/>
      <c r="S6069" s="37"/>
      <c r="T6069" s="91"/>
      <c r="U6069" s="91"/>
      <c r="V6069" s="41"/>
      <c r="W6069" s="37"/>
      <c r="X6069" s="37"/>
      <c r="Y6069" s="43"/>
      <c r="Z6069" s="37"/>
      <c r="AA6069" s="37"/>
      <c r="AD6069" s="37"/>
      <c r="AE6069" s="37"/>
      <c r="AF6069" s="37"/>
    </row>
    <row r="6070" spans="1:32" x14ac:dyDescent="0.25">
      <c r="A6070" s="37"/>
      <c r="B6070" s="37"/>
      <c r="C6070" s="37"/>
      <c r="F6070" s="38"/>
      <c r="G6070" s="38"/>
      <c r="H6070" s="38"/>
      <c r="I6070" s="37"/>
      <c r="J6070" s="38"/>
      <c r="K6070" s="38"/>
      <c r="L6070" s="42"/>
      <c r="M6070" s="42"/>
      <c r="N6070" s="42"/>
      <c r="O6070" s="42"/>
      <c r="R6070" s="37"/>
      <c r="S6070" s="37"/>
      <c r="T6070" s="91"/>
      <c r="U6070" s="91"/>
      <c r="V6070" s="41"/>
      <c r="W6070" s="37"/>
      <c r="X6070" s="37"/>
      <c r="Y6070" s="43"/>
      <c r="Z6070" s="37"/>
      <c r="AA6070" s="37"/>
      <c r="AD6070" s="37"/>
      <c r="AE6070" s="37"/>
      <c r="AF6070" s="37"/>
    </row>
    <row r="6071" spans="1:32" x14ac:dyDescent="0.25">
      <c r="A6071" s="37"/>
      <c r="B6071" s="37"/>
      <c r="C6071" s="37"/>
      <c r="F6071" s="38"/>
      <c r="G6071" s="38"/>
      <c r="H6071" s="38"/>
      <c r="I6071" s="37"/>
      <c r="J6071" s="38"/>
      <c r="K6071" s="38"/>
      <c r="L6071" s="42"/>
      <c r="M6071" s="42"/>
      <c r="N6071" s="42"/>
      <c r="O6071" s="42"/>
      <c r="R6071" s="37"/>
      <c r="S6071" s="37"/>
      <c r="T6071" s="91"/>
      <c r="U6071" s="91"/>
      <c r="V6071" s="41"/>
      <c r="W6071" s="37"/>
      <c r="X6071" s="37"/>
      <c r="Y6071" s="43"/>
      <c r="Z6071" s="37"/>
      <c r="AA6071" s="37"/>
      <c r="AD6071" s="37"/>
      <c r="AE6071" s="37"/>
      <c r="AF6071" s="37"/>
    </row>
    <row r="6072" spans="1:32" x14ac:dyDescent="0.25">
      <c r="A6072" s="37"/>
      <c r="B6072" s="37"/>
      <c r="C6072" s="37"/>
      <c r="F6072" s="38"/>
      <c r="G6072" s="38"/>
      <c r="H6072" s="38"/>
      <c r="I6072" s="37"/>
      <c r="J6072" s="38"/>
      <c r="K6072" s="38"/>
      <c r="L6072" s="42"/>
      <c r="M6072" s="42"/>
      <c r="N6072" s="42"/>
      <c r="O6072" s="42"/>
      <c r="R6072" s="37"/>
      <c r="S6072" s="37"/>
      <c r="T6072" s="91"/>
      <c r="U6072" s="91"/>
      <c r="V6072" s="41"/>
      <c r="W6072" s="37"/>
      <c r="X6072" s="37"/>
      <c r="Y6072" s="43"/>
      <c r="Z6072" s="37"/>
      <c r="AA6072" s="37"/>
      <c r="AD6072" s="37"/>
      <c r="AE6072" s="37"/>
      <c r="AF6072" s="37"/>
    </row>
    <row r="6073" spans="1:32" x14ac:dyDescent="0.25">
      <c r="A6073" s="37"/>
      <c r="B6073" s="37"/>
      <c r="C6073" s="37"/>
      <c r="F6073" s="38"/>
      <c r="G6073" s="38"/>
      <c r="H6073" s="38"/>
      <c r="I6073" s="37"/>
      <c r="J6073" s="38"/>
      <c r="K6073" s="38"/>
      <c r="L6073" s="42"/>
      <c r="M6073" s="42"/>
      <c r="N6073" s="42"/>
      <c r="O6073" s="42"/>
      <c r="R6073" s="37"/>
      <c r="S6073" s="37"/>
      <c r="T6073" s="91"/>
      <c r="U6073" s="91"/>
      <c r="V6073" s="41"/>
      <c r="W6073" s="37"/>
      <c r="X6073" s="37"/>
      <c r="Y6073" s="43"/>
      <c r="Z6073" s="37"/>
      <c r="AA6073" s="37"/>
      <c r="AD6073" s="37"/>
      <c r="AE6073" s="37"/>
      <c r="AF6073" s="37"/>
    </row>
    <row r="6074" spans="1:32" x14ac:dyDescent="0.25">
      <c r="A6074" s="37"/>
      <c r="B6074" s="37"/>
      <c r="C6074" s="37"/>
      <c r="F6074" s="38"/>
      <c r="G6074" s="38"/>
      <c r="H6074" s="38"/>
      <c r="I6074" s="37"/>
      <c r="J6074" s="38"/>
      <c r="K6074" s="38"/>
      <c r="L6074" s="42"/>
      <c r="M6074" s="42"/>
      <c r="N6074" s="42"/>
      <c r="O6074" s="42"/>
      <c r="R6074" s="37"/>
      <c r="S6074" s="37"/>
      <c r="T6074" s="91"/>
      <c r="U6074" s="91"/>
      <c r="V6074" s="41"/>
      <c r="W6074" s="37"/>
      <c r="X6074" s="37"/>
      <c r="Y6074" s="43"/>
      <c r="Z6074" s="37"/>
      <c r="AA6074" s="37"/>
      <c r="AD6074" s="37"/>
      <c r="AE6074" s="37"/>
      <c r="AF6074" s="37"/>
    </row>
    <row r="6075" spans="1:32" x14ac:dyDescent="0.25">
      <c r="A6075" s="37"/>
      <c r="B6075" s="37"/>
      <c r="C6075" s="37"/>
      <c r="F6075" s="38"/>
      <c r="G6075" s="38"/>
      <c r="H6075" s="38"/>
      <c r="I6075" s="37"/>
      <c r="J6075" s="38"/>
      <c r="K6075" s="38"/>
      <c r="L6075" s="42"/>
      <c r="M6075" s="42"/>
      <c r="N6075" s="42"/>
      <c r="O6075" s="42"/>
      <c r="R6075" s="37"/>
      <c r="S6075" s="37"/>
      <c r="T6075" s="91"/>
      <c r="U6075" s="91"/>
      <c r="V6075" s="41"/>
      <c r="W6075" s="37"/>
      <c r="X6075" s="37"/>
      <c r="Y6075" s="43"/>
      <c r="Z6075" s="37"/>
      <c r="AA6075" s="37"/>
      <c r="AD6075" s="37"/>
      <c r="AE6075" s="37"/>
      <c r="AF6075" s="37"/>
    </row>
    <row r="6076" spans="1:32" x14ac:dyDescent="0.25">
      <c r="A6076" s="37"/>
      <c r="B6076" s="37"/>
      <c r="C6076" s="37"/>
      <c r="F6076" s="38"/>
      <c r="G6076" s="38"/>
      <c r="H6076" s="38"/>
      <c r="I6076" s="37"/>
      <c r="J6076" s="38"/>
      <c r="K6076" s="38"/>
      <c r="L6076" s="42"/>
      <c r="M6076" s="42"/>
      <c r="N6076" s="42"/>
      <c r="O6076" s="42"/>
      <c r="R6076" s="37"/>
      <c r="S6076" s="37"/>
      <c r="T6076" s="91"/>
      <c r="U6076" s="91"/>
      <c r="V6076" s="41"/>
      <c r="W6076" s="37"/>
      <c r="X6076" s="37"/>
      <c r="Y6076" s="43"/>
      <c r="Z6076" s="37"/>
      <c r="AA6076" s="37"/>
      <c r="AD6076" s="37"/>
      <c r="AE6076" s="37"/>
      <c r="AF6076" s="37"/>
    </row>
    <row r="6077" spans="1:32" x14ac:dyDescent="0.25">
      <c r="A6077" s="37"/>
      <c r="B6077" s="37"/>
      <c r="C6077" s="37"/>
      <c r="F6077" s="38"/>
      <c r="G6077" s="38"/>
      <c r="H6077" s="38"/>
      <c r="I6077" s="37"/>
      <c r="J6077" s="38"/>
      <c r="K6077" s="38"/>
      <c r="L6077" s="42"/>
      <c r="M6077" s="42"/>
      <c r="N6077" s="42"/>
      <c r="O6077" s="42"/>
      <c r="R6077" s="37"/>
      <c r="S6077" s="37"/>
      <c r="T6077" s="91"/>
      <c r="U6077" s="91"/>
      <c r="V6077" s="41"/>
      <c r="W6077" s="37"/>
      <c r="X6077" s="37"/>
      <c r="Y6077" s="43"/>
      <c r="Z6077" s="37"/>
      <c r="AA6077" s="37"/>
      <c r="AD6077" s="37"/>
      <c r="AE6077" s="37"/>
      <c r="AF6077" s="37"/>
    </row>
    <row r="6078" spans="1:32" x14ac:dyDescent="0.25">
      <c r="A6078" s="37"/>
      <c r="B6078" s="37"/>
      <c r="C6078" s="37"/>
      <c r="F6078" s="38"/>
      <c r="G6078" s="38"/>
      <c r="H6078" s="38"/>
      <c r="I6078" s="37"/>
      <c r="J6078" s="38"/>
      <c r="K6078" s="38"/>
      <c r="L6078" s="42"/>
      <c r="M6078" s="42"/>
      <c r="N6078" s="42"/>
      <c r="O6078" s="42"/>
      <c r="R6078" s="37"/>
      <c r="S6078" s="37"/>
      <c r="T6078" s="91"/>
      <c r="U6078" s="91"/>
      <c r="V6078" s="41"/>
      <c r="W6078" s="37"/>
      <c r="X6078" s="37"/>
      <c r="Y6078" s="43"/>
      <c r="Z6078" s="37"/>
      <c r="AA6078" s="37"/>
      <c r="AD6078" s="37"/>
      <c r="AE6078" s="37"/>
      <c r="AF6078" s="37"/>
    </row>
    <row r="6079" spans="1:32" x14ac:dyDescent="0.25">
      <c r="A6079" s="37"/>
      <c r="B6079" s="37"/>
      <c r="C6079" s="37"/>
      <c r="F6079" s="38"/>
      <c r="G6079" s="38"/>
      <c r="H6079" s="38"/>
      <c r="I6079" s="37"/>
      <c r="J6079" s="38"/>
      <c r="K6079" s="38"/>
      <c r="L6079" s="42"/>
      <c r="M6079" s="42"/>
      <c r="N6079" s="42"/>
      <c r="O6079" s="42"/>
      <c r="R6079" s="37"/>
      <c r="S6079" s="37"/>
      <c r="T6079" s="91"/>
      <c r="U6079" s="91"/>
      <c r="V6079" s="41"/>
      <c r="W6079" s="37"/>
      <c r="X6079" s="37"/>
      <c r="Y6079" s="43"/>
      <c r="Z6079" s="37"/>
      <c r="AA6079" s="37"/>
      <c r="AD6079" s="37"/>
      <c r="AE6079" s="37"/>
      <c r="AF6079" s="37"/>
    </row>
    <row r="6080" spans="1:32" x14ac:dyDescent="0.25">
      <c r="A6080" s="37"/>
      <c r="B6080" s="37"/>
      <c r="C6080" s="37"/>
      <c r="F6080" s="38"/>
      <c r="G6080" s="38"/>
      <c r="H6080" s="38"/>
      <c r="I6080" s="37"/>
      <c r="J6080" s="38"/>
      <c r="K6080" s="38"/>
      <c r="L6080" s="42"/>
      <c r="M6080" s="42"/>
      <c r="N6080" s="42"/>
      <c r="O6080" s="42"/>
      <c r="R6080" s="37"/>
      <c r="S6080" s="37"/>
      <c r="T6080" s="91"/>
      <c r="U6080" s="91"/>
      <c r="V6080" s="41"/>
      <c r="W6080" s="37"/>
      <c r="X6080" s="37"/>
      <c r="Y6080" s="43"/>
      <c r="Z6080" s="37"/>
      <c r="AA6080" s="37"/>
      <c r="AD6080" s="37"/>
      <c r="AE6080" s="37"/>
      <c r="AF6080" s="37"/>
    </row>
    <row r="6081" spans="1:32" x14ac:dyDescent="0.25">
      <c r="A6081" s="37"/>
      <c r="B6081" s="37"/>
      <c r="C6081" s="37"/>
      <c r="F6081" s="38"/>
      <c r="G6081" s="38"/>
      <c r="H6081" s="38"/>
      <c r="I6081" s="37"/>
      <c r="J6081" s="38"/>
      <c r="K6081" s="38"/>
      <c r="L6081" s="42"/>
      <c r="M6081" s="42"/>
      <c r="N6081" s="42"/>
      <c r="O6081" s="42"/>
      <c r="R6081" s="37"/>
      <c r="S6081" s="37"/>
      <c r="T6081" s="91"/>
      <c r="U6081" s="91"/>
      <c r="V6081" s="41"/>
      <c r="W6081" s="37"/>
      <c r="X6081" s="37"/>
      <c r="Y6081" s="43"/>
      <c r="Z6081" s="37"/>
      <c r="AA6081" s="37"/>
      <c r="AD6081" s="37"/>
      <c r="AE6081" s="37"/>
      <c r="AF6081" s="37"/>
    </row>
    <row r="6082" spans="1:32" x14ac:dyDescent="0.25">
      <c r="A6082" s="37"/>
      <c r="B6082" s="37"/>
      <c r="C6082" s="37"/>
      <c r="F6082" s="38"/>
      <c r="G6082" s="38"/>
      <c r="H6082" s="38"/>
      <c r="I6082" s="37"/>
      <c r="J6082" s="38"/>
      <c r="K6082" s="38"/>
      <c r="L6082" s="42"/>
      <c r="M6082" s="42"/>
      <c r="N6082" s="42"/>
      <c r="O6082" s="42"/>
      <c r="R6082" s="37"/>
      <c r="S6082" s="37"/>
      <c r="T6082" s="91"/>
      <c r="U6082" s="91"/>
      <c r="V6082" s="41"/>
      <c r="W6082" s="37"/>
      <c r="X6082" s="37"/>
      <c r="Y6082" s="43"/>
      <c r="Z6082" s="37"/>
      <c r="AA6082" s="37"/>
      <c r="AD6082" s="37"/>
      <c r="AE6082" s="37"/>
      <c r="AF6082" s="37"/>
    </row>
    <row r="6083" spans="1:32" x14ac:dyDescent="0.25">
      <c r="A6083" s="37"/>
      <c r="B6083" s="37"/>
      <c r="C6083" s="37"/>
      <c r="F6083" s="38"/>
      <c r="G6083" s="38"/>
      <c r="H6083" s="38"/>
      <c r="I6083" s="37"/>
      <c r="J6083" s="38"/>
      <c r="K6083" s="38"/>
      <c r="L6083" s="42"/>
      <c r="M6083" s="42"/>
      <c r="N6083" s="42"/>
      <c r="O6083" s="42"/>
      <c r="R6083" s="37"/>
      <c r="S6083" s="37"/>
      <c r="T6083" s="91"/>
      <c r="U6083" s="91"/>
      <c r="V6083" s="41"/>
      <c r="W6083" s="37"/>
      <c r="X6083" s="37"/>
      <c r="Y6083" s="43"/>
      <c r="Z6083" s="37"/>
      <c r="AA6083" s="37"/>
      <c r="AD6083" s="37"/>
      <c r="AE6083" s="37"/>
      <c r="AF6083" s="37"/>
    </row>
    <row r="6084" spans="1:32" x14ac:dyDescent="0.25">
      <c r="A6084" s="37"/>
      <c r="B6084" s="37"/>
      <c r="C6084" s="37"/>
      <c r="F6084" s="38"/>
      <c r="G6084" s="38"/>
      <c r="H6084" s="38"/>
      <c r="I6084" s="37"/>
      <c r="J6084" s="38"/>
      <c r="K6084" s="38"/>
      <c r="L6084" s="42"/>
      <c r="M6084" s="42"/>
      <c r="N6084" s="42"/>
      <c r="O6084" s="42"/>
      <c r="R6084" s="37"/>
      <c r="S6084" s="37"/>
      <c r="T6084" s="91"/>
      <c r="U6084" s="91"/>
      <c r="V6084" s="41"/>
      <c r="W6084" s="37"/>
      <c r="X6084" s="37"/>
      <c r="Y6084" s="43"/>
      <c r="Z6084" s="37"/>
      <c r="AA6084" s="37"/>
      <c r="AD6084" s="37"/>
      <c r="AE6084" s="37"/>
      <c r="AF6084" s="37"/>
    </row>
    <row r="6085" spans="1:32" x14ac:dyDescent="0.25">
      <c r="A6085" s="37"/>
      <c r="B6085" s="37"/>
      <c r="C6085" s="37"/>
      <c r="F6085" s="38"/>
      <c r="G6085" s="38"/>
      <c r="H6085" s="38"/>
      <c r="I6085" s="37"/>
      <c r="J6085" s="38"/>
      <c r="K6085" s="38"/>
      <c r="L6085" s="42"/>
      <c r="M6085" s="42"/>
      <c r="N6085" s="42"/>
      <c r="O6085" s="42"/>
      <c r="R6085" s="37"/>
      <c r="S6085" s="37"/>
      <c r="T6085" s="91"/>
      <c r="U6085" s="91"/>
      <c r="V6085" s="41"/>
      <c r="W6085" s="37"/>
      <c r="X6085" s="37"/>
      <c r="Y6085" s="43"/>
      <c r="Z6085" s="37"/>
      <c r="AA6085" s="37"/>
      <c r="AD6085" s="37"/>
      <c r="AE6085" s="37"/>
      <c r="AF6085" s="37"/>
    </row>
    <row r="6086" spans="1:32" x14ac:dyDescent="0.25">
      <c r="A6086" s="37"/>
      <c r="B6086" s="37"/>
      <c r="C6086" s="37"/>
      <c r="F6086" s="38"/>
      <c r="G6086" s="38"/>
      <c r="H6086" s="38"/>
      <c r="I6086" s="37"/>
      <c r="J6086" s="38"/>
      <c r="K6086" s="38"/>
      <c r="L6086" s="42"/>
      <c r="M6086" s="42"/>
      <c r="N6086" s="42"/>
      <c r="O6086" s="42"/>
      <c r="R6086" s="37"/>
      <c r="S6086" s="37"/>
      <c r="T6086" s="91"/>
      <c r="U6086" s="91"/>
      <c r="V6086" s="41"/>
      <c r="W6086" s="37"/>
      <c r="X6086" s="37"/>
      <c r="Y6086" s="43"/>
      <c r="Z6086" s="37"/>
      <c r="AA6086" s="37"/>
      <c r="AD6086" s="37"/>
      <c r="AE6086" s="37"/>
      <c r="AF6086" s="37"/>
    </row>
    <row r="6087" spans="1:32" x14ac:dyDescent="0.25">
      <c r="A6087" s="37"/>
      <c r="B6087" s="37"/>
      <c r="C6087" s="37"/>
      <c r="F6087" s="38"/>
      <c r="G6087" s="38"/>
      <c r="H6087" s="38"/>
      <c r="I6087" s="37"/>
      <c r="J6087" s="38"/>
      <c r="K6087" s="38"/>
      <c r="L6087" s="42"/>
      <c r="M6087" s="42"/>
      <c r="N6087" s="42"/>
      <c r="O6087" s="42"/>
      <c r="R6087" s="37"/>
      <c r="S6087" s="37"/>
      <c r="T6087" s="91"/>
      <c r="U6087" s="91"/>
      <c r="V6087" s="41"/>
      <c r="W6087" s="37"/>
      <c r="X6087" s="37"/>
      <c r="Y6087" s="43"/>
      <c r="Z6087" s="37"/>
      <c r="AA6087" s="37"/>
      <c r="AD6087" s="37"/>
      <c r="AE6087" s="37"/>
      <c r="AF6087" s="37"/>
    </row>
    <row r="6088" spans="1:32" x14ac:dyDescent="0.25">
      <c r="A6088" s="37"/>
      <c r="B6088" s="37"/>
      <c r="C6088" s="37"/>
      <c r="F6088" s="38"/>
      <c r="G6088" s="38"/>
      <c r="H6088" s="38"/>
      <c r="I6088" s="37"/>
      <c r="J6088" s="38"/>
      <c r="K6088" s="38"/>
      <c r="L6088" s="42"/>
      <c r="M6088" s="42"/>
      <c r="N6088" s="42"/>
      <c r="O6088" s="42"/>
      <c r="R6088" s="37"/>
      <c r="S6088" s="37"/>
      <c r="T6088" s="91"/>
      <c r="U6088" s="91"/>
      <c r="V6088" s="41"/>
      <c r="W6088" s="37"/>
      <c r="X6088" s="37"/>
      <c r="Y6088" s="43"/>
      <c r="Z6088" s="37"/>
      <c r="AA6088" s="37"/>
      <c r="AD6088" s="37"/>
      <c r="AE6088" s="37"/>
      <c r="AF6088" s="37"/>
    </row>
    <row r="6089" spans="1:32" x14ac:dyDescent="0.25">
      <c r="A6089" s="37"/>
      <c r="B6089" s="37"/>
      <c r="C6089" s="37"/>
      <c r="F6089" s="38"/>
      <c r="G6089" s="38"/>
      <c r="H6089" s="38"/>
      <c r="I6089" s="37"/>
      <c r="J6089" s="38"/>
      <c r="K6089" s="38"/>
      <c r="L6089" s="42"/>
      <c r="M6089" s="42"/>
      <c r="N6089" s="42"/>
      <c r="O6089" s="42"/>
      <c r="R6089" s="37"/>
      <c r="S6089" s="37"/>
      <c r="T6089" s="91"/>
      <c r="U6089" s="91"/>
      <c r="V6089" s="41"/>
      <c r="W6089" s="37"/>
      <c r="X6089" s="37"/>
      <c r="Y6089" s="43"/>
      <c r="Z6089" s="37"/>
      <c r="AA6089" s="37"/>
      <c r="AD6089" s="37"/>
      <c r="AE6089" s="37"/>
      <c r="AF6089" s="37"/>
    </row>
    <row r="6090" spans="1:32" x14ac:dyDescent="0.25">
      <c r="A6090" s="37"/>
      <c r="B6090" s="37"/>
      <c r="C6090" s="37"/>
      <c r="F6090" s="38"/>
      <c r="G6090" s="38"/>
      <c r="H6090" s="38"/>
      <c r="I6090" s="37"/>
      <c r="J6090" s="38"/>
      <c r="K6090" s="38"/>
      <c r="L6090" s="42"/>
      <c r="M6090" s="42"/>
      <c r="N6090" s="42"/>
      <c r="O6090" s="42"/>
      <c r="R6090" s="37"/>
      <c r="S6090" s="37"/>
      <c r="T6090" s="91"/>
      <c r="U6090" s="91"/>
      <c r="V6090" s="41"/>
      <c r="W6090" s="37"/>
      <c r="X6090" s="37"/>
      <c r="Y6090" s="43"/>
      <c r="Z6090" s="37"/>
      <c r="AA6090" s="37"/>
      <c r="AD6090" s="37"/>
      <c r="AE6090" s="37"/>
      <c r="AF6090" s="37"/>
    </row>
    <row r="6091" spans="1:32" x14ac:dyDescent="0.25">
      <c r="A6091" s="37"/>
      <c r="B6091" s="37"/>
      <c r="C6091" s="37"/>
      <c r="F6091" s="38"/>
      <c r="G6091" s="38"/>
      <c r="H6091" s="38"/>
      <c r="I6091" s="37"/>
      <c r="J6091" s="38"/>
      <c r="K6091" s="38"/>
      <c r="L6091" s="42"/>
      <c r="M6091" s="42"/>
      <c r="N6091" s="42"/>
      <c r="O6091" s="42"/>
      <c r="R6091" s="37"/>
      <c r="S6091" s="37"/>
      <c r="T6091" s="91"/>
      <c r="U6091" s="91"/>
      <c r="V6091" s="41"/>
      <c r="W6091" s="37"/>
      <c r="X6091" s="37"/>
      <c r="Y6091" s="43"/>
      <c r="Z6091" s="37"/>
      <c r="AA6091" s="37"/>
      <c r="AD6091" s="37"/>
      <c r="AE6091" s="37"/>
      <c r="AF6091" s="37"/>
    </row>
    <row r="6092" spans="1:32" x14ac:dyDescent="0.25">
      <c r="A6092" s="37"/>
      <c r="B6092" s="37"/>
      <c r="C6092" s="37"/>
      <c r="F6092" s="38"/>
      <c r="G6092" s="38"/>
      <c r="H6092" s="38"/>
      <c r="I6092" s="37"/>
      <c r="J6092" s="38"/>
      <c r="K6092" s="38"/>
      <c r="L6092" s="42"/>
      <c r="M6092" s="42"/>
      <c r="N6092" s="42"/>
      <c r="O6092" s="42"/>
      <c r="R6092" s="37"/>
      <c r="S6092" s="37"/>
      <c r="T6092" s="91"/>
      <c r="U6092" s="91"/>
      <c r="V6092" s="41"/>
      <c r="W6092" s="37"/>
      <c r="X6092" s="37"/>
      <c r="Y6092" s="43"/>
      <c r="Z6092" s="37"/>
      <c r="AA6092" s="37"/>
      <c r="AD6092" s="37"/>
      <c r="AE6092" s="37"/>
      <c r="AF6092" s="37"/>
    </row>
    <row r="6093" spans="1:32" x14ac:dyDescent="0.25">
      <c r="A6093" s="37"/>
      <c r="B6093" s="37"/>
      <c r="C6093" s="37"/>
      <c r="F6093" s="38"/>
      <c r="G6093" s="38"/>
      <c r="H6093" s="38"/>
      <c r="I6093" s="37"/>
      <c r="J6093" s="38"/>
      <c r="K6093" s="38"/>
      <c r="L6093" s="42"/>
      <c r="M6093" s="42"/>
      <c r="N6093" s="42"/>
      <c r="O6093" s="42"/>
      <c r="R6093" s="37"/>
      <c r="S6093" s="37"/>
      <c r="T6093" s="91"/>
      <c r="U6093" s="91"/>
      <c r="V6093" s="41"/>
      <c r="W6093" s="37"/>
      <c r="X6093" s="37"/>
      <c r="Y6093" s="43"/>
      <c r="Z6093" s="37"/>
      <c r="AA6093" s="37"/>
      <c r="AD6093" s="37"/>
      <c r="AE6093" s="37"/>
      <c r="AF6093" s="37"/>
    </row>
    <row r="6094" spans="1:32" x14ac:dyDescent="0.25">
      <c r="A6094" s="37"/>
      <c r="B6094" s="37"/>
      <c r="C6094" s="37"/>
      <c r="F6094" s="38"/>
      <c r="G6094" s="38"/>
      <c r="H6094" s="38"/>
      <c r="I6094" s="37"/>
      <c r="J6094" s="38"/>
      <c r="K6094" s="38"/>
      <c r="L6094" s="42"/>
      <c r="M6094" s="42"/>
      <c r="N6094" s="42"/>
      <c r="O6094" s="42"/>
      <c r="R6094" s="37"/>
      <c r="S6094" s="37"/>
      <c r="T6094" s="91"/>
      <c r="U6094" s="91"/>
      <c r="V6094" s="41"/>
      <c r="W6094" s="37"/>
      <c r="X6094" s="37"/>
      <c r="Y6094" s="43"/>
      <c r="Z6094" s="37"/>
      <c r="AA6094" s="37"/>
      <c r="AD6094" s="37"/>
      <c r="AE6094" s="37"/>
      <c r="AF6094" s="37"/>
    </row>
    <row r="6095" spans="1:32" x14ac:dyDescent="0.25">
      <c r="A6095" s="37"/>
      <c r="B6095" s="37"/>
      <c r="C6095" s="37"/>
      <c r="F6095" s="38"/>
      <c r="G6095" s="38"/>
      <c r="H6095" s="38"/>
      <c r="I6095" s="37"/>
      <c r="J6095" s="38"/>
      <c r="K6095" s="38"/>
      <c r="L6095" s="42"/>
      <c r="M6095" s="42"/>
      <c r="N6095" s="42"/>
      <c r="O6095" s="42"/>
      <c r="R6095" s="37"/>
      <c r="S6095" s="37"/>
      <c r="T6095" s="91"/>
      <c r="U6095" s="91"/>
      <c r="V6095" s="41"/>
      <c r="W6095" s="37"/>
      <c r="X6095" s="37"/>
      <c r="Y6095" s="43"/>
      <c r="Z6095" s="37"/>
      <c r="AA6095" s="37"/>
      <c r="AD6095" s="37"/>
      <c r="AE6095" s="37"/>
      <c r="AF6095" s="37"/>
    </row>
    <row r="6096" spans="1:32" x14ac:dyDescent="0.25">
      <c r="A6096" s="37"/>
      <c r="B6096" s="37"/>
      <c r="C6096" s="37"/>
      <c r="F6096" s="38"/>
      <c r="G6096" s="38"/>
      <c r="H6096" s="38"/>
      <c r="I6096" s="37"/>
      <c r="J6096" s="38"/>
      <c r="K6096" s="38"/>
      <c r="L6096" s="42"/>
      <c r="M6096" s="42"/>
      <c r="N6096" s="42"/>
      <c r="O6096" s="42"/>
      <c r="R6096" s="37"/>
      <c r="S6096" s="37"/>
      <c r="T6096" s="91"/>
      <c r="U6096" s="91"/>
      <c r="V6096" s="41"/>
      <c r="W6096" s="37"/>
      <c r="X6096" s="37"/>
      <c r="Y6096" s="43"/>
      <c r="Z6096" s="37"/>
      <c r="AA6096" s="37"/>
      <c r="AD6096" s="37"/>
      <c r="AE6096" s="37"/>
      <c r="AF6096" s="37"/>
    </row>
    <row r="6097" spans="1:32" x14ac:dyDescent="0.25">
      <c r="A6097" s="37"/>
      <c r="B6097" s="37"/>
      <c r="C6097" s="37"/>
      <c r="F6097" s="38"/>
      <c r="G6097" s="38"/>
      <c r="H6097" s="38"/>
      <c r="I6097" s="37"/>
      <c r="J6097" s="38"/>
      <c r="K6097" s="38"/>
      <c r="L6097" s="42"/>
      <c r="M6097" s="42"/>
      <c r="N6097" s="42"/>
      <c r="O6097" s="42"/>
      <c r="R6097" s="37"/>
      <c r="S6097" s="37"/>
      <c r="T6097" s="91"/>
      <c r="U6097" s="91"/>
      <c r="V6097" s="41"/>
      <c r="W6097" s="37"/>
      <c r="X6097" s="37"/>
      <c r="Y6097" s="43"/>
      <c r="Z6097" s="37"/>
      <c r="AA6097" s="37"/>
      <c r="AD6097" s="37"/>
      <c r="AE6097" s="37"/>
      <c r="AF6097" s="37"/>
    </row>
    <row r="6098" spans="1:32" x14ac:dyDescent="0.25">
      <c r="A6098" s="37"/>
      <c r="B6098" s="37"/>
      <c r="C6098" s="37"/>
      <c r="F6098" s="38"/>
      <c r="G6098" s="38"/>
      <c r="H6098" s="38"/>
      <c r="I6098" s="37"/>
      <c r="J6098" s="38"/>
      <c r="K6098" s="38"/>
      <c r="L6098" s="42"/>
      <c r="M6098" s="42"/>
      <c r="N6098" s="42"/>
      <c r="O6098" s="42"/>
      <c r="R6098" s="37"/>
      <c r="S6098" s="37"/>
      <c r="T6098" s="91"/>
      <c r="U6098" s="91"/>
      <c r="V6098" s="41"/>
      <c r="W6098" s="37"/>
      <c r="X6098" s="37"/>
      <c r="Y6098" s="43"/>
      <c r="Z6098" s="37"/>
      <c r="AA6098" s="37"/>
      <c r="AD6098" s="37"/>
      <c r="AE6098" s="37"/>
      <c r="AF6098" s="37"/>
    </row>
    <row r="6099" spans="1:32" x14ac:dyDescent="0.25">
      <c r="A6099" s="37"/>
      <c r="B6099" s="37"/>
      <c r="C6099" s="37"/>
      <c r="F6099" s="38"/>
      <c r="G6099" s="38"/>
      <c r="H6099" s="38"/>
      <c r="I6099" s="37"/>
      <c r="J6099" s="38"/>
      <c r="K6099" s="38"/>
      <c r="L6099" s="42"/>
      <c r="M6099" s="42"/>
      <c r="N6099" s="42"/>
      <c r="O6099" s="42"/>
      <c r="R6099" s="37"/>
      <c r="S6099" s="37"/>
      <c r="T6099" s="91"/>
      <c r="U6099" s="91"/>
      <c r="V6099" s="41"/>
      <c r="W6099" s="37"/>
      <c r="X6099" s="37"/>
      <c r="Y6099" s="43"/>
      <c r="Z6099" s="37"/>
      <c r="AA6099" s="37"/>
      <c r="AD6099" s="37"/>
      <c r="AE6099" s="37"/>
      <c r="AF6099" s="37"/>
    </row>
    <row r="6100" spans="1:32" x14ac:dyDescent="0.25">
      <c r="A6100" s="37"/>
      <c r="B6100" s="37"/>
      <c r="C6100" s="37"/>
      <c r="F6100" s="38"/>
      <c r="G6100" s="38"/>
      <c r="H6100" s="38"/>
      <c r="I6100" s="37"/>
      <c r="J6100" s="38"/>
      <c r="K6100" s="38"/>
      <c r="L6100" s="42"/>
      <c r="M6100" s="42"/>
      <c r="N6100" s="42"/>
      <c r="O6100" s="42"/>
      <c r="R6100" s="37"/>
      <c r="S6100" s="37"/>
      <c r="T6100" s="91"/>
      <c r="U6100" s="91"/>
      <c r="V6100" s="41"/>
      <c r="W6100" s="37"/>
      <c r="X6100" s="37"/>
      <c r="Y6100" s="43"/>
      <c r="Z6100" s="37"/>
      <c r="AA6100" s="37"/>
      <c r="AD6100" s="37"/>
      <c r="AE6100" s="37"/>
      <c r="AF6100" s="37"/>
    </row>
    <row r="6101" spans="1:32" x14ac:dyDescent="0.25">
      <c r="A6101" s="37"/>
      <c r="B6101" s="37"/>
      <c r="C6101" s="37"/>
      <c r="F6101" s="38"/>
      <c r="G6101" s="38"/>
      <c r="H6101" s="38"/>
      <c r="I6101" s="37"/>
      <c r="J6101" s="38"/>
      <c r="K6101" s="38"/>
      <c r="L6101" s="42"/>
      <c r="M6101" s="42"/>
      <c r="N6101" s="42"/>
      <c r="O6101" s="42"/>
      <c r="R6101" s="37"/>
      <c r="S6101" s="37"/>
      <c r="T6101" s="91"/>
      <c r="U6101" s="91"/>
      <c r="V6101" s="41"/>
      <c r="W6101" s="37"/>
      <c r="X6101" s="37"/>
      <c r="Y6101" s="43"/>
      <c r="Z6101" s="37"/>
      <c r="AA6101" s="37"/>
      <c r="AD6101" s="37"/>
      <c r="AE6101" s="37"/>
      <c r="AF6101" s="37"/>
    </row>
    <row r="6102" spans="1:32" x14ac:dyDescent="0.25">
      <c r="A6102" s="37"/>
      <c r="B6102" s="37"/>
      <c r="C6102" s="37"/>
      <c r="F6102" s="38"/>
      <c r="G6102" s="38"/>
      <c r="H6102" s="38"/>
      <c r="I6102" s="37"/>
      <c r="J6102" s="38"/>
      <c r="K6102" s="38"/>
      <c r="L6102" s="42"/>
      <c r="M6102" s="42"/>
      <c r="N6102" s="42"/>
      <c r="O6102" s="42"/>
      <c r="R6102" s="37"/>
      <c r="S6102" s="37"/>
      <c r="T6102" s="91"/>
      <c r="U6102" s="91"/>
      <c r="V6102" s="41"/>
      <c r="W6102" s="37"/>
      <c r="X6102" s="37"/>
      <c r="Y6102" s="43"/>
      <c r="Z6102" s="37"/>
      <c r="AA6102" s="37"/>
      <c r="AD6102" s="37"/>
      <c r="AE6102" s="37"/>
      <c r="AF6102" s="37"/>
    </row>
    <row r="6103" spans="1:32" x14ac:dyDescent="0.25">
      <c r="A6103" s="37"/>
      <c r="B6103" s="37"/>
      <c r="C6103" s="37"/>
      <c r="F6103" s="38"/>
      <c r="G6103" s="38"/>
      <c r="H6103" s="38"/>
      <c r="I6103" s="37"/>
      <c r="J6103" s="38"/>
      <c r="K6103" s="38"/>
      <c r="L6103" s="42"/>
      <c r="M6103" s="42"/>
      <c r="N6103" s="42"/>
      <c r="O6103" s="42"/>
      <c r="R6103" s="37"/>
      <c r="S6103" s="37"/>
      <c r="T6103" s="91"/>
      <c r="U6103" s="91"/>
      <c r="V6103" s="41"/>
      <c r="W6103" s="37"/>
      <c r="X6103" s="37"/>
      <c r="Y6103" s="43"/>
      <c r="Z6103" s="37"/>
      <c r="AA6103" s="37"/>
      <c r="AD6103" s="37"/>
      <c r="AE6103" s="37"/>
      <c r="AF6103" s="37"/>
    </row>
    <row r="6104" spans="1:32" x14ac:dyDescent="0.25">
      <c r="A6104" s="37"/>
      <c r="B6104" s="37"/>
      <c r="C6104" s="37"/>
      <c r="F6104" s="38"/>
      <c r="G6104" s="38"/>
      <c r="H6104" s="38"/>
      <c r="I6104" s="37"/>
      <c r="J6104" s="38"/>
      <c r="K6104" s="38"/>
      <c r="L6104" s="42"/>
      <c r="M6104" s="42"/>
      <c r="N6104" s="42"/>
      <c r="O6104" s="42"/>
      <c r="R6104" s="37"/>
      <c r="S6104" s="37"/>
      <c r="T6104" s="91"/>
      <c r="U6104" s="91"/>
      <c r="V6104" s="41"/>
      <c r="W6104" s="37"/>
      <c r="X6104" s="37"/>
      <c r="Y6104" s="43"/>
      <c r="Z6104" s="37"/>
      <c r="AA6104" s="37"/>
      <c r="AD6104" s="37"/>
      <c r="AE6104" s="37"/>
      <c r="AF6104" s="37"/>
    </row>
    <row r="6105" spans="1:32" x14ac:dyDescent="0.25">
      <c r="A6105" s="37"/>
      <c r="B6105" s="37"/>
      <c r="C6105" s="37"/>
      <c r="F6105" s="38"/>
      <c r="G6105" s="38"/>
      <c r="H6105" s="38"/>
      <c r="I6105" s="37"/>
      <c r="J6105" s="38"/>
      <c r="K6105" s="38"/>
      <c r="L6105" s="42"/>
      <c r="M6105" s="42"/>
      <c r="N6105" s="42"/>
      <c r="O6105" s="42"/>
      <c r="R6105" s="37"/>
      <c r="S6105" s="37"/>
      <c r="T6105" s="91"/>
      <c r="U6105" s="91"/>
      <c r="V6105" s="41"/>
      <c r="W6105" s="37"/>
      <c r="X6105" s="37"/>
      <c r="Y6105" s="43"/>
      <c r="Z6105" s="37"/>
      <c r="AA6105" s="37"/>
      <c r="AD6105" s="37"/>
      <c r="AE6105" s="37"/>
      <c r="AF6105" s="37"/>
    </row>
    <row r="6106" spans="1:32" x14ac:dyDescent="0.25">
      <c r="A6106" s="37"/>
      <c r="B6106" s="37"/>
      <c r="C6106" s="37"/>
      <c r="F6106" s="38"/>
      <c r="G6106" s="38"/>
      <c r="H6106" s="38"/>
      <c r="I6106" s="37"/>
      <c r="J6106" s="38"/>
      <c r="K6106" s="38"/>
      <c r="L6106" s="42"/>
      <c r="M6106" s="42"/>
      <c r="N6106" s="42"/>
      <c r="O6106" s="42"/>
      <c r="R6106" s="37"/>
      <c r="S6106" s="37"/>
      <c r="T6106" s="91"/>
      <c r="U6106" s="91"/>
      <c r="V6106" s="41"/>
      <c r="W6106" s="37"/>
      <c r="X6106" s="37"/>
      <c r="Y6106" s="43"/>
      <c r="Z6106" s="37"/>
      <c r="AA6106" s="37"/>
      <c r="AD6106" s="37"/>
      <c r="AE6106" s="37"/>
      <c r="AF6106" s="37"/>
    </row>
    <row r="6107" spans="1:32" x14ac:dyDescent="0.25">
      <c r="A6107" s="37"/>
      <c r="B6107" s="37"/>
      <c r="C6107" s="37"/>
      <c r="F6107" s="38"/>
      <c r="G6107" s="38"/>
      <c r="H6107" s="38"/>
      <c r="I6107" s="37"/>
      <c r="J6107" s="38"/>
      <c r="K6107" s="38"/>
      <c r="L6107" s="42"/>
      <c r="M6107" s="42"/>
      <c r="N6107" s="42"/>
      <c r="O6107" s="42"/>
      <c r="R6107" s="37"/>
      <c r="S6107" s="37"/>
      <c r="T6107" s="91"/>
      <c r="U6107" s="91"/>
      <c r="V6107" s="41"/>
      <c r="W6107" s="37"/>
      <c r="X6107" s="37"/>
      <c r="Y6107" s="43"/>
      <c r="Z6107" s="37"/>
      <c r="AA6107" s="37"/>
      <c r="AD6107" s="37"/>
      <c r="AE6107" s="37"/>
      <c r="AF6107" s="37"/>
    </row>
    <row r="6108" spans="1:32" x14ac:dyDescent="0.25">
      <c r="A6108" s="37"/>
      <c r="B6108" s="37"/>
      <c r="C6108" s="37"/>
      <c r="F6108" s="38"/>
      <c r="G6108" s="38"/>
      <c r="H6108" s="38"/>
      <c r="I6108" s="37"/>
      <c r="J6108" s="38"/>
      <c r="K6108" s="38"/>
      <c r="L6108" s="42"/>
      <c r="M6108" s="42"/>
      <c r="N6108" s="42"/>
      <c r="O6108" s="42"/>
      <c r="R6108" s="37"/>
      <c r="S6108" s="37"/>
      <c r="T6108" s="91"/>
      <c r="U6108" s="91"/>
      <c r="V6108" s="41"/>
      <c r="W6108" s="37"/>
      <c r="X6108" s="37"/>
      <c r="Y6108" s="43"/>
      <c r="Z6108" s="37"/>
      <c r="AA6108" s="37"/>
      <c r="AD6108" s="37"/>
      <c r="AE6108" s="37"/>
      <c r="AF6108" s="37"/>
    </row>
    <row r="6109" spans="1:32" x14ac:dyDescent="0.25">
      <c r="A6109" s="37"/>
      <c r="B6109" s="37"/>
      <c r="C6109" s="37"/>
      <c r="F6109" s="38"/>
      <c r="G6109" s="38"/>
      <c r="H6109" s="38"/>
      <c r="I6109" s="37"/>
      <c r="J6109" s="38"/>
      <c r="K6109" s="38"/>
      <c r="L6109" s="42"/>
      <c r="M6109" s="42"/>
      <c r="N6109" s="42"/>
      <c r="O6109" s="42"/>
      <c r="R6109" s="37"/>
      <c r="S6109" s="37"/>
      <c r="T6109" s="91"/>
      <c r="U6109" s="91"/>
      <c r="V6109" s="41"/>
      <c r="W6109" s="37"/>
      <c r="X6109" s="37"/>
      <c r="Y6109" s="43"/>
      <c r="Z6109" s="37"/>
      <c r="AA6109" s="37"/>
      <c r="AD6109" s="37"/>
      <c r="AE6109" s="37"/>
      <c r="AF6109" s="37"/>
    </row>
    <row r="6110" spans="1:32" x14ac:dyDescent="0.25">
      <c r="A6110" s="37"/>
      <c r="B6110" s="37"/>
      <c r="C6110" s="37"/>
      <c r="F6110" s="38"/>
      <c r="G6110" s="38"/>
      <c r="H6110" s="38"/>
      <c r="I6110" s="37"/>
      <c r="J6110" s="38"/>
      <c r="K6110" s="38"/>
      <c r="L6110" s="42"/>
      <c r="M6110" s="42"/>
      <c r="N6110" s="42"/>
      <c r="O6110" s="42"/>
      <c r="R6110" s="37"/>
      <c r="S6110" s="37"/>
      <c r="T6110" s="91"/>
      <c r="U6110" s="91"/>
      <c r="V6110" s="41"/>
      <c r="W6110" s="37"/>
      <c r="X6110" s="37"/>
      <c r="Y6110" s="43"/>
      <c r="Z6110" s="37"/>
      <c r="AA6110" s="37"/>
      <c r="AD6110" s="37"/>
      <c r="AE6110" s="37"/>
      <c r="AF6110" s="37"/>
    </row>
    <row r="6111" spans="1:32" x14ac:dyDescent="0.25">
      <c r="A6111" s="37"/>
      <c r="B6111" s="37"/>
      <c r="C6111" s="37"/>
      <c r="F6111" s="38"/>
      <c r="G6111" s="38"/>
      <c r="H6111" s="38"/>
      <c r="I6111" s="37"/>
      <c r="J6111" s="38"/>
      <c r="K6111" s="38"/>
      <c r="L6111" s="42"/>
      <c r="M6111" s="42"/>
      <c r="N6111" s="42"/>
      <c r="O6111" s="42"/>
      <c r="R6111" s="37"/>
      <c r="S6111" s="37"/>
      <c r="T6111" s="91"/>
      <c r="U6111" s="91"/>
      <c r="V6111" s="41"/>
      <c r="W6111" s="37"/>
      <c r="X6111" s="37"/>
      <c r="Y6111" s="43"/>
      <c r="Z6111" s="37"/>
      <c r="AA6111" s="37"/>
      <c r="AD6111" s="37"/>
      <c r="AE6111" s="37"/>
      <c r="AF6111" s="37"/>
    </row>
    <row r="6112" spans="1:32" x14ac:dyDescent="0.25">
      <c r="A6112" s="37"/>
      <c r="B6112" s="37"/>
      <c r="C6112" s="37"/>
      <c r="F6112" s="38"/>
      <c r="G6112" s="38"/>
      <c r="H6112" s="38"/>
      <c r="I6112" s="37"/>
      <c r="J6112" s="38"/>
      <c r="K6112" s="38"/>
      <c r="L6112" s="42"/>
      <c r="M6112" s="42"/>
      <c r="N6112" s="42"/>
      <c r="O6112" s="42"/>
      <c r="R6112" s="37"/>
      <c r="S6112" s="37"/>
      <c r="T6112" s="91"/>
      <c r="U6112" s="91"/>
      <c r="V6112" s="41"/>
      <c r="W6112" s="37"/>
      <c r="X6112" s="37"/>
      <c r="Y6112" s="43"/>
      <c r="Z6112" s="37"/>
      <c r="AA6112" s="37"/>
      <c r="AD6112" s="37"/>
      <c r="AE6112" s="37"/>
      <c r="AF6112" s="37"/>
    </row>
    <row r="6113" spans="1:32" x14ac:dyDescent="0.25">
      <c r="A6113" s="37"/>
      <c r="B6113" s="37"/>
      <c r="C6113" s="37"/>
      <c r="F6113" s="38"/>
      <c r="G6113" s="38"/>
      <c r="H6113" s="38"/>
      <c r="I6113" s="37"/>
      <c r="J6113" s="38"/>
      <c r="K6113" s="38"/>
      <c r="L6113" s="42"/>
      <c r="M6113" s="42"/>
      <c r="N6113" s="42"/>
      <c r="O6113" s="42"/>
      <c r="R6113" s="37"/>
      <c r="S6113" s="37"/>
      <c r="T6113" s="91"/>
      <c r="U6113" s="91"/>
      <c r="V6113" s="41"/>
      <c r="W6113" s="37"/>
      <c r="X6113" s="37"/>
      <c r="Y6113" s="43"/>
      <c r="Z6113" s="37"/>
      <c r="AA6113" s="37"/>
      <c r="AD6113" s="37"/>
      <c r="AE6113" s="37"/>
      <c r="AF6113" s="37"/>
    </row>
    <row r="6114" spans="1:32" x14ac:dyDescent="0.25">
      <c r="A6114" s="37"/>
      <c r="B6114" s="37"/>
      <c r="C6114" s="37"/>
      <c r="F6114" s="38"/>
      <c r="G6114" s="38"/>
      <c r="H6114" s="38"/>
      <c r="I6114" s="37"/>
      <c r="J6114" s="38"/>
      <c r="K6114" s="38"/>
      <c r="L6114" s="42"/>
      <c r="M6114" s="42"/>
      <c r="N6114" s="42"/>
      <c r="O6114" s="42"/>
      <c r="R6114" s="37"/>
      <c r="S6114" s="37"/>
      <c r="T6114" s="91"/>
      <c r="U6114" s="91"/>
      <c r="V6114" s="41"/>
      <c r="W6114" s="37"/>
      <c r="X6114" s="37"/>
      <c r="Y6114" s="43"/>
      <c r="Z6114" s="37"/>
      <c r="AA6114" s="37"/>
      <c r="AD6114" s="37"/>
      <c r="AE6114" s="37"/>
      <c r="AF6114" s="37"/>
    </row>
    <row r="6115" spans="1:32" x14ac:dyDescent="0.25">
      <c r="A6115" s="37"/>
      <c r="B6115" s="37"/>
      <c r="C6115" s="37"/>
      <c r="F6115" s="38"/>
      <c r="G6115" s="38"/>
      <c r="H6115" s="38"/>
      <c r="I6115" s="37"/>
      <c r="J6115" s="38"/>
      <c r="K6115" s="38"/>
      <c r="L6115" s="42"/>
      <c r="M6115" s="42"/>
      <c r="N6115" s="42"/>
      <c r="O6115" s="42"/>
      <c r="R6115" s="37"/>
      <c r="S6115" s="37"/>
      <c r="T6115" s="91"/>
      <c r="U6115" s="91"/>
      <c r="V6115" s="41"/>
      <c r="W6115" s="37"/>
      <c r="X6115" s="37"/>
      <c r="Y6115" s="43"/>
      <c r="Z6115" s="37"/>
      <c r="AA6115" s="37"/>
      <c r="AD6115" s="37"/>
      <c r="AE6115" s="37"/>
      <c r="AF6115" s="37"/>
    </row>
    <row r="6116" spans="1:32" x14ac:dyDescent="0.25">
      <c r="A6116" s="37"/>
      <c r="B6116" s="37"/>
      <c r="C6116" s="37"/>
      <c r="F6116" s="38"/>
      <c r="G6116" s="38"/>
      <c r="H6116" s="38"/>
      <c r="I6116" s="37"/>
      <c r="J6116" s="38"/>
      <c r="K6116" s="38"/>
      <c r="L6116" s="42"/>
      <c r="M6116" s="42"/>
      <c r="N6116" s="42"/>
      <c r="O6116" s="42"/>
      <c r="R6116" s="37"/>
      <c r="S6116" s="37"/>
      <c r="T6116" s="91"/>
      <c r="U6116" s="91"/>
      <c r="V6116" s="41"/>
      <c r="W6116" s="37"/>
      <c r="X6116" s="37"/>
      <c r="Y6116" s="43"/>
      <c r="Z6116" s="37"/>
      <c r="AA6116" s="37"/>
      <c r="AD6116" s="37"/>
      <c r="AE6116" s="37"/>
      <c r="AF6116" s="37"/>
    </row>
    <row r="6117" spans="1:32" x14ac:dyDescent="0.25">
      <c r="A6117" s="37"/>
      <c r="B6117" s="37"/>
      <c r="C6117" s="37"/>
      <c r="F6117" s="38"/>
      <c r="G6117" s="38"/>
      <c r="H6117" s="38"/>
      <c r="I6117" s="37"/>
      <c r="J6117" s="38"/>
      <c r="K6117" s="38"/>
      <c r="L6117" s="42"/>
      <c r="M6117" s="42"/>
      <c r="N6117" s="42"/>
      <c r="O6117" s="42"/>
      <c r="R6117" s="37"/>
      <c r="S6117" s="37"/>
      <c r="T6117" s="91"/>
      <c r="U6117" s="91"/>
      <c r="V6117" s="41"/>
      <c r="W6117" s="37"/>
      <c r="X6117" s="37"/>
      <c r="Y6117" s="43"/>
      <c r="Z6117" s="37"/>
      <c r="AA6117" s="37"/>
      <c r="AD6117" s="37"/>
      <c r="AE6117" s="37"/>
      <c r="AF6117" s="37"/>
    </row>
    <row r="6118" spans="1:32" x14ac:dyDescent="0.25">
      <c r="A6118" s="37"/>
      <c r="B6118" s="37"/>
      <c r="C6118" s="37"/>
      <c r="F6118" s="38"/>
      <c r="G6118" s="38"/>
      <c r="H6118" s="38"/>
      <c r="I6118" s="37"/>
      <c r="J6118" s="38"/>
      <c r="K6118" s="38"/>
      <c r="L6118" s="42"/>
      <c r="M6118" s="42"/>
      <c r="N6118" s="42"/>
      <c r="O6118" s="42"/>
      <c r="R6118" s="37"/>
      <c r="S6118" s="37"/>
      <c r="T6118" s="91"/>
      <c r="U6118" s="91"/>
      <c r="V6118" s="41"/>
      <c r="W6118" s="37"/>
      <c r="X6118" s="37"/>
      <c r="Y6118" s="43"/>
      <c r="Z6118" s="37"/>
      <c r="AA6118" s="37"/>
      <c r="AD6118" s="37"/>
      <c r="AE6118" s="37"/>
      <c r="AF6118" s="37"/>
    </row>
    <row r="6119" spans="1:32" x14ac:dyDescent="0.25">
      <c r="A6119" s="37"/>
      <c r="B6119" s="37"/>
      <c r="C6119" s="37"/>
      <c r="F6119" s="38"/>
      <c r="G6119" s="38"/>
      <c r="H6119" s="38"/>
      <c r="I6119" s="37"/>
      <c r="J6119" s="38"/>
      <c r="K6119" s="38"/>
      <c r="L6119" s="42"/>
      <c r="M6119" s="42"/>
      <c r="N6119" s="42"/>
      <c r="O6119" s="42"/>
      <c r="R6119" s="37"/>
      <c r="S6119" s="37"/>
      <c r="T6119" s="91"/>
      <c r="U6119" s="91"/>
      <c r="V6119" s="41"/>
      <c r="W6119" s="37"/>
      <c r="X6119" s="37"/>
      <c r="Y6119" s="43"/>
      <c r="Z6119" s="37"/>
      <c r="AA6119" s="37"/>
      <c r="AD6119" s="37"/>
      <c r="AE6119" s="37"/>
      <c r="AF6119" s="37"/>
    </row>
    <row r="6120" spans="1:32" x14ac:dyDescent="0.25">
      <c r="A6120" s="37"/>
      <c r="B6120" s="37"/>
      <c r="C6120" s="37"/>
      <c r="F6120" s="38"/>
      <c r="G6120" s="38"/>
      <c r="H6120" s="38"/>
      <c r="I6120" s="37"/>
      <c r="J6120" s="38"/>
      <c r="K6120" s="38"/>
      <c r="L6120" s="42"/>
      <c r="M6120" s="42"/>
      <c r="N6120" s="42"/>
      <c r="O6120" s="42"/>
      <c r="R6120" s="37"/>
      <c r="S6120" s="37"/>
      <c r="T6120" s="91"/>
      <c r="U6120" s="91"/>
      <c r="V6120" s="41"/>
      <c r="W6120" s="37"/>
      <c r="X6120" s="37"/>
      <c r="Y6120" s="43"/>
      <c r="Z6120" s="37"/>
      <c r="AA6120" s="37"/>
      <c r="AD6120" s="37"/>
      <c r="AE6120" s="37"/>
      <c r="AF6120" s="37"/>
    </row>
    <row r="6121" spans="1:32" x14ac:dyDescent="0.25">
      <c r="A6121" s="37"/>
      <c r="B6121" s="37"/>
      <c r="C6121" s="37"/>
      <c r="F6121" s="38"/>
      <c r="G6121" s="38"/>
      <c r="H6121" s="38"/>
      <c r="I6121" s="37"/>
      <c r="J6121" s="38"/>
      <c r="K6121" s="38"/>
      <c r="L6121" s="42"/>
      <c r="M6121" s="42"/>
      <c r="N6121" s="42"/>
      <c r="O6121" s="42"/>
      <c r="R6121" s="37"/>
      <c r="S6121" s="37"/>
      <c r="T6121" s="91"/>
      <c r="U6121" s="91"/>
      <c r="V6121" s="41"/>
      <c r="W6121" s="37"/>
      <c r="X6121" s="37"/>
      <c r="Y6121" s="43"/>
      <c r="Z6121" s="37"/>
      <c r="AA6121" s="37"/>
      <c r="AD6121" s="37"/>
      <c r="AE6121" s="37"/>
      <c r="AF6121" s="37"/>
    </row>
    <row r="6122" spans="1:32" x14ac:dyDescent="0.25">
      <c r="A6122" s="37"/>
      <c r="B6122" s="37"/>
      <c r="C6122" s="37"/>
      <c r="F6122" s="38"/>
      <c r="G6122" s="38"/>
      <c r="H6122" s="38"/>
      <c r="I6122" s="37"/>
      <c r="J6122" s="38"/>
      <c r="K6122" s="38"/>
      <c r="L6122" s="42"/>
      <c r="M6122" s="42"/>
      <c r="N6122" s="42"/>
      <c r="O6122" s="42"/>
      <c r="R6122" s="37"/>
      <c r="S6122" s="37"/>
      <c r="T6122" s="91"/>
      <c r="U6122" s="91"/>
      <c r="V6122" s="41"/>
      <c r="W6122" s="37"/>
      <c r="X6122" s="37"/>
      <c r="Y6122" s="43"/>
      <c r="Z6122" s="37"/>
      <c r="AA6122" s="37"/>
      <c r="AD6122" s="37"/>
      <c r="AE6122" s="37"/>
      <c r="AF6122" s="37"/>
    </row>
    <row r="6123" spans="1:32" x14ac:dyDescent="0.25">
      <c r="A6123" s="37"/>
      <c r="B6123" s="37"/>
      <c r="C6123" s="37"/>
      <c r="F6123" s="38"/>
      <c r="G6123" s="38"/>
      <c r="H6123" s="38"/>
      <c r="I6123" s="37"/>
      <c r="J6123" s="38"/>
      <c r="K6123" s="38"/>
      <c r="L6123" s="42"/>
      <c r="M6123" s="42"/>
      <c r="N6123" s="42"/>
      <c r="O6123" s="42"/>
      <c r="R6123" s="37"/>
      <c r="S6123" s="37"/>
      <c r="T6123" s="91"/>
      <c r="U6123" s="91"/>
      <c r="V6123" s="41"/>
      <c r="W6123" s="37"/>
      <c r="X6123" s="37"/>
      <c r="Y6123" s="43"/>
      <c r="Z6123" s="37"/>
      <c r="AA6123" s="37"/>
      <c r="AD6123" s="37"/>
      <c r="AE6123" s="37"/>
      <c r="AF6123" s="37"/>
    </row>
    <row r="6124" spans="1:32" x14ac:dyDescent="0.25">
      <c r="A6124" s="37"/>
      <c r="B6124" s="37"/>
      <c r="C6124" s="37"/>
      <c r="F6124" s="38"/>
      <c r="G6124" s="38"/>
      <c r="H6124" s="38"/>
      <c r="I6124" s="37"/>
      <c r="J6124" s="38"/>
      <c r="K6124" s="38"/>
      <c r="L6124" s="42"/>
      <c r="M6124" s="42"/>
      <c r="N6124" s="42"/>
      <c r="O6124" s="42"/>
      <c r="R6124" s="37"/>
      <c r="S6124" s="37"/>
      <c r="T6124" s="91"/>
      <c r="U6124" s="91"/>
      <c r="V6124" s="41"/>
      <c r="W6124" s="37"/>
      <c r="X6124" s="37"/>
      <c r="Y6124" s="43"/>
      <c r="Z6124" s="37"/>
      <c r="AA6124" s="37"/>
      <c r="AD6124" s="37"/>
      <c r="AE6124" s="37"/>
      <c r="AF6124" s="37"/>
    </row>
    <row r="6125" spans="1:32" x14ac:dyDescent="0.25">
      <c r="A6125" s="37"/>
      <c r="B6125" s="37"/>
      <c r="C6125" s="37"/>
      <c r="F6125" s="38"/>
      <c r="G6125" s="38"/>
      <c r="H6125" s="38"/>
      <c r="I6125" s="37"/>
      <c r="J6125" s="38"/>
      <c r="K6125" s="38"/>
      <c r="L6125" s="42"/>
      <c r="M6125" s="42"/>
      <c r="N6125" s="42"/>
      <c r="O6125" s="42"/>
      <c r="R6125" s="37"/>
      <c r="S6125" s="37"/>
      <c r="T6125" s="91"/>
      <c r="U6125" s="91"/>
      <c r="V6125" s="41"/>
      <c r="W6125" s="37"/>
      <c r="X6125" s="37"/>
      <c r="Y6125" s="43"/>
      <c r="Z6125" s="37"/>
      <c r="AA6125" s="37"/>
      <c r="AD6125" s="37"/>
      <c r="AE6125" s="37"/>
      <c r="AF6125" s="37"/>
    </row>
    <row r="6126" spans="1:32" x14ac:dyDescent="0.25">
      <c r="A6126" s="37"/>
      <c r="B6126" s="37"/>
      <c r="C6126" s="37"/>
      <c r="F6126" s="38"/>
      <c r="G6126" s="38"/>
      <c r="H6126" s="38"/>
      <c r="I6126" s="37"/>
      <c r="J6126" s="38"/>
      <c r="K6126" s="38"/>
      <c r="L6126" s="42"/>
      <c r="M6126" s="42"/>
      <c r="N6126" s="42"/>
      <c r="O6126" s="42"/>
      <c r="R6126" s="37"/>
      <c r="S6126" s="37"/>
      <c r="T6126" s="91"/>
      <c r="U6126" s="91"/>
      <c r="V6126" s="41"/>
      <c r="W6126" s="37"/>
      <c r="X6126" s="37"/>
      <c r="Y6126" s="43"/>
      <c r="Z6126" s="37"/>
      <c r="AA6126" s="37"/>
      <c r="AD6126" s="37"/>
      <c r="AE6126" s="37"/>
      <c r="AF6126" s="37"/>
    </row>
    <row r="6127" spans="1:32" x14ac:dyDescent="0.25">
      <c r="A6127" s="37"/>
      <c r="B6127" s="37"/>
      <c r="C6127" s="37"/>
      <c r="F6127" s="38"/>
      <c r="G6127" s="38"/>
      <c r="H6127" s="38"/>
      <c r="I6127" s="37"/>
      <c r="J6127" s="38"/>
      <c r="K6127" s="38"/>
      <c r="L6127" s="42"/>
      <c r="M6127" s="42"/>
      <c r="N6127" s="42"/>
      <c r="O6127" s="42"/>
      <c r="R6127" s="37"/>
      <c r="S6127" s="37"/>
      <c r="T6127" s="91"/>
      <c r="U6127" s="91"/>
      <c r="V6127" s="41"/>
      <c r="W6127" s="37"/>
      <c r="X6127" s="37"/>
      <c r="Y6127" s="43"/>
      <c r="Z6127" s="37"/>
      <c r="AA6127" s="37"/>
      <c r="AD6127" s="37"/>
      <c r="AE6127" s="37"/>
      <c r="AF6127" s="37"/>
    </row>
    <row r="6128" spans="1:32" x14ac:dyDescent="0.25">
      <c r="A6128" s="37"/>
      <c r="B6128" s="37"/>
      <c r="C6128" s="37"/>
      <c r="F6128" s="38"/>
      <c r="G6128" s="38"/>
      <c r="H6128" s="38"/>
      <c r="I6128" s="37"/>
      <c r="J6128" s="38"/>
      <c r="K6128" s="38"/>
      <c r="L6128" s="42"/>
      <c r="M6128" s="42"/>
      <c r="N6128" s="42"/>
      <c r="O6128" s="42"/>
      <c r="R6128" s="37"/>
      <c r="S6128" s="37"/>
      <c r="T6128" s="91"/>
      <c r="U6128" s="91"/>
      <c r="V6128" s="41"/>
      <c r="W6128" s="37"/>
      <c r="X6128" s="37"/>
      <c r="Y6128" s="43"/>
      <c r="Z6128" s="37"/>
      <c r="AA6128" s="37"/>
      <c r="AD6128" s="37"/>
      <c r="AE6128" s="37"/>
      <c r="AF6128" s="37"/>
    </row>
    <row r="6129" spans="1:32" x14ac:dyDescent="0.25">
      <c r="A6129" s="37"/>
      <c r="B6129" s="37"/>
      <c r="C6129" s="37"/>
      <c r="F6129" s="38"/>
      <c r="G6129" s="38"/>
      <c r="H6129" s="38"/>
      <c r="I6129" s="37"/>
      <c r="J6129" s="38"/>
      <c r="K6129" s="38"/>
      <c r="L6129" s="42"/>
      <c r="M6129" s="42"/>
      <c r="N6129" s="42"/>
      <c r="O6129" s="42"/>
      <c r="R6129" s="37"/>
      <c r="S6129" s="37"/>
      <c r="T6129" s="91"/>
      <c r="U6129" s="91"/>
      <c r="V6129" s="41"/>
      <c r="W6129" s="37"/>
      <c r="X6129" s="37"/>
      <c r="Y6129" s="43"/>
      <c r="Z6129" s="37"/>
      <c r="AA6129" s="37"/>
      <c r="AD6129" s="37"/>
      <c r="AE6129" s="37"/>
      <c r="AF6129" s="37"/>
    </row>
    <row r="6130" spans="1:32" x14ac:dyDescent="0.25">
      <c r="A6130" s="37"/>
      <c r="B6130" s="37"/>
      <c r="C6130" s="37"/>
      <c r="F6130" s="38"/>
      <c r="G6130" s="38"/>
      <c r="H6130" s="38"/>
      <c r="I6130" s="37"/>
      <c r="J6130" s="38"/>
      <c r="K6130" s="38"/>
      <c r="L6130" s="42"/>
      <c r="M6130" s="42"/>
      <c r="N6130" s="42"/>
      <c r="O6130" s="42"/>
      <c r="R6130" s="37"/>
      <c r="S6130" s="37"/>
      <c r="T6130" s="91"/>
      <c r="U6130" s="91"/>
      <c r="V6130" s="41"/>
      <c r="W6130" s="37"/>
      <c r="X6130" s="37"/>
      <c r="Y6130" s="43"/>
      <c r="Z6130" s="37"/>
      <c r="AA6130" s="37"/>
      <c r="AD6130" s="37"/>
      <c r="AE6130" s="37"/>
      <c r="AF6130" s="37"/>
    </row>
    <row r="6131" spans="1:32" x14ac:dyDescent="0.25">
      <c r="A6131" s="37"/>
      <c r="B6131" s="37"/>
      <c r="C6131" s="37"/>
      <c r="F6131" s="38"/>
      <c r="G6131" s="38"/>
      <c r="H6131" s="38"/>
      <c r="I6131" s="37"/>
      <c r="J6131" s="38"/>
      <c r="K6131" s="38"/>
      <c r="L6131" s="42"/>
      <c r="M6131" s="42"/>
      <c r="N6131" s="42"/>
      <c r="O6131" s="42"/>
      <c r="R6131" s="37"/>
      <c r="S6131" s="37"/>
      <c r="T6131" s="91"/>
      <c r="U6131" s="91"/>
      <c r="V6131" s="41"/>
      <c r="W6131" s="37"/>
      <c r="X6131" s="37"/>
      <c r="Y6131" s="43"/>
      <c r="Z6131" s="37"/>
      <c r="AA6131" s="37"/>
      <c r="AD6131" s="37"/>
      <c r="AE6131" s="37"/>
      <c r="AF6131" s="37"/>
    </row>
    <row r="6132" spans="1:32" x14ac:dyDescent="0.25">
      <c r="A6132" s="37"/>
      <c r="B6132" s="37"/>
      <c r="C6132" s="37"/>
      <c r="F6132" s="38"/>
      <c r="G6132" s="38"/>
      <c r="H6132" s="38"/>
      <c r="I6132" s="37"/>
      <c r="J6132" s="38"/>
      <c r="K6132" s="38"/>
      <c r="L6132" s="42"/>
      <c r="M6132" s="42"/>
      <c r="N6132" s="42"/>
      <c r="O6132" s="42"/>
      <c r="R6132" s="37"/>
      <c r="S6132" s="37"/>
      <c r="T6132" s="91"/>
      <c r="U6132" s="91"/>
      <c r="V6132" s="41"/>
      <c r="W6132" s="37"/>
      <c r="X6132" s="37"/>
      <c r="Y6132" s="43"/>
      <c r="Z6132" s="37"/>
      <c r="AA6132" s="37"/>
      <c r="AD6132" s="37"/>
      <c r="AE6132" s="37"/>
      <c r="AF6132" s="37"/>
    </row>
    <row r="6133" spans="1:32" x14ac:dyDescent="0.25">
      <c r="A6133" s="37"/>
      <c r="B6133" s="37"/>
      <c r="C6133" s="37"/>
      <c r="F6133" s="38"/>
      <c r="G6133" s="38"/>
      <c r="H6133" s="38"/>
      <c r="I6133" s="37"/>
      <c r="J6133" s="38"/>
      <c r="K6133" s="38"/>
      <c r="L6133" s="42"/>
      <c r="M6133" s="42"/>
      <c r="N6133" s="42"/>
      <c r="O6133" s="42"/>
      <c r="R6133" s="37"/>
      <c r="S6133" s="37"/>
      <c r="T6133" s="91"/>
      <c r="U6133" s="91"/>
      <c r="V6133" s="41"/>
      <c r="W6133" s="37"/>
      <c r="X6133" s="37"/>
      <c r="Y6133" s="43"/>
      <c r="Z6133" s="37"/>
      <c r="AA6133" s="37"/>
      <c r="AD6133" s="37"/>
      <c r="AE6133" s="37"/>
      <c r="AF6133" s="37"/>
    </row>
    <row r="6134" spans="1:32" x14ac:dyDescent="0.25">
      <c r="A6134" s="37"/>
      <c r="B6134" s="37"/>
      <c r="C6134" s="37"/>
      <c r="F6134" s="38"/>
      <c r="G6134" s="38"/>
      <c r="H6134" s="38"/>
      <c r="I6134" s="37"/>
      <c r="J6134" s="38"/>
      <c r="K6134" s="38"/>
      <c r="L6134" s="42"/>
      <c r="M6134" s="42"/>
      <c r="N6134" s="42"/>
      <c r="O6134" s="42"/>
      <c r="R6134" s="37"/>
      <c r="S6134" s="37"/>
      <c r="T6134" s="91"/>
      <c r="U6134" s="91"/>
      <c r="V6134" s="41"/>
      <c r="W6134" s="37"/>
      <c r="X6134" s="37"/>
      <c r="Y6134" s="43"/>
      <c r="Z6134" s="37"/>
      <c r="AA6134" s="37"/>
      <c r="AD6134" s="37"/>
      <c r="AE6134" s="37"/>
      <c r="AF6134" s="37"/>
    </row>
    <row r="6135" spans="1:32" x14ac:dyDescent="0.25">
      <c r="A6135" s="37"/>
      <c r="B6135" s="37"/>
      <c r="C6135" s="37"/>
      <c r="F6135" s="38"/>
      <c r="G6135" s="38"/>
      <c r="H6135" s="38"/>
      <c r="I6135" s="37"/>
      <c r="J6135" s="38"/>
      <c r="K6135" s="38"/>
      <c r="L6135" s="42"/>
      <c r="M6135" s="42"/>
      <c r="N6135" s="42"/>
      <c r="O6135" s="42"/>
      <c r="R6135" s="37"/>
      <c r="S6135" s="37"/>
      <c r="T6135" s="91"/>
      <c r="U6135" s="91"/>
      <c r="V6135" s="41"/>
      <c r="W6135" s="37"/>
      <c r="X6135" s="37"/>
      <c r="Y6135" s="43"/>
      <c r="Z6135" s="37"/>
      <c r="AA6135" s="37"/>
      <c r="AD6135" s="37"/>
      <c r="AE6135" s="37"/>
      <c r="AF6135" s="37"/>
    </row>
    <row r="6136" spans="1:32" x14ac:dyDescent="0.25">
      <c r="A6136" s="37"/>
      <c r="B6136" s="37"/>
      <c r="C6136" s="37"/>
      <c r="F6136" s="38"/>
      <c r="G6136" s="38"/>
      <c r="H6136" s="38"/>
      <c r="I6136" s="37"/>
      <c r="J6136" s="38"/>
      <c r="K6136" s="38"/>
      <c r="L6136" s="42"/>
      <c r="M6136" s="42"/>
      <c r="N6136" s="42"/>
      <c r="O6136" s="42"/>
      <c r="R6136" s="37"/>
      <c r="S6136" s="37"/>
      <c r="T6136" s="91"/>
      <c r="U6136" s="91"/>
      <c r="V6136" s="41"/>
      <c r="W6136" s="37"/>
      <c r="X6136" s="37"/>
      <c r="Y6136" s="43"/>
      <c r="Z6136" s="37"/>
      <c r="AA6136" s="37"/>
      <c r="AD6136" s="37"/>
      <c r="AE6136" s="37"/>
      <c r="AF6136" s="37"/>
    </row>
    <row r="6137" spans="1:32" x14ac:dyDescent="0.25">
      <c r="A6137" s="37"/>
      <c r="B6137" s="37"/>
      <c r="C6137" s="37"/>
      <c r="F6137" s="38"/>
      <c r="G6137" s="38"/>
      <c r="H6137" s="38"/>
      <c r="I6137" s="37"/>
      <c r="J6137" s="38"/>
      <c r="K6137" s="38"/>
      <c r="L6137" s="42"/>
      <c r="M6137" s="42"/>
      <c r="N6137" s="42"/>
      <c r="O6137" s="42"/>
      <c r="R6137" s="37"/>
      <c r="S6137" s="37"/>
      <c r="T6137" s="91"/>
      <c r="U6137" s="91"/>
      <c r="V6137" s="41"/>
      <c r="W6137" s="37"/>
      <c r="X6137" s="37"/>
      <c r="Y6137" s="43"/>
      <c r="Z6137" s="37"/>
      <c r="AA6137" s="37"/>
      <c r="AD6137" s="37"/>
      <c r="AE6137" s="37"/>
      <c r="AF6137" s="37"/>
    </row>
    <row r="6138" spans="1:32" x14ac:dyDescent="0.25">
      <c r="A6138" s="37"/>
      <c r="B6138" s="37"/>
      <c r="C6138" s="37"/>
      <c r="F6138" s="38"/>
      <c r="G6138" s="38"/>
      <c r="H6138" s="38"/>
      <c r="I6138" s="37"/>
      <c r="J6138" s="38"/>
      <c r="K6138" s="38"/>
      <c r="L6138" s="42"/>
      <c r="M6138" s="42"/>
      <c r="N6138" s="42"/>
      <c r="O6138" s="42"/>
      <c r="R6138" s="37"/>
      <c r="S6138" s="37"/>
      <c r="T6138" s="91"/>
      <c r="U6138" s="91"/>
      <c r="V6138" s="41"/>
      <c r="W6138" s="37"/>
      <c r="X6138" s="37"/>
      <c r="Y6138" s="43"/>
      <c r="Z6138" s="37"/>
      <c r="AA6138" s="37"/>
      <c r="AD6138" s="37"/>
      <c r="AE6138" s="37"/>
      <c r="AF6138" s="37"/>
    </row>
    <row r="6139" spans="1:32" x14ac:dyDescent="0.25">
      <c r="A6139" s="37"/>
      <c r="B6139" s="37"/>
      <c r="C6139" s="37"/>
      <c r="F6139" s="38"/>
      <c r="G6139" s="38"/>
      <c r="H6139" s="38"/>
      <c r="I6139" s="37"/>
      <c r="J6139" s="38"/>
      <c r="K6139" s="38"/>
      <c r="L6139" s="42"/>
      <c r="M6139" s="42"/>
      <c r="N6139" s="42"/>
      <c r="O6139" s="42"/>
      <c r="R6139" s="37"/>
      <c r="S6139" s="37"/>
      <c r="T6139" s="91"/>
      <c r="U6139" s="91"/>
      <c r="V6139" s="41"/>
      <c r="W6139" s="37"/>
      <c r="X6139" s="37"/>
      <c r="Y6139" s="43"/>
      <c r="Z6139" s="37"/>
      <c r="AA6139" s="37"/>
      <c r="AD6139" s="37"/>
      <c r="AE6139" s="37"/>
      <c r="AF6139" s="37"/>
    </row>
    <row r="6140" spans="1:32" x14ac:dyDescent="0.25">
      <c r="A6140" s="37"/>
      <c r="B6140" s="37"/>
      <c r="C6140" s="37"/>
      <c r="F6140" s="38"/>
      <c r="G6140" s="38"/>
      <c r="H6140" s="38"/>
      <c r="I6140" s="37"/>
      <c r="J6140" s="38"/>
      <c r="K6140" s="38"/>
      <c r="L6140" s="42"/>
      <c r="M6140" s="42"/>
      <c r="N6140" s="42"/>
      <c r="O6140" s="42"/>
      <c r="R6140" s="37"/>
      <c r="S6140" s="37"/>
      <c r="T6140" s="91"/>
      <c r="U6140" s="91"/>
      <c r="V6140" s="41"/>
      <c r="W6140" s="37"/>
      <c r="X6140" s="37"/>
      <c r="Y6140" s="43"/>
      <c r="Z6140" s="37"/>
      <c r="AA6140" s="37"/>
      <c r="AD6140" s="37"/>
      <c r="AE6140" s="37"/>
      <c r="AF6140" s="37"/>
    </row>
    <row r="6141" spans="1:32" x14ac:dyDescent="0.25">
      <c r="A6141" s="37"/>
      <c r="B6141" s="37"/>
      <c r="C6141" s="37"/>
      <c r="F6141" s="38"/>
      <c r="G6141" s="38"/>
      <c r="H6141" s="38"/>
      <c r="I6141" s="37"/>
      <c r="J6141" s="38"/>
      <c r="K6141" s="38"/>
      <c r="L6141" s="42"/>
      <c r="M6141" s="42"/>
      <c r="N6141" s="42"/>
      <c r="O6141" s="42"/>
      <c r="R6141" s="37"/>
      <c r="S6141" s="37"/>
      <c r="T6141" s="91"/>
      <c r="U6141" s="91"/>
      <c r="V6141" s="41"/>
      <c r="W6141" s="37"/>
      <c r="X6141" s="37"/>
      <c r="Y6141" s="43"/>
      <c r="Z6141" s="37"/>
      <c r="AA6141" s="37"/>
      <c r="AD6141" s="37"/>
      <c r="AE6141" s="37"/>
      <c r="AF6141" s="37"/>
    </row>
    <row r="6142" spans="1:32" x14ac:dyDescent="0.25">
      <c r="A6142" s="37"/>
      <c r="B6142" s="37"/>
      <c r="C6142" s="37"/>
      <c r="F6142" s="38"/>
      <c r="G6142" s="38"/>
      <c r="H6142" s="38"/>
      <c r="I6142" s="37"/>
      <c r="J6142" s="38"/>
      <c r="K6142" s="38"/>
      <c r="L6142" s="42"/>
      <c r="M6142" s="42"/>
      <c r="N6142" s="42"/>
      <c r="O6142" s="42"/>
      <c r="R6142" s="37"/>
      <c r="S6142" s="37"/>
      <c r="T6142" s="91"/>
      <c r="U6142" s="91"/>
      <c r="V6142" s="41"/>
      <c r="W6142" s="37"/>
      <c r="X6142" s="37"/>
      <c r="Y6142" s="43"/>
      <c r="Z6142" s="37"/>
      <c r="AA6142" s="37"/>
      <c r="AD6142" s="37"/>
      <c r="AE6142" s="37"/>
      <c r="AF6142" s="37"/>
    </row>
    <row r="6143" spans="1:32" x14ac:dyDescent="0.25">
      <c r="A6143" s="37"/>
      <c r="B6143" s="37"/>
      <c r="C6143" s="37"/>
      <c r="F6143" s="38"/>
      <c r="G6143" s="38"/>
      <c r="H6143" s="38"/>
      <c r="I6143" s="37"/>
      <c r="J6143" s="38"/>
      <c r="K6143" s="38"/>
      <c r="L6143" s="42"/>
      <c r="M6143" s="42"/>
      <c r="N6143" s="42"/>
      <c r="O6143" s="42"/>
      <c r="R6143" s="37"/>
      <c r="S6143" s="37"/>
      <c r="T6143" s="91"/>
      <c r="U6143" s="91"/>
      <c r="V6143" s="41"/>
      <c r="W6143" s="37"/>
      <c r="X6143" s="37"/>
      <c r="Y6143" s="43"/>
      <c r="Z6143" s="37"/>
      <c r="AA6143" s="37"/>
      <c r="AD6143" s="37"/>
      <c r="AE6143" s="37"/>
      <c r="AF6143" s="37"/>
    </row>
    <row r="6144" spans="1:32" x14ac:dyDescent="0.25">
      <c r="A6144" s="37"/>
      <c r="B6144" s="37"/>
      <c r="C6144" s="37"/>
      <c r="F6144" s="38"/>
      <c r="G6144" s="38"/>
      <c r="H6144" s="38"/>
      <c r="I6144" s="37"/>
      <c r="J6144" s="38"/>
      <c r="K6144" s="38"/>
      <c r="L6144" s="42"/>
      <c r="M6144" s="42"/>
      <c r="N6144" s="42"/>
      <c r="O6144" s="42"/>
      <c r="R6144" s="37"/>
      <c r="S6144" s="37"/>
      <c r="T6144" s="91"/>
      <c r="U6144" s="91"/>
      <c r="V6144" s="41"/>
      <c r="W6144" s="37"/>
      <c r="X6144" s="37"/>
      <c r="Y6144" s="43"/>
      <c r="Z6144" s="37"/>
      <c r="AA6144" s="37"/>
      <c r="AD6144" s="37"/>
      <c r="AE6144" s="37"/>
      <c r="AF6144" s="37"/>
    </row>
    <row r="6145" spans="1:32" x14ac:dyDescent="0.25">
      <c r="A6145" s="37"/>
      <c r="B6145" s="37"/>
      <c r="C6145" s="37"/>
      <c r="F6145" s="38"/>
      <c r="G6145" s="38"/>
      <c r="H6145" s="38"/>
      <c r="I6145" s="37"/>
      <c r="J6145" s="38"/>
      <c r="K6145" s="38"/>
      <c r="L6145" s="42"/>
      <c r="M6145" s="42"/>
      <c r="N6145" s="42"/>
      <c r="O6145" s="42"/>
      <c r="R6145" s="37"/>
      <c r="S6145" s="37"/>
      <c r="T6145" s="91"/>
      <c r="U6145" s="91"/>
      <c r="V6145" s="41"/>
      <c r="W6145" s="37"/>
      <c r="X6145" s="37"/>
      <c r="Y6145" s="43"/>
      <c r="Z6145" s="37"/>
      <c r="AA6145" s="37"/>
      <c r="AD6145" s="37"/>
      <c r="AE6145" s="37"/>
      <c r="AF6145" s="37"/>
    </row>
    <row r="6146" spans="1:32" x14ac:dyDescent="0.25">
      <c r="A6146" s="37"/>
      <c r="B6146" s="37"/>
      <c r="C6146" s="37"/>
      <c r="F6146" s="38"/>
      <c r="G6146" s="38"/>
      <c r="H6146" s="38"/>
      <c r="I6146" s="37"/>
      <c r="J6146" s="38"/>
      <c r="K6146" s="38"/>
      <c r="L6146" s="42"/>
      <c r="M6146" s="42"/>
      <c r="N6146" s="42"/>
      <c r="O6146" s="42"/>
      <c r="R6146" s="37"/>
      <c r="S6146" s="37"/>
      <c r="T6146" s="91"/>
      <c r="U6146" s="91"/>
      <c r="V6146" s="41"/>
      <c r="W6146" s="37"/>
      <c r="X6146" s="37"/>
      <c r="Y6146" s="43"/>
      <c r="Z6146" s="37"/>
      <c r="AA6146" s="37"/>
      <c r="AD6146" s="37"/>
      <c r="AE6146" s="37"/>
      <c r="AF6146" s="37"/>
    </row>
    <row r="6147" spans="1:32" x14ac:dyDescent="0.25">
      <c r="A6147" s="37"/>
      <c r="B6147" s="37"/>
      <c r="C6147" s="37"/>
      <c r="F6147" s="38"/>
      <c r="G6147" s="38"/>
      <c r="H6147" s="38"/>
      <c r="I6147" s="37"/>
      <c r="J6147" s="38"/>
      <c r="K6147" s="38"/>
      <c r="L6147" s="42"/>
      <c r="M6147" s="42"/>
      <c r="N6147" s="42"/>
      <c r="O6147" s="42"/>
      <c r="R6147" s="37"/>
      <c r="S6147" s="37"/>
      <c r="T6147" s="91"/>
      <c r="U6147" s="91"/>
      <c r="V6147" s="41"/>
      <c r="W6147" s="37"/>
      <c r="X6147" s="37"/>
      <c r="Y6147" s="43"/>
      <c r="Z6147" s="37"/>
      <c r="AA6147" s="37"/>
      <c r="AD6147" s="37"/>
      <c r="AE6147" s="37"/>
      <c r="AF6147" s="37"/>
    </row>
    <row r="6148" spans="1:32" x14ac:dyDescent="0.25">
      <c r="A6148" s="37"/>
      <c r="B6148" s="37"/>
      <c r="C6148" s="37"/>
      <c r="F6148" s="38"/>
      <c r="G6148" s="38"/>
      <c r="H6148" s="38"/>
      <c r="I6148" s="37"/>
      <c r="J6148" s="38"/>
      <c r="K6148" s="38"/>
      <c r="L6148" s="42"/>
      <c r="M6148" s="42"/>
      <c r="N6148" s="42"/>
      <c r="O6148" s="42"/>
      <c r="R6148" s="37"/>
      <c r="S6148" s="37"/>
      <c r="T6148" s="91"/>
      <c r="U6148" s="91"/>
      <c r="V6148" s="41"/>
      <c r="W6148" s="37"/>
      <c r="X6148" s="37"/>
      <c r="Y6148" s="43"/>
      <c r="Z6148" s="37"/>
      <c r="AA6148" s="37"/>
      <c r="AD6148" s="37"/>
      <c r="AE6148" s="37"/>
      <c r="AF6148" s="37"/>
    </row>
    <row r="6149" spans="1:32" x14ac:dyDescent="0.25">
      <c r="A6149" s="37"/>
      <c r="B6149" s="37"/>
      <c r="C6149" s="37"/>
      <c r="F6149" s="38"/>
      <c r="G6149" s="38"/>
      <c r="H6149" s="38"/>
      <c r="I6149" s="37"/>
      <c r="J6149" s="38"/>
      <c r="K6149" s="38"/>
      <c r="L6149" s="42"/>
      <c r="M6149" s="42"/>
      <c r="N6149" s="42"/>
      <c r="O6149" s="42"/>
      <c r="R6149" s="37"/>
      <c r="S6149" s="37"/>
      <c r="T6149" s="91"/>
      <c r="U6149" s="91"/>
      <c r="V6149" s="41"/>
      <c r="W6149" s="37"/>
      <c r="X6149" s="37"/>
      <c r="Y6149" s="43"/>
      <c r="Z6149" s="37"/>
      <c r="AA6149" s="37"/>
      <c r="AD6149" s="37"/>
      <c r="AE6149" s="37"/>
      <c r="AF6149" s="37"/>
    </row>
    <row r="6150" spans="1:32" x14ac:dyDescent="0.25">
      <c r="A6150" s="37"/>
      <c r="B6150" s="37"/>
      <c r="C6150" s="37"/>
      <c r="F6150" s="38"/>
      <c r="G6150" s="38"/>
      <c r="H6150" s="38"/>
      <c r="I6150" s="37"/>
      <c r="J6150" s="38"/>
      <c r="K6150" s="38"/>
      <c r="L6150" s="42"/>
      <c r="M6150" s="42"/>
      <c r="N6150" s="42"/>
      <c r="O6150" s="42"/>
      <c r="R6150" s="37"/>
      <c r="S6150" s="37"/>
      <c r="T6150" s="91"/>
      <c r="U6150" s="91"/>
      <c r="V6150" s="41"/>
      <c r="W6150" s="37"/>
      <c r="X6150" s="37"/>
      <c r="Y6150" s="43"/>
      <c r="Z6150" s="37"/>
      <c r="AA6150" s="37"/>
      <c r="AD6150" s="37"/>
      <c r="AE6150" s="37"/>
      <c r="AF6150" s="37"/>
    </row>
    <row r="6151" spans="1:32" x14ac:dyDescent="0.25">
      <c r="A6151" s="37"/>
      <c r="B6151" s="37"/>
      <c r="C6151" s="37"/>
      <c r="F6151" s="38"/>
      <c r="G6151" s="38"/>
      <c r="H6151" s="38"/>
      <c r="I6151" s="37"/>
      <c r="J6151" s="38"/>
      <c r="K6151" s="38"/>
      <c r="L6151" s="42"/>
      <c r="M6151" s="42"/>
      <c r="N6151" s="42"/>
      <c r="O6151" s="42"/>
      <c r="R6151" s="37"/>
      <c r="S6151" s="37"/>
      <c r="T6151" s="91"/>
      <c r="U6151" s="91"/>
      <c r="V6151" s="41"/>
      <c r="W6151" s="37"/>
      <c r="X6151" s="37"/>
      <c r="Y6151" s="43"/>
      <c r="Z6151" s="37"/>
      <c r="AA6151" s="37"/>
      <c r="AD6151" s="37"/>
      <c r="AE6151" s="37"/>
      <c r="AF6151" s="37"/>
    </row>
    <row r="6152" spans="1:32" x14ac:dyDescent="0.25">
      <c r="A6152" s="37"/>
      <c r="B6152" s="37"/>
      <c r="C6152" s="37"/>
      <c r="F6152" s="38"/>
      <c r="G6152" s="38"/>
      <c r="H6152" s="38"/>
      <c r="I6152" s="37"/>
      <c r="J6152" s="38"/>
      <c r="K6152" s="38"/>
      <c r="L6152" s="42"/>
      <c r="M6152" s="42"/>
      <c r="N6152" s="42"/>
      <c r="O6152" s="42"/>
      <c r="R6152" s="37"/>
      <c r="S6152" s="37"/>
      <c r="T6152" s="91"/>
      <c r="U6152" s="91"/>
      <c r="V6152" s="41"/>
      <c r="W6152" s="37"/>
      <c r="X6152" s="37"/>
      <c r="Y6152" s="43"/>
      <c r="Z6152" s="37"/>
      <c r="AA6152" s="37"/>
      <c r="AD6152" s="37"/>
      <c r="AE6152" s="37"/>
      <c r="AF6152" s="37"/>
    </row>
    <row r="6153" spans="1:32" x14ac:dyDescent="0.25">
      <c r="A6153" s="37"/>
      <c r="B6153" s="37"/>
      <c r="C6153" s="37"/>
      <c r="F6153" s="38"/>
      <c r="G6153" s="38"/>
      <c r="H6153" s="38"/>
      <c r="I6153" s="37"/>
      <c r="J6153" s="38"/>
      <c r="K6153" s="38"/>
      <c r="L6153" s="42"/>
      <c r="M6153" s="42"/>
      <c r="N6153" s="42"/>
      <c r="O6153" s="42"/>
      <c r="R6153" s="37"/>
      <c r="S6153" s="37"/>
      <c r="T6153" s="91"/>
      <c r="U6153" s="91"/>
      <c r="V6153" s="41"/>
      <c r="W6153" s="37"/>
      <c r="X6153" s="37"/>
      <c r="Y6153" s="43"/>
      <c r="Z6153" s="37"/>
      <c r="AA6153" s="37"/>
      <c r="AD6153" s="37"/>
      <c r="AE6153" s="37"/>
      <c r="AF6153" s="37"/>
    </row>
    <row r="6154" spans="1:32" x14ac:dyDescent="0.25">
      <c r="A6154" s="37"/>
      <c r="B6154" s="37"/>
      <c r="C6154" s="37"/>
      <c r="F6154" s="38"/>
      <c r="G6154" s="38"/>
      <c r="H6154" s="38"/>
      <c r="I6154" s="37"/>
      <c r="J6154" s="38"/>
      <c r="K6154" s="38"/>
      <c r="L6154" s="42"/>
      <c r="M6154" s="42"/>
      <c r="N6154" s="42"/>
      <c r="O6154" s="42"/>
      <c r="R6154" s="37"/>
      <c r="S6154" s="37"/>
      <c r="T6154" s="91"/>
      <c r="U6154" s="91"/>
      <c r="V6154" s="41"/>
      <c r="W6154" s="37"/>
      <c r="X6154" s="37"/>
      <c r="Y6154" s="43"/>
      <c r="Z6154" s="37"/>
      <c r="AA6154" s="37"/>
      <c r="AD6154" s="37"/>
      <c r="AE6154" s="37"/>
      <c r="AF6154" s="37"/>
    </row>
    <row r="6155" spans="1:32" x14ac:dyDescent="0.25">
      <c r="A6155" s="37"/>
      <c r="B6155" s="37"/>
      <c r="C6155" s="37"/>
      <c r="F6155" s="38"/>
      <c r="G6155" s="38"/>
      <c r="H6155" s="38"/>
      <c r="I6155" s="37"/>
      <c r="J6155" s="38"/>
      <c r="K6155" s="38"/>
      <c r="L6155" s="42"/>
      <c r="M6155" s="42"/>
      <c r="N6155" s="42"/>
      <c r="O6155" s="42"/>
      <c r="R6155" s="37"/>
      <c r="S6155" s="37"/>
      <c r="T6155" s="91"/>
      <c r="U6155" s="91"/>
      <c r="V6155" s="41"/>
      <c r="W6155" s="37"/>
      <c r="X6155" s="37"/>
      <c r="Y6155" s="43"/>
      <c r="Z6155" s="37"/>
      <c r="AA6155" s="37"/>
      <c r="AD6155" s="37"/>
      <c r="AE6155" s="37"/>
      <c r="AF6155" s="37"/>
    </row>
    <row r="6156" spans="1:32" x14ac:dyDescent="0.25">
      <c r="A6156" s="37"/>
      <c r="B6156" s="37"/>
      <c r="C6156" s="37"/>
      <c r="F6156" s="38"/>
      <c r="G6156" s="38"/>
      <c r="H6156" s="38"/>
      <c r="I6156" s="37"/>
      <c r="J6156" s="38"/>
      <c r="K6156" s="38"/>
      <c r="L6156" s="42"/>
      <c r="M6156" s="42"/>
      <c r="N6156" s="42"/>
      <c r="O6156" s="42"/>
      <c r="R6156" s="37"/>
      <c r="S6156" s="37"/>
      <c r="T6156" s="91"/>
      <c r="U6156" s="91"/>
      <c r="V6156" s="41"/>
      <c r="W6156" s="37"/>
      <c r="X6156" s="37"/>
      <c r="Y6156" s="43"/>
      <c r="Z6156" s="37"/>
      <c r="AA6156" s="37"/>
      <c r="AD6156" s="37"/>
      <c r="AE6156" s="37"/>
      <c r="AF6156" s="37"/>
    </row>
    <row r="6157" spans="1:32" x14ac:dyDescent="0.25">
      <c r="A6157" s="37"/>
      <c r="B6157" s="37"/>
      <c r="C6157" s="37"/>
      <c r="F6157" s="38"/>
      <c r="G6157" s="38"/>
      <c r="H6157" s="38"/>
      <c r="I6157" s="37"/>
      <c r="J6157" s="38"/>
      <c r="K6157" s="38"/>
      <c r="L6157" s="42"/>
      <c r="M6157" s="42"/>
      <c r="N6157" s="42"/>
      <c r="O6157" s="42"/>
      <c r="R6157" s="37"/>
      <c r="S6157" s="37"/>
      <c r="T6157" s="91"/>
      <c r="U6157" s="91"/>
      <c r="V6157" s="41"/>
      <c r="W6157" s="37"/>
      <c r="X6157" s="37"/>
      <c r="Y6157" s="43"/>
      <c r="Z6157" s="37"/>
      <c r="AA6157" s="37"/>
      <c r="AD6157" s="37"/>
      <c r="AE6157" s="37"/>
      <c r="AF6157" s="37"/>
    </row>
    <row r="6158" spans="1:32" x14ac:dyDescent="0.25">
      <c r="A6158" s="37"/>
      <c r="B6158" s="37"/>
      <c r="C6158" s="37"/>
      <c r="F6158" s="38"/>
      <c r="G6158" s="38"/>
      <c r="H6158" s="38"/>
      <c r="I6158" s="37"/>
      <c r="J6158" s="38"/>
      <c r="K6158" s="38"/>
      <c r="L6158" s="42"/>
      <c r="M6158" s="42"/>
      <c r="N6158" s="42"/>
      <c r="O6158" s="42"/>
      <c r="R6158" s="37"/>
      <c r="S6158" s="37"/>
      <c r="T6158" s="91"/>
      <c r="U6158" s="91"/>
      <c r="V6158" s="41"/>
      <c r="W6158" s="37"/>
      <c r="X6158" s="37"/>
      <c r="Y6158" s="43"/>
      <c r="Z6158" s="37"/>
      <c r="AA6158" s="37"/>
      <c r="AD6158" s="37"/>
      <c r="AE6158" s="37"/>
      <c r="AF6158" s="37"/>
    </row>
    <row r="6159" spans="1:32" x14ac:dyDescent="0.25">
      <c r="A6159" s="37"/>
      <c r="B6159" s="37"/>
      <c r="C6159" s="37"/>
      <c r="F6159" s="38"/>
      <c r="G6159" s="38"/>
      <c r="H6159" s="38"/>
      <c r="I6159" s="37"/>
      <c r="J6159" s="38"/>
      <c r="K6159" s="38"/>
      <c r="L6159" s="42"/>
      <c r="M6159" s="42"/>
      <c r="N6159" s="42"/>
      <c r="O6159" s="42"/>
      <c r="R6159" s="37"/>
      <c r="S6159" s="37"/>
      <c r="T6159" s="91"/>
      <c r="U6159" s="91"/>
      <c r="V6159" s="41"/>
      <c r="W6159" s="37"/>
      <c r="X6159" s="37"/>
      <c r="Y6159" s="43"/>
      <c r="Z6159" s="37"/>
      <c r="AA6159" s="37"/>
      <c r="AD6159" s="37"/>
      <c r="AE6159" s="37"/>
      <c r="AF6159" s="37"/>
    </row>
    <row r="6160" spans="1:32" x14ac:dyDescent="0.25">
      <c r="A6160" s="37"/>
      <c r="B6160" s="37"/>
      <c r="C6160" s="37"/>
      <c r="F6160" s="38"/>
      <c r="G6160" s="38"/>
      <c r="H6160" s="38"/>
      <c r="I6160" s="37"/>
      <c r="J6160" s="38"/>
      <c r="K6160" s="38"/>
      <c r="L6160" s="42"/>
      <c r="M6160" s="42"/>
      <c r="N6160" s="42"/>
      <c r="O6160" s="42"/>
      <c r="R6160" s="37"/>
      <c r="S6160" s="37"/>
      <c r="T6160" s="91"/>
      <c r="U6160" s="91"/>
      <c r="V6160" s="41"/>
      <c r="W6160" s="37"/>
      <c r="X6160" s="37"/>
      <c r="Y6160" s="43"/>
      <c r="Z6160" s="37"/>
      <c r="AA6160" s="37"/>
      <c r="AD6160" s="37"/>
      <c r="AE6160" s="37"/>
      <c r="AF6160" s="37"/>
    </row>
    <row r="6161" spans="1:32" x14ac:dyDescent="0.25">
      <c r="A6161" s="37"/>
      <c r="B6161" s="37"/>
      <c r="C6161" s="37"/>
      <c r="F6161" s="38"/>
      <c r="G6161" s="38"/>
      <c r="H6161" s="38"/>
      <c r="I6161" s="37"/>
      <c r="J6161" s="38"/>
      <c r="K6161" s="38"/>
      <c r="L6161" s="42"/>
      <c r="M6161" s="42"/>
      <c r="N6161" s="42"/>
      <c r="O6161" s="42"/>
      <c r="R6161" s="37"/>
      <c r="S6161" s="37"/>
      <c r="T6161" s="91"/>
      <c r="U6161" s="91"/>
      <c r="V6161" s="41"/>
      <c r="W6161" s="37"/>
      <c r="X6161" s="37"/>
      <c r="Y6161" s="43"/>
      <c r="Z6161" s="37"/>
      <c r="AA6161" s="37"/>
      <c r="AD6161" s="37"/>
      <c r="AE6161" s="37"/>
      <c r="AF6161" s="37"/>
    </row>
    <row r="6162" spans="1:32" x14ac:dyDescent="0.25">
      <c r="A6162" s="37"/>
      <c r="B6162" s="37"/>
      <c r="C6162" s="37"/>
      <c r="F6162" s="38"/>
      <c r="G6162" s="38"/>
      <c r="H6162" s="38"/>
      <c r="I6162" s="37"/>
      <c r="J6162" s="38"/>
      <c r="K6162" s="38"/>
      <c r="L6162" s="42"/>
      <c r="M6162" s="42"/>
      <c r="N6162" s="42"/>
      <c r="O6162" s="42"/>
      <c r="R6162" s="37"/>
      <c r="S6162" s="37"/>
      <c r="T6162" s="91"/>
      <c r="U6162" s="91"/>
      <c r="V6162" s="41"/>
      <c r="W6162" s="37"/>
      <c r="X6162" s="37"/>
      <c r="Y6162" s="43"/>
      <c r="Z6162" s="37"/>
      <c r="AA6162" s="37"/>
      <c r="AD6162" s="37"/>
      <c r="AE6162" s="37"/>
      <c r="AF6162" s="37"/>
    </row>
    <row r="6163" spans="1:32" x14ac:dyDescent="0.25">
      <c r="A6163" s="37"/>
      <c r="B6163" s="37"/>
      <c r="C6163" s="37"/>
      <c r="F6163" s="38"/>
      <c r="G6163" s="38"/>
      <c r="H6163" s="38"/>
      <c r="I6163" s="37"/>
      <c r="J6163" s="38"/>
      <c r="K6163" s="38"/>
      <c r="L6163" s="42"/>
      <c r="M6163" s="42"/>
      <c r="N6163" s="42"/>
      <c r="O6163" s="42"/>
      <c r="R6163" s="37"/>
      <c r="S6163" s="37"/>
      <c r="T6163" s="91"/>
      <c r="U6163" s="91"/>
      <c r="V6163" s="41"/>
      <c r="W6163" s="37"/>
      <c r="X6163" s="37"/>
      <c r="Y6163" s="43"/>
      <c r="Z6163" s="37"/>
      <c r="AA6163" s="37"/>
      <c r="AD6163" s="37"/>
      <c r="AE6163" s="37"/>
      <c r="AF6163" s="37"/>
    </row>
    <row r="6164" spans="1:32" x14ac:dyDescent="0.25">
      <c r="A6164" s="37"/>
      <c r="B6164" s="37"/>
      <c r="C6164" s="37"/>
      <c r="F6164" s="38"/>
      <c r="G6164" s="38"/>
      <c r="H6164" s="38"/>
      <c r="I6164" s="37"/>
      <c r="J6164" s="38"/>
      <c r="K6164" s="38"/>
      <c r="L6164" s="42"/>
      <c r="M6164" s="42"/>
      <c r="N6164" s="42"/>
      <c r="O6164" s="42"/>
      <c r="R6164" s="37"/>
      <c r="S6164" s="37"/>
      <c r="T6164" s="91"/>
      <c r="U6164" s="91"/>
      <c r="V6164" s="41"/>
      <c r="W6164" s="37"/>
      <c r="X6164" s="37"/>
      <c r="Y6164" s="43"/>
      <c r="Z6164" s="37"/>
      <c r="AA6164" s="37"/>
      <c r="AD6164" s="37"/>
      <c r="AE6164" s="37"/>
      <c r="AF6164" s="37"/>
    </row>
    <row r="6165" spans="1:32" x14ac:dyDescent="0.25">
      <c r="A6165" s="37"/>
      <c r="B6165" s="37"/>
      <c r="C6165" s="37"/>
      <c r="F6165" s="38"/>
      <c r="G6165" s="38"/>
      <c r="H6165" s="38"/>
      <c r="I6165" s="37"/>
      <c r="J6165" s="38"/>
      <c r="K6165" s="38"/>
      <c r="L6165" s="42"/>
      <c r="M6165" s="42"/>
      <c r="N6165" s="42"/>
      <c r="O6165" s="42"/>
      <c r="R6165" s="37"/>
      <c r="S6165" s="37"/>
      <c r="T6165" s="91"/>
      <c r="U6165" s="91"/>
      <c r="V6165" s="41"/>
      <c r="W6165" s="37"/>
      <c r="X6165" s="37"/>
      <c r="Y6165" s="43"/>
      <c r="Z6165" s="37"/>
      <c r="AA6165" s="37"/>
      <c r="AD6165" s="37"/>
      <c r="AE6165" s="37"/>
      <c r="AF6165" s="37"/>
    </row>
    <row r="6166" spans="1:32" x14ac:dyDescent="0.25">
      <c r="A6166" s="37"/>
      <c r="B6166" s="37"/>
      <c r="C6166" s="37"/>
      <c r="F6166" s="38"/>
      <c r="G6166" s="38"/>
      <c r="H6166" s="38"/>
      <c r="I6166" s="37"/>
      <c r="J6166" s="38"/>
      <c r="K6166" s="38"/>
      <c r="L6166" s="42"/>
      <c r="M6166" s="42"/>
      <c r="N6166" s="42"/>
      <c r="O6166" s="42"/>
      <c r="R6166" s="37"/>
      <c r="S6166" s="37"/>
      <c r="T6166" s="91"/>
      <c r="U6166" s="91"/>
      <c r="V6166" s="41"/>
      <c r="W6166" s="37"/>
      <c r="X6166" s="37"/>
      <c r="Y6166" s="43"/>
      <c r="Z6166" s="37"/>
      <c r="AA6166" s="37"/>
      <c r="AD6166" s="37"/>
      <c r="AE6166" s="37"/>
      <c r="AF6166" s="37"/>
    </row>
    <row r="6167" spans="1:32" x14ac:dyDescent="0.25">
      <c r="A6167" s="37"/>
      <c r="B6167" s="37"/>
      <c r="C6167" s="37"/>
      <c r="F6167" s="38"/>
      <c r="G6167" s="38"/>
      <c r="H6167" s="38"/>
      <c r="I6167" s="37"/>
      <c r="J6167" s="38"/>
      <c r="K6167" s="38"/>
      <c r="L6167" s="42"/>
      <c r="M6167" s="42"/>
      <c r="N6167" s="42"/>
      <c r="O6167" s="42"/>
      <c r="R6167" s="37"/>
      <c r="S6167" s="37"/>
      <c r="T6167" s="91"/>
      <c r="U6167" s="91"/>
      <c r="V6167" s="41"/>
      <c r="W6167" s="37"/>
      <c r="X6167" s="37"/>
      <c r="Y6167" s="43"/>
      <c r="Z6167" s="37"/>
      <c r="AA6167" s="37"/>
      <c r="AD6167" s="37"/>
      <c r="AE6167" s="37"/>
      <c r="AF6167" s="37"/>
    </row>
    <row r="6168" spans="1:32" x14ac:dyDescent="0.25">
      <c r="A6168" s="37"/>
      <c r="B6168" s="37"/>
      <c r="C6168" s="37"/>
      <c r="F6168" s="38"/>
      <c r="G6168" s="38"/>
      <c r="H6168" s="38"/>
      <c r="I6168" s="37"/>
      <c r="J6168" s="38"/>
      <c r="K6168" s="38"/>
      <c r="L6168" s="42"/>
      <c r="M6168" s="42"/>
      <c r="N6168" s="42"/>
      <c r="O6168" s="42"/>
      <c r="R6168" s="37"/>
      <c r="S6168" s="37"/>
      <c r="T6168" s="91"/>
      <c r="U6168" s="91"/>
      <c r="V6168" s="41"/>
      <c r="W6168" s="37"/>
      <c r="X6168" s="37"/>
      <c r="Y6168" s="43"/>
      <c r="Z6168" s="37"/>
      <c r="AA6168" s="37"/>
      <c r="AD6168" s="37"/>
      <c r="AE6168" s="37"/>
      <c r="AF6168" s="37"/>
    </row>
    <row r="6169" spans="1:32" x14ac:dyDescent="0.25">
      <c r="A6169" s="37"/>
      <c r="B6169" s="37"/>
      <c r="C6169" s="37"/>
      <c r="F6169" s="38"/>
      <c r="G6169" s="38"/>
      <c r="H6169" s="38"/>
      <c r="I6169" s="37"/>
      <c r="J6169" s="38"/>
      <c r="K6169" s="38"/>
      <c r="L6169" s="42"/>
      <c r="M6169" s="42"/>
      <c r="N6169" s="42"/>
      <c r="O6169" s="42"/>
      <c r="R6169" s="37"/>
      <c r="S6169" s="37"/>
      <c r="T6169" s="91"/>
      <c r="U6169" s="91"/>
      <c r="V6169" s="41"/>
      <c r="W6169" s="37"/>
      <c r="X6169" s="37"/>
      <c r="Y6169" s="43"/>
      <c r="Z6169" s="37"/>
      <c r="AA6169" s="37"/>
      <c r="AD6169" s="37"/>
      <c r="AE6169" s="37"/>
      <c r="AF6169" s="37"/>
    </row>
    <row r="6170" spans="1:32" x14ac:dyDescent="0.25">
      <c r="A6170" s="37"/>
      <c r="B6170" s="37"/>
      <c r="C6170" s="37"/>
      <c r="F6170" s="38"/>
      <c r="G6170" s="38"/>
      <c r="H6170" s="38"/>
      <c r="I6170" s="37"/>
      <c r="J6170" s="38"/>
      <c r="K6170" s="38"/>
      <c r="L6170" s="42"/>
      <c r="M6170" s="42"/>
      <c r="N6170" s="42"/>
      <c r="O6170" s="42"/>
      <c r="R6170" s="37"/>
      <c r="S6170" s="37"/>
      <c r="T6170" s="91"/>
      <c r="U6170" s="91"/>
      <c r="V6170" s="41"/>
      <c r="W6170" s="37"/>
      <c r="X6170" s="37"/>
      <c r="Y6170" s="43"/>
      <c r="Z6170" s="37"/>
      <c r="AA6170" s="37"/>
      <c r="AD6170" s="37"/>
      <c r="AE6170" s="37"/>
      <c r="AF6170" s="37"/>
    </row>
    <row r="6171" spans="1:32" x14ac:dyDescent="0.25">
      <c r="A6171" s="37"/>
      <c r="B6171" s="37"/>
      <c r="C6171" s="37"/>
      <c r="F6171" s="38"/>
      <c r="G6171" s="38"/>
      <c r="H6171" s="38"/>
      <c r="I6171" s="37"/>
      <c r="J6171" s="38"/>
      <c r="K6171" s="38"/>
      <c r="L6171" s="42"/>
      <c r="M6171" s="42"/>
      <c r="N6171" s="42"/>
      <c r="O6171" s="42"/>
      <c r="R6171" s="37"/>
      <c r="S6171" s="37"/>
      <c r="T6171" s="91"/>
      <c r="U6171" s="91"/>
      <c r="V6171" s="41"/>
      <c r="W6171" s="37"/>
      <c r="X6171" s="37"/>
      <c r="Y6171" s="43"/>
      <c r="Z6171" s="37"/>
      <c r="AA6171" s="37"/>
      <c r="AD6171" s="37"/>
      <c r="AE6171" s="37"/>
      <c r="AF6171" s="37"/>
    </row>
    <row r="6172" spans="1:32" x14ac:dyDescent="0.25">
      <c r="A6172" s="37"/>
      <c r="B6172" s="37"/>
      <c r="C6172" s="37"/>
      <c r="F6172" s="38"/>
      <c r="G6172" s="38"/>
      <c r="H6172" s="38"/>
      <c r="I6172" s="37"/>
      <c r="J6172" s="38"/>
      <c r="K6172" s="38"/>
      <c r="L6172" s="42"/>
      <c r="M6172" s="42"/>
      <c r="N6172" s="42"/>
      <c r="O6172" s="42"/>
      <c r="R6172" s="37"/>
      <c r="S6172" s="37"/>
      <c r="T6172" s="91"/>
      <c r="U6172" s="91"/>
      <c r="V6172" s="41"/>
      <c r="W6172" s="37"/>
      <c r="X6172" s="37"/>
      <c r="Y6172" s="43"/>
      <c r="Z6172" s="37"/>
      <c r="AA6172" s="37"/>
      <c r="AD6172" s="37"/>
      <c r="AE6172" s="37"/>
      <c r="AF6172" s="37"/>
    </row>
    <row r="6173" spans="1:32" x14ac:dyDescent="0.25">
      <c r="A6173" s="37"/>
      <c r="B6173" s="37"/>
      <c r="C6173" s="37"/>
      <c r="F6173" s="38"/>
      <c r="G6173" s="38"/>
      <c r="H6173" s="38"/>
      <c r="I6173" s="37"/>
      <c r="J6173" s="38"/>
      <c r="K6173" s="38"/>
      <c r="L6173" s="42"/>
      <c r="M6173" s="42"/>
      <c r="N6173" s="42"/>
      <c r="O6173" s="42"/>
      <c r="R6173" s="37"/>
      <c r="S6173" s="37"/>
      <c r="T6173" s="91"/>
      <c r="U6173" s="91"/>
      <c r="V6173" s="41"/>
      <c r="W6173" s="37"/>
      <c r="X6173" s="37"/>
      <c r="Y6173" s="43"/>
      <c r="Z6173" s="37"/>
      <c r="AA6173" s="37"/>
      <c r="AD6173" s="37"/>
      <c r="AE6173" s="37"/>
      <c r="AF6173" s="37"/>
    </row>
    <row r="6174" spans="1:32" x14ac:dyDescent="0.25">
      <c r="A6174" s="37"/>
      <c r="B6174" s="37"/>
      <c r="C6174" s="37"/>
      <c r="F6174" s="38"/>
      <c r="G6174" s="38"/>
      <c r="H6174" s="38"/>
      <c r="I6174" s="37"/>
      <c r="J6174" s="38"/>
      <c r="K6174" s="38"/>
      <c r="L6174" s="42"/>
      <c r="M6174" s="42"/>
      <c r="N6174" s="42"/>
      <c r="O6174" s="42"/>
      <c r="R6174" s="37"/>
      <c r="S6174" s="37"/>
      <c r="T6174" s="91"/>
      <c r="U6174" s="91"/>
      <c r="V6174" s="41"/>
      <c r="W6174" s="37"/>
      <c r="X6174" s="37"/>
      <c r="Y6174" s="43"/>
      <c r="Z6174" s="37"/>
      <c r="AA6174" s="37"/>
      <c r="AD6174" s="37"/>
      <c r="AE6174" s="37"/>
      <c r="AF6174" s="37"/>
    </row>
    <row r="6175" spans="1:32" x14ac:dyDescent="0.25">
      <c r="A6175" s="37"/>
      <c r="B6175" s="37"/>
      <c r="C6175" s="37"/>
      <c r="F6175" s="38"/>
      <c r="G6175" s="38"/>
      <c r="H6175" s="38"/>
      <c r="I6175" s="37"/>
      <c r="J6175" s="38"/>
      <c r="K6175" s="38"/>
      <c r="L6175" s="42"/>
      <c r="M6175" s="42"/>
      <c r="N6175" s="42"/>
      <c r="O6175" s="42"/>
      <c r="R6175" s="37"/>
      <c r="S6175" s="37"/>
      <c r="T6175" s="91"/>
      <c r="U6175" s="91"/>
      <c r="V6175" s="41"/>
      <c r="W6175" s="37"/>
      <c r="X6175" s="37"/>
      <c r="Y6175" s="43"/>
      <c r="Z6175" s="37"/>
      <c r="AA6175" s="37"/>
      <c r="AD6175" s="37"/>
      <c r="AE6175" s="37"/>
      <c r="AF6175" s="37"/>
    </row>
    <row r="6176" spans="1:32" x14ac:dyDescent="0.25">
      <c r="A6176" s="37"/>
      <c r="B6176" s="37"/>
      <c r="C6176" s="37"/>
      <c r="F6176" s="38"/>
      <c r="G6176" s="38"/>
      <c r="H6176" s="38"/>
      <c r="I6176" s="37"/>
      <c r="J6176" s="38"/>
      <c r="K6176" s="38"/>
      <c r="L6176" s="42"/>
      <c r="M6176" s="42"/>
      <c r="N6176" s="42"/>
      <c r="O6176" s="42"/>
      <c r="R6176" s="37"/>
      <c r="S6176" s="37"/>
      <c r="T6176" s="91"/>
      <c r="U6176" s="91"/>
      <c r="V6176" s="41"/>
      <c r="W6176" s="37"/>
      <c r="X6176" s="37"/>
      <c r="Y6176" s="43"/>
      <c r="Z6176" s="37"/>
      <c r="AA6176" s="37"/>
      <c r="AD6176" s="37"/>
      <c r="AE6176" s="37"/>
      <c r="AF6176" s="37"/>
    </row>
    <row r="6177" spans="1:32" x14ac:dyDescent="0.25">
      <c r="A6177" s="37"/>
      <c r="B6177" s="37"/>
      <c r="C6177" s="37"/>
      <c r="F6177" s="38"/>
      <c r="G6177" s="38"/>
      <c r="H6177" s="38"/>
      <c r="I6177" s="37"/>
      <c r="J6177" s="38"/>
      <c r="K6177" s="38"/>
      <c r="L6177" s="42"/>
      <c r="M6177" s="42"/>
      <c r="N6177" s="42"/>
      <c r="O6177" s="42"/>
      <c r="R6177" s="37"/>
      <c r="S6177" s="37"/>
      <c r="T6177" s="91"/>
      <c r="U6177" s="91"/>
      <c r="V6177" s="41"/>
      <c r="W6177" s="37"/>
      <c r="X6177" s="37"/>
      <c r="Y6177" s="43"/>
      <c r="Z6177" s="37"/>
      <c r="AA6177" s="37"/>
      <c r="AD6177" s="37"/>
      <c r="AE6177" s="37"/>
      <c r="AF6177" s="37"/>
    </row>
    <row r="6178" spans="1:32" x14ac:dyDescent="0.25">
      <c r="A6178" s="37"/>
      <c r="B6178" s="37"/>
      <c r="C6178" s="37"/>
      <c r="F6178" s="38"/>
      <c r="G6178" s="38"/>
      <c r="H6178" s="38"/>
      <c r="I6178" s="37"/>
      <c r="J6178" s="38"/>
      <c r="K6178" s="38"/>
      <c r="L6178" s="42"/>
      <c r="M6178" s="42"/>
      <c r="N6178" s="42"/>
      <c r="O6178" s="42"/>
      <c r="R6178" s="37"/>
      <c r="S6178" s="37"/>
      <c r="T6178" s="91"/>
      <c r="U6178" s="91"/>
      <c r="V6178" s="41"/>
      <c r="W6178" s="37"/>
      <c r="X6178" s="37"/>
      <c r="Y6178" s="43"/>
      <c r="Z6178" s="37"/>
      <c r="AA6178" s="37"/>
      <c r="AD6178" s="37"/>
      <c r="AE6178" s="37"/>
      <c r="AF6178" s="37"/>
    </row>
    <row r="6179" spans="1:32" x14ac:dyDescent="0.25">
      <c r="A6179" s="37"/>
      <c r="B6179" s="37"/>
      <c r="C6179" s="37"/>
      <c r="F6179" s="38"/>
      <c r="G6179" s="38"/>
      <c r="H6179" s="38"/>
      <c r="I6179" s="37"/>
      <c r="J6179" s="38"/>
      <c r="K6179" s="38"/>
      <c r="L6179" s="42"/>
      <c r="M6179" s="42"/>
      <c r="N6179" s="42"/>
      <c r="O6179" s="42"/>
      <c r="R6179" s="37"/>
      <c r="S6179" s="37"/>
      <c r="T6179" s="91"/>
      <c r="U6179" s="91"/>
      <c r="V6179" s="41"/>
      <c r="W6179" s="37"/>
      <c r="X6179" s="37"/>
      <c r="Y6179" s="43"/>
      <c r="Z6179" s="37"/>
      <c r="AA6179" s="37"/>
      <c r="AD6179" s="37"/>
      <c r="AE6179" s="37"/>
      <c r="AF6179" s="37"/>
    </row>
    <row r="6180" spans="1:32" x14ac:dyDescent="0.25">
      <c r="A6180" s="37"/>
      <c r="B6180" s="37"/>
      <c r="C6180" s="37"/>
      <c r="F6180" s="38"/>
      <c r="G6180" s="38"/>
      <c r="H6180" s="38"/>
      <c r="I6180" s="37"/>
      <c r="J6180" s="38"/>
      <c r="K6180" s="38"/>
      <c r="L6180" s="42"/>
      <c r="M6180" s="42"/>
      <c r="N6180" s="42"/>
      <c r="O6180" s="42"/>
      <c r="R6180" s="37"/>
      <c r="S6180" s="37"/>
      <c r="T6180" s="91"/>
      <c r="U6180" s="91"/>
      <c r="V6180" s="41"/>
      <c r="W6180" s="37"/>
      <c r="X6180" s="37"/>
      <c r="Y6180" s="43"/>
      <c r="Z6180" s="37"/>
      <c r="AA6180" s="37"/>
      <c r="AD6180" s="37"/>
      <c r="AE6180" s="37"/>
      <c r="AF6180" s="37"/>
    </row>
    <row r="6181" spans="1:32" x14ac:dyDescent="0.25">
      <c r="A6181" s="37"/>
      <c r="B6181" s="37"/>
      <c r="C6181" s="37"/>
      <c r="F6181" s="38"/>
      <c r="G6181" s="38"/>
      <c r="H6181" s="38"/>
      <c r="I6181" s="37"/>
      <c r="J6181" s="38"/>
      <c r="K6181" s="38"/>
      <c r="L6181" s="42"/>
      <c r="M6181" s="42"/>
      <c r="N6181" s="42"/>
      <c r="O6181" s="42"/>
      <c r="R6181" s="37"/>
      <c r="S6181" s="37"/>
      <c r="T6181" s="91"/>
      <c r="U6181" s="91"/>
      <c r="V6181" s="41"/>
      <c r="W6181" s="37"/>
      <c r="X6181" s="37"/>
      <c r="Y6181" s="43"/>
      <c r="Z6181" s="37"/>
      <c r="AA6181" s="37"/>
      <c r="AD6181" s="37"/>
      <c r="AE6181" s="37"/>
      <c r="AF6181" s="37"/>
    </row>
    <row r="6182" spans="1:32" x14ac:dyDescent="0.25">
      <c r="A6182" s="37"/>
      <c r="B6182" s="37"/>
      <c r="C6182" s="37"/>
      <c r="F6182" s="38"/>
      <c r="G6182" s="38"/>
      <c r="H6182" s="38"/>
      <c r="I6182" s="37"/>
      <c r="J6182" s="38"/>
      <c r="K6182" s="38"/>
      <c r="L6182" s="42"/>
      <c r="M6182" s="42"/>
      <c r="N6182" s="42"/>
      <c r="O6182" s="42"/>
      <c r="R6182" s="37"/>
      <c r="S6182" s="37"/>
      <c r="T6182" s="91"/>
      <c r="U6182" s="91"/>
      <c r="V6182" s="41"/>
      <c r="W6182" s="37"/>
      <c r="X6182" s="37"/>
      <c r="Y6182" s="43"/>
      <c r="Z6182" s="37"/>
      <c r="AA6182" s="37"/>
      <c r="AD6182" s="37"/>
      <c r="AE6182" s="37"/>
      <c r="AF6182" s="37"/>
    </row>
    <row r="6183" spans="1:32" x14ac:dyDescent="0.25">
      <c r="A6183" s="37"/>
      <c r="B6183" s="37"/>
      <c r="C6183" s="37"/>
      <c r="F6183" s="38"/>
      <c r="G6183" s="38"/>
      <c r="H6183" s="38"/>
      <c r="I6183" s="37"/>
      <c r="J6183" s="38"/>
      <c r="K6183" s="38"/>
      <c r="L6183" s="42"/>
      <c r="M6183" s="42"/>
      <c r="N6183" s="42"/>
      <c r="O6183" s="42"/>
      <c r="R6183" s="37"/>
      <c r="S6183" s="37"/>
      <c r="T6183" s="91"/>
      <c r="U6183" s="91"/>
      <c r="V6183" s="41"/>
      <c r="W6183" s="37"/>
      <c r="X6183" s="37"/>
      <c r="Y6183" s="43"/>
      <c r="Z6183" s="37"/>
      <c r="AA6183" s="37"/>
      <c r="AD6183" s="37"/>
      <c r="AE6183" s="37"/>
      <c r="AF6183" s="37"/>
    </row>
    <row r="6184" spans="1:32" x14ac:dyDescent="0.25">
      <c r="A6184" s="37"/>
      <c r="B6184" s="37"/>
      <c r="C6184" s="37"/>
      <c r="F6184" s="38"/>
      <c r="G6184" s="38"/>
      <c r="H6184" s="38"/>
      <c r="I6184" s="37"/>
      <c r="J6184" s="38"/>
      <c r="K6184" s="38"/>
      <c r="L6184" s="42"/>
      <c r="M6184" s="42"/>
      <c r="N6184" s="42"/>
      <c r="O6184" s="42"/>
      <c r="R6184" s="37"/>
      <c r="S6184" s="37"/>
      <c r="T6184" s="91"/>
      <c r="U6184" s="91"/>
      <c r="V6184" s="41"/>
      <c r="W6184" s="37"/>
      <c r="X6184" s="37"/>
      <c r="Y6184" s="43"/>
      <c r="Z6184" s="37"/>
      <c r="AA6184" s="37"/>
      <c r="AD6184" s="37"/>
      <c r="AE6184" s="37"/>
      <c r="AF6184" s="37"/>
    </row>
    <row r="6185" spans="1:32" x14ac:dyDescent="0.25">
      <c r="A6185" s="37"/>
      <c r="B6185" s="37"/>
      <c r="C6185" s="37"/>
      <c r="F6185" s="38"/>
      <c r="G6185" s="38"/>
      <c r="H6185" s="38"/>
      <c r="I6185" s="37"/>
      <c r="J6185" s="38"/>
      <c r="K6185" s="38"/>
      <c r="L6185" s="42"/>
      <c r="M6185" s="42"/>
      <c r="N6185" s="42"/>
      <c r="O6185" s="42"/>
      <c r="R6185" s="37"/>
      <c r="S6185" s="37"/>
      <c r="T6185" s="91"/>
      <c r="U6185" s="91"/>
      <c r="V6185" s="41"/>
      <c r="W6185" s="37"/>
      <c r="X6185" s="37"/>
      <c r="Y6185" s="43"/>
      <c r="Z6185" s="37"/>
      <c r="AA6185" s="37"/>
      <c r="AD6185" s="37"/>
      <c r="AE6185" s="37"/>
      <c r="AF6185" s="37"/>
    </row>
    <row r="6186" spans="1:32" x14ac:dyDescent="0.25">
      <c r="A6186" s="37"/>
      <c r="B6186" s="37"/>
      <c r="C6186" s="37"/>
      <c r="F6186" s="38"/>
      <c r="G6186" s="38"/>
      <c r="H6186" s="38"/>
      <c r="I6186" s="37"/>
      <c r="J6186" s="38"/>
      <c r="K6186" s="38"/>
      <c r="L6186" s="42"/>
      <c r="M6186" s="42"/>
      <c r="N6186" s="42"/>
      <c r="O6186" s="42"/>
      <c r="R6186" s="37"/>
      <c r="S6186" s="37"/>
      <c r="T6186" s="91"/>
      <c r="U6186" s="91"/>
      <c r="V6186" s="41"/>
      <c r="W6186" s="37"/>
      <c r="X6186" s="37"/>
      <c r="Y6186" s="43"/>
      <c r="Z6186" s="37"/>
      <c r="AA6186" s="37"/>
      <c r="AD6186" s="37"/>
      <c r="AE6186" s="37"/>
      <c r="AF6186" s="37"/>
    </row>
    <row r="6187" spans="1:32" x14ac:dyDescent="0.25">
      <c r="A6187" s="37"/>
      <c r="B6187" s="37"/>
      <c r="C6187" s="37"/>
      <c r="F6187" s="38"/>
      <c r="G6187" s="38"/>
      <c r="H6187" s="38"/>
      <c r="I6187" s="37"/>
      <c r="J6187" s="38"/>
      <c r="K6187" s="38"/>
      <c r="L6187" s="42"/>
      <c r="M6187" s="42"/>
      <c r="N6187" s="42"/>
      <c r="O6187" s="42"/>
      <c r="R6187" s="37"/>
      <c r="S6187" s="37"/>
      <c r="T6187" s="91"/>
      <c r="U6187" s="91"/>
      <c r="V6187" s="41"/>
      <c r="W6187" s="37"/>
      <c r="X6187" s="37"/>
      <c r="Y6187" s="43"/>
      <c r="Z6187" s="37"/>
      <c r="AA6187" s="37"/>
      <c r="AD6187" s="37"/>
      <c r="AE6187" s="37"/>
      <c r="AF6187" s="37"/>
    </row>
    <row r="6188" spans="1:32" x14ac:dyDescent="0.25">
      <c r="A6188" s="37"/>
      <c r="B6188" s="37"/>
      <c r="C6188" s="37"/>
      <c r="F6188" s="38"/>
      <c r="G6188" s="38"/>
      <c r="H6188" s="38"/>
      <c r="I6188" s="37"/>
      <c r="J6188" s="38"/>
      <c r="K6188" s="38"/>
      <c r="L6188" s="42"/>
      <c r="M6188" s="42"/>
      <c r="N6188" s="42"/>
      <c r="O6188" s="42"/>
      <c r="R6188" s="37"/>
      <c r="S6188" s="37"/>
      <c r="T6188" s="91"/>
      <c r="U6188" s="91"/>
      <c r="V6188" s="41"/>
      <c r="W6188" s="37"/>
      <c r="X6188" s="37"/>
      <c r="Y6188" s="43"/>
      <c r="Z6188" s="37"/>
      <c r="AA6188" s="37"/>
      <c r="AD6188" s="37"/>
      <c r="AE6188" s="37"/>
      <c r="AF6188" s="37"/>
    </row>
    <row r="6189" spans="1:32" x14ac:dyDescent="0.25">
      <c r="A6189" s="37"/>
      <c r="B6189" s="37"/>
      <c r="C6189" s="37"/>
      <c r="F6189" s="38"/>
      <c r="G6189" s="38"/>
      <c r="H6189" s="38"/>
      <c r="I6189" s="37"/>
      <c r="J6189" s="38"/>
      <c r="K6189" s="38"/>
      <c r="L6189" s="42"/>
      <c r="M6189" s="42"/>
      <c r="N6189" s="42"/>
      <c r="O6189" s="42"/>
      <c r="R6189" s="37"/>
      <c r="S6189" s="37"/>
      <c r="T6189" s="91"/>
      <c r="U6189" s="91"/>
      <c r="V6189" s="41"/>
      <c r="W6189" s="37"/>
      <c r="X6189" s="37"/>
      <c r="Y6189" s="43"/>
      <c r="Z6189" s="37"/>
      <c r="AA6189" s="37"/>
      <c r="AD6189" s="37"/>
      <c r="AE6189" s="37"/>
      <c r="AF6189" s="37"/>
    </row>
    <row r="6190" spans="1:32" x14ac:dyDescent="0.25">
      <c r="A6190" s="37"/>
      <c r="B6190" s="37"/>
      <c r="C6190" s="37"/>
      <c r="F6190" s="38"/>
      <c r="G6190" s="38"/>
      <c r="H6190" s="38"/>
      <c r="I6190" s="37"/>
      <c r="J6190" s="38"/>
      <c r="K6190" s="38"/>
      <c r="L6190" s="42"/>
      <c r="M6190" s="42"/>
      <c r="N6190" s="42"/>
      <c r="O6190" s="42"/>
      <c r="R6190" s="37"/>
      <c r="S6190" s="37"/>
      <c r="T6190" s="91"/>
      <c r="U6190" s="91"/>
      <c r="V6190" s="41"/>
      <c r="W6190" s="37"/>
      <c r="X6190" s="37"/>
      <c r="Y6190" s="43"/>
      <c r="Z6190" s="37"/>
      <c r="AA6190" s="37"/>
      <c r="AD6190" s="37"/>
      <c r="AE6190" s="37"/>
      <c r="AF6190" s="37"/>
    </row>
    <row r="6191" spans="1:32" x14ac:dyDescent="0.25">
      <c r="A6191" s="37"/>
      <c r="B6191" s="37"/>
      <c r="C6191" s="37"/>
      <c r="F6191" s="38"/>
      <c r="G6191" s="38"/>
      <c r="H6191" s="38"/>
      <c r="I6191" s="37"/>
      <c r="J6191" s="38"/>
      <c r="K6191" s="38"/>
      <c r="L6191" s="42"/>
      <c r="M6191" s="42"/>
      <c r="N6191" s="42"/>
      <c r="O6191" s="42"/>
      <c r="R6191" s="37"/>
      <c r="S6191" s="37"/>
      <c r="T6191" s="91"/>
      <c r="U6191" s="91"/>
      <c r="V6191" s="41"/>
      <c r="W6191" s="37"/>
      <c r="X6191" s="37"/>
      <c r="Y6191" s="43"/>
      <c r="Z6191" s="37"/>
      <c r="AA6191" s="37"/>
      <c r="AD6191" s="37"/>
      <c r="AE6191" s="37"/>
      <c r="AF6191" s="37"/>
    </row>
    <row r="6192" spans="1:32" x14ac:dyDescent="0.25">
      <c r="A6192" s="37"/>
      <c r="B6192" s="37"/>
      <c r="C6192" s="37"/>
      <c r="F6192" s="38"/>
      <c r="G6192" s="38"/>
      <c r="H6192" s="38"/>
      <c r="I6192" s="37"/>
      <c r="J6192" s="38"/>
      <c r="K6192" s="38"/>
      <c r="L6192" s="42"/>
      <c r="M6192" s="42"/>
      <c r="N6192" s="42"/>
      <c r="O6192" s="42"/>
      <c r="R6192" s="37"/>
      <c r="S6192" s="37"/>
      <c r="T6192" s="91"/>
      <c r="U6192" s="91"/>
      <c r="V6192" s="41"/>
      <c r="W6192" s="37"/>
      <c r="X6192" s="37"/>
      <c r="Y6192" s="43"/>
      <c r="Z6192" s="37"/>
      <c r="AA6192" s="37"/>
      <c r="AD6192" s="37"/>
      <c r="AE6192" s="37"/>
      <c r="AF6192" s="37"/>
    </row>
    <row r="6193" spans="1:32" x14ac:dyDescent="0.25">
      <c r="A6193" s="37"/>
      <c r="B6193" s="37"/>
      <c r="C6193" s="37"/>
      <c r="F6193" s="38"/>
      <c r="G6193" s="38"/>
      <c r="H6193" s="38"/>
      <c r="I6193" s="37"/>
      <c r="J6193" s="38"/>
      <c r="K6193" s="38"/>
      <c r="L6193" s="42"/>
      <c r="M6193" s="42"/>
      <c r="N6193" s="42"/>
      <c r="O6193" s="42"/>
      <c r="R6193" s="37"/>
      <c r="S6193" s="37"/>
      <c r="T6193" s="91"/>
      <c r="U6193" s="91"/>
      <c r="V6193" s="41"/>
      <c r="W6193" s="37"/>
      <c r="X6193" s="37"/>
      <c r="Y6193" s="43"/>
      <c r="Z6193" s="37"/>
      <c r="AA6193" s="37"/>
      <c r="AD6193" s="37"/>
      <c r="AE6193" s="37"/>
      <c r="AF6193" s="37"/>
    </row>
    <row r="6194" spans="1:32" x14ac:dyDescent="0.25">
      <c r="A6194" s="37"/>
      <c r="B6194" s="37"/>
      <c r="C6194" s="37"/>
      <c r="F6194" s="38"/>
      <c r="G6194" s="38"/>
      <c r="H6194" s="38"/>
      <c r="I6194" s="37"/>
      <c r="J6194" s="38"/>
      <c r="K6194" s="38"/>
      <c r="L6194" s="42"/>
      <c r="M6194" s="42"/>
      <c r="N6194" s="42"/>
      <c r="O6194" s="42"/>
      <c r="R6194" s="37"/>
      <c r="S6194" s="37"/>
      <c r="T6194" s="91"/>
      <c r="U6194" s="91"/>
      <c r="V6194" s="41"/>
      <c r="W6194" s="37"/>
      <c r="X6194" s="37"/>
      <c r="Y6194" s="43"/>
      <c r="Z6194" s="37"/>
      <c r="AA6194" s="37"/>
      <c r="AD6194" s="37"/>
      <c r="AE6194" s="37"/>
      <c r="AF6194" s="37"/>
    </row>
    <row r="6195" spans="1:32" x14ac:dyDescent="0.25">
      <c r="A6195" s="37"/>
      <c r="B6195" s="37"/>
      <c r="C6195" s="37"/>
      <c r="F6195" s="38"/>
      <c r="G6195" s="38"/>
      <c r="H6195" s="38"/>
      <c r="I6195" s="37"/>
      <c r="J6195" s="38"/>
      <c r="K6195" s="38"/>
      <c r="L6195" s="42"/>
      <c r="M6195" s="42"/>
      <c r="N6195" s="42"/>
      <c r="O6195" s="42"/>
      <c r="R6195" s="37"/>
      <c r="S6195" s="37"/>
      <c r="T6195" s="91"/>
      <c r="U6195" s="91"/>
      <c r="V6195" s="41"/>
      <c r="W6195" s="37"/>
      <c r="X6195" s="37"/>
      <c r="Y6195" s="43"/>
      <c r="Z6195" s="37"/>
      <c r="AA6195" s="37"/>
      <c r="AD6195" s="37"/>
      <c r="AE6195" s="37"/>
      <c r="AF6195" s="37"/>
    </row>
    <row r="6196" spans="1:32" x14ac:dyDescent="0.25">
      <c r="A6196" s="37"/>
      <c r="B6196" s="37"/>
      <c r="C6196" s="37"/>
      <c r="F6196" s="38"/>
      <c r="G6196" s="38"/>
      <c r="H6196" s="38"/>
      <c r="I6196" s="37"/>
      <c r="J6196" s="38"/>
      <c r="K6196" s="38"/>
      <c r="L6196" s="42"/>
      <c r="M6196" s="42"/>
      <c r="N6196" s="42"/>
      <c r="O6196" s="42"/>
      <c r="R6196" s="37"/>
      <c r="S6196" s="37"/>
      <c r="T6196" s="91"/>
      <c r="U6196" s="91"/>
      <c r="V6196" s="41"/>
      <c r="W6196" s="37"/>
      <c r="X6196" s="37"/>
      <c r="Y6196" s="43"/>
      <c r="Z6196" s="37"/>
      <c r="AA6196" s="37"/>
      <c r="AD6196" s="37"/>
      <c r="AE6196" s="37"/>
      <c r="AF6196" s="37"/>
    </row>
    <row r="6197" spans="1:32" x14ac:dyDescent="0.25">
      <c r="A6197" s="37"/>
      <c r="B6197" s="37"/>
      <c r="C6197" s="37"/>
      <c r="F6197" s="38"/>
      <c r="G6197" s="38"/>
      <c r="H6197" s="38"/>
      <c r="I6197" s="37"/>
      <c r="J6197" s="38"/>
      <c r="K6197" s="38"/>
      <c r="L6197" s="42"/>
      <c r="M6197" s="42"/>
      <c r="N6197" s="42"/>
      <c r="O6197" s="42"/>
      <c r="R6197" s="37"/>
      <c r="S6197" s="37"/>
      <c r="T6197" s="91"/>
      <c r="U6197" s="91"/>
      <c r="V6197" s="41"/>
      <c r="W6197" s="37"/>
      <c r="X6197" s="37"/>
      <c r="Y6197" s="43"/>
      <c r="Z6197" s="37"/>
      <c r="AA6197" s="37"/>
      <c r="AD6197" s="37"/>
      <c r="AE6197" s="37"/>
      <c r="AF6197" s="37"/>
    </row>
    <row r="6198" spans="1:32" x14ac:dyDescent="0.25">
      <c r="A6198" s="37"/>
      <c r="B6198" s="37"/>
      <c r="C6198" s="37"/>
      <c r="F6198" s="38"/>
      <c r="G6198" s="38"/>
      <c r="H6198" s="38"/>
      <c r="I6198" s="37"/>
      <c r="J6198" s="38"/>
      <c r="K6198" s="38"/>
      <c r="L6198" s="42"/>
      <c r="M6198" s="42"/>
      <c r="N6198" s="42"/>
      <c r="O6198" s="42"/>
      <c r="R6198" s="37"/>
      <c r="S6198" s="37"/>
      <c r="T6198" s="91"/>
      <c r="U6198" s="91"/>
      <c r="V6198" s="41"/>
      <c r="W6198" s="37"/>
      <c r="X6198" s="37"/>
      <c r="Y6198" s="43"/>
      <c r="Z6198" s="37"/>
      <c r="AA6198" s="37"/>
      <c r="AD6198" s="37"/>
      <c r="AE6198" s="37"/>
      <c r="AF6198" s="37"/>
    </row>
    <row r="6199" spans="1:32" x14ac:dyDescent="0.25">
      <c r="A6199" s="37"/>
      <c r="B6199" s="37"/>
      <c r="C6199" s="37"/>
      <c r="F6199" s="38"/>
      <c r="G6199" s="38"/>
      <c r="H6199" s="38"/>
      <c r="I6199" s="37"/>
      <c r="J6199" s="38"/>
      <c r="K6199" s="38"/>
      <c r="L6199" s="42"/>
      <c r="M6199" s="42"/>
      <c r="N6199" s="42"/>
      <c r="O6199" s="42"/>
      <c r="R6199" s="37"/>
      <c r="S6199" s="37"/>
      <c r="T6199" s="91"/>
      <c r="U6199" s="91"/>
      <c r="V6199" s="41"/>
      <c r="W6199" s="37"/>
      <c r="X6199" s="37"/>
      <c r="Y6199" s="43"/>
      <c r="Z6199" s="37"/>
      <c r="AA6199" s="37"/>
      <c r="AD6199" s="37"/>
      <c r="AE6199" s="37"/>
      <c r="AF6199" s="37"/>
    </row>
    <row r="6200" spans="1:32" x14ac:dyDescent="0.25">
      <c r="A6200" s="37"/>
      <c r="B6200" s="37"/>
      <c r="C6200" s="37"/>
      <c r="F6200" s="38"/>
      <c r="G6200" s="38"/>
      <c r="H6200" s="38"/>
      <c r="I6200" s="37"/>
      <c r="J6200" s="38"/>
      <c r="K6200" s="38"/>
      <c r="L6200" s="42"/>
      <c r="M6200" s="42"/>
      <c r="N6200" s="42"/>
      <c r="O6200" s="42"/>
      <c r="R6200" s="37"/>
      <c r="S6200" s="37"/>
      <c r="T6200" s="91"/>
      <c r="U6200" s="91"/>
      <c r="V6200" s="41"/>
      <c r="W6200" s="37"/>
      <c r="X6200" s="37"/>
      <c r="Y6200" s="43"/>
      <c r="Z6200" s="37"/>
      <c r="AA6200" s="37"/>
      <c r="AD6200" s="37"/>
      <c r="AE6200" s="37"/>
      <c r="AF6200" s="37"/>
    </row>
    <row r="6201" spans="1:32" x14ac:dyDescent="0.25">
      <c r="A6201" s="37"/>
      <c r="B6201" s="37"/>
      <c r="C6201" s="37"/>
      <c r="F6201" s="38"/>
      <c r="G6201" s="38"/>
      <c r="H6201" s="38"/>
      <c r="I6201" s="37"/>
      <c r="J6201" s="38"/>
      <c r="K6201" s="38"/>
      <c r="L6201" s="42"/>
      <c r="M6201" s="42"/>
      <c r="N6201" s="42"/>
      <c r="O6201" s="42"/>
      <c r="R6201" s="37"/>
      <c r="S6201" s="37"/>
      <c r="T6201" s="91"/>
      <c r="U6201" s="91"/>
      <c r="V6201" s="41"/>
      <c r="W6201" s="37"/>
      <c r="X6201" s="37"/>
      <c r="Y6201" s="43"/>
      <c r="Z6201" s="37"/>
      <c r="AA6201" s="37"/>
      <c r="AD6201" s="37"/>
      <c r="AE6201" s="37"/>
      <c r="AF6201" s="37"/>
    </row>
    <row r="6202" spans="1:32" x14ac:dyDescent="0.25">
      <c r="A6202" s="37"/>
      <c r="B6202" s="37"/>
      <c r="C6202" s="37"/>
      <c r="F6202" s="38"/>
      <c r="G6202" s="38"/>
      <c r="H6202" s="38"/>
      <c r="I6202" s="37"/>
      <c r="J6202" s="38"/>
      <c r="K6202" s="38"/>
      <c r="L6202" s="42"/>
      <c r="M6202" s="42"/>
      <c r="N6202" s="42"/>
      <c r="O6202" s="42"/>
      <c r="R6202" s="37"/>
      <c r="S6202" s="37"/>
      <c r="T6202" s="91"/>
      <c r="U6202" s="91"/>
      <c r="V6202" s="41"/>
      <c r="W6202" s="37"/>
      <c r="X6202" s="37"/>
      <c r="Y6202" s="43"/>
      <c r="Z6202" s="37"/>
      <c r="AA6202" s="37"/>
      <c r="AD6202" s="37"/>
      <c r="AE6202" s="37"/>
      <c r="AF6202" s="37"/>
    </row>
    <row r="6203" spans="1:32" x14ac:dyDescent="0.25">
      <c r="A6203" s="37"/>
      <c r="B6203" s="37"/>
      <c r="C6203" s="37"/>
      <c r="F6203" s="38"/>
      <c r="G6203" s="38"/>
      <c r="H6203" s="38"/>
      <c r="I6203" s="37"/>
      <c r="J6203" s="38"/>
      <c r="K6203" s="38"/>
      <c r="L6203" s="42"/>
      <c r="M6203" s="42"/>
      <c r="N6203" s="42"/>
      <c r="O6203" s="42"/>
      <c r="R6203" s="37"/>
      <c r="S6203" s="37"/>
      <c r="T6203" s="91"/>
      <c r="U6203" s="91"/>
      <c r="V6203" s="41"/>
      <c r="W6203" s="37"/>
      <c r="X6203" s="37"/>
      <c r="Y6203" s="43"/>
      <c r="Z6203" s="37"/>
      <c r="AA6203" s="37"/>
      <c r="AD6203" s="37"/>
      <c r="AE6203" s="37"/>
      <c r="AF6203" s="37"/>
    </row>
    <row r="6204" spans="1:32" x14ac:dyDescent="0.25">
      <c r="A6204" s="37"/>
      <c r="B6204" s="37"/>
      <c r="C6204" s="37"/>
      <c r="F6204" s="38"/>
      <c r="G6204" s="38"/>
      <c r="H6204" s="38"/>
      <c r="I6204" s="37"/>
      <c r="J6204" s="38"/>
      <c r="K6204" s="38"/>
      <c r="L6204" s="42"/>
      <c r="M6204" s="42"/>
      <c r="N6204" s="42"/>
      <c r="O6204" s="42"/>
      <c r="R6204" s="37"/>
      <c r="S6204" s="37"/>
      <c r="T6204" s="91"/>
      <c r="U6204" s="91"/>
      <c r="V6204" s="41"/>
      <c r="W6204" s="37"/>
      <c r="X6204" s="37"/>
      <c r="Y6204" s="43"/>
      <c r="Z6204" s="37"/>
      <c r="AA6204" s="37"/>
      <c r="AD6204" s="37"/>
      <c r="AE6204" s="37"/>
      <c r="AF6204" s="37"/>
    </row>
    <row r="6205" spans="1:32" x14ac:dyDescent="0.25">
      <c r="A6205" s="37"/>
      <c r="B6205" s="37"/>
      <c r="C6205" s="37"/>
      <c r="F6205" s="38"/>
      <c r="G6205" s="38"/>
      <c r="H6205" s="38"/>
      <c r="I6205" s="37"/>
      <c r="J6205" s="38"/>
      <c r="K6205" s="38"/>
      <c r="L6205" s="42"/>
      <c r="M6205" s="42"/>
      <c r="N6205" s="42"/>
      <c r="O6205" s="42"/>
      <c r="R6205" s="37"/>
      <c r="S6205" s="37"/>
      <c r="T6205" s="91"/>
      <c r="U6205" s="91"/>
      <c r="V6205" s="41"/>
      <c r="W6205" s="37"/>
      <c r="X6205" s="37"/>
      <c r="Y6205" s="43"/>
      <c r="Z6205" s="37"/>
      <c r="AA6205" s="37"/>
      <c r="AD6205" s="37"/>
      <c r="AE6205" s="37"/>
      <c r="AF6205" s="37"/>
    </row>
    <row r="6206" spans="1:32" x14ac:dyDescent="0.25">
      <c r="A6206" s="37"/>
      <c r="B6206" s="37"/>
      <c r="C6206" s="37"/>
      <c r="F6206" s="38"/>
      <c r="G6206" s="38"/>
      <c r="H6206" s="38"/>
      <c r="I6206" s="37"/>
      <c r="J6206" s="38"/>
      <c r="K6206" s="38"/>
      <c r="L6206" s="42"/>
      <c r="M6206" s="42"/>
      <c r="N6206" s="42"/>
      <c r="O6206" s="42"/>
      <c r="R6206" s="37"/>
      <c r="S6206" s="37"/>
      <c r="T6206" s="91"/>
      <c r="U6206" s="91"/>
      <c r="V6206" s="41"/>
      <c r="W6206" s="37"/>
      <c r="X6206" s="37"/>
      <c r="Y6206" s="43"/>
      <c r="Z6206" s="37"/>
      <c r="AA6206" s="37"/>
      <c r="AD6206" s="37"/>
      <c r="AE6206" s="37"/>
      <c r="AF6206" s="37"/>
    </row>
    <row r="6207" spans="1:32" x14ac:dyDescent="0.25">
      <c r="A6207" s="37"/>
      <c r="B6207" s="37"/>
      <c r="C6207" s="37"/>
      <c r="F6207" s="38"/>
      <c r="G6207" s="38"/>
      <c r="H6207" s="38"/>
      <c r="I6207" s="37"/>
      <c r="J6207" s="38"/>
      <c r="K6207" s="38"/>
      <c r="L6207" s="42"/>
      <c r="M6207" s="42"/>
      <c r="N6207" s="42"/>
      <c r="O6207" s="42"/>
      <c r="R6207" s="37"/>
      <c r="S6207" s="37"/>
      <c r="T6207" s="91"/>
      <c r="U6207" s="91"/>
      <c r="V6207" s="41"/>
      <c r="W6207" s="37"/>
      <c r="X6207" s="37"/>
      <c r="Y6207" s="43"/>
      <c r="Z6207" s="37"/>
      <c r="AA6207" s="37"/>
      <c r="AD6207" s="37"/>
      <c r="AE6207" s="37"/>
      <c r="AF6207" s="37"/>
    </row>
    <row r="6208" spans="1:32" x14ac:dyDescent="0.25">
      <c r="A6208" s="37"/>
      <c r="B6208" s="37"/>
      <c r="C6208" s="37"/>
      <c r="F6208" s="38"/>
      <c r="G6208" s="38"/>
      <c r="H6208" s="38"/>
      <c r="I6208" s="37"/>
      <c r="J6208" s="38"/>
      <c r="K6208" s="38"/>
      <c r="L6208" s="42"/>
      <c r="M6208" s="42"/>
      <c r="N6208" s="42"/>
      <c r="O6208" s="42"/>
      <c r="R6208" s="37"/>
      <c r="S6208" s="37"/>
      <c r="T6208" s="91"/>
      <c r="U6208" s="91"/>
      <c r="V6208" s="41"/>
      <c r="W6208" s="37"/>
      <c r="X6208" s="37"/>
      <c r="Y6208" s="43"/>
      <c r="Z6208" s="37"/>
      <c r="AA6208" s="37"/>
      <c r="AD6208" s="37"/>
      <c r="AE6208" s="37"/>
      <c r="AF6208" s="37"/>
    </row>
    <row r="6209" spans="1:32" x14ac:dyDescent="0.25">
      <c r="A6209" s="37"/>
      <c r="B6209" s="37"/>
      <c r="C6209" s="37"/>
      <c r="F6209" s="38"/>
      <c r="G6209" s="38"/>
      <c r="H6209" s="38"/>
      <c r="I6209" s="37"/>
      <c r="J6209" s="38"/>
      <c r="K6209" s="38"/>
      <c r="L6209" s="42"/>
      <c r="M6209" s="42"/>
      <c r="N6209" s="42"/>
      <c r="O6209" s="42"/>
      <c r="R6209" s="37"/>
      <c r="S6209" s="37"/>
      <c r="T6209" s="91"/>
      <c r="U6209" s="91"/>
      <c r="V6209" s="41"/>
      <c r="W6209" s="37"/>
      <c r="X6209" s="37"/>
      <c r="Y6209" s="43"/>
      <c r="Z6209" s="37"/>
      <c r="AA6209" s="37"/>
      <c r="AD6209" s="37"/>
      <c r="AE6209" s="37"/>
      <c r="AF6209" s="37"/>
    </row>
    <row r="6210" spans="1:32" x14ac:dyDescent="0.25">
      <c r="A6210" s="37"/>
      <c r="B6210" s="37"/>
      <c r="C6210" s="37"/>
      <c r="F6210" s="38"/>
      <c r="G6210" s="38"/>
      <c r="H6210" s="38"/>
      <c r="I6210" s="37"/>
      <c r="J6210" s="38"/>
      <c r="K6210" s="38"/>
      <c r="L6210" s="42"/>
      <c r="M6210" s="42"/>
      <c r="N6210" s="42"/>
      <c r="O6210" s="42"/>
      <c r="R6210" s="37"/>
      <c r="S6210" s="37"/>
      <c r="T6210" s="91"/>
      <c r="U6210" s="91"/>
      <c r="V6210" s="41"/>
      <c r="W6210" s="37"/>
      <c r="X6210" s="37"/>
      <c r="Y6210" s="43"/>
      <c r="Z6210" s="37"/>
      <c r="AA6210" s="37"/>
      <c r="AD6210" s="37"/>
      <c r="AE6210" s="37"/>
      <c r="AF6210" s="37"/>
    </row>
    <row r="6211" spans="1:32" x14ac:dyDescent="0.25">
      <c r="A6211" s="37"/>
      <c r="B6211" s="37"/>
      <c r="C6211" s="37"/>
      <c r="F6211" s="38"/>
      <c r="G6211" s="38"/>
      <c r="H6211" s="38"/>
      <c r="I6211" s="37"/>
      <c r="J6211" s="38"/>
      <c r="K6211" s="38"/>
      <c r="L6211" s="42"/>
      <c r="M6211" s="42"/>
      <c r="N6211" s="42"/>
      <c r="O6211" s="42"/>
      <c r="R6211" s="37"/>
      <c r="S6211" s="37"/>
      <c r="T6211" s="91"/>
      <c r="U6211" s="91"/>
      <c r="V6211" s="41"/>
      <c r="W6211" s="37"/>
      <c r="X6211" s="37"/>
      <c r="Y6211" s="43"/>
      <c r="Z6211" s="37"/>
      <c r="AA6211" s="37"/>
      <c r="AD6211" s="37"/>
      <c r="AE6211" s="37"/>
      <c r="AF6211" s="37"/>
    </row>
    <row r="6212" spans="1:32" x14ac:dyDescent="0.25">
      <c r="A6212" s="37"/>
      <c r="B6212" s="37"/>
      <c r="C6212" s="37"/>
      <c r="F6212" s="38"/>
      <c r="G6212" s="38"/>
      <c r="H6212" s="38"/>
      <c r="I6212" s="37"/>
      <c r="J6212" s="38"/>
      <c r="K6212" s="38"/>
      <c r="L6212" s="42"/>
      <c r="M6212" s="42"/>
      <c r="N6212" s="42"/>
      <c r="O6212" s="42"/>
      <c r="R6212" s="37"/>
      <c r="S6212" s="37"/>
      <c r="T6212" s="91"/>
      <c r="U6212" s="91"/>
      <c r="V6212" s="41"/>
      <c r="W6212" s="37"/>
      <c r="X6212" s="37"/>
      <c r="Y6212" s="43"/>
      <c r="Z6212" s="37"/>
      <c r="AA6212" s="37"/>
      <c r="AD6212" s="37"/>
      <c r="AE6212" s="37"/>
      <c r="AF6212" s="37"/>
    </row>
    <row r="6213" spans="1:32" x14ac:dyDescent="0.25">
      <c r="A6213" s="37"/>
      <c r="B6213" s="37"/>
      <c r="C6213" s="37"/>
      <c r="F6213" s="38"/>
      <c r="G6213" s="38"/>
      <c r="H6213" s="38"/>
      <c r="I6213" s="37"/>
      <c r="J6213" s="38"/>
      <c r="K6213" s="38"/>
      <c r="L6213" s="42"/>
      <c r="M6213" s="42"/>
      <c r="N6213" s="42"/>
      <c r="O6213" s="42"/>
      <c r="R6213" s="37"/>
      <c r="S6213" s="37"/>
      <c r="T6213" s="91"/>
      <c r="U6213" s="91"/>
      <c r="V6213" s="41"/>
      <c r="W6213" s="37"/>
      <c r="X6213" s="37"/>
      <c r="Y6213" s="43"/>
      <c r="Z6213" s="37"/>
      <c r="AA6213" s="37"/>
      <c r="AD6213" s="37"/>
      <c r="AE6213" s="37"/>
      <c r="AF6213" s="37"/>
    </row>
    <row r="6214" spans="1:32" x14ac:dyDescent="0.25">
      <c r="A6214" s="37"/>
      <c r="B6214" s="37"/>
      <c r="C6214" s="37"/>
      <c r="F6214" s="38"/>
      <c r="G6214" s="38"/>
      <c r="H6214" s="38"/>
      <c r="I6214" s="37"/>
      <c r="J6214" s="38"/>
      <c r="K6214" s="38"/>
      <c r="L6214" s="42"/>
      <c r="M6214" s="42"/>
      <c r="N6214" s="42"/>
      <c r="O6214" s="42"/>
      <c r="R6214" s="37"/>
      <c r="S6214" s="37"/>
      <c r="T6214" s="91"/>
      <c r="U6214" s="91"/>
      <c r="V6214" s="41"/>
      <c r="W6214" s="37"/>
      <c r="X6214" s="37"/>
      <c r="Y6214" s="43"/>
      <c r="Z6214" s="37"/>
      <c r="AA6214" s="37"/>
      <c r="AD6214" s="37"/>
      <c r="AE6214" s="37"/>
      <c r="AF6214" s="37"/>
    </row>
    <row r="6215" spans="1:32" x14ac:dyDescent="0.25">
      <c r="A6215" s="37"/>
      <c r="B6215" s="37"/>
      <c r="C6215" s="37"/>
      <c r="F6215" s="38"/>
      <c r="G6215" s="38"/>
      <c r="H6215" s="38"/>
      <c r="I6215" s="37"/>
      <c r="J6215" s="38"/>
      <c r="K6215" s="38"/>
      <c r="L6215" s="42"/>
      <c r="M6215" s="42"/>
      <c r="N6215" s="42"/>
      <c r="O6215" s="42"/>
      <c r="R6215" s="37"/>
      <c r="S6215" s="37"/>
      <c r="T6215" s="91"/>
      <c r="U6215" s="91"/>
      <c r="V6215" s="41"/>
      <c r="W6215" s="37"/>
      <c r="X6215" s="37"/>
      <c r="Y6215" s="43"/>
      <c r="Z6215" s="37"/>
      <c r="AA6215" s="37"/>
      <c r="AD6215" s="37"/>
      <c r="AE6215" s="37"/>
      <c r="AF6215" s="37"/>
    </row>
    <row r="6216" spans="1:32" x14ac:dyDescent="0.25">
      <c r="A6216" s="37"/>
      <c r="B6216" s="37"/>
      <c r="C6216" s="37"/>
      <c r="F6216" s="38"/>
      <c r="G6216" s="38"/>
      <c r="H6216" s="38"/>
      <c r="I6216" s="37"/>
      <c r="J6216" s="38"/>
      <c r="K6216" s="38"/>
      <c r="L6216" s="42"/>
      <c r="M6216" s="42"/>
      <c r="N6216" s="42"/>
      <c r="O6216" s="42"/>
      <c r="R6216" s="37"/>
      <c r="S6216" s="37"/>
      <c r="T6216" s="91"/>
      <c r="U6216" s="91"/>
      <c r="V6216" s="41"/>
      <c r="W6216" s="37"/>
      <c r="X6216" s="37"/>
      <c r="Y6216" s="43"/>
      <c r="Z6216" s="37"/>
      <c r="AA6216" s="37"/>
      <c r="AD6216" s="37"/>
      <c r="AE6216" s="37"/>
      <c r="AF6216" s="37"/>
    </row>
    <row r="6217" spans="1:32" x14ac:dyDescent="0.25">
      <c r="A6217" s="37"/>
      <c r="B6217" s="37"/>
      <c r="C6217" s="37"/>
      <c r="F6217" s="38"/>
      <c r="G6217" s="38"/>
      <c r="H6217" s="38"/>
      <c r="I6217" s="37"/>
      <c r="J6217" s="38"/>
      <c r="K6217" s="38"/>
      <c r="L6217" s="42"/>
      <c r="M6217" s="42"/>
      <c r="N6217" s="42"/>
      <c r="O6217" s="42"/>
      <c r="R6217" s="37"/>
      <c r="S6217" s="37"/>
      <c r="T6217" s="91"/>
      <c r="U6217" s="91"/>
      <c r="V6217" s="41"/>
      <c r="W6217" s="37"/>
      <c r="X6217" s="37"/>
      <c r="Y6217" s="43"/>
      <c r="Z6217" s="37"/>
      <c r="AA6217" s="37"/>
      <c r="AD6217" s="37"/>
      <c r="AE6217" s="37"/>
      <c r="AF6217" s="37"/>
    </row>
    <row r="6218" spans="1:32" x14ac:dyDescent="0.25">
      <c r="A6218" s="37"/>
      <c r="B6218" s="37"/>
      <c r="C6218" s="37"/>
      <c r="F6218" s="38"/>
      <c r="G6218" s="38"/>
      <c r="H6218" s="38"/>
      <c r="I6218" s="37"/>
      <c r="J6218" s="38"/>
      <c r="K6218" s="38"/>
      <c r="L6218" s="42"/>
      <c r="M6218" s="42"/>
      <c r="N6218" s="42"/>
      <c r="O6218" s="42"/>
      <c r="R6218" s="37"/>
      <c r="S6218" s="37"/>
      <c r="T6218" s="91"/>
      <c r="U6218" s="91"/>
      <c r="V6218" s="41"/>
      <c r="W6218" s="37"/>
      <c r="X6218" s="37"/>
      <c r="Y6218" s="43"/>
      <c r="Z6218" s="37"/>
      <c r="AA6218" s="37"/>
      <c r="AD6218" s="37"/>
      <c r="AE6218" s="37"/>
      <c r="AF6218" s="37"/>
    </row>
    <row r="6219" spans="1:32" x14ac:dyDescent="0.25">
      <c r="A6219" s="37"/>
      <c r="B6219" s="37"/>
      <c r="C6219" s="37"/>
      <c r="F6219" s="38"/>
      <c r="G6219" s="38"/>
      <c r="H6219" s="38"/>
      <c r="I6219" s="37"/>
      <c r="J6219" s="38"/>
      <c r="K6219" s="38"/>
      <c r="L6219" s="42"/>
      <c r="M6219" s="42"/>
      <c r="N6219" s="42"/>
      <c r="O6219" s="42"/>
      <c r="R6219" s="37"/>
      <c r="S6219" s="37"/>
      <c r="T6219" s="91"/>
      <c r="U6219" s="91"/>
      <c r="V6219" s="41"/>
      <c r="W6219" s="37"/>
      <c r="X6219" s="37"/>
      <c r="Y6219" s="43"/>
      <c r="Z6219" s="37"/>
      <c r="AA6219" s="37"/>
      <c r="AD6219" s="37"/>
      <c r="AE6219" s="37"/>
      <c r="AF6219" s="37"/>
    </row>
    <row r="6220" spans="1:32" x14ac:dyDescent="0.25">
      <c r="A6220" s="37"/>
      <c r="B6220" s="37"/>
      <c r="C6220" s="37"/>
      <c r="F6220" s="38"/>
      <c r="G6220" s="38"/>
      <c r="H6220" s="38"/>
      <c r="I6220" s="37"/>
      <c r="J6220" s="38"/>
      <c r="K6220" s="38"/>
      <c r="L6220" s="42"/>
      <c r="M6220" s="42"/>
      <c r="N6220" s="42"/>
      <c r="O6220" s="42"/>
      <c r="R6220" s="37"/>
      <c r="S6220" s="37"/>
      <c r="T6220" s="91"/>
      <c r="U6220" s="91"/>
      <c r="V6220" s="41"/>
      <c r="W6220" s="37"/>
      <c r="X6220" s="37"/>
      <c r="Y6220" s="43"/>
      <c r="Z6220" s="37"/>
      <c r="AA6220" s="37"/>
      <c r="AD6220" s="37"/>
      <c r="AE6220" s="37"/>
      <c r="AF6220" s="37"/>
    </row>
    <row r="6221" spans="1:32" x14ac:dyDescent="0.25">
      <c r="A6221" s="37"/>
      <c r="B6221" s="37"/>
      <c r="C6221" s="37"/>
      <c r="F6221" s="38"/>
      <c r="G6221" s="38"/>
      <c r="H6221" s="38"/>
      <c r="I6221" s="37"/>
      <c r="J6221" s="38"/>
      <c r="K6221" s="38"/>
      <c r="L6221" s="42"/>
      <c r="M6221" s="42"/>
      <c r="N6221" s="42"/>
      <c r="O6221" s="42"/>
      <c r="R6221" s="37"/>
      <c r="S6221" s="37"/>
      <c r="T6221" s="91"/>
      <c r="U6221" s="91"/>
      <c r="V6221" s="41"/>
      <c r="W6221" s="37"/>
      <c r="X6221" s="37"/>
      <c r="Y6221" s="43"/>
      <c r="Z6221" s="37"/>
      <c r="AA6221" s="37"/>
      <c r="AD6221" s="37"/>
      <c r="AE6221" s="37"/>
      <c r="AF6221" s="37"/>
    </row>
    <row r="6222" spans="1:32" x14ac:dyDescent="0.25">
      <c r="A6222" s="37"/>
      <c r="B6222" s="37"/>
      <c r="C6222" s="37"/>
      <c r="F6222" s="38"/>
      <c r="G6222" s="38"/>
      <c r="H6222" s="38"/>
      <c r="I6222" s="37"/>
      <c r="J6222" s="38"/>
      <c r="K6222" s="38"/>
      <c r="L6222" s="42"/>
      <c r="M6222" s="42"/>
      <c r="N6222" s="42"/>
      <c r="O6222" s="42"/>
      <c r="R6222" s="37"/>
      <c r="S6222" s="37"/>
      <c r="T6222" s="91"/>
      <c r="U6222" s="91"/>
      <c r="V6222" s="41"/>
      <c r="W6222" s="37"/>
      <c r="X6222" s="37"/>
      <c r="Y6222" s="43"/>
      <c r="Z6222" s="37"/>
      <c r="AA6222" s="37"/>
      <c r="AD6222" s="37"/>
      <c r="AE6222" s="37"/>
      <c r="AF6222" s="37"/>
    </row>
    <row r="6223" spans="1:32" x14ac:dyDescent="0.25">
      <c r="A6223" s="37"/>
      <c r="B6223" s="37"/>
      <c r="C6223" s="37"/>
      <c r="F6223" s="38"/>
      <c r="G6223" s="38"/>
      <c r="H6223" s="38"/>
      <c r="I6223" s="37"/>
      <c r="J6223" s="38"/>
      <c r="K6223" s="38"/>
      <c r="L6223" s="42"/>
      <c r="M6223" s="42"/>
      <c r="N6223" s="42"/>
      <c r="O6223" s="42"/>
      <c r="R6223" s="37"/>
      <c r="S6223" s="37"/>
      <c r="T6223" s="91"/>
      <c r="U6223" s="91"/>
      <c r="V6223" s="41"/>
      <c r="W6223" s="37"/>
      <c r="X6223" s="37"/>
      <c r="Y6223" s="43"/>
      <c r="Z6223" s="37"/>
      <c r="AA6223" s="37"/>
      <c r="AD6223" s="37"/>
      <c r="AE6223" s="37"/>
      <c r="AF6223" s="37"/>
    </row>
    <row r="6224" spans="1:32" x14ac:dyDescent="0.25">
      <c r="A6224" s="37"/>
      <c r="B6224" s="37"/>
      <c r="C6224" s="37"/>
      <c r="F6224" s="38"/>
      <c r="G6224" s="38"/>
      <c r="H6224" s="38"/>
      <c r="I6224" s="37"/>
      <c r="J6224" s="38"/>
      <c r="K6224" s="38"/>
      <c r="L6224" s="42"/>
      <c r="M6224" s="42"/>
      <c r="N6224" s="42"/>
      <c r="O6224" s="42"/>
      <c r="R6224" s="37"/>
      <c r="S6224" s="37"/>
      <c r="T6224" s="91"/>
      <c r="U6224" s="91"/>
      <c r="V6224" s="41"/>
      <c r="W6224" s="37"/>
      <c r="X6224" s="37"/>
      <c r="Y6224" s="43"/>
      <c r="Z6224" s="37"/>
      <c r="AA6224" s="37"/>
      <c r="AD6224" s="37"/>
      <c r="AE6224" s="37"/>
      <c r="AF6224" s="37"/>
    </row>
    <row r="6225" spans="1:32" x14ac:dyDescent="0.25">
      <c r="A6225" s="37"/>
      <c r="B6225" s="37"/>
      <c r="C6225" s="37"/>
      <c r="F6225" s="38"/>
      <c r="G6225" s="38"/>
      <c r="H6225" s="38"/>
      <c r="I6225" s="37"/>
      <c r="J6225" s="38"/>
      <c r="K6225" s="38"/>
      <c r="L6225" s="42"/>
      <c r="M6225" s="42"/>
      <c r="N6225" s="42"/>
      <c r="O6225" s="42"/>
      <c r="R6225" s="37"/>
      <c r="S6225" s="37"/>
      <c r="T6225" s="91"/>
      <c r="U6225" s="91"/>
      <c r="V6225" s="41"/>
      <c r="W6225" s="37"/>
      <c r="X6225" s="37"/>
      <c r="Y6225" s="43"/>
      <c r="Z6225" s="37"/>
      <c r="AA6225" s="37"/>
      <c r="AD6225" s="37"/>
      <c r="AE6225" s="37"/>
      <c r="AF6225" s="37"/>
    </row>
    <row r="6226" spans="1:32" x14ac:dyDescent="0.25">
      <c r="A6226" s="37"/>
      <c r="B6226" s="37"/>
      <c r="C6226" s="37"/>
      <c r="F6226" s="38"/>
      <c r="G6226" s="38"/>
      <c r="H6226" s="38"/>
      <c r="I6226" s="37"/>
      <c r="J6226" s="38"/>
      <c r="K6226" s="38"/>
      <c r="L6226" s="42"/>
      <c r="M6226" s="42"/>
      <c r="N6226" s="42"/>
      <c r="O6226" s="42"/>
      <c r="R6226" s="37"/>
      <c r="S6226" s="37"/>
      <c r="T6226" s="91"/>
      <c r="U6226" s="91"/>
      <c r="V6226" s="41"/>
      <c r="W6226" s="37"/>
      <c r="X6226" s="37"/>
      <c r="Y6226" s="43"/>
      <c r="Z6226" s="37"/>
      <c r="AA6226" s="37"/>
      <c r="AD6226" s="37"/>
      <c r="AE6226" s="37"/>
      <c r="AF6226" s="37"/>
    </row>
    <row r="6227" spans="1:32" x14ac:dyDescent="0.25">
      <c r="A6227" s="37"/>
      <c r="B6227" s="37"/>
      <c r="C6227" s="37"/>
      <c r="F6227" s="38"/>
      <c r="G6227" s="38"/>
      <c r="H6227" s="38"/>
      <c r="I6227" s="37"/>
      <c r="J6227" s="38"/>
      <c r="K6227" s="38"/>
      <c r="L6227" s="42"/>
      <c r="M6227" s="42"/>
      <c r="N6227" s="42"/>
      <c r="O6227" s="42"/>
      <c r="R6227" s="37"/>
      <c r="S6227" s="37"/>
      <c r="T6227" s="91"/>
      <c r="U6227" s="91"/>
      <c r="V6227" s="41"/>
      <c r="W6227" s="37"/>
      <c r="X6227" s="37"/>
      <c r="Y6227" s="43"/>
      <c r="Z6227" s="37"/>
      <c r="AA6227" s="37"/>
      <c r="AD6227" s="37"/>
      <c r="AE6227" s="37"/>
      <c r="AF6227" s="37"/>
    </row>
    <row r="6228" spans="1:32" x14ac:dyDescent="0.25">
      <c r="A6228" s="37"/>
      <c r="B6228" s="37"/>
      <c r="C6228" s="37"/>
      <c r="F6228" s="38"/>
      <c r="G6228" s="38"/>
      <c r="H6228" s="38"/>
      <c r="I6228" s="37"/>
      <c r="J6228" s="38"/>
      <c r="K6228" s="38"/>
      <c r="L6228" s="42"/>
      <c r="M6228" s="42"/>
      <c r="N6228" s="42"/>
      <c r="O6228" s="42"/>
      <c r="R6228" s="37"/>
      <c r="S6228" s="37"/>
      <c r="T6228" s="91"/>
      <c r="U6228" s="91"/>
      <c r="V6228" s="41"/>
      <c r="W6228" s="37"/>
      <c r="X6228" s="37"/>
      <c r="Y6228" s="43"/>
      <c r="Z6228" s="37"/>
      <c r="AA6228" s="37"/>
      <c r="AD6228" s="37"/>
      <c r="AE6228" s="37"/>
      <c r="AF6228" s="37"/>
    </row>
    <row r="6229" spans="1:32" x14ac:dyDescent="0.25">
      <c r="A6229" s="37"/>
      <c r="B6229" s="37"/>
      <c r="C6229" s="37"/>
      <c r="F6229" s="38"/>
      <c r="G6229" s="38"/>
      <c r="H6229" s="38"/>
      <c r="I6229" s="37"/>
      <c r="J6229" s="38"/>
      <c r="K6229" s="38"/>
      <c r="L6229" s="42"/>
      <c r="M6229" s="42"/>
      <c r="N6229" s="42"/>
      <c r="O6229" s="42"/>
      <c r="R6229" s="37"/>
      <c r="S6229" s="37"/>
      <c r="T6229" s="91"/>
      <c r="U6229" s="91"/>
      <c r="V6229" s="41"/>
      <c r="W6229" s="37"/>
      <c r="X6229" s="37"/>
      <c r="Y6229" s="43"/>
      <c r="Z6229" s="37"/>
      <c r="AA6229" s="37"/>
      <c r="AD6229" s="37"/>
      <c r="AE6229" s="37"/>
      <c r="AF6229" s="37"/>
    </row>
    <row r="6230" spans="1:32" x14ac:dyDescent="0.25">
      <c r="A6230" s="37"/>
      <c r="B6230" s="37"/>
      <c r="C6230" s="37"/>
      <c r="F6230" s="38"/>
      <c r="G6230" s="38"/>
      <c r="H6230" s="38"/>
      <c r="I6230" s="37"/>
      <c r="J6230" s="38"/>
      <c r="K6230" s="38"/>
      <c r="L6230" s="42"/>
      <c r="M6230" s="42"/>
      <c r="N6230" s="42"/>
      <c r="O6230" s="42"/>
      <c r="R6230" s="37"/>
      <c r="S6230" s="37"/>
      <c r="T6230" s="91"/>
      <c r="U6230" s="91"/>
      <c r="V6230" s="41"/>
      <c r="W6230" s="37"/>
      <c r="X6230" s="37"/>
      <c r="Y6230" s="43"/>
      <c r="Z6230" s="37"/>
      <c r="AA6230" s="37"/>
      <c r="AD6230" s="37"/>
      <c r="AE6230" s="37"/>
      <c r="AF6230" s="37"/>
    </row>
    <row r="6231" spans="1:32" x14ac:dyDescent="0.25">
      <c r="A6231" s="37"/>
      <c r="B6231" s="37"/>
      <c r="C6231" s="37"/>
      <c r="F6231" s="38"/>
      <c r="G6231" s="38"/>
      <c r="H6231" s="38"/>
      <c r="I6231" s="37"/>
      <c r="J6231" s="38"/>
      <c r="K6231" s="38"/>
      <c r="L6231" s="42"/>
      <c r="M6231" s="42"/>
      <c r="N6231" s="42"/>
      <c r="O6231" s="42"/>
      <c r="R6231" s="37"/>
      <c r="S6231" s="37"/>
      <c r="T6231" s="91"/>
      <c r="U6231" s="91"/>
      <c r="V6231" s="41"/>
      <c r="W6231" s="37"/>
      <c r="X6231" s="37"/>
      <c r="Y6231" s="43"/>
      <c r="Z6231" s="37"/>
      <c r="AA6231" s="37"/>
      <c r="AD6231" s="37"/>
      <c r="AE6231" s="37"/>
      <c r="AF6231" s="37"/>
    </row>
    <row r="6232" spans="1:32" x14ac:dyDescent="0.25">
      <c r="A6232" s="37"/>
      <c r="B6232" s="37"/>
      <c r="C6232" s="37"/>
      <c r="F6232" s="38"/>
      <c r="G6232" s="38"/>
      <c r="H6232" s="38"/>
      <c r="I6232" s="37"/>
      <c r="J6232" s="38"/>
      <c r="K6232" s="38"/>
      <c r="L6232" s="42"/>
      <c r="M6232" s="42"/>
      <c r="N6232" s="42"/>
      <c r="O6232" s="42"/>
      <c r="R6232" s="37"/>
      <c r="S6232" s="37"/>
      <c r="T6232" s="91"/>
      <c r="U6232" s="91"/>
      <c r="V6232" s="41"/>
      <c r="W6232" s="37"/>
      <c r="X6232" s="37"/>
      <c r="Y6232" s="43"/>
      <c r="Z6232" s="37"/>
      <c r="AA6232" s="37"/>
      <c r="AD6232" s="37"/>
      <c r="AE6232" s="37"/>
      <c r="AF6232" s="37"/>
    </row>
    <row r="6233" spans="1:32" x14ac:dyDescent="0.25">
      <c r="A6233" s="37"/>
      <c r="B6233" s="37"/>
      <c r="C6233" s="37"/>
      <c r="F6233" s="38"/>
      <c r="G6233" s="38"/>
      <c r="H6233" s="38"/>
      <c r="I6233" s="37"/>
      <c r="J6233" s="38"/>
      <c r="K6233" s="38"/>
      <c r="L6233" s="42"/>
      <c r="M6233" s="42"/>
      <c r="N6233" s="42"/>
      <c r="O6233" s="42"/>
      <c r="R6233" s="37"/>
      <c r="S6233" s="37"/>
      <c r="T6233" s="91"/>
      <c r="U6233" s="91"/>
      <c r="V6233" s="41"/>
      <c r="W6233" s="37"/>
      <c r="X6233" s="37"/>
      <c r="Y6233" s="43"/>
      <c r="Z6233" s="37"/>
      <c r="AA6233" s="37"/>
      <c r="AD6233" s="37"/>
      <c r="AE6233" s="37"/>
      <c r="AF6233" s="37"/>
    </row>
    <row r="6234" spans="1:32" x14ac:dyDescent="0.25">
      <c r="A6234" s="37"/>
      <c r="B6234" s="37"/>
      <c r="C6234" s="37"/>
      <c r="F6234" s="38"/>
      <c r="G6234" s="38"/>
      <c r="H6234" s="38"/>
      <c r="I6234" s="37"/>
      <c r="J6234" s="38"/>
      <c r="K6234" s="38"/>
      <c r="L6234" s="42"/>
      <c r="M6234" s="42"/>
      <c r="N6234" s="42"/>
      <c r="O6234" s="42"/>
      <c r="R6234" s="37"/>
      <c r="S6234" s="37"/>
      <c r="T6234" s="91"/>
      <c r="U6234" s="91"/>
      <c r="V6234" s="41"/>
      <c r="W6234" s="37"/>
      <c r="X6234" s="37"/>
      <c r="Y6234" s="43"/>
      <c r="Z6234" s="37"/>
      <c r="AA6234" s="37"/>
      <c r="AD6234" s="37"/>
      <c r="AE6234" s="37"/>
      <c r="AF6234" s="37"/>
    </row>
    <row r="6235" spans="1:32" x14ac:dyDescent="0.25">
      <c r="A6235" s="37"/>
      <c r="B6235" s="37"/>
      <c r="C6235" s="37"/>
      <c r="F6235" s="38"/>
      <c r="G6235" s="38"/>
      <c r="H6235" s="38"/>
      <c r="I6235" s="37"/>
      <c r="J6235" s="38"/>
      <c r="K6235" s="38"/>
      <c r="L6235" s="42"/>
      <c r="M6235" s="42"/>
      <c r="N6235" s="42"/>
      <c r="O6235" s="42"/>
      <c r="R6235" s="37"/>
      <c r="S6235" s="37"/>
      <c r="T6235" s="91"/>
      <c r="U6235" s="91"/>
      <c r="V6235" s="41"/>
      <c r="W6235" s="37"/>
      <c r="X6235" s="37"/>
      <c r="Y6235" s="43"/>
      <c r="Z6235" s="37"/>
      <c r="AA6235" s="37"/>
      <c r="AD6235" s="37"/>
      <c r="AE6235" s="37"/>
      <c r="AF6235" s="37"/>
    </row>
    <row r="6236" spans="1:32" x14ac:dyDescent="0.25">
      <c r="A6236" s="37"/>
      <c r="B6236" s="37"/>
      <c r="C6236" s="37"/>
      <c r="F6236" s="38"/>
      <c r="G6236" s="38"/>
      <c r="H6236" s="38"/>
      <c r="I6236" s="37"/>
      <c r="J6236" s="38"/>
      <c r="K6236" s="38"/>
      <c r="L6236" s="42"/>
      <c r="M6236" s="42"/>
      <c r="N6236" s="42"/>
      <c r="O6236" s="42"/>
      <c r="R6236" s="37"/>
      <c r="S6236" s="37"/>
      <c r="T6236" s="91"/>
      <c r="U6236" s="91"/>
      <c r="V6236" s="41"/>
      <c r="W6236" s="37"/>
      <c r="X6236" s="37"/>
      <c r="Y6236" s="43"/>
      <c r="Z6236" s="37"/>
      <c r="AA6236" s="37"/>
      <c r="AD6236" s="37"/>
      <c r="AE6236" s="37"/>
      <c r="AF6236" s="37"/>
    </row>
    <row r="6237" spans="1:32" x14ac:dyDescent="0.25">
      <c r="A6237" s="37"/>
      <c r="B6237" s="37"/>
      <c r="C6237" s="37"/>
      <c r="F6237" s="38"/>
      <c r="G6237" s="38"/>
      <c r="H6237" s="38"/>
      <c r="I6237" s="37"/>
      <c r="J6237" s="38"/>
      <c r="K6237" s="38"/>
      <c r="L6237" s="42"/>
      <c r="M6237" s="42"/>
      <c r="N6237" s="42"/>
      <c r="O6237" s="42"/>
      <c r="R6237" s="37"/>
      <c r="S6237" s="37"/>
      <c r="T6237" s="91"/>
      <c r="U6237" s="91"/>
      <c r="V6237" s="41"/>
      <c r="W6237" s="37"/>
      <c r="X6237" s="37"/>
      <c r="Y6237" s="43"/>
      <c r="Z6237" s="37"/>
      <c r="AA6237" s="37"/>
      <c r="AD6237" s="37"/>
      <c r="AE6237" s="37"/>
      <c r="AF6237" s="37"/>
    </row>
    <row r="6238" spans="1:32" x14ac:dyDescent="0.25">
      <c r="A6238" s="37"/>
      <c r="B6238" s="37"/>
      <c r="C6238" s="37"/>
      <c r="F6238" s="38"/>
      <c r="G6238" s="38"/>
      <c r="H6238" s="38"/>
      <c r="I6238" s="37"/>
      <c r="J6238" s="38"/>
      <c r="K6238" s="38"/>
      <c r="L6238" s="42"/>
      <c r="M6238" s="42"/>
      <c r="N6238" s="42"/>
      <c r="O6238" s="42"/>
      <c r="R6238" s="37"/>
      <c r="S6238" s="37"/>
      <c r="T6238" s="91"/>
      <c r="U6238" s="91"/>
      <c r="V6238" s="41"/>
      <c r="W6238" s="37"/>
      <c r="X6238" s="37"/>
      <c r="Y6238" s="43"/>
      <c r="Z6238" s="37"/>
      <c r="AA6238" s="37"/>
      <c r="AD6238" s="37"/>
      <c r="AE6238" s="37"/>
      <c r="AF6238" s="37"/>
    </row>
    <row r="6239" spans="1:32" x14ac:dyDescent="0.25">
      <c r="A6239" s="37"/>
      <c r="B6239" s="37"/>
      <c r="C6239" s="37"/>
      <c r="F6239" s="38"/>
      <c r="G6239" s="38"/>
      <c r="H6239" s="38"/>
      <c r="I6239" s="37"/>
      <c r="J6239" s="38"/>
      <c r="K6239" s="38"/>
      <c r="L6239" s="42"/>
      <c r="M6239" s="42"/>
      <c r="N6239" s="42"/>
      <c r="O6239" s="42"/>
      <c r="R6239" s="37"/>
      <c r="S6239" s="37"/>
      <c r="T6239" s="91"/>
      <c r="U6239" s="91"/>
      <c r="V6239" s="41"/>
      <c r="W6239" s="37"/>
      <c r="X6239" s="37"/>
      <c r="Y6239" s="43"/>
      <c r="Z6239" s="37"/>
      <c r="AA6239" s="37"/>
      <c r="AD6239" s="37"/>
      <c r="AE6239" s="37"/>
      <c r="AF6239" s="37"/>
    </row>
    <row r="6240" spans="1:32" x14ac:dyDescent="0.25">
      <c r="A6240" s="37"/>
      <c r="B6240" s="37"/>
      <c r="C6240" s="37"/>
      <c r="F6240" s="38"/>
      <c r="G6240" s="38"/>
      <c r="H6240" s="38"/>
      <c r="I6240" s="37"/>
      <c r="J6240" s="38"/>
      <c r="K6240" s="38"/>
      <c r="L6240" s="42"/>
      <c r="M6240" s="42"/>
      <c r="N6240" s="42"/>
      <c r="O6240" s="42"/>
      <c r="R6240" s="37"/>
      <c r="S6240" s="37"/>
      <c r="T6240" s="91"/>
      <c r="U6240" s="91"/>
      <c r="V6240" s="41"/>
      <c r="W6240" s="37"/>
      <c r="X6240" s="37"/>
      <c r="Y6240" s="43"/>
      <c r="Z6240" s="37"/>
      <c r="AA6240" s="37"/>
      <c r="AD6240" s="37"/>
      <c r="AE6240" s="37"/>
      <c r="AF6240" s="37"/>
    </row>
    <row r="6241" spans="1:32" x14ac:dyDescent="0.25">
      <c r="A6241" s="37"/>
      <c r="B6241" s="37"/>
      <c r="C6241" s="37"/>
      <c r="F6241" s="38"/>
      <c r="G6241" s="38"/>
      <c r="H6241" s="38"/>
      <c r="I6241" s="37"/>
      <c r="J6241" s="38"/>
      <c r="K6241" s="38"/>
      <c r="L6241" s="42"/>
      <c r="M6241" s="42"/>
      <c r="N6241" s="42"/>
      <c r="O6241" s="42"/>
      <c r="R6241" s="37"/>
      <c r="S6241" s="37"/>
      <c r="T6241" s="91"/>
      <c r="U6241" s="91"/>
      <c r="V6241" s="41"/>
      <c r="W6241" s="37"/>
      <c r="X6241" s="37"/>
      <c r="Y6241" s="43"/>
      <c r="Z6241" s="37"/>
      <c r="AA6241" s="37"/>
      <c r="AD6241" s="37"/>
      <c r="AE6241" s="37"/>
      <c r="AF6241" s="37"/>
    </row>
    <row r="6242" spans="1:32" x14ac:dyDescent="0.25">
      <c r="A6242" s="37"/>
      <c r="B6242" s="37"/>
      <c r="C6242" s="37"/>
      <c r="F6242" s="38"/>
      <c r="G6242" s="38"/>
      <c r="H6242" s="38"/>
      <c r="I6242" s="37"/>
      <c r="J6242" s="38"/>
      <c r="K6242" s="38"/>
      <c r="L6242" s="42"/>
      <c r="M6242" s="42"/>
      <c r="N6242" s="42"/>
      <c r="O6242" s="42"/>
      <c r="R6242" s="37"/>
      <c r="S6242" s="37"/>
      <c r="T6242" s="91"/>
      <c r="U6242" s="91"/>
      <c r="V6242" s="41"/>
      <c r="W6242" s="37"/>
      <c r="X6242" s="37"/>
      <c r="Y6242" s="43"/>
      <c r="Z6242" s="37"/>
      <c r="AA6242" s="37"/>
      <c r="AD6242" s="37"/>
      <c r="AE6242" s="37"/>
      <c r="AF6242" s="37"/>
    </row>
    <row r="6243" spans="1:32" x14ac:dyDescent="0.25">
      <c r="A6243" s="37"/>
      <c r="B6243" s="37"/>
      <c r="C6243" s="37"/>
      <c r="F6243" s="38"/>
      <c r="G6243" s="38"/>
      <c r="H6243" s="38"/>
      <c r="I6243" s="37"/>
      <c r="J6243" s="38"/>
      <c r="K6243" s="38"/>
      <c r="L6243" s="42"/>
      <c r="M6243" s="42"/>
      <c r="N6243" s="42"/>
      <c r="O6243" s="42"/>
      <c r="R6243" s="37"/>
      <c r="S6243" s="37"/>
      <c r="T6243" s="91"/>
      <c r="U6243" s="91"/>
      <c r="V6243" s="41"/>
      <c r="W6243" s="37"/>
      <c r="X6243" s="37"/>
      <c r="Y6243" s="43"/>
      <c r="Z6243" s="37"/>
      <c r="AA6243" s="37"/>
      <c r="AD6243" s="37"/>
      <c r="AE6243" s="37"/>
      <c r="AF6243" s="37"/>
    </row>
    <row r="6244" spans="1:32" x14ac:dyDescent="0.25">
      <c r="A6244" s="37"/>
      <c r="B6244" s="37"/>
      <c r="C6244" s="37"/>
      <c r="F6244" s="38"/>
      <c r="G6244" s="38"/>
      <c r="H6244" s="38"/>
      <c r="I6244" s="37"/>
      <c r="J6244" s="38"/>
      <c r="K6244" s="38"/>
      <c r="L6244" s="42"/>
      <c r="M6244" s="42"/>
      <c r="N6244" s="42"/>
      <c r="O6244" s="42"/>
      <c r="R6244" s="37"/>
      <c r="S6244" s="37"/>
      <c r="T6244" s="91"/>
      <c r="U6244" s="91"/>
      <c r="V6244" s="41"/>
      <c r="W6244" s="37"/>
      <c r="X6244" s="37"/>
      <c r="Y6244" s="43"/>
      <c r="Z6244" s="37"/>
      <c r="AA6244" s="37"/>
      <c r="AD6244" s="37"/>
      <c r="AE6244" s="37"/>
      <c r="AF6244" s="37"/>
    </row>
    <row r="6245" spans="1:32" x14ac:dyDescent="0.25">
      <c r="A6245" s="37"/>
      <c r="B6245" s="37"/>
      <c r="C6245" s="37"/>
      <c r="F6245" s="38"/>
      <c r="G6245" s="38"/>
      <c r="H6245" s="38"/>
      <c r="I6245" s="37"/>
      <c r="J6245" s="38"/>
      <c r="K6245" s="38"/>
      <c r="L6245" s="42"/>
      <c r="M6245" s="42"/>
      <c r="N6245" s="42"/>
      <c r="O6245" s="42"/>
      <c r="R6245" s="37"/>
      <c r="S6245" s="37"/>
      <c r="T6245" s="91"/>
      <c r="U6245" s="91"/>
      <c r="V6245" s="41"/>
      <c r="W6245" s="37"/>
      <c r="X6245" s="37"/>
      <c r="Y6245" s="43"/>
      <c r="Z6245" s="37"/>
      <c r="AA6245" s="37"/>
      <c r="AD6245" s="37"/>
      <c r="AE6245" s="37"/>
      <c r="AF6245" s="37"/>
    </row>
    <row r="6246" spans="1:32" x14ac:dyDescent="0.25">
      <c r="A6246" s="37"/>
      <c r="B6246" s="37"/>
      <c r="C6246" s="37"/>
      <c r="F6246" s="38"/>
      <c r="G6246" s="38"/>
      <c r="H6246" s="38"/>
      <c r="I6246" s="37"/>
      <c r="J6246" s="38"/>
      <c r="K6246" s="38"/>
      <c r="L6246" s="42"/>
      <c r="M6246" s="42"/>
      <c r="N6246" s="42"/>
      <c r="O6246" s="42"/>
      <c r="R6246" s="37"/>
      <c r="S6246" s="37"/>
      <c r="T6246" s="91"/>
      <c r="U6246" s="91"/>
      <c r="V6246" s="41"/>
      <c r="W6246" s="37"/>
      <c r="X6246" s="37"/>
      <c r="Y6246" s="43"/>
      <c r="Z6246" s="37"/>
      <c r="AA6246" s="37"/>
      <c r="AD6246" s="37"/>
      <c r="AE6246" s="37"/>
      <c r="AF6246" s="37"/>
    </row>
    <row r="6247" spans="1:32" x14ac:dyDescent="0.25">
      <c r="A6247" s="37"/>
      <c r="B6247" s="37"/>
      <c r="C6247" s="37"/>
      <c r="F6247" s="38"/>
      <c r="G6247" s="38"/>
      <c r="H6247" s="38"/>
      <c r="I6247" s="37"/>
      <c r="J6247" s="38"/>
      <c r="K6247" s="38"/>
      <c r="L6247" s="42"/>
      <c r="M6247" s="42"/>
      <c r="N6247" s="42"/>
      <c r="O6247" s="42"/>
      <c r="R6247" s="37"/>
      <c r="S6247" s="37"/>
      <c r="T6247" s="91"/>
      <c r="U6247" s="91"/>
      <c r="V6247" s="41"/>
      <c r="W6247" s="37"/>
      <c r="X6247" s="37"/>
      <c r="Y6247" s="43"/>
      <c r="Z6247" s="37"/>
      <c r="AA6247" s="37"/>
      <c r="AD6247" s="37"/>
      <c r="AE6247" s="37"/>
      <c r="AF6247" s="37"/>
    </row>
    <row r="6248" spans="1:32" x14ac:dyDescent="0.25">
      <c r="A6248" s="37"/>
      <c r="B6248" s="37"/>
      <c r="C6248" s="37"/>
      <c r="F6248" s="38"/>
      <c r="G6248" s="38"/>
      <c r="H6248" s="38"/>
      <c r="I6248" s="37"/>
      <c r="J6248" s="38"/>
      <c r="K6248" s="38"/>
      <c r="L6248" s="42"/>
      <c r="M6248" s="42"/>
      <c r="N6248" s="42"/>
      <c r="O6248" s="42"/>
      <c r="R6248" s="37"/>
      <c r="S6248" s="37"/>
      <c r="T6248" s="91"/>
      <c r="U6248" s="91"/>
      <c r="V6248" s="41"/>
      <c r="W6248" s="37"/>
      <c r="X6248" s="37"/>
      <c r="Y6248" s="43"/>
      <c r="Z6248" s="37"/>
      <c r="AA6248" s="37"/>
      <c r="AD6248" s="37"/>
      <c r="AE6248" s="37"/>
      <c r="AF6248" s="37"/>
    </row>
    <row r="6249" spans="1:32" x14ac:dyDescent="0.25">
      <c r="A6249" s="37"/>
      <c r="B6249" s="37"/>
      <c r="C6249" s="37"/>
      <c r="F6249" s="38"/>
      <c r="G6249" s="38"/>
      <c r="H6249" s="38"/>
      <c r="I6249" s="37"/>
      <c r="J6249" s="38"/>
      <c r="K6249" s="38"/>
      <c r="L6249" s="42"/>
      <c r="M6249" s="42"/>
      <c r="N6249" s="42"/>
      <c r="O6249" s="42"/>
      <c r="R6249" s="37"/>
      <c r="S6249" s="37"/>
      <c r="T6249" s="91"/>
      <c r="U6249" s="91"/>
      <c r="V6249" s="41"/>
      <c r="W6249" s="37"/>
      <c r="X6249" s="37"/>
      <c r="Y6249" s="43"/>
      <c r="Z6249" s="37"/>
      <c r="AA6249" s="37"/>
      <c r="AD6249" s="37"/>
      <c r="AE6249" s="37"/>
      <c r="AF6249" s="37"/>
    </row>
    <row r="6250" spans="1:32" x14ac:dyDescent="0.25">
      <c r="A6250" s="37"/>
      <c r="B6250" s="37"/>
      <c r="C6250" s="37"/>
      <c r="F6250" s="38"/>
      <c r="G6250" s="38"/>
      <c r="H6250" s="38"/>
      <c r="I6250" s="37"/>
      <c r="J6250" s="38"/>
      <c r="K6250" s="38"/>
      <c r="L6250" s="42"/>
      <c r="M6250" s="42"/>
      <c r="N6250" s="42"/>
      <c r="O6250" s="42"/>
      <c r="R6250" s="37"/>
      <c r="S6250" s="37"/>
      <c r="T6250" s="91"/>
      <c r="U6250" s="91"/>
      <c r="V6250" s="41"/>
      <c r="W6250" s="37"/>
      <c r="X6250" s="37"/>
      <c r="Y6250" s="43"/>
      <c r="Z6250" s="37"/>
      <c r="AA6250" s="37"/>
      <c r="AD6250" s="37"/>
      <c r="AE6250" s="37"/>
      <c r="AF6250" s="37"/>
    </row>
    <row r="6251" spans="1:32" x14ac:dyDescent="0.25">
      <c r="A6251" s="37"/>
      <c r="B6251" s="37"/>
      <c r="C6251" s="37"/>
      <c r="F6251" s="38"/>
      <c r="G6251" s="38"/>
      <c r="H6251" s="38"/>
      <c r="I6251" s="37"/>
      <c r="J6251" s="38"/>
      <c r="K6251" s="38"/>
      <c r="L6251" s="42"/>
      <c r="M6251" s="42"/>
      <c r="N6251" s="42"/>
      <c r="O6251" s="42"/>
      <c r="R6251" s="37"/>
      <c r="S6251" s="37"/>
      <c r="T6251" s="91"/>
      <c r="U6251" s="91"/>
      <c r="V6251" s="41"/>
      <c r="W6251" s="37"/>
      <c r="X6251" s="37"/>
      <c r="Y6251" s="43"/>
      <c r="Z6251" s="37"/>
      <c r="AA6251" s="37"/>
      <c r="AD6251" s="37"/>
      <c r="AE6251" s="37"/>
      <c r="AF6251" s="37"/>
    </row>
    <row r="6252" spans="1:32" x14ac:dyDescent="0.25">
      <c r="A6252" s="37"/>
      <c r="B6252" s="37"/>
      <c r="C6252" s="37"/>
      <c r="F6252" s="38"/>
      <c r="G6252" s="38"/>
      <c r="H6252" s="38"/>
      <c r="I6252" s="37"/>
      <c r="J6252" s="38"/>
      <c r="K6252" s="38"/>
      <c r="L6252" s="42"/>
      <c r="M6252" s="42"/>
      <c r="N6252" s="42"/>
      <c r="O6252" s="42"/>
      <c r="R6252" s="37"/>
      <c r="S6252" s="37"/>
      <c r="T6252" s="91"/>
      <c r="U6252" s="91"/>
      <c r="V6252" s="41"/>
      <c r="W6252" s="37"/>
      <c r="X6252" s="37"/>
      <c r="Y6252" s="43"/>
      <c r="Z6252" s="37"/>
      <c r="AA6252" s="37"/>
      <c r="AD6252" s="37"/>
      <c r="AE6252" s="37"/>
      <c r="AF6252" s="37"/>
    </row>
    <row r="6253" spans="1:32" x14ac:dyDescent="0.25">
      <c r="A6253" s="37"/>
      <c r="B6253" s="37"/>
      <c r="C6253" s="37"/>
      <c r="F6253" s="38"/>
      <c r="G6253" s="38"/>
      <c r="H6253" s="38"/>
      <c r="I6253" s="37"/>
      <c r="J6253" s="38"/>
      <c r="K6253" s="38"/>
      <c r="L6253" s="42"/>
      <c r="M6253" s="42"/>
      <c r="N6253" s="42"/>
      <c r="O6253" s="42"/>
      <c r="R6253" s="37"/>
      <c r="S6253" s="37"/>
      <c r="T6253" s="91"/>
      <c r="U6253" s="91"/>
      <c r="V6253" s="41"/>
      <c r="W6253" s="37"/>
      <c r="X6253" s="37"/>
      <c r="Y6253" s="43"/>
      <c r="Z6253" s="37"/>
      <c r="AA6253" s="37"/>
      <c r="AD6253" s="37"/>
      <c r="AE6253" s="37"/>
      <c r="AF6253" s="37"/>
    </row>
    <row r="6254" spans="1:32" x14ac:dyDescent="0.25">
      <c r="A6254" s="37"/>
      <c r="B6254" s="37"/>
      <c r="C6254" s="37"/>
      <c r="F6254" s="38"/>
      <c r="G6254" s="38"/>
      <c r="H6254" s="38"/>
      <c r="I6254" s="37"/>
      <c r="J6254" s="38"/>
      <c r="K6254" s="38"/>
      <c r="L6254" s="42"/>
      <c r="M6254" s="42"/>
      <c r="N6254" s="42"/>
      <c r="O6254" s="42"/>
      <c r="R6254" s="37"/>
      <c r="S6254" s="37"/>
      <c r="T6254" s="91"/>
      <c r="U6254" s="91"/>
      <c r="V6254" s="41"/>
      <c r="W6254" s="37"/>
      <c r="X6254" s="37"/>
      <c r="Y6254" s="43"/>
      <c r="Z6254" s="37"/>
      <c r="AA6254" s="37"/>
      <c r="AD6254" s="37"/>
      <c r="AE6254" s="37"/>
      <c r="AF6254" s="37"/>
    </row>
    <row r="6255" spans="1:32" x14ac:dyDescent="0.25">
      <c r="A6255" s="37"/>
      <c r="B6255" s="37"/>
      <c r="C6255" s="37"/>
      <c r="F6255" s="38"/>
      <c r="G6255" s="38"/>
      <c r="H6255" s="38"/>
      <c r="I6255" s="37"/>
      <c r="J6255" s="38"/>
      <c r="K6255" s="38"/>
      <c r="L6255" s="42"/>
      <c r="M6255" s="42"/>
      <c r="N6255" s="42"/>
      <c r="O6255" s="42"/>
      <c r="R6255" s="37"/>
      <c r="S6255" s="37"/>
      <c r="T6255" s="91"/>
      <c r="U6255" s="91"/>
      <c r="V6255" s="41"/>
      <c r="W6255" s="37"/>
      <c r="X6255" s="37"/>
      <c r="Y6255" s="43"/>
      <c r="Z6255" s="37"/>
      <c r="AA6255" s="37"/>
      <c r="AD6255" s="37"/>
      <c r="AE6255" s="37"/>
      <c r="AF6255" s="37"/>
    </row>
    <row r="6256" spans="1:32" x14ac:dyDescent="0.25">
      <c r="A6256" s="37"/>
      <c r="B6256" s="37"/>
      <c r="C6256" s="37"/>
      <c r="F6256" s="38"/>
      <c r="G6256" s="38"/>
      <c r="H6256" s="38"/>
      <c r="I6256" s="37"/>
      <c r="J6256" s="38"/>
      <c r="K6256" s="38"/>
      <c r="L6256" s="42"/>
      <c r="M6256" s="42"/>
      <c r="N6256" s="42"/>
      <c r="O6256" s="42"/>
      <c r="R6256" s="37"/>
      <c r="S6256" s="37"/>
      <c r="T6256" s="91"/>
      <c r="U6256" s="91"/>
      <c r="V6256" s="41"/>
      <c r="W6256" s="37"/>
      <c r="X6256" s="37"/>
      <c r="Y6256" s="43"/>
      <c r="Z6256" s="37"/>
      <c r="AA6256" s="37"/>
      <c r="AD6256" s="37"/>
      <c r="AE6256" s="37"/>
      <c r="AF6256" s="37"/>
    </row>
    <row r="6257" spans="1:32" x14ac:dyDescent="0.25">
      <c r="A6257" s="37"/>
      <c r="B6257" s="37"/>
      <c r="C6257" s="37"/>
      <c r="F6257" s="38"/>
      <c r="G6257" s="38"/>
      <c r="H6257" s="38"/>
      <c r="I6257" s="37"/>
      <c r="J6257" s="38"/>
      <c r="K6257" s="38"/>
      <c r="L6257" s="42"/>
      <c r="M6257" s="42"/>
      <c r="N6257" s="42"/>
      <c r="O6257" s="42"/>
      <c r="R6257" s="37"/>
      <c r="S6257" s="37"/>
      <c r="T6257" s="91"/>
      <c r="U6257" s="91"/>
      <c r="V6257" s="41"/>
      <c r="W6257" s="37"/>
      <c r="X6257" s="37"/>
      <c r="Y6257" s="43"/>
      <c r="Z6257" s="37"/>
      <c r="AA6257" s="37"/>
      <c r="AD6257" s="37"/>
      <c r="AE6257" s="37"/>
      <c r="AF6257" s="37"/>
    </row>
    <row r="6258" spans="1:32" x14ac:dyDescent="0.25">
      <c r="A6258" s="37"/>
      <c r="B6258" s="37"/>
      <c r="C6258" s="37"/>
      <c r="F6258" s="38"/>
      <c r="G6258" s="38"/>
      <c r="H6258" s="38"/>
      <c r="I6258" s="37"/>
      <c r="J6258" s="38"/>
      <c r="K6258" s="38"/>
      <c r="L6258" s="42"/>
      <c r="M6258" s="42"/>
      <c r="N6258" s="42"/>
      <c r="O6258" s="42"/>
      <c r="R6258" s="37"/>
      <c r="S6258" s="37"/>
      <c r="T6258" s="91"/>
      <c r="U6258" s="91"/>
      <c r="V6258" s="41"/>
      <c r="W6258" s="37"/>
      <c r="X6258" s="37"/>
      <c r="Y6258" s="43"/>
      <c r="Z6258" s="37"/>
      <c r="AA6258" s="37"/>
      <c r="AD6258" s="37"/>
      <c r="AE6258" s="37"/>
      <c r="AF6258" s="37"/>
    </row>
    <row r="6259" spans="1:32" x14ac:dyDescent="0.25">
      <c r="A6259" s="37"/>
      <c r="B6259" s="37"/>
      <c r="C6259" s="37"/>
      <c r="F6259" s="38"/>
      <c r="G6259" s="38"/>
      <c r="H6259" s="38"/>
      <c r="I6259" s="37"/>
      <c r="J6259" s="38"/>
      <c r="K6259" s="38"/>
      <c r="L6259" s="42"/>
      <c r="M6259" s="42"/>
      <c r="N6259" s="42"/>
      <c r="O6259" s="42"/>
      <c r="R6259" s="37"/>
      <c r="S6259" s="37"/>
      <c r="T6259" s="91"/>
      <c r="U6259" s="91"/>
      <c r="V6259" s="41"/>
      <c r="W6259" s="37"/>
      <c r="X6259" s="37"/>
      <c r="Y6259" s="43"/>
      <c r="Z6259" s="37"/>
      <c r="AA6259" s="37"/>
      <c r="AD6259" s="37"/>
      <c r="AE6259" s="37"/>
      <c r="AF6259" s="37"/>
    </row>
    <row r="6260" spans="1:32" x14ac:dyDescent="0.25">
      <c r="A6260" s="37"/>
      <c r="B6260" s="37"/>
      <c r="C6260" s="37"/>
      <c r="F6260" s="38"/>
      <c r="G6260" s="38"/>
      <c r="H6260" s="38"/>
      <c r="I6260" s="37"/>
      <c r="J6260" s="38"/>
      <c r="K6260" s="38"/>
      <c r="L6260" s="42"/>
      <c r="M6260" s="42"/>
      <c r="N6260" s="42"/>
      <c r="O6260" s="42"/>
      <c r="R6260" s="37"/>
      <c r="S6260" s="37"/>
      <c r="T6260" s="91"/>
      <c r="U6260" s="91"/>
      <c r="V6260" s="41"/>
      <c r="W6260" s="37"/>
      <c r="X6260" s="37"/>
      <c r="Y6260" s="43"/>
      <c r="Z6260" s="37"/>
      <c r="AA6260" s="37"/>
      <c r="AD6260" s="37"/>
      <c r="AE6260" s="37"/>
      <c r="AF6260" s="37"/>
    </row>
    <row r="6261" spans="1:32" x14ac:dyDescent="0.25">
      <c r="A6261" s="37"/>
      <c r="B6261" s="37"/>
      <c r="C6261" s="37"/>
      <c r="F6261" s="38"/>
      <c r="G6261" s="38"/>
      <c r="H6261" s="38"/>
      <c r="I6261" s="37"/>
      <c r="J6261" s="38"/>
      <c r="K6261" s="38"/>
      <c r="L6261" s="42"/>
      <c r="M6261" s="42"/>
      <c r="N6261" s="42"/>
      <c r="O6261" s="42"/>
      <c r="R6261" s="37"/>
      <c r="S6261" s="37"/>
      <c r="T6261" s="91"/>
      <c r="U6261" s="91"/>
      <c r="V6261" s="41"/>
      <c r="W6261" s="37"/>
      <c r="X6261" s="37"/>
      <c r="Y6261" s="43"/>
      <c r="Z6261" s="37"/>
      <c r="AA6261" s="37"/>
      <c r="AD6261" s="37"/>
      <c r="AE6261" s="37"/>
      <c r="AF6261" s="37"/>
    </row>
    <row r="6262" spans="1:32" x14ac:dyDescent="0.25">
      <c r="A6262" s="37"/>
      <c r="B6262" s="37"/>
      <c r="C6262" s="37"/>
      <c r="F6262" s="38"/>
      <c r="G6262" s="38"/>
      <c r="H6262" s="38"/>
      <c r="I6262" s="37"/>
      <c r="J6262" s="38"/>
      <c r="K6262" s="38"/>
      <c r="L6262" s="42"/>
      <c r="M6262" s="42"/>
      <c r="N6262" s="42"/>
      <c r="O6262" s="42"/>
      <c r="R6262" s="37"/>
      <c r="S6262" s="37"/>
      <c r="T6262" s="91"/>
      <c r="U6262" s="91"/>
      <c r="V6262" s="41"/>
      <c r="W6262" s="37"/>
      <c r="X6262" s="37"/>
      <c r="Y6262" s="43"/>
      <c r="Z6262" s="37"/>
      <c r="AA6262" s="37"/>
      <c r="AD6262" s="37"/>
      <c r="AE6262" s="37"/>
      <c r="AF6262" s="37"/>
    </row>
    <row r="6263" spans="1:32" x14ac:dyDescent="0.25">
      <c r="A6263" s="37"/>
      <c r="B6263" s="37"/>
      <c r="C6263" s="37"/>
      <c r="F6263" s="38"/>
      <c r="G6263" s="38"/>
      <c r="H6263" s="38"/>
      <c r="I6263" s="37"/>
      <c r="J6263" s="38"/>
      <c r="K6263" s="38"/>
      <c r="L6263" s="42"/>
      <c r="M6263" s="42"/>
      <c r="N6263" s="42"/>
      <c r="O6263" s="42"/>
      <c r="R6263" s="37"/>
      <c r="S6263" s="37"/>
      <c r="T6263" s="91"/>
      <c r="U6263" s="91"/>
      <c r="V6263" s="41"/>
      <c r="W6263" s="37"/>
      <c r="X6263" s="37"/>
      <c r="Y6263" s="43"/>
      <c r="Z6263" s="37"/>
      <c r="AA6263" s="37"/>
      <c r="AD6263" s="37"/>
      <c r="AE6263" s="37"/>
      <c r="AF6263" s="37"/>
    </row>
    <row r="6264" spans="1:32" x14ac:dyDescent="0.25">
      <c r="A6264" s="37"/>
      <c r="B6264" s="37"/>
      <c r="C6264" s="37"/>
      <c r="F6264" s="38"/>
      <c r="G6264" s="38"/>
      <c r="H6264" s="38"/>
      <c r="I6264" s="37"/>
      <c r="J6264" s="38"/>
      <c r="K6264" s="38"/>
      <c r="L6264" s="42"/>
      <c r="M6264" s="42"/>
      <c r="N6264" s="42"/>
      <c r="O6264" s="42"/>
      <c r="R6264" s="37"/>
      <c r="S6264" s="37"/>
      <c r="T6264" s="91"/>
      <c r="U6264" s="91"/>
      <c r="V6264" s="41"/>
      <c r="W6264" s="37"/>
      <c r="X6264" s="37"/>
      <c r="Y6264" s="43"/>
      <c r="Z6264" s="37"/>
      <c r="AA6264" s="37"/>
      <c r="AD6264" s="37"/>
      <c r="AE6264" s="37"/>
      <c r="AF6264" s="37"/>
    </row>
    <row r="6265" spans="1:32" x14ac:dyDescent="0.25">
      <c r="A6265" s="37"/>
      <c r="B6265" s="37"/>
      <c r="C6265" s="37"/>
      <c r="F6265" s="38"/>
      <c r="G6265" s="38"/>
      <c r="H6265" s="38"/>
      <c r="I6265" s="37"/>
      <c r="J6265" s="38"/>
      <c r="K6265" s="38"/>
      <c r="L6265" s="42"/>
      <c r="M6265" s="42"/>
      <c r="N6265" s="42"/>
      <c r="O6265" s="42"/>
      <c r="R6265" s="37"/>
      <c r="S6265" s="37"/>
      <c r="T6265" s="91"/>
      <c r="U6265" s="91"/>
      <c r="V6265" s="41"/>
      <c r="W6265" s="37"/>
      <c r="X6265" s="37"/>
      <c r="Y6265" s="43"/>
      <c r="Z6265" s="37"/>
      <c r="AA6265" s="37"/>
      <c r="AD6265" s="37"/>
      <c r="AE6265" s="37"/>
      <c r="AF6265" s="37"/>
    </row>
    <row r="6266" spans="1:32" x14ac:dyDescent="0.25">
      <c r="A6266" s="37"/>
      <c r="B6266" s="37"/>
      <c r="C6266" s="37"/>
      <c r="F6266" s="38"/>
      <c r="G6266" s="38"/>
      <c r="H6266" s="38"/>
      <c r="I6266" s="37"/>
      <c r="J6266" s="38"/>
      <c r="K6266" s="38"/>
      <c r="L6266" s="42"/>
      <c r="M6266" s="42"/>
      <c r="N6266" s="42"/>
      <c r="O6266" s="42"/>
      <c r="R6266" s="37"/>
      <c r="S6266" s="37"/>
      <c r="T6266" s="91"/>
      <c r="U6266" s="91"/>
      <c r="V6266" s="41"/>
      <c r="W6266" s="37"/>
      <c r="X6266" s="37"/>
      <c r="Y6266" s="43"/>
      <c r="Z6266" s="37"/>
      <c r="AA6266" s="37"/>
      <c r="AD6266" s="37"/>
      <c r="AE6266" s="37"/>
      <c r="AF6266" s="37"/>
    </row>
    <row r="6267" spans="1:32" x14ac:dyDescent="0.25">
      <c r="A6267" s="37"/>
      <c r="B6267" s="37"/>
      <c r="C6267" s="37"/>
      <c r="F6267" s="38"/>
      <c r="G6267" s="38"/>
      <c r="H6267" s="38"/>
      <c r="I6267" s="37"/>
      <c r="J6267" s="38"/>
      <c r="K6267" s="38"/>
      <c r="L6267" s="42"/>
      <c r="M6267" s="42"/>
      <c r="N6267" s="42"/>
      <c r="O6267" s="42"/>
      <c r="R6267" s="37"/>
      <c r="S6267" s="37"/>
      <c r="T6267" s="91"/>
      <c r="U6267" s="91"/>
      <c r="V6267" s="41"/>
      <c r="W6267" s="37"/>
      <c r="X6267" s="37"/>
      <c r="Y6267" s="43"/>
      <c r="Z6267" s="37"/>
      <c r="AA6267" s="37"/>
      <c r="AD6267" s="37"/>
      <c r="AE6267" s="37"/>
      <c r="AF6267" s="37"/>
    </row>
    <row r="6268" spans="1:32" x14ac:dyDescent="0.25">
      <c r="A6268" s="37"/>
      <c r="B6268" s="37"/>
      <c r="C6268" s="37"/>
      <c r="F6268" s="38"/>
      <c r="G6268" s="38"/>
      <c r="H6268" s="38"/>
      <c r="I6268" s="37"/>
      <c r="J6268" s="38"/>
      <c r="K6268" s="38"/>
      <c r="L6268" s="42"/>
      <c r="M6268" s="42"/>
      <c r="N6268" s="42"/>
      <c r="O6268" s="42"/>
      <c r="R6268" s="37"/>
      <c r="S6268" s="37"/>
      <c r="T6268" s="91"/>
      <c r="U6268" s="91"/>
      <c r="V6268" s="41"/>
      <c r="W6268" s="37"/>
      <c r="X6268" s="37"/>
      <c r="Y6268" s="43"/>
      <c r="Z6268" s="37"/>
      <c r="AA6268" s="37"/>
      <c r="AD6268" s="37"/>
      <c r="AE6268" s="37"/>
      <c r="AF6268" s="37"/>
    </row>
    <row r="6269" spans="1:32" x14ac:dyDescent="0.25">
      <c r="A6269" s="37"/>
      <c r="B6269" s="37"/>
      <c r="C6269" s="37"/>
      <c r="F6269" s="38"/>
      <c r="G6269" s="38"/>
      <c r="H6269" s="38"/>
      <c r="I6269" s="37"/>
      <c r="J6269" s="38"/>
      <c r="K6269" s="38"/>
      <c r="L6269" s="42"/>
      <c r="M6269" s="42"/>
      <c r="N6269" s="42"/>
      <c r="O6269" s="42"/>
      <c r="R6269" s="37"/>
      <c r="S6269" s="37"/>
      <c r="T6269" s="91"/>
      <c r="U6269" s="91"/>
      <c r="V6269" s="41"/>
      <c r="W6269" s="37"/>
      <c r="X6269" s="37"/>
      <c r="Y6269" s="43"/>
      <c r="Z6269" s="37"/>
      <c r="AA6269" s="37"/>
      <c r="AD6269" s="37"/>
      <c r="AE6269" s="37"/>
      <c r="AF6269" s="37"/>
    </row>
    <row r="6270" spans="1:32" x14ac:dyDescent="0.25">
      <c r="A6270" s="37"/>
      <c r="B6270" s="37"/>
      <c r="C6270" s="37"/>
      <c r="F6270" s="38"/>
      <c r="G6270" s="38"/>
      <c r="H6270" s="38"/>
      <c r="I6270" s="37"/>
      <c r="J6270" s="38"/>
      <c r="K6270" s="38"/>
      <c r="L6270" s="42"/>
      <c r="M6270" s="42"/>
      <c r="N6270" s="42"/>
      <c r="O6270" s="42"/>
      <c r="R6270" s="37"/>
      <c r="S6270" s="37"/>
      <c r="T6270" s="91"/>
      <c r="U6270" s="91"/>
      <c r="V6270" s="41"/>
      <c r="W6270" s="37"/>
      <c r="X6270" s="37"/>
      <c r="Y6270" s="43"/>
      <c r="Z6270" s="37"/>
      <c r="AA6270" s="37"/>
      <c r="AD6270" s="37"/>
      <c r="AE6270" s="37"/>
      <c r="AF6270" s="37"/>
    </row>
    <row r="6271" spans="1:32" x14ac:dyDescent="0.25">
      <c r="A6271" s="37"/>
      <c r="B6271" s="37"/>
      <c r="C6271" s="37"/>
      <c r="F6271" s="38"/>
      <c r="G6271" s="38"/>
      <c r="H6271" s="38"/>
      <c r="I6271" s="37"/>
      <c r="J6271" s="38"/>
      <c r="K6271" s="38"/>
      <c r="L6271" s="42"/>
      <c r="M6271" s="42"/>
      <c r="N6271" s="42"/>
      <c r="O6271" s="42"/>
      <c r="R6271" s="37"/>
      <c r="S6271" s="37"/>
      <c r="T6271" s="91"/>
      <c r="U6271" s="91"/>
      <c r="V6271" s="41"/>
      <c r="W6271" s="37"/>
      <c r="X6271" s="37"/>
      <c r="Y6271" s="43"/>
      <c r="Z6271" s="37"/>
      <c r="AA6271" s="37"/>
      <c r="AD6271" s="37"/>
      <c r="AE6271" s="37"/>
      <c r="AF6271" s="37"/>
    </row>
    <row r="6272" spans="1:32" x14ac:dyDescent="0.25">
      <c r="A6272" s="37"/>
      <c r="B6272" s="37"/>
      <c r="C6272" s="37"/>
      <c r="F6272" s="38"/>
      <c r="G6272" s="38"/>
      <c r="H6272" s="38"/>
      <c r="I6272" s="37"/>
      <c r="J6272" s="38"/>
      <c r="K6272" s="38"/>
      <c r="L6272" s="42"/>
      <c r="M6272" s="42"/>
      <c r="N6272" s="42"/>
      <c r="O6272" s="42"/>
      <c r="R6272" s="37"/>
      <c r="S6272" s="37"/>
      <c r="T6272" s="91"/>
      <c r="U6272" s="91"/>
      <c r="V6272" s="41"/>
      <c r="W6272" s="37"/>
      <c r="X6272" s="37"/>
      <c r="Y6272" s="43"/>
      <c r="Z6272" s="37"/>
      <c r="AA6272" s="37"/>
      <c r="AD6272" s="37"/>
      <c r="AE6272" s="37"/>
      <c r="AF6272" s="37"/>
    </row>
    <row r="6273" spans="1:32" x14ac:dyDescent="0.25">
      <c r="A6273" s="37"/>
      <c r="B6273" s="37"/>
      <c r="C6273" s="37"/>
      <c r="F6273" s="38"/>
      <c r="G6273" s="38"/>
      <c r="H6273" s="38"/>
      <c r="I6273" s="37"/>
      <c r="J6273" s="38"/>
      <c r="K6273" s="38"/>
      <c r="L6273" s="42"/>
      <c r="M6273" s="42"/>
      <c r="N6273" s="42"/>
      <c r="O6273" s="42"/>
      <c r="R6273" s="37"/>
      <c r="S6273" s="37"/>
      <c r="T6273" s="91"/>
      <c r="U6273" s="91"/>
      <c r="V6273" s="41"/>
      <c r="W6273" s="37"/>
      <c r="X6273" s="37"/>
      <c r="Y6273" s="43"/>
      <c r="Z6273" s="37"/>
      <c r="AA6273" s="37"/>
      <c r="AD6273" s="37"/>
      <c r="AE6273" s="37"/>
      <c r="AF6273" s="37"/>
    </row>
    <row r="6274" spans="1:32" x14ac:dyDescent="0.25">
      <c r="A6274" s="37"/>
      <c r="B6274" s="37"/>
      <c r="C6274" s="37"/>
      <c r="F6274" s="38"/>
      <c r="G6274" s="38"/>
      <c r="H6274" s="38"/>
      <c r="I6274" s="37"/>
      <c r="J6274" s="38"/>
      <c r="K6274" s="38"/>
      <c r="L6274" s="42"/>
      <c r="M6274" s="42"/>
      <c r="N6274" s="42"/>
      <c r="O6274" s="42"/>
      <c r="R6274" s="37"/>
      <c r="S6274" s="37"/>
      <c r="T6274" s="91"/>
      <c r="U6274" s="91"/>
      <c r="V6274" s="41"/>
      <c r="W6274" s="37"/>
      <c r="X6274" s="37"/>
      <c r="Y6274" s="43"/>
      <c r="Z6274" s="37"/>
      <c r="AA6274" s="37"/>
      <c r="AD6274" s="37"/>
      <c r="AE6274" s="37"/>
      <c r="AF6274" s="37"/>
    </row>
    <row r="6275" spans="1:32" x14ac:dyDescent="0.25">
      <c r="A6275" s="37"/>
      <c r="B6275" s="37"/>
      <c r="C6275" s="37"/>
      <c r="F6275" s="38"/>
      <c r="G6275" s="38"/>
      <c r="H6275" s="38"/>
      <c r="I6275" s="37"/>
      <c r="J6275" s="38"/>
      <c r="K6275" s="38"/>
      <c r="L6275" s="42"/>
      <c r="M6275" s="42"/>
      <c r="N6275" s="42"/>
      <c r="O6275" s="42"/>
      <c r="R6275" s="37"/>
      <c r="S6275" s="37"/>
      <c r="T6275" s="91"/>
      <c r="U6275" s="91"/>
      <c r="V6275" s="41"/>
      <c r="W6275" s="37"/>
      <c r="X6275" s="37"/>
      <c r="Y6275" s="43"/>
      <c r="Z6275" s="37"/>
      <c r="AA6275" s="37"/>
      <c r="AD6275" s="37"/>
      <c r="AE6275" s="37"/>
      <c r="AF6275" s="37"/>
    </row>
    <row r="6276" spans="1:32" x14ac:dyDescent="0.25">
      <c r="A6276" s="37"/>
      <c r="B6276" s="37"/>
      <c r="C6276" s="37"/>
      <c r="F6276" s="38"/>
      <c r="G6276" s="38"/>
      <c r="H6276" s="38"/>
      <c r="I6276" s="37"/>
      <c r="J6276" s="38"/>
      <c r="K6276" s="38"/>
      <c r="L6276" s="42"/>
      <c r="M6276" s="42"/>
      <c r="N6276" s="42"/>
      <c r="O6276" s="42"/>
      <c r="R6276" s="37"/>
      <c r="S6276" s="37"/>
      <c r="T6276" s="91"/>
      <c r="U6276" s="91"/>
      <c r="V6276" s="41"/>
      <c r="W6276" s="37"/>
      <c r="X6276" s="37"/>
      <c r="Y6276" s="43"/>
      <c r="Z6276" s="37"/>
      <c r="AA6276" s="37"/>
      <c r="AD6276" s="37"/>
      <c r="AE6276" s="37"/>
      <c r="AF6276" s="37"/>
    </row>
    <row r="6277" spans="1:32" x14ac:dyDescent="0.25">
      <c r="A6277" s="37"/>
      <c r="B6277" s="37"/>
      <c r="C6277" s="37"/>
      <c r="F6277" s="38"/>
      <c r="G6277" s="38"/>
      <c r="H6277" s="38"/>
      <c r="I6277" s="37"/>
      <c r="J6277" s="38"/>
      <c r="K6277" s="38"/>
      <c r="L6277" s="42"/>
      <c r="M6277" s="42"/>
      <c r="N6277" s="42"/>
      <c r="O6277" s="42"/>
      <c r="R6277" s="37"/>
      <c r="S6277" s="37"/>
      <c r="T6277" s="91"/>
      <c r="U6277" s="91"/>
      <c r="V6277" s="41"/>
      <c r="W6277" s="37"/>
      <c r="X6277" s="37"/>
      <c r="Y6277" s="43"/>
      <c r="Z6277" s="37"/>
      <c r="AA6277" s="37"/>
      <c r="AD6277" s="37"/>
      <c r="AE6277" s="37"/>
      <c r="AF6277" s="37"/>
    </row>
    <row r="6278" spans="1:32" x14ac:dyDescent="0.25">
      <c r="A6278" s="37"/>
      <c r="B6278" s="37"/>
      <c r="C6278" s="37"/>
      <c r="F6278" s="38"/>
      <c r="G6278" s="38"/>
      <c r="H6278" s="38"/>
      <c r="I6278" s="37"/>
      <c r="J6278" s="38"/>
      <c r="K6278" s="38"/>
      <c r="L6278" s="42"/>
      <c r="M6278" s="42"/>
      <c r="N6278" s="42"/>
      <c r="O6278" s="42"/>
      <c r="R6278" s="37"/>
      <c r="S6278" s="37"/>
      <c r="T6278" s="91"/>
      <c r="U6278" s="91"/>
      <c r="V6278" s="41"/>
      <c r="W6278" s="37"/>
      <c r="X6278" s="37"/>
      <c r="Y6278" s="43"/>
      <c r="Z6278" s="37"/>
      <c r="AA6278" s="37"/>
      <c r="AD6278" s="37"/>
      <c r="AE6278" s="37"/>
      <c r="AF6278" s="37"/>
    </row>
    <row r="6279" spans="1:32" x14ac:dyDescent="0.25">
      <c r="A6279" s="37"/>
      <c r="B6279" s="37"/>
      <c r="C6279" s="37"/>
      <c r="F6279" s="38"/>
      <c r="G6279" s="38"/>
      <c r="H6279" s="38"/>
      <c r="I6279" s="37"/>
      <c r="J6279" s="38"/>
      <c r="K6279" s="38"/>
      <c r="L6279" s="42"/>
      <c r="M6279" s="42"/>
      <c r="N6279" s="42"/>
      <c r="O6279" s="42"/>
      <c r="R6279" s="37"/>
      <c r="S6279" s="37"/>
      <c r="T6279" s="91"/>
      <c r="U6279" s="91"/>
      <c r="V6279" s="41"/>
      <c r="W6279" s="37"/>
      <c r="X6279" s="37"/>
      <c r="Y6279" s="43"/>
      <c r="Z6279" s="37"/>
      <c r="AA6279" s="37"/>
      <c r="AD6279" s="37"/>
      <c r="AE6279" s="37"/>
      <c r="AF6279" s="37"/>
    </row>
    <row r="6280" spans="1:32" x14ac:dyDescent="0.25">
      <c r="A6280" s="37"/>
      <c r="B6280" s="37"/>
      <c r="C6280" s="37"/>
      <c r="F6280" s="38"/>
      <c r="G6280" s="38"/>
      <c r="H6280" s="38"/>
      <c r="I6280" s="37"/>
      <c r="J6280" s="38"/>
      <c r="K6280" s="38"/>
      <c r="L6280" s="42"/>
      <c r="M6280" s="42"/>
      <c r="N6280" s="42"/>
      <c r="O6280" s="42"/>
      <c r="R6280" s="37"/>
      <c r="S6280" s="37"/>
      <c r="T6280" s="91"/>
      <c r="U6280" s="91"/>
      <c r="V6280" s="41"/>
      <c r="W6280" s="37"/>
      <c r="X6280" s="37"/>
      <c r="Y6280" s="43"/>
      <c r="Z6280" s="37"/>
      <c r="AA6280" s="37"/>
      <c r="AD6280" s="37"/>
      <c r="AE6280" s="37"/>
      <c r="AF6280" s="37"/>
    </row>
    <row r="6281" spans="1:32" x14ac:dyDescent="0.25">
      <c r="A6281" s="37"/>
      <c r="B6281" s="37"/>
      <c r="C6281" s="37"/>
      <c r="F6281" s="38"/>
      <c r="G6281" s="38"/>
      <c r="H6281" s="38"/>
      <c r="I6281" s="37"/>
      <c r="J6281" s="38"/>
      <c r="K6281" s="38"/>
      <c r="L6281" s="42"/>
      <c r="M6281" s="42"/>
      <c r="N6281" s="42"/>
      <c r="O6281" s="42"/>
      <c r="R6281" s="37"/>
      <c r="S6281" s="37"/>
      <c r="T6281" s="91"/>
      <c r="U6281" s="91"/>
      <c r="V6281" s="41"/>
      <c r="W6281" s="37"/>
      <c r="X6281" s="37"/>
      <c r="Y6281" s="43"/>
      <c r="Z6281" s="37"/>
      <c r="AA6281" s="37"/>
      <c r="AD6281" s="37"/>
      <c r="AE6281" s="37"/>
      <c r="AF6281" s="37"/>
    </row>
    <row r="6282" spans="1:32" x14ac:dyDescent="0.25">
      <c r="A6282" s="37"/>
      <c r="B6282" s="37"/>
      <c r="C6282" s="37"/>
      <c r="F6282" s="38"/>
      <c r="G6282" s="38"/>
      <c r="H6282" s="38"/>
      <c r="I6282" s="37"/>
      <c r="J6282" s="38"/>
      <c r="K6282" s="38"/>
      <c r="L6282" s="42"/>
      <c r="M6282" s="42"/>
      <c r="N6282" s="42"/>
      <c r="O6282" s="42"/>
      <c r="R6282" s="37"/>
      <c r="S6282" s="37"/>
      <c r="T6282" s="91"/>
      <c r="U6282" s="91"/>
      <c r="V6282" s="41"/>
      <c r="W6282" s="37"/>
      <c r="X6282" s="37"/>
      <c r="Y6282" s="43"/>
      <c r="Z6282" s="37"/>
      <c r="AA6282" s="37"/>
      <c r="AD6282" s="37"/>
      <c r="AE6282" s="37"/>
      <c r="AF6282" s="37"/>
    </row>
    <row r="6283" spans="1:32" x14ac:dyDescent="0.25">
      <c r="A6283" s="37"/>
      <c r="B6283" s="37"/>
      <c r="C6283" s="37"/>
      <c r="F6283" s="38"/>
      <c r="G6283" s="38"/>
      <c r="H6283" s="38"/>
      <c r="I6283" s="37"/>
      <c r="J6283" s="38"/>
      <c r="K6283" s="38"/>
      <c r="L6283" s="42"/>
      <c r="M6283" s="42"/>
      <c r="N6283" s="42"/>
      <c r="O6283" s="42"/>
      <c r="R6283" s="37"/>
      <c r="S6283" s="37"/>
      <c r="T6283" s="91"/>
      <c r="U6283" s="91"/>
      <c r="V6283" s="41"/>
      <c r="W6283" s="37"/>
      <c r="X6283" s="37"/>
      <c r="Y6283" s="43"/>
      <c r="Z6283" s="37"/>
      <c r="AA6283" s="37"/>
      <c r="AD6283" s="37"/>
      <c r="AE6283" s="37"/>
      <c r="AF6283" s="37"/>
    </row>
    <row r="6284" spans="1:32" x14ac:dyDescent="0.25">
      <c r="A6284" s="37"/>
      <c r="B6284" s="37"/>
      <c r="C6284" s="37"/>
      <c r="F6284" s="38"/>
      <c r="G6284" s="38"/>
      <c r="H6284" s="38"/>
      <c r="I6284" s="37"/>
      <c r="J6284" s="38"/>
      <c r="K6284" s="38"/>
      <c r="L6284" s="42"/>
      <c r="M6284" s="42"/>
      <c r="N6284" s="42"/>
      <c r="O6284" s="42"/>
      <c r="R6284" s="37"/>
      <c r="S6284" s="37"/>
      <c r="T6284" s="91"/>
      <c r="U6284" s="91"/>
      <c r="V6284" s="41"/>
      <c r="W6284" s="37"/>
      <c r="X6284" s="37"/>
      <c r="Y6284" s="43"/>
      <c r="Z6284" s="37"/>
      <c r="AA6284" s="37"/>
      <c r="AD6284" s="37"/>
      <c r="AE6284" s="37"/>
      <c r="AF6284" s="37"/>
    </row>
    <row r="6285" spans="1:32" x14ac:dyDescent="0.25">
      <c r="A6285" s="37"/>
      <c r="B6285" s="37"/>
      <c r="C6285" s="37"/>
      <c r="F6285" s="38"/>
      <c r="G6285" s="38"/>
      <c r="H6285" s="38"/>
      <c r="I6285" s="37"/>
      <c r="J6285" s="38"/>
      <c r="K6285" s="38"/>
      <c r="L6285" s="42"/>
      <c r="M6285" s="42"/>
      <c r="N6285" s="42"/>
      <c r="O6285" s="42"/>
      <c r="R6285" s="37"/>
      <c r="S6285" s="37"/>
      <c r="T6285" s="91"/>
      <c r="U6285" s="91"/>
      <c r="V6285" s="41"/>
      <c r="W6285" s="37"/>
      <c r="X6285" s="37"/>
      <c r="Y6285" s="43"/>
      <c r="Z6285" s="37"/>
      <c r="AA6285" s="37"/>
      <c r="AD6285" s="37"/>
      <c r="AE6285" s="37"/>
      <c r="AF6285" s="37"/>
    </row>
    <row r="6286" spans="1:32" x14ac:dyDescent="0.25">
      <c r="A6286" s="37"/>
      <c r="B6286" s="37"/>
      <c r="C6286" s="37"/>
      <c r="F6286" s="38"/>
      <c r="G6286" s="38"/>
      <c r="H6286" s="38"/>
      <c r="I6286" s="37"/>
      <c r="J6286" s="38"/>
      <c r="K6286" s="38"/>
      <c r="L6286" s="42"/>
      <c r="M6286" s="42"/>
      <c r="N6286" s="42"/>
      <c r="O6286" s="42"/>
      <c r="R6286" s="37"/>
      <c r="S6286" s="37"/>
      <c r="T6286" s="91"/>
      <c r="U6286" s="91"/>
      <c r="V6286" s="41"/>
      <c r="W6286" s="37"/>
      <c r="X6286" s="37"/>
      <c r="Y6286" s="43"/>
      <c r="Z6286" s="37"/>
      <c r="AA6286" s="37"/>
      <c r="AD6286" s="37"/>
      <c r="AE6286" s="37"/>
      <c r="AF6286" s="37"/>
    </row>
    <row r="6287" spans="1:32" x14ac:dyDescent="0.25">
      <c r="A6287" s="37"/>
      <c r="B6287" s="37"/>
      <c r="C6287" s="37"/>
      <c r="F6287" s="38"/>
      <c r="G6287" s="38"/>
      <c r="H6287" s="38"/>
      <c r="I6287" s="37"/>
      <c r="J6287" s="38"/>
      <c r="K6287" s="38"/>
      <c r="L6287" s="42"/>
      <c r="M6287" s="42"/>
      <c r="N6287" s="42"/>
      <c r="O6287" s="42"/>
      <c r="R6287" s="37"/>
      <c r="S6287" s="37"/>
      <c r="T6287" s="91"/>
      <c r="U6287" s="91"/>
      <c r="V6287" s="41"/>
      <c r="W6287" s="37"/>
      <c r="X6287" s="37"/>
      <c r="Y6287" s="43"/>
      <c r="Z6287" s="37"/>
      <c r="AA6287" s="37"/>
      <c r="AD6287" s="37"/>
      <c r="AE6287" s="37"/>
      <c r="AF6287" s="37"/>
    </row>
    <row r="6288" spans="1:32" x14ac:dyDescent="0.25">
      <c r="A6288" s="37"/>
      <c r="B6288" s="37"/>
      <c r="C6288" s="37"/>
      <c r="F6288" s="38"/>
      <c r="G6288" s="38"/>
      <c r="H6288" s="38"/>
      <c r="I6288" s="37"/>
      <c r="J6288" s="38"/>
      <c r="K6288" s="38"/>
      <c r="L6288" s="42"/>
      <c r="M6288" s="42"/>
      <c r="N6288" s="42"/>
      <c r="O6288" s="42"/>
      <c r="R6288" s="37"/>
      <c r="S6288" s="37"/>
      <c r="T6288" s="91"/>
      <c r="U6288" s="91"/>
      <c r="V6288" s="41"/>
      <c r="W6288" s="37"/>
      <c r="X6288" s="37"/>
      <c r="Y6288" s="43"/>
      <c r="Z6288" s="37"/>
      <c r="AA6288" s="37"/>
      <c r="AD6288" s="37"/>
      <c r="AE6288" s="37"/>
      <c r="AF6288" s="37"/>
    </row>
    <row r="6289" spans="1:32" x14ac:dyDescent="0.25">
      <c r="A6289" s="37"/>
      <c r="B6289" s="37"/>
      <c r="C6289" s="37"/>
      <c r="F6289" s="38"/>
      <c r="G6289" s="38"/>
      <c r="H6289" s="38"/>
      <c r="I6289" s="37"/>
      <c r="J6289" s="38"/>
      <c r="K6289" s="38"/>
      <c r="L6289" s="42"/>
      <c r="M6289" s="42"/>
      <c r="N6289" s="42"/>
      <c r="O6289" s="42"/>
      <c r="R6289" s="37"/>
      <c r="S6289" s="37"/>
      <c r="T6289" s="91"/>
      <c r="U6289" s="91"/>
      <c r="V6289" s="41"/>
      <c r="W6289" s="37"/>
      <c r="X6289" s="37"/>
      <c r="Y6289" s="43"/>
      <c r="Z6289" s="37"/>
      <c r="AA6289" s="37"/>
      <c r="AD6289" s="37"/>
      <c r="AE6289" s="37"/>
      <c r="AF6289" s="37"/>
    </row>
    <row r="6290" spans="1:32" x14ac:dyDescent="0.25">
      <c r="A6290" s="37"/>
      <c r="B6290" s="37"/>
      <c r="C6290" s="37"/>
      <c r="F6290" s="38"/>
      <c r="G6290" s="38"/>
      <c r="H6290" s="38"/>
      <c r="I6290" s="37"/>
      <c r="J6290" s="38"/>
      <c r="K6290" s="38"/>
      <c r="L6290" s="42"/>
      <c r="M6290" s="42"/>
      <c r="N6290" s="42"/>
      <c r="O6290" s="42"/>
      <c r="R6290" s="37"/>
      <c r="S6290" s="37"/>
      <c r="T6290" s="91"/>
      <c r="U6290" s="91"/>
      <c r="V6290" s="41"/>
      <c r="W6290" s="37"/>
      <c r="X6290" s="37"/>
      <c r="Y6290" s="43"/>
      <c r="Z6290" s="37"/>
      <c r="AA6290" s="37"/>
      <c r="AD6290" s="37"/>
      <c r="AE6290" s="37"/>
      <c r="AF6290" s="37"/>
    </row>
    <row r="6291" spans="1:32" x14ac:dyDescent="0.25">
      <c r="A6291" s="37"/>
      <c r="B6291" s="37"/>
      <c r="C6291" s="37"/>
      <c r="F6291" s="38"/>
      <c r="G6291" s="38"/>
      <c r="H6291" s="38"/>
      <c r="I6291" s="37"/>
      <c r="J6291" s="38"/>
      <c r="K6291" s="38"/>
      <c r="L6291" s="42"/>
      <c r="M6291" s="42"/>
      <c r="N6291" s="42"/>
      <c r="O6291" s="42"/>
      <c r="R6291" s="37"/>
      <c r="S6291" s="37"/>
      <c r="T6291" s="91"/>
      <c r="U6291" s="91"/>
      <c r="V6291" s="41"/>
      <c r="W6291" s="37"/>
      <c r="X6291" s="37"/>
      <c r="Y6291" s="43"/>
      <c r="Z6291" s="37"/>
      <c r="AA6291" s="37"/>
      <c r="AD6291" s="37"/>
      <c r="AE6291" s="37"/>
      <c r="AF6291" s="37"/>
    </row>
    <row r="6292" spans="1:32" x14ac:dyDescent="0.25">
      <c r="A6292" s="37"/>
      <c r="B6292" s="37"/>
      <c r="C6292" s="37"/>
      <c r="F6292" s="38"/>
      <c r="G6292" s="38"/>
      <c r="H6292" s="38"/>
      <c r="I6292" s="37"/>
      <c r="J6292" s="38"/>
      <c r="K6292" s="38"/>
      <c r="L6292" s="42"/>
      <c r="M6292" s="42"/>
      <c r="N6292" s="42"/>
      <c r="O6292" s="42"/>
      <c r="R6292" s="37"/>
      <c r="S6292" s="37"/>
      <c r="T6292" s="91"/>
      <c r="U6292" s="91"/>
      <c r="V6292" s="41"/>
      <c r="W6292" s="37"/>
      <c r="X6292" s="37"/>
      <c r="Y6292" s="43"/>
      <c r="Z6292" s="37"/>
      <c r="AA6292" s="37"/>
      <c r="AD6292" s="37"/>
      <c r="AE6292" s="37"/>
      <c r="AF6292" s="37"/>
    </row>
    <row r="6293" spans="1:32" x14ac:dyDescent="0.25">
      <c r="A6293" s="37"/>
      <c r="B6293" s="37"/>
      <c r="C6293" s="37"/>
      <c r="F6293" s="38"/>
      <c r="G6293" s="38"/>
      <c r="H6293" s="38"/>
      <c r="I6293" s="37"/>
      <c r="J6293" s="38"/>
      <c r="K6293" s="38"/>
      <c r="L6293" s="42"/>
      <c r="M6293" s="42"/>
      <c r="N6293" s="42"/>
      <c r="O6293" s="42"/>
      <c r="R6293" s="37"/>
      <c r="S6293" s="37"/>
      <c r="T6293" s="91"/>
      <c r="U6293" s="91"/>
      <c r="V6293" s="41"/>
      <c r="W6293" s="37"/>
      <c r="X6293" s="37"/>
      <c r="Y6293" s="43"/>
      <c r="Z6293" s="37"/>
      <c r="AA6293" s="37"/>
      <c r="AD6293" s="37"/>
      <c r="AE6293" s="37"/>
      <c r="AF6293" s="37"/>
    </row>
    <row r="6294" spans="1:32" x14ac:dyDescent="0.25">
      <c r="A6294" s="37"/>
      <c r="B6294" s="37"/>
      <c r="C6294" s="37"/>
      <c r="F6294" s="38"/>
      <c r="G6294" s="38"/>
      <c r="H6294" s="38"/>
      <c r="I6294" s="37"/>
      <c r="J6294" s="38"/>
      <c r="K6294" s="38"/>
      <c r="L6294" s="42"/>
      <c r="M6294" s="42"/>
      <c r="N6294" s="42"/>
      <c r="O6294" s="42"/>
      <c r="R6294" s="37"/>
      <c r="S6294" s="37"/>
      <c r="T6294" s="91"/>
      <c r="U6294" s="91"/>
      <c r="V6294" s="41"/>
      <c r="W6294" s="37"/>
      <c r="X6294" s="37"/>
      <c r="Y6294" s="43"/>
      <c r="Z6294" s="37"/>
      <c r="AA6294" s="37"/>
      <c r="AD6294" s="37"/>
      <c r="AE6294" s="37"/>
      <c r="AF6294" s="37"/>
    </row>
    <row r="6295" spans="1:32" x14ac:dyDescent="0.25">
      <c r="A6295" s="37"/>
      <c r="B6295" s="37"/>
      <c r="C6295" s="37"/>
      <c r="F6295" s="38"/>
      <c r="G6295" s="38"/>
      <c r="H6295" s="38"/>
      <c r="I6295" s="37"/>
      <c r="J6295" s="38"/>
      <c r="K6295" s="38"/>
      <c r="L6295" s="42"/>
      <c r="M6295" s="42"/>
      <c r="N6295" s="42"/>
      <c r="O6295" s="42"/>
      <c r="R6295" s="37"/>
      <c r="S6295" s="37"/>
      <c r="T6295" s="91"/>
      <c r="U6295" s="91"/>
      <c r="V6295" s="41"/>
      <c r="W6295" s="37"/>
      <c r="X6295" s="37"/>
      <c r="Y6295" s="43"/>
      <c r="Z6295" s="37"/>
      <c r="AA6295" s="37"/>
      <c r="AD6295" s="37"/>
      <c r="AE6295" s="37"/>
      <c r="AF6295" s="37"/>
    </row>
    <row r="6296" spans="1:32" x14ac:dyDescent="0.25">
      <c r="A6296" s="37"/>
      <c r="B6296" s="37"/>
      <c r="C6296" s="37"/>
      <c r="F6296" s="38"/>
      <c r="G6296" s="38"/>
      <c r="H6296" s="38"/>
      <c r="I6296" s="37"/>
      <c r="J6296" s="38"/>
      <c r="K6296" s="38"/>
      <c r="L6296" s="42"/>
      <c r="M6296" s="42"/>
      <c r="N6296" s="42"/>
      <c r="O6296" s="42"/>
      <c r="R6296" s="37"/>
      <c r="S6296" s="37"/>
      <c r="T6296" s="91"/>
      <c r="U6296" s="91"/>
      <c r="V6296" s="41"/>
      <c r="W6296" s="37"/>
      <c r="X6296" s="37"/>
      <c r="Y6296" s="43"/>
      <c r="Z6296" s="37"/>
      <c r="AA6296" s="37"/>
      <c r="AD6296" s="37"/>
      <c r="AE6296" s="37"/>
      <c r="AF6296" s="37"/>
    </row>
    <row r="6297" spans="1:32" x14ac:dyDescent="0.25">
      <c r="A6297" s="37"/>
      <c r="B6297" s="37"/>
      <c r="C6297" s="37"/>
      <c r="F6297" s="38"/>
      <c r="G6297" s="38"/>
      <c r="H6297" s="38"/>
      <c r="I6297" s="37"/>
      <c r="J6297" s="38"/>
      <c r="K6297" s="38"/>
      <c r="L6297" s="42"/>
      <c r="M6297" s="42"/>
      <c r="N6297" s="42"/>
      <c r="O6297" s="42"/>
      <c r="R6297" s="37"/>
      <c r="S6297" s="37"/>
      <c r="T6297" s="91"/>
      <c r="U6297" s="91"/>
      <c r="V6297" s="41"/>
      <c r="W6297" s="37"/>
      <c r="X6297" s="37"/>
      <c r="Y6297" s="43"/>
      <c r="Z6297" s="37"/>
      <c r="AA6297" s="37"/>
      <c r="AD6297" s="37"/>
      <c r="AE6297" s="37"/>
      <c r="AF6297" s="37"/>
    </row>
    <row r="6298" spans="1:32" x14ac:dyDescent="0.25">
      <c r="A6298" s="37"/>
      <c r="B6298" s="37"/>
      <c r="C6298" s="37"/>
      <c r="F6298" s="38"/>
      <c r="G6298" s="38"/>
      <c r="H6298" s="38"/>
      <c r="I6298" s="37"/>
      <c r="J6298" s="38"/>
      <c r="K6298" s="38"/>
      <c r="L6298" s="42"/>
      <c r="M6298" s="42"/>
      <c r="N6298" s="42"/>
      <c r="O6298" s="42"/>
      <c r="R6298" s="37"/>
      <c r="S6298" s="37"/>
      <c r="T6298" s="91"/>
      <c r="U6298" s="91"/>
      <c r="V6298" s="41"/>
      <c r="W6298" s="37"/>
      <c r="X6298" s="37"/>
      <c r="Y6298" s="43"/>
      <c r="Z6298" s="37"/>
      <c r="AA6298" s="37"/>
      <c r="AD6298" s="37"/>
      <c r="AE6298" s="37"/>
      <c r="AF6298" s="37"/>
    </row>
    <row r="6299" spans="1:32" x14ac:dyDescent="0.25">
      <c r="A6299" s="37"/>
      <c r="B6299" s="37"/>
      <c r="C6299" s="37"/>
      <c r="F6299" s="38"/>
      <c r="G6299" s="38"/>
      <c r="H6299" s="38"/>
      <c r="I6299" s="37"/>
      <c r="J6299" s="38"/>
      <c r="K6299" s="38"/>
      <c r="L6299" s="42"/>
      <c r="M6299" s="42"/>
      <c r="N6299" s="42"/>
      <c r="O6299" s="42"/>
      <c r="R6299" s="37"/>
      <c r="S6299" s="37"/>
      <c r="T6299" s="91"/>
      <c r="U6299" s="91"/>
      <c r="V6299" s="41"/>
      <c r="W6299" s="37"/>
      <c r="X6299" s="37"/>
      <c r="Y6299" s="43"/>
      <c r="Z6299" s="37"/>
      <c r="AA6299" s="37"/>
      <c r="AD6299" s="37"/>
      <c r="AE6299" s="37"/>
      <c r="AF6299" s="37"/>
    </row>
    <row r="6300" spans="1:32" x14ac:dyDescent="0.25">
      <c r="A6300" s="37"/>
      <c r="B6300" s="37"/>
      <c r="C6300" s="37"/>
      <c r="F6300" s="38"/>
      <c r="G6300" s="38"/>
      <c r="H6300" s="38"/>
      <c r="I6300" s="37"/>
      <c r="J6300" s="38"/>
      <c r="K6300" s="38"/>
      <c r="L6300" s="42"/>
      <c r="M6300" s="42"/>
      <c r="N6300" s="42"/>
      <c r="O6300" s="42"/>
      <c r="R6300" s="37"/>
      <c r="S6300" s="37"/>
      <c r="T6300" s="91"/>
      <c r="U6300" s="91"/>
      <c r="V6300" s="41"/>
      <c r="W6300" s="37"/>
      <c r="X6300" s="37"/>
      <c r="Y6300" s="43"/>
      <c r="Z6300" s="37"/>
      <c r="AA6300" s="37"/>
      <c r="AD6300" s="37"/>
      <c r="AE6300" s="37"/>
      <c r="AF6300" s="37"/>
    </row>
    <row r="6301" spans="1:32" x14ac:dyDescent="0.25">
      <c r="A6301" s="37"/>
      <c r="B6301" s="37"/>
      <c r="C6301" s="37"/>
      <c r="F6301" s="38"/>
      <c r="G6301" s="38"/>
      <c r="H6301" s="38"/>
      <c r="I6301" s="37"/>
      <c r="J6301" s="38"/>
      <c r="K6301" s="38"/>
      <c r="L6301" s="42"/>
      <c r="M6301" s="42"/>
      <c r="N6301" s="42"/>
      <c r="O6301" s="42"/>
      <c r="R6301" s="37"/>
      <c r="S6301" s="37"/>
      <c r="T6301" s="91"/>
      <c r="U6301" s="91"/>
      <c r="V6301" s="41"/>
      <c r="W6301" s="37"/>
      <c r="X6301" s="37"/>
      <c r="Y6301" s="43"/>
      <c r="Z6301" s="37"/>
      <c r="AA6301" s="37"/>
      <c r="AD6301" s="37"/>
      <c r="AE6301" s="37"/>
      <c r="AF6301" s="37"/>
    </row>
    <row r="6302" spans="1:32" x14ac:dyDescent="0.25">
      <c r="A6302" s="37"/>
      <c r="B6302" s="37"/>
      <c r="C6302" s="37"/>
      <c r="F6302" s="38"/>
      <c r="G6302" s="38"/>
      <c r="H6302" s="38"/>
      <c r="I6302" s="37"/>
      <c r="J6302" s="38"/>
      <c r="K6302" s="38"/>
      <c r="L6302" s="42"/>
      <c r="M6302" s="42"/>
      <c r="N6302" s="42"/>
      <c r="O6302" s="42"/>
      <c r="R6302" s="37"/>
      <c r="S6302" s="37"/>
      <c r="T6302" s="91"/>
      <c r="U6302" s="91"/>
      <c r="V6302" s="41"/>
      <c r="W6302" s="37"/>
      <c r="X6302" s="37"/>
      <c r="Y6302" s="43"/>
      <c r="Z6302" s="37"/>
      <c r="AA6302" s="37"/>
      <c r="AD6302" s="37"/>
      <c r="AE6302" s="37"/>
      <c r="AF6302" s="37"/>
    </row>
    <row r="6303" spans="1:32" x14ac:dyDescent="0.25">
      <c r="A6303" s="37"/>
      <c r="B6303" s="37"/>
      <c r="C6303" s="37"/>
      <c r="F6303" s="38"/>
      <c r="G6303" s="38"/>
      <c r="H6303" s="38"/>
      <c r="I6303" s="37"/>
      <c r="J6303" s="38"/>
      <c r="K6303" s="38"/>
      <c r="L6303" s="42"/>
      <c r="M6303" s="42"/>
      <c r="N6303" s="42"/>
      <c r="O6303" s="42"/>
      <c r="R6303" s="37"/>
      <c r="S6303" s="37"/>
      <c r="T6303" s="91"/>
      <c r="U6303" s="91"/>
      <c r="V6303" s="41"/>
      <c r="W6303" s="37"/>
      <c r="X6303" s="37"/>
      <c r="Y6303" s="43"/>
      <c r="Z6303" s="37"/>
      <c r="AA6303" s="37"/>
      <c r="AD6303" s="37"/>
      <c r="AE6303" s="37"/>
      <c r="AF6303" s="37"/>
    </row>
    <row r="6304" spans="1:32" x14ac:dyDescent="0.25">
      <c r="A6304" s="37"/>
      <c r="B6304" s="37"/>
      <c r="C6304" s="37"/>
      <c r="F6304" s="38"/>
      <c r="G6304" s="38"/>
      <c r="H6304" s="38"/>
      <c r="I6304" s="37"/>
      <c r="J6304" s="38"/>
      <c r="K6304" s="38"/>
      <c r="L6304" s="42"/>
      <c r="M6304" s="42"/>
      <c r="N6304" s="42"/>
      <c r="O6304" s="42"/>
      <c r="R6304" s="37"/>
      <c r="S6304" s="37"/>
      <c r="T6304" s="91"/>
      <c r="U6304" s="91"/>
      <c r="V6304" s="41"/>
      <c r="W6304" s="37"/>
      <c r="X6304" s="37"/>
      <c r="Y6304" s="43"/>
      <c r="Z6304" s="37"/>
      <c r="AA6304" s="37"/>
      <c r="AD6304" s="37"/>
      <c r="AE6304" s="37"/>
      <c r="AF6304" s="37"/>
    </row>
    <row r="6305" spans="1:32" x14ac:dyDescent="0.25">
      <c r="A6305" s="37"/>
      <c r="B6305" s="37"/>
      <c r="C6305" s="37"/>
      <c r="F6305" s="38"/>
      <c r="G6305" s="38"/>
      <c r="H6305" s="38"/>
      <c r="I6305" s="37"/>
      <c r="J6305" s="38"/>
      <c r="K6305" s="38"/>
      <c r="L6305" s="42"/>
      <c r="M6305" s="42"/>
      <c r="N6305" s="42"/>
      <c r="O6305" s="42"/>
      <c r="R6305" s="37"/>
      <c r="S6305" s="37"/>
      <c r="T6305" s="91"/>
      <c r="U6305" s="91"/>
      <c r="V6305" s="41"/>
      <c r="W6305" s="37"/>
      <c r="X6305" s="37"/>
      <c r="Y6305" s="43"/>
      <c r="Z6305" s="37"/>
      <c r="AA6305" s="37"/>
      <c r="AD6305" s="37"/>
      <c r="AE6305" s="37"/>
      <c r="AF6305" s="37"/>
    </row>
    <row r="6306" spans="1:32" x14ac:dyDescent="0.25">
      <c r="A6306" s="37"/>
      <c r="B6306" s="37"/>
      <c r="C6306" s="37"/>
      <c r="F6306" s="38"/>
      <c r="G6306" s="38"/>
      <c r="H6306" s="38"/>
      <c r="I6306" s="37"/>
      <c r="J6306" s="38"/>
      <c r="K6306" s="38"/>
      <c r="L6306" s="42"/>
      <c r="M6306" s="42"/>
      <c r="N6306" s="42"/>
      <c r="O6306" s="42"/>
      <c r="R6306" s="37"/>
      <c r="S6306" s="37"/>
      <c r="T6306" s="91"/>
      <c r="U6306" s="91"/>
      <c r="V6306" s="41"/>
      <c r="W6306" s="37"/>
      <c r="X6306" s="37"/>
      <c r="Y6306" s="43"/>
      <c r="Z6306" s="37"/>
      <c r="AA6306" s="37"/>
      <c r="AD6306" s="37"/>
      <c r="AE6306" s="37"/>
      <c r="AF6306" s="37"/>
    </row>
    <row r="6307" spans="1:32" x14ac:dyDescent="0.25">
      <c r="A6307" s="37"/>
      <c r="B6307" s="37"/>
      <c r="C6307" s="37"/>
      <c r="F6307" s="38"/>
      <c r="G6307" s="38"/>
      <c r="H6307" s="38"/>
      <c r="I6307" s="37"/>
      <c r="J6307" s="38"/>
      <c r="K6307" s="38"/>
      <c r="L6307" s="42"/>
      <c r="M6307" s="42"/>
      <c r="N6307" s="42"/>
      <c r="O6307" s="42"/>
      <c r="R6307" s="37"/>
      <c r="S6307" s="37"/>
      <c r="T6307" s="91"/>
      <c r="U6307" s="91"/>
      <c r="V6307" s="41"/>
      <c r="W6307" s="37"/>
      <c r="X6307" s="37"/>
      <c r="Y6307" s="43"/>
      <c r="Z6307" s="37"/>
      <c r="AA6307" s="37"/>
      <c r="AD6307" s="37"/>
      <c r="AE6307" s="37"/>
      <c r="AF6307" s="37"/>
    </row>
    <row r="6308" spans="1:32" x14ac:dyDescent="0.25">
      <c r="A6308" s="37"/>
      <c r="B6308" s="37"/>
      <c r="C6308" s="37"/>
      <c r="F6308" s="38"/>
      <c r="G6308" s="38"/>
      <c r="H6308" s="38"/>
      <c r="I6308" s="37"/>
      <c r="J6308" s="38"/>
      <c r="K6308" s="38"/>
      <c r="L6308" s="42"/>
      <c r="M6308" s="42"/>
      <c r="N6308" s="42"/>
      <c r="O6308" s="42"/>
      <c r="R6308" s="37"/>
      <c r="S6308" s="37"/>
      <c r="T6308" s="91"/>
      <c r="U6308" s="91"/>
      <c r="V6308" s="41"/>
      <c r="W6308" s="37"/>
      <c r="X6308" s="37"/>
      <c r="Y6308" s="43"/>
      <c r="Z6308" s="37"/>
      <c r="AA6308" s="37"/>
      <c r="AD6308" s="37"/>
      <c r="AE6308" s="37"/>
      <c r="AF6308" s="37"/>
    </row>
    <row r="6309" spans="1:32" x14ac:dyDescent="0.25">
      <c r="A6309" s="37"/>
      <c r="B6309" s="37"/>
      <c r="C6309" s="37"/>
      <c r="F6309" s="38"/>
      <c r="G6309" s="38"/>
      <c r="H6309" s="38"/>
      <c r="I6309" s="37"/>
      <c r="J6309" s="38"/>
      <c r="K6309" s="38"/>
      <c r="L6309" s="42"/>
      <c r="M6309" s="42"/>
      <c r="N6309" s="42"/>
      <c r="O6309" s="42"/>
      <c r="R6309" s="37"/>
      <c r="S6309" s="37"/>
      <c r="T6309" s="91"/>
      <c r="U6309" s="91"/>
      <c r="V6309" s="41"/>
      <c r="W6309" s="37"/>
      <c r="X6309" s="37"/>
      <c r="Y6309" s="43"/>
      <c r="Z6309" s="37"/>
      <c r="AA6309" s="37"/>
      <c r="AD6309" s="37"/>
      <c r="AE6309" s="37"/>
      <c r="AF6309" s="37"/>
    </row>
    <row r="6310" spans="1:32" x14ac:dyDescent="0.25">
      <c r="A6310" s="37"/>
      <c r="B6310" s="37"/>
      <c r="C6310" s="37"/>
      <c r="F6310" s="38"/>
      <c r="G6310" s="38"/>
      <c r="H6310" s="38"/>
      <c r="I6310" s="37"/>
      <c r="J6310" s="38"/>
      <c r="K6310" s="38"/>
      <c r="L6310" s="42"/>
      <c r="M6310" s="42"/>
      <c r="N6310" s="42"/>
      <c r="O6310" s="42"/>
      <c r="R6310" s="37"/>
      <c r="S6310" s="37"/>
      <c r="T6310" s="91"/>
      <c r="U6310" s="91"/>
      <c r="V6310" s="41"/>
      <c r="W6310" s="37"/>
      <c r="X6310" s="37"/>
      <c r="Y6310" s="43"/>
      <c r="Z6310" s="37"/>
      <c r="AA6310" s="37"/>
      <c r="AD6310" s="37"/>
      <c r="AE6310" s="37"/>
      <c r="AF6310" s="37"/>
    </row>
    <row r="6311" spans="1:32" x14ac:dyDescent="0.25">
      <c r="A6311" s="37"/>
      <c r="B6311" s="37"/>
      <c r="C6311" s="37"/>
      <c r="F6311" s="38"/>
      <c r="G6311" s="38"/>
      <c r="H6311" s="38"/>
      <c r="I6311" s="37"/>
      <c r="J6311" s="38"/>
      <c r="K6311" s="38"/>
      <c r="L6311" s="42"/>
      <c r="M6311" s="42"/>
      <c r="N6311" s="42"/>
      <c r="O6311" s="42"/>
      <c r="R6311" s="37"/>
      <c r="S6311" s="37"/>
      <c r="T6311" s="91"/>
      <c r="U6311" s="91"/>
      <c r="V6311" s="41"/>
      <c r="W6311" s="37"/>
      <c r="X6311" s="37"/>
      <c r="Y6311" s="43"/>
      <c r="Z6311" s="37"/>
      <c r="AA6311" s="37"/>
      <c r="AD6311" s="37"/>
      <c r="AE6311" s="37"/>
      <c r="AF6311" s="37"/>
    </row>
    <row r="6312" spans="1:32" x14ac:dyDescent="0.25">
      <c r="A6312" s="37"/>
      <c r="B6312" s="37"/>
      <c r="C6312" s="37"/>
      <c r="F6312" s="38"/>
      <c r="G6312" s="38"/>
      <c r="H6312" s="38"/>
      <c r="I6312" s="37"/>
      <c r="J6312" s="38"/>
      <c r="K6312" s="38"/>
      <c r="L6312" s="42"/>
      <c r="M6312" s="42"/>
      <c r="N6312" s="42"/>
      <c r="O6312" s="42"/>
      <c r="R6312" s="37"/>
      <c r="S6312" s="37"/>
      <c r="T6312" s="91"/>
      <c r="U6312" s="91"/>
      <c r="V6312" s="41"/>
      <c r="W6312" s="37"/>
      <c r="X6312" s="37"/>
      <c r="Y6312" s="43"/>
      <c r="Z6312" s="37"/>
      <c r="AA6312" s="37"/>
      <c r="AD6312" s="37"/>
      <c r="AE6312" s="37"/>
      <c r="AF6312" s="37"/>
    </row>
    <row r="6313" spans="1:32" x14ac:dyDescent="0.25">
      <c r="A6313" s="37"/>
      <c r="B6313" s="37"/>
      <c r="C6313" s="37"/>
      <c r="F6313" s="38"/>
      <c r="G6313" s="38"/>
      <c r="H6313" s="38"/>
      <c r="I6313" s="37"/>
      <c r="J6313" s="38"/>
      <c r="K6313" s="38"/>
      <c r="L6313" s="42"/>
      <c r="M6313" s="42"/>
      <c r="N6313" s="42"/>
      <c r="O6313" s="42"/>
      <c r="R6313" s="37"/>
      <c r="S6313" s="37"/>
      <c r="T6313" s="91"/>
      <c r="U6313" s="91"/>
      <c r="V6313" s="41"/>
      <c r="W6313" s="37"/>
      <c r="X6313" s="37"/>
      <c r="Y6313" s="43"/>
      <c r="Z6313" s="37"/>
      <c r="AA6313" s="37"/>
      <c r="AD6313" s="37"/>
      <c r="AE6313" s="37"/>
      <c r="AF6313" s="37"/>
    </row>
    <row r="6314" spans="1:32" x14ac:dyDescent="0.25">
      <c r="A6314" s="37"/>
      <c r="B6314" s="37"/>
      <c r="C6314" s="37"/>
      <c r="F6314" s="38"/>
      <c r="G6314" s="38"/>
      <c r="H6314" s="38"/>
      <c r="I6314" s="37"/>
      <c r="J6314" s="38"/>
      <c r="K6314" s="38"/>
      <c r="L6314" s="42"/>
      <c r="M6314" s="42"/>
      <c r="N6314" s="42"/>
      <c r="O6314" s="42"/>
      <c r="R6314" s="37"/>
      <c r="S6314" s="37"/>
      <c r="T6314" s="91"/>
      <c r="U6314" s="91"/>
      <c r="V6314" s="41"/>
      <c r="W6314" s="37"/>
      <c r="X6314" s="37"/>
      <c r="Y6314" s="43"/>
      <c r="Z6314" s="37"/>
      <c r="AA6314" s="37"/>
      <c r="AD6314" s="37"/>
      <c r="AE6314" s="37"/>
      <c r="AF6314" s="37"/>
    </row>
    <row r="6315" spans="1:32" x14ac:dyDescent="0.25">
      <c r="A6315" s="37"/>
      <c r="B6315" s="37"/>
      <c r="C6315" s="37"/>
      <c r="F6315" s="38"/>
      <c r="G6315" s="38"/>
      <c r="H6315" s="38"/>
      <c r="I6315" s="37"/>
      <c r="J6315" s="38"/>
      <c r="K6315" s="38"/>
      <c r="L6315" s="42"/>
      <c r="M6315" s="42"/>
      <c r="N6315" s="42"/>
      <c r="O6315" s="42"/>
      <c r="R6315" s="37"/>
      <c r="S6315" s="37"/>
      <c r="T6315" s="91"/>
      <c r="U6315" s="91"/>
      <c r="V6315" s="41"/>
      <c r="W6315" s="37"/>
      <c r="X6315" s="37"/>
      <c r="Y6315" s="43"/>
      <c r="Z6315" s="37"/>
      <c r="AA6315" s="37"/>
      <c r="AD6315" s="37"/>
      <c r="AE6315" s="37"/>
      <c r="AF6315" s="37"/>
    </row>
    <row r="6316" spans="1:32" x14ac:dyDescent="0.25">
      <c r="A6316" s="37"/>
      <c r="B6316" s="37"/>
      <c r="C6316" s="37"/>
      <c r="F6316" s="38"/>
      <c r="G6316" s="38"/>
      <c r="H6316" s="38"/>
      <c r="I6316" s="37"/>
      <c r="J6316" s="38"/>
      <c r="K6316" s="38"/>
      <c r="L6316" s="42"/>
      <c r="M6316" s="42"/>
      <c r="N6316" s="42"/>
      <c r="O6316" s="42"/>
      <c r="R6316" s="37"/>
      <c r="S6316" s="37"/>
      <c r="T6316" s="91"/>
      <c r="U6316" s="91"/>
      <c r="V6316" s="41"/>
      <c r="W6316" s="37"/>
      <c r="X6316" s="37"/>
      <c r="Y6316" s="43"/>
      <c r="Z6316" s="37"/>
      <c r="AA6316" s="37"/>
      <c r="AD6316" s="37"/>
      <c r="AE6316" s="37"/>
      <c r="AF6316" s="37"/>
    </row>
    <row r="6317" spans="1:32" x14ac:dyDescent="0.25">
      <c r="A6317" s="37"/>
      <c r="B6317" s="37"/>
      <c r="C6317" s="37"/>
      <c r="F6317" s="38"/>
      <c r="G6317" s="38"/>
      <c r="H6317" s="38"/>
      <c r="I6317" s="37"/>
      <c r="J6317" s="38"/>
      <c r="K6317" s="38"/>
      <c r="L6317" s="42"/>
      <c r="M6317" s="42"/>
      <c r="N6317" s="42"/>
      <c r="O6317" s="42"/>
      <c r="R6317" s="37"/>
      <c r="S6317" s="37"/>
      <c r="T6317" s="91"/>
      <c r="U6317" s="91"/>
      <c r="V6317" s="41"/>
      <c r="W6317" s="37"/>
      <c r="X6317" s="37"/>
      <c r="Y6317" s="43"/>
      <c r="Z6317" s="37"/>
      <c r="AA6317" s="37"/>
      <c r="AD6317" s="37"/>
      <c r="AE6317" s="37"/>
      <c r="AF6317" s="37"/>
    </row>
    <row r="6318" spans="1:32" x14ac:dyDescent="0.25">
      <c r="A6318" s="37"/>
      <c r="B6318" s="37"/>
      <c r="C6318" s="37"/>
      <c r="F6318" s="38"/>
      <c r="G6318" s="38"/>
      <c r="H6318" s="38"/>
      <c r="I6318" s="37"/>
      <c r="J6318" s="38"/>
      <c r="K6318" s="38"/>
      <c r="L6318" s="42"/>
      <c r="M6318" s="42"/>
      <c r="N6318" s="42"/>
      <c r="O6318" s="42"/>
      <c r="R6318" s="37"/>
      <c r="S6318" s="37"/>
      <c r="T6318" s="91"/>
      <c r="U6318" s="91"/>
      <c r="V6318" s="41"/>
      <c r="W6318" s="37"/>
      <c r="X6318" s="37"/>
      <c r="Y6318" s="43"/>
      <c r="Z6318" s="37"/>
      <c r="AA6318" s="37"/>
      <c r="AD6318" s="37"/>
      <c r="AE6318" s="37"/>
      <c r="AF6318" s="37"/>
    </row>
    <row r="6319" spans="1:32" x14ac:dyDescent="0.25">
      <c r="A6319" s="37"/>
      <c r="B6319" s="37"/>
      <c r="C6319" s="37"/>
      <c r="F6319" s="38"/>
      <c r="G6319" s="38"/>
      <c r="H6319" s="38"/>
      <c r="I6319" s="37"/>
      <c r="J6319" s="38"/>
      <c r="K6319" s="38"/>
      <c r="L6319" s="42"/>
      <c r="M6319" s="42"/>
      <c r="N6319" s="42"/>
      <c r="O6319" s="42"/>
      <c r="R6319" s="37"/>
      <c r="S6319" s="37"/>
      <c r="T6319" s="91"/>
      <c r="U6319" s="91"/>
      <c r="V6319" s="41"/>
      <c r="W6319" s="37"/>
      <c r="X6319" s="37"/>
      <c r="Y6319" s="43"/>
      <c r="Z6319" s="37"/>
      <c r="AA6319" s="37"/>
      <c r="AD6319" s="37"/>
      <c r="AE6319" s="37"/>
      <c r="AF6319" s="37"/>
    </row>
    <row r="6320" spans="1:32" x14ac:dyDescent="0.25">
      <c r="A6320" s="37"/>
      <c r="B6320" s="37"/>
      <c r="C6320" s="37"/>
      <c r="F6320" s="38"/>
      <c r="G6320" s="38"/>
      <c r="H6320" s="38"/>
      <c r="I6320" s="37"/>
      <c r="J6320" s="38"/>
      <c r="K6320" s="38"/>
      <c r="L6320" s="42"/>
      <c r="M6320" s="42"/>
      <c r="N6320" s="42"/>
      <c r="O6320" s="42"/>
      <c r="R6320" s="37"/>
      <c r="S6320" s="37"/>
      <c r="T6320" s="91"/>
      <c r="U6320" s="91"/>
      <c r="V6320" s="41"/>
      <c r="W6320" s="37"/>
      <c r="X6320" s="37"/>
      <c r="Y6320" s="43"/>
      <c r="Z6320" s="37"/>
      <c r="AA6320" s="37"/>
      <c r="AD6320" s="37"/>
      <c r="AE6320" s="37"/>
      <c r="AF6320" s="37"/>
    </row>
    <row r="6321" spans="1:32" x14ac:dyDescent="0.25">
      <c r="A6321" s="37"/>
      <c r="B6321" s="37"/>
      <c r="C6321" s="37"/>
      <c r="F6321" s="38"/>
      <c r="G6321" s="38"/>
      <c r="H6321" s="38"/>
      <c r="I6321" s="37"/>
      <c r="J6321" s="38"/>
      <c r="K6321" s="38"/>
      <c r="L6321" s="42"/>
      <c r="M6321" s="42"/>
      <c r="N6321" s="42"/>
      <c r="O6321" s="42"/>
      <c r="R6321" s="37"/>
      <c r="S6321" s="37"/>
      <c r="T6321" s="91"/>
      <c r="U6321" s="91"/>
      <c r="V6321" s="41"/>
      <c r="W6321" s="37"/>
      <c r="X6321" s="37"/>
      <c r="Y6321" s="43"/>
      <c r="Z6321" s="37"/>
      <c r="AA6321" s="37"/>
      <c r="AD6321" s="37"/>
      <c r="AE6321" s="37"/>
      <c r="AF6321" s="37"/>
    </row>
    <row r="6322" spans="1:32" x14ac:dyDescent="0.25">
      <c r="A6322" s="37"/>
      <c r="B6322" s="37"/>
      <c r="C6322" s="37"/>
      <c r="F6322" s="38"/>
      <c r="G6322" s="38"/>
      <c r="H6322" s="38"/>
      <c r="I6322" s="37"/>
      <c r="J6322" s="38"/>
      <c r="K6322" s="38"/>
      <c r="L6322" s="42"/>
      <c r="M6322" s="42"/>
      <c r="N6322" s="42"/>
      <c r="O6322" s="42"/>
      <c r="R6322" s="37"/>
      <c r="S6322" s="37"/>
      <c r="T6322" s="91"/>
      <c r="U6322" s="91"/>
      <c r="V6322" s="41"/>
      <c r="W6322" s="37"/>
      <c r="X6322" s="37"/>
      <c r="Y6322" s="43"/>
      <c r="Z6322" s="37"/>
      <c r="AA6322" s="37"/>
      <c r="AD6322" s="37"/>
      <c r="AE6322" s="37"/>
      <c r="AF6322" s="37"/>
    </row>
    <row r="6323" spans="1:32" x14ac:dyDescent="0.25">
      <c r="A6323" s="37"/>
      <c r="B6323" s="37"/>
      <c r="C6323" s="37"/>
      <c r="F6323" s="38"/>
      <c r="G6323" s="38"/>
      <c r="H6323" s="38"/>
      <c r="I6323" s="37"/>
      <c r="J6323" s="38"/>
      <c r="K6323" s="38"/>
      <c r="L6323" s="42"/>
      <c r="M6323" s="42"/>
      <c r="N6323" s="42"/>
      <c r="O6323" s="42"/>
      <c r="R6323" s="37"/>
      <c r="S6323" s="37"/>
      <c r="T6323" s="91"/>
      <c r="U6323" s="91"/>
      <c r="V6323" s="41"/>
      <c r="W6323" s="37"/>
      <c r="X6323" s="37"/>
      <c r="Y6323" s="43"/>
      <c r="Z6323" s="37"/>
      <c r="AA6323" s="37"/>
      <c r="AD6323" s="37"/>
      <c r="AE6323" s="37"/>
      <c r="AF6323" s="37"/>
    </row>
    <row r="6324" spans="1:32" x14ac:dyDescent="0.25">
      <c r="A6324" s="37"/>
      <c r="B6324" s="37"/>
      <c r="C6324" s="37"/>
      <c r="F6324" s="38"/>
      <c r="G6324" s="38"/>
      <c r="H6324" s="38"/>
      <c r="I6324" s="37"/>
      <c r="J6324" s="38"/>
      <c r="K6324" s="38"/>
      <c r="L6324" s="42"/>
      <c r="M6324" s="42"/>
      <c r="N6324" s="42"/>
      <c r="O6324" s="42"/>
      <c r="R6324" s="37"/>
      <c r="S6324" s="37"/>
      <c r="T6324" s="91"/>
      <c r="U6324" s="91"/>
      <c r="V6324" s="41"/>
      <c r="W6324" s="37"/>
      <c r="X6324" s="37"/>
      <c r="Y6324" s="43"/>
      <c r="Z6324" s="37"/>
      <c r="AA6324" s="37"/>
      <c r="AD6324" s="37"/>
      <c r="AE6324" s="37"/>
      <c r="AF6324" s="37"/>
    </row>
    <row r="6325" spans="1:32" x14ac:dyDescent="0.25">
      <c r="A6325" s="37"/>
      <c r="B6325" s="37"/>
      <c r="C6325" s="37"/>
      <c r="F6325" s="38"/>
      <c r="G6325" s="38"/>
      <c r="H6325" s="38"/>
      <c r="I6325" s="37"/>
      <c r="J6325" s="38"/>
      <c r="K6325" s="38"/>
      <c r="L6325" s="42"/>
      <c r="M6325" s="42"/>
      <c r="N6325" s="42"/>
      <c r="O6325" s="42"/>
      <c r="R6325" s="37"/>
      <c r="S6325" s="37"/>
      <c r="T6325" s="91"/>
      <c r="U6325" s="91"/>
      <c r="V6325" s="41"/>
      <c r="W6325" s="37"/>
      <c r="X6325" s="37"/>
      <c r="Y6325" s="43"/>
      <c r="Z6325" s="37"/>
      <c r="AA6325" s="37"/>
      <c r="AD6325" s="37"/>
      <c r="AE6325" s="37"/>
      <c r="AF6325" s="37"/>
    </row>
    <row r="6326" spans="1:32" x14ac:dyDescent="0.25">
      <c r="A6326" s="37"/>
      <c r="B6326" s="37"/>
      <c r="C6326" s="37"/>
      <c r="F6326" s="38"/>
      <c r="G6326" s="38"/>
      <c r="H6326" s="38"/>
      <c r="I6326" s="37"/>
      <c r="J6326" s="38"/>
      <c r="K6326" s="38"/>
      <c r="L6326" s="42"/>
      <c r="M6326" s="42"/>
      <c r="N6326" s="42"/>
      <c r="O6326" s="42"/>
      <c r="R6326" s="37"/>
      <c r="S6326" s="37"/>
      <c r="T6326" s="91"/>
      <c r="U6326" s="91"/>
      <c r="V6326" s="41"/>
      <c r="W6326" s="37"/>
      <c r="X6326" s="37"/>
      <c r="Y6326" s="43"/>
      <c r="Z6326" s="37"/>
      <c r="AA6326" s="37"/>
      <c r="AD6326" s="37"/>
      <c r="AE6326" s="37"/>
      <c r="AF6326" s="37"/>
    </row>
    <row r="6327" spans="1:32" x14ac:dyDescent="0.25">
      <c r="A6327" s="37"/>
      <c r="B6327" s="37"/>
      <c r="C6327" s="37"/>
      <c r="F6327" s="38"/>
      <c r="G6327" s="38"/>
      <c r="H6327" s="38"/>
      <c r="I6327" s="37"/>
      <c r="J6327" s="38"/>
      <c r="K6327" s="38"/>
      <c r="L6327" s="42"/>
      <c r="M6327" s="42"/>
      <c r="N6327" s="42"/>
      <c r="O6327" s="42"/>
      <c r="R6327" s="37"/>
      <c r="S6327" s="37"/>
      <c r="T6327" s="91"/>
      <c r="U6327" s="91"/>
      <c r="V6327" s="41"/>
      <c r="W6327" s="37"/>
      <c r="X6327" s="37"/>
      <c r="Y6327" s="43"/>
      <c r="Z6327" s="37"/>
      <c r="AA6327" s="37"/>
      <c r="AD6327" s="37"/>
      <c r="AE6327" s="37"/>
      <c r="AF6327" s="37"/>
    </row>
    <row r="6328" spans="1:32" x14ac:dyDescent="0.25">
      <c r="A6328" s="37"/>
      <c r="B6328" s="37"/>
      <c r="C6328" s="37"/>
      <c r="F6328" s="38"/>
      <c r="G6328" s="38"/>
      <c r="H6328" s="38"/>
      <c r="I6328" s="37"/>
      <c r="J6328" s="38"/>
      <c r="K6328" s="38"/>
      <c r="L6328" s="42"/>
      <c r="M6328" s="42"/>
      <c r="N6328" s="42"/>
      <c r="O6328" s="42"/>
      <c r="R6328" s="37"/>
      <c r="S6328" s="37"/>
      <c r="T6328" s="91"/>
      <c r="U6328" s="91"/>
      <c r="V6328" s="41"/>
      <c r="W6328" s="37"/>
      <c r="X6328" s="37"/>
      <c r="Y6328" s="43"/>
      <c r="Z6328" s="37"/>
      <c r="AA6328" s="37"/>
      <c r="AD6328" s="37"/>
      <c r="AE6328" s="37"/>
      <c r="AF6328" s="37"/>
    </row>
    <row r="6329" spans="1:32" x14ac:dyDescent="0.25">
      <c r="A6329" s="37"/>
      <c r="B6329" s="37"/>
      <c r="C6329" s="37"/>
      <c r="F6329" s="38"/>
      <c r="G6329" s="38"/>
      <c r="H6329" s="38"/>
      <c r="I6329" s="37"/>
      <c r="J6329" s="38"/>
      <c r="K6329" s="38"/>
      <c r="L6329" s="42"/>
      <c r="M6329" s="42"/>
      <c r="N6329" s="42"/>
      <c r="O6329" s="42"/>
      <c r="R6329" s="37"/>
      <c r="S6329" s="37"/>
      <c r="T6329" s="91"/>
      <c r="U6329" s="91"/>
      <c r="V6329" s="41"/>
      <c r="W6329" s="37"/>
      <c r="X6329" s="37"/>
      <c r="Y6329" s="43"/>
      <c r="Z6329" s="37"/>
      <c r="AA6329" s="37"/>
      <c r="AD6329" s="37"/>
      <c r="AE6329" s="37"/>
      <c r="AF6329" s="37"/>
    </row>
    <row r="6330" spans="1:32" x14ac:dyDescent="0.25">
      <c r="A6330" s="37"/>
      <c r="B6330" s="37"/>
      <c r="C6330" s="37"/>
      <c r="F6330" s="38"/>
      <c r="G6330" s="38"/>
      <c r="H6330" s="38"/>
      <c r="I6330" s="37"/>
      <c r="J6330" s="38"/>
      <c r="K6330" s="38"/>
      <c r="L6330" s="42"/>
      <c r="M6330" s="42"/>
      <c r="N6330" s="42"/>
      <c r="O6330" s="42"/>
      <c r="R6330" s="37"/>
      <c r="S6330" s="37"/>
      <c r="T6330" s="91"/>
      <c r="U6330" s="91"/>
      <c r="V6330" s="41"/>
      <c r="W6330" s="37"/>
      <c r="X6330" s="37"/>
      <c r="Y6330" s="43"/>
      <c r="Z6330" s="37"/>
      <c r="AA6330" s="37"/>
      <c r="AD6330" s="37"/>
      <c r="AE6330" s="37"/>
      <c r="AF6330" s="37"/>
    </row>
    <row r="6331" spans="1:32" x14ac:dyDescent="0.25">
      <c r="A6331" s="37"/>
      <c r="B6331" s="37"/>
      <c r="C6331" s="37"/>
      <c r="F6331" s="38"/>
      <c r="G6331" s="38"/>
      <c r="H6331" s="38"/>
      <c r="I6331" s="37"/>
      <c r="J6331" s="38"/>
      <c r="K6331" s="38"/>
      <c r="L6331" s="42"/>
      <c r="M6331" s="42"/>
      <c r="N6331" s="42"/>
      <c r="O6331" s="42"/>
      <c r="R6331" s="37"/>
      <c r="S6331" s="37"/>
      <c r="T6331" s="91"/>
      <c r="U6331" s="91"/>
      <c r="V6331" s="41"/>
      <c r="W6331" s="37"/>
      <c r="X6331" s="37"/>
      <c r="Y6331" s="43"/>
      <c r="Z6331" s="37"/>
      <c r="AA6331" s="37"/>
      <c r="AD6331" s="37"/>
      <c r="AE6331" s="37"/>
      <c r="AF6331" s="37"/>
    </row>
    <row r="6332" spans="1:32" x14ac:dyDescent="0.25">
      <c r="A6332" s="37"/>
      <c r="B6332" s="37"/>
      <c r="C6332" s="37"/>
      <c r="F6332" s="38"/>
      <c r="G6332" s="38"/>
      <c r="H6332" s="38"/>
      <c r="I6332" s="37"/>
      <c r="J6332" s="38"/>
      <c r="K6332" s="38"/>
      <c r="L6332" s="42"/>
      <c r="M6332" s="42"/>
      <c r="N6332" s="42"/>
      <c r="O6332" s="42"/>
      <c r="R6332" s="37"/>
      <c r="S6332" s="37"/>
      <c r="T6332" s="91"/>
      <c r="U6332" s="91"/>
      <c r="V6332" s="41"/>
      <c r="W6332" s="37"/>
      <c r="X6332" s="37"/>
      <c r="Y6332" s="43"/>
      <c r="Z6332" s="37"/>
      <c r="AA6332" s="37"/>
      <c r="AD6332" s="37"/>
      <c r="AE6332" s="37"/>
      <c r="AF6332" s="37"/>
    </row>
    <row r="6333" spans="1:32" x14ac:dyDescent="0.25">
      <c r="A6333" s="37"/>
      <c r="B6333" s="37"/>
      <c r="C6333" s="37"/>
      <c r="F6333" s="38"/>
      <c r="G6333" s="38"/>
      <c r="H6333" s="38"/>
      <c r="I6333" s="37"/>
      <c r="J6333" s="38"/>
      <c r="K6333" s="38"/>
      <c r="L6333" s="42"/>
      <c r="M6333" s="42"/>
      <c r="N6333" s="42"/>
      <c r="O6333" s="42"/>
      <c r="R6333" s="37"/>
      <c r="S6333" s="37"/>
      <c r="T6333" s="91"/>
      <c r="U6333" s="91"/>
      <c r="V6333" s="41"/>
      <c r="W6333" s="37"/>
      <c r="X6333" s="37"/>
      <c r="Y6333" s="43"/>
      <c r="Z6333" s="37"/>
      <c r="AA6333" s="37"/>
      <c r="AD6333" s="37"/>
      <c r="AE6333" s="37"/>
      <c r="AF6333" s="37"/>
    </row>
    <row r="6334" spans="1:32" x14ac:dyDescent="0.25">
      <c r="A6334" s="37"/>
      <c r="B6334" s="37"/>
      <c r="C6334" s="37"/>
      <c r="F6334" s="38"/>
      <c r="G6334" s="38"/>
      <c r="H6334" s="38"/>
      <c r="I6334" s="37"/>
      <c r="J6334" s="38"/>
      <c r="K6334" s="38"/>
      <c r="L6334" s="42"/>
      <c r="M6334" s="42"/>
      <c r="N6334" s="42"/>
      <c r="O6334" s="42"/>
      <c r="R6334" s="37"/>
      <c r="S6334" s="37"/>
      <c r="T6334" s="91"/>
      <c r="U6334" s="91"/>
      <c r="V6334" s="41"/>
      <c r="W6334" s="37"/>
      <c r="X6334" s="37"/>
      <c r="Y6334" s="43"/>
      <c r="Z6334" s="37"/>
      <c r="AA6334" s="37"/>
      <c r="AD6334" s="37"/>
      <c r="AE6334" s="37"/>
      <c r="AF6334" s="37"/>
    </row>
    <row r="6335" spans="1:32" x14ac:dyDescent="0.25">
      <c r="A6335" s="37"/>
      <c r="B6335" s="37"/>
      <c r="C6335" s="37"/>
      <c r="F6335" s="38"/>
      <c r="G6335" s="38"/>
      <c r="H6335" s="38"/>
      <c r="I6335" s="37"/>
      <c r="J6335" s="38"/>
      <c r="K6335" s="38"/>
      <c r="L6335" s="42"/>
      <c r="M6335" s="42"/>
      <c r="N6335" s="42"/>
      <c r="O6335" s="42"/>
      <c r="R6335" s="37"/>
      <c r="S6335" s="37"/>
      <c r="T6335" s="91"/>
      <c r="U6335" s="91"/>
      <c r="V6335" s="41"/>
      <c r="W6335" s="37"/>
      <c r="X6335" s="37"/>
      <c r="Y6335" s="43"/>
      <c r="Z6335" s="37"/>
      <c r="AA6335" s="37"/>
      <c r="AD6335" s="37"/>
      <c r="AE6335" s="37"/>
      <c r="AF6335" s="37"/>
    </row>
    <row r="6336" spans="1:32" x14ac:dyDescent="0.25">
      <c r="A6336" s="37"/>
      <c r="B6336" s="37"/>
      <c r="C6336" s="37"/>
      <c r="F6336" s="38"/>
      <c r="G6336" s="38"/>
      <c r="H6336" s="38"/>
      <c r="I6336" s="37"/>
      <c r="J6336" s="38"/>
      <c r="K6336" s="38"/>
      <c r="L6336" s="42"/>
      <c r="M6336" s="42"/>
      <c r="N6336" s="42"/>
      <c r="O6336" s="42"/>
      <c r="R6336" s="37"/>
      <c r="S6336" s="37"/>
      <c r="T6336" s="91"/>
      <c r="U6336" s="91"/>
      <c r="V6336" s="41"/>
      <c r="W6336" s="37"/>
      <c r="X6336" s="37"/>
      <c r="Y6336" s="43"/>
      <c r="Z6336" s="37"/>
      <c r="AA6336" s="37"/>
      <c r="AD6336" s="37"/>
      <c r="AE6336" s="37"/>
      <c r="AF6336" s="37"/>
    </row>
    <row r="6337" spans="1:32" x14ac:dyDescent="0.25">
      <c r="A6337" s="37"/>
      <c r="B6337" s="37"/>
      <c r="C6337" s="37"/>
      <c r="F6337" s="38"/>
      <c r="G6337" s="38"/>
      <c r="H6337" s="38"/>
      <c r="I6337" s="37"/>
      <c r="J6337" s="38"/>
      <c r="K6337" s="38"/>
      <c r="L6337" s="42"/>
      <c r="M6337" s="42"/>
      <c r="N6337" s="42"/>
      <c r="O6337" s="42"/>
      <c r="R6337" s="37"/>
      <c r="S6337" s="37"/>
      <c r="T6337" s="91"/>
      <c r="U6337" s="91"/>
      <c r="V6337" s="41"/>
      <c r="W6337" s="37"/>
      <c r="X6337" s="37"/>
      <c r="Y6337" s="43"/>
      <c r="Z6337" s="37"/>
      <c r="AA6337" s="37"/>
      <c r="AD6337" s="37"/>
      <c r="AE6337" s="37"/>
      <c r="AF6337" s="37"/>
    </row>
    <row r="6338" spans="1:32" x14ac:dyDescent="0.25">
      <c r="A6338" s="37"/>
      <c r="B6338" s="37"/>
      <c r="C6338" s="37"/>
      <c r="F6338" s="38"/>
      <c r="G6338" s="38"/>
      <c r="H6338" s="38"/>
      <c r="I6338" s="37"/>
      <c r="J6338" s="38"/>
      <c r="K6338" s="38"/>
      <c r="L6338" s="42"/>
      <c r="M6338" s="42"/>
      <c r="N6338" s="42"/>
      <c r="O6338" s="42"/>
      <c r="R6338" s="37"/>
      <c r="S6338" s="37"/>
      <c r="T6338" s="91"/>
      <c r="U6338" s="91"/>
      <c r="V6338" s="41"/>
      <c r="W6338" s="37"/>
      <c r="X6338" s="37"/>
      <c r="Y6338" s="43"/>
      <c r="Z6338" s="37"/>
      <c r="AA6338" s="37"/>
      <c r="AD6338" s="37"/>
      <c r="AE6338" s="37"/>
      <c r="AF6338" s="37"/>
    </row>
    <row r="6339" spans="1:32" x14ac:dyDescent="0.25">
      <c r="A6339" s="37"/>
      <c r="B6339" s="37"/>
      <c r="C6339" s="37"/>
      <c r="F6339" s="38"/>
      <c r="G6339" s="38"/>
      <c r="H6339" s="38"/>
      <c r="I6339" s="37"/>
      <c r="J6339" s="38"/>
      <c r="K6339" s="38"/>
      <c r="L6339" s="42"/>
      <c r="M6339" s="42"/>
      <c r="N6339" s="42"/>
      <c r="O6339" s="42"/>
      <c r="R6339" s="37"/>
      <c r="S6339" s="37"/>
      <c r="T6339" s="91"/>
      <c r="U6339" s="91"/>
      <c r="V6339" s="41"/>
      <c r="W6339" s="37"/>
      <c r="X6339" s="37"/>
      <c r="Y6339" s="43"/>
      <c r="Z6339" s="37"/>
      <c r="AA6339" s="37"/>
      <c r="AD6339" s="37"/>
      <c r="AE6339" s="37"/>
      <c r="AF6339" s="37"/>
    </row>
    <row r="6340" spans="1:32" x14ac:dyDescent="0.25">
      <c r="A6340" s="37"/>
      <c r="B6340" s="37"/>
      <c r="C6340" s="37"/>
      <c r="F6340" s="38"/>
      <c r="G6340" s="38"/>
      <c r="H6340" s="38"/>
      <c r="I6340" s="37"/>
      <c r="J6340" s="38"/>
      <c r="K6340" s="38"/>
      <c r="L6340" s="42"/>
      <c r="M6340" s="42"/>
      <c r="N6340" s="42"/>
      <c r="O6340" s="42"/>
      <c r="R6340" s="37"/>
      <c r="S6340" s="37"/>
      <c r="T6340" s="91"/>
      <c r="U6340" s="91"/>
      <c r="V6340" s="41"/>
      <c r="W6340" s="37"/>
      <c r="X6340" s="37"/>
      <c r="Y6340" s="43"/>
      <c r="Z6340" s="37"/>
      <c r="AA6340" s="37"/>
      <c r="AD6340" s="37"/>
      <c r="AE6340" s="37"/>
      <c r="AF6340" s="37"/>
    </row>
    <row r="6341" spans="1:32" x14ac:dyDescent="0.25">
      <c r="A6341" s="37"/>
      <c r="B6341" s="37"/>
      <c r="C6341" s="37"/>
      <c r="F6341" s="38"/>
      <c r="G6341" s="38"/>
      <c r="H6341" s="38"/>
      <c r="I6341" s="37"/>
      <c r="J6341" s="38"/>
      <c r="K6341" s="38"/>
      <c r="L6341" s="42"/>
      <c r="M6341" s="42"/>
      <c r="N6341" s="42"/>
      <c r="O6341" s="42"/>
      <c r="R6341" s="37"/>
      <c r="S6341" s="37"/>
      <c r="T6341" s="91"/>
      <c r="U6341" s="91"/>
      <c r="V6341" s="41"/>
      <c r="W6341" s="37"/>
      <c r="X6341" s="37"/>
      <c r="Y6341" s="43"/>
      <c r="Z6341" s="37"/>
      <c r="AA6341" s="37"/>
      <c r="AD6341" s="37"/>
      <c r="AE6341" s="37"/>
      <c r="AF6341" s="37"/>
    </row>
    <row r="6342" spans="1:32" x14ac:dyDescent="0.25">
      <c r="A6342" s="37"/>
      <c r="B6342" s="37"/>
      <c r="C6342" s="37"/>
      <c r="F6342" s="38"/>
      <c r="G6342" s="38"/>
      <c r="H6342" s="38"/>
      <c r="I6342" s="37"/>
      <c r="J6342" s="38"/>
      <c r="K6342" s="38"/>
      <c r="L6342" s="42"/>
      <c r="M6342" s="42"/>
      <c r="N6342" s="42"/>
      <c r="O6342" s="42"/>
      <c r="R6342" s="37"/>
      <c r="S6342" s="37"/>
      <c r="T6342" s="91"/>
      <c r="U6342" s="91"/>
      <c r="V6342" s="41"/>
      <c r="W6342" s="37"/>
      <c r="X6342" s="37"/>
      <c r="Y6342" s="43"/>
      <c r="Z6342" s="37"/>
      <c r="AA6342" s="37"/>
      <c r="AD6342" s="37"/>
      <c r="AE6342" s="37"/>
      <c r="AF6342" s="37"/>
    </row>
    <row r="6343" spans="1:32" x14ac:dyDescent="0.25">
      <c r="A6343" s="37"/>
      <c r="B6343" s="37"/>
      <c r="C6343" s="37"/>
      <c r="F6343" s="38"/>
      <c r="G6343" s="38"/>
      <c r="H6343" s="38"/>
      <c r="I6343" s="37"/>
      <c r="J6343" s="38"/>
      <c r="K6343" s="38"/>
      <c r="L6343" s="42"/>
      <c r="M6343" s="42"/>
      <c r="N6343" s="42"/>
      <c r="O6343" s="42"/>
      <c r="R6343" s="37"/>
      <c r="S6343" s="37"/>
      <c r="T6343" s="91"/>
      <c r="U6343" s="91"/>
      <c r="V6343" s="41"/>
      <c r="W6343" s="37"/>
      <c r="X6343" s="37"/>
      <c r="Y6343" s="43"/>
      <c r="Z6343" s="37"/>
      <c r="AA6343" s="37"/>
      <c r="AD6343" s="37"/>
      <c r="AE6343" s="37"/>
      <c r="AF6343" s="37"/>
    </row>
    <row r="6344" spans="1:32" x14ac:dyDescent="0.25">
      <c r="A6344" s="37"/>
      <c r="B6344" s="37"/>
      <c r="C6344" s="37"/>
      <c r="F6344" s="38"/>
      <c r="G6344" s="38"/>
      <c r="H6344" s="38"/>
      <c r="I6344" s="37"/>
      <c r="J6344" s="38"/>
      <c r="K6344" s="38"/>
      <c r="L6344" s="42"/>
      <c r="M6344" s="42"/>
      <c r="N6344" s="42"/>
      <c r="O6344" s="42"/>
      <c r="R6344" s="37"/>
      <c r="S6344" s="37"/>
      <c r="T6344" s="91"/>
      <c r="U6344" s="91"/>
      <c r="V6344" s="41"/>
      <c r="W6344" s="37"/>
      <c r="X6344" s="37"/>
      <c r="Y6344" s="43"/>
      <c r="Z6344" s="37"/>
      <c r="AA6344" s="37"/>
      <c r="AD6344" s="37"/>
      <c r="AE6344" s="37"/>
      <c r="AF6344" s="37"/>
    </row>
    <row r="6345" spans="1:32" x14ac:dyDescent="0.25">
      <c r="A6345" s="37"/>
      <c r="B6345" s="37"/>
      <c r="C6345" s="37"/>
      <c r="F6345" s="38"/>
      <c r="G6345" s="38"/>
      <c r="H6345" s="38"/>
      <c r="I6345" s="37"/>
      <c r="J6345" s="38"/>
      <c r="K6345" s="38"/>
      <c r="L6345" s="42"/>
      <c r="M6345" s="42"/>
      <c r="N6345" s="42"/>
      <c r="O6345" s="42"/>
      <c r="R6345" s="37"/>
      <c r="S6345" s="37"/>
      <c r="T6345" s="91"/>
      <c r="U6345" s="91"/>
      <c r="V6345" s="41"/>
      <c r="W6345" s="37"/>
      <c r="X6345" s="37"/>
      <c r="Y6345" s="43"/>
      <c r="Z6345" s="37"/>
      <c r="AA6345" s="37"/>
      <c r="AD6345" s="37"/>
      <c r="AE6345" s="37"/>
      <c r="AF6345" s="37"/>
    </row>
    <row r="6346" spans="1:32" x14ac:dyDescent="0.25">
      <c r="A6346" s="37"/>
      <c r="B6346" s="37"/>
      <c r="C6346" s="37"/>
      <c r="F6346" s="38"/>
      <c r="G6346" s="38"/>
      <c r="H6346" s="38"/>
      <c r="I6346" s="37"/>
      <c r="J6346" s="38"/>
      <c r="K6346" s="38"/>
      <c r="L6346" s="42"/>
      <c r="M6346" s="42"/>
      <c r="N6346" s="42"/>
      <c r="O6346" s="42"/>
      <c r="R6346" s="37"/>
      <c r="S6346" s="37"/>
      <c r="T6346" s="91"/>
      <c r="U6346" s="91"/>
      <c r="V6346" s="41"/>
      <c r="W6346" s="37"/>
      <c r="X6346" s="37"/>
      <c r="Y6346" s="43"/>
      <c r="Z6346" s="37"/>
      <c r="AA6346" s="37"/>
      <c r="AD6346" s="37"/>
      <c r="AE6346" s="37"/>
      <c r="AF6346" s="37"/>
    </row>
    <row r="6347" spans="1:32" x14ac:dyDescent="0.25">
      <c r="A6347" s="37"/>
      <c r="B6347" s="37"/>
      <c r="C6347" s="37"/>
      <c r="F6347" s="38"/>
      <c r="G6347" s="38"/>
      <c r="H6347" s="38"/>
      <c r="I6347" s="37"/>
      <c r="J6347" s="38"/>
      <c r="K6347" s="38"/>
      <c r="L6347" s="42"/>
      <c r="M6347" s="42"/>
      <c r="N6347" s="42"/>
      <c r="O6347" s="42"/>
      <c r="R6347" s="37"/>
      <c r="S6347" s="37"/>
      <c r="T6347" s="91"/>
      <c r="U6347" s="91"/>
      <c r="V6347" s="41"/>
      <c r="W6347" s="37"/>
      <c r="X6347" s="37"/>
      <c r="Y6347" s="43"/>
      <c r="Z6347" s="37"/>
      <c r="AA6347" s="37"/>
      <c r="AD6347" s="37"/>
      <c r="AE6347" s="37"/>
      <c r="AF6347" s="37"/>
    </row>
    <row r="6348" spans="1:32" x14ac:dyDescent="0.25">
      <c r="A6348" s="37"/>
      <c r="B6348" s="37"/>
      <c r="C6348" s="37"/>
      <c r="F6348" s="38"/>
      <c r="G6348" s="38"/>
      <c r="H6348" s="38"/>
      <c r="I6348" s="37"/>
      <c r="J6348" s="38"/>
      <c r="K6348" s="38"/>
      <c r="L6348" s="42"/>
      <c r="M6348" s="42"/>
      <c r="N6348" s="42"/>
      <c r="O6348" s="42"/>
      <c r="R6348" s="37"/>
      <c r="S6348" s="37"/>
      <c r="T6348" s="91"/>
      <c r="U6348" s="91"/>
      <c r="V6348" s="41"/>
      <c r="W6348" s="37"/>
      <c r="X6348" s="37"/>
      <c r="Y6348" s="43"/>
      <c r="Z6348" s="37"/>
      <c r="AA6348" s="37"/>
      <c r="AD6348" s="37"/>
      <c r="AE6348" s="37"/>
      <c r="AF6348" s="37"/>
    </row>
    <row r="6349" spans="1:32" x14ac:dyDescent="0.25">
      <c r="A6349" s="37"/>
      <c r="B6349" s="37"/>
      <c r="C6349" s="37"/>
      <c r="F6349" s="38"/>
      <c r="G6349" s="38"/>
      <c r="H6349" s="38"/>
      <c r="I6349" s="37"/>
      <c r="J6349" s="38"/>
      <c r="K6349" s="38"/>
      <c r="L6349" s="42"/>
      <c r="M6349" s="42"/>
      <c r="N6349" s="42"/>
      <c r="O6349" s="42"/>
      <c r="R6349" s="37"/>
      <c r="S6349" s="37"/>
      <c r="T6349" s="91"/>
      <c r="U6349" s="91"/>
      <c r="V6349" s="41"/>
      <c r="W6349" s="37"/>
      <c r="X6349" s="37"/>
      <c r="Y6349" s="43"/>
      <c r="Z6349" s="37"/>
      <c r="AA6349" s="37"/>
      <c r="AD6349" s="37"/>
      <c r="AE6349" s="37"/>
      <c r="AF6349" s="37"/>
    </row>
    <row r="6350" spans="1:32" x14ac:dyDescent="0.25">
      <c r="A6350" s="37"/>
      <c r="B6350" s="37"/>
      <c r="C6350" s="37"/>
      <c r="F6350" s="38"/>
      <c r="G6350" s="38"/>
      <c r="H6350" s="38"/>
      <c r="I6350" s="37"/>
      <c r="J6350" s="38"/>
      <c r="K6350" s="38"/>
      <c r="L6350" s="42"/>
      <c r="M6350" s="42"/>
      <c r="N6350" s="42"/>
      <c r="O6350" s="42"/>
      <c r="R6350" s="37"/>
      <c r="S6350" s="37"/>
      <c r="T6350" s="91"/>
      <c r="U6350" s="91"/>
      <c r="V6350" s="41"/>
      <c r="W6350" s="37"/>
      <c r="X6350" s="37"/>
      <c r="Y6350" s="43"/>
      <c r="Z6350" s="37"/>
      <c r="AA6350" s="37"/>
      <c r="AD6350" s="37"/>
      <c r="AE6350" s="37"/>
      <c r="AF6350" s="37"/>
    </row>
    <row r="6351" spans="1:32" x14ac:dyDescent="0.25">
      <c r="A6351" s="37"/>
      <c r="B6351" s="37"/>
      <c r="C6351" s="37"/>
      <c r="F6351" s="38"/>
      <c r="G6351" s="38"/>
      <c r="H6351" s="38"/>
      <c r="I6351" s="37"/>
      <c r="J6351" s="38"/>
      <c r="K6351" s="38"/>
      <c r="L6351" s="42"/>
      <c r="M6351" s="42"/>
      <c r="N6351" s="42"/>
      <c r="O6351" s="42"/>
      <c r="R6351" s="37"/>
      <c r="S6351" s="37"/>
      <c r="T6351" s="91"/>
      <c r="U6351" s="91"/>
      <c r="V6351" s="41"/>
      <c r="W6351" s="37"/>
      <c r="X6351" s="37"/>
      <c r="Y6351" s="43"/>
      <c r="Z6351" s="37"/>
      <c r="AA6351" s="37"/>
      <c r="AD6351" s="37"/>
      <c r="AE6351" s="37"/>
      <c r="AF6351" s="37"/>
    </row>
    <row r="6352" spans="1:32" x14ac:dyDescent="0.25">
      <c r="A6352" s="37"/>
      <c r="B6352" s="37"/>
      <c r="C6352" s="37"/>
      <c r="F6352" s="38"/>
      <c r="G6352" s="38"/>
      <c r="H6352" s="38"/>
      <c r="I6352" s="37"/>
      <c r="J6352" s="38"/>
      <c r="K6352" s="38"/>
      <c r="L6352" s="42"/>
      <c r="M6352" s="42"/>
      <c r="N6352" s="42"/>
      <c r="O6352" s="42"/>
      <c r="R6352" s="37"/>
      <c r="S6352" s="37"/>
      <c r="T6352" s="91"/>
      <c r="U6352" s="91"/>
      <c r="V6352" s="41"/>
      <c r="W6352" s="37"/>
      <c r="X6352" s="37"/>
      <c r="Y6352" s="43"/>
      <c r="Z6352" s="37"/>
      <c r="AA6352" s="37"/>
      <c r="AD6352" s="37"/>
      <c r="AE6352" s="37"/>
      <c r="AF6352" s="37"/>
    </row>
    <row r="6353" spans="1:32" x14ac:dyDescent="0.25">
      <c r="A6353" s="37"/>
      <c r="B6353" s="37"/>
      <c r="C6353" s="37"/>
      <c r="F6353" s="38"/>
      <c r="G6353" s="38"/>
      <c r="H6353" s="38"/>
      <c r="I6353" s="37"/>
      <c r="J6353" s="38"/>
      <c r="K6353" s="38"/>
      <c r="L6353" s="42"/>
      <c r="M6353" s="42"/>
      <c r="N6353" s="42"/>
      <c r="O6353" s="42"/>
      <c r="R6353" s="37"/>
      <c r="S6353" s="37"/>
      <c r="T6353" s="91"/>
      <c r="U6353" s="91"/>
      <c r="V6353" s="41"/>
      <c r="W6353" s="37"/>
      <c r="X6353" s="37"/>
      <c r="Y6353" s="43"/>
      <c r="Z6353" s="37"/>
      <c r="AA6353" s="37"/>
      <c r="AD6353" s="37"/>
      <c r="AE6353" s="37"/>
      <c r="AF6353" s="37"/>
    </row>
    <row r="6354" spans="1:32" x14ac:dyDescent="0.25">
      <c r="A6354" s="37"/>
      <c r="B6354" s="37"/>
      <c r="C6354" s="37"/>
      <c r="F6354" s="38"/>
      <c r="G6354" s="38"/>
      <c r="H6354" s="38"/>
      <c r="I6354" s="37"/>
      <c r="J6354" s="38"/>
      <c r="K6354" s="38"/>
      <c r="L6354" s="42"/>
      <c r="M6354" s="42"/>
      <c r="N6354" s="42"/>
      <c r="O6354" s="42"/>
      <c r="R6354" s="37"/>
      <c r="S6354" s="37"/>
      <c r="T6354" s="91"/>
      <c r="U6354" s="91"/>
      <c r="V6354" s="41"/>
      <c r="W6354" s="37"/>
      <c r="X6354" s="37"/>
      <c r="Y6354" s="43"/>
      <c r="Z6354" s="37"/>
      <c r="AA6354" s="37"/>
      <c r="AD6354" s="37"/>
      <c r="AE6354" s="37"/>
      <c r="AF6354" s="37"/>
    </row>
    <row r="6355" spans="1:32" x14ac:dyDescent="0.25">
      <c r="A6355" s="37"/>
      <c r="B6355" s="37"/>
      <c r="C6355" s="37"/>
      <c r="F6355" s="38"/>
      <c r="G6355" s="38"/>
      <c r="H6355" s="38"/>
      <c r="I6355" s="37"/>
      <c r="J6355" s="38"/>
      <c r="K6355" s="38"/>
      <c r="L6355" s="42"/>
      <c r="M6355" s="42"/>
      <c r="N6355" s="42"/>
      <c r="O6355" s="42"/>
      <c r="R6355" s="37"/>
      <c r="S6355" s="37"/>
      <c r="T6355" s="91"/>
      <c r="U6355" s="91"/>
      <c r="V6355" s="41"/>
      <c r="W6355" s="37"/>
      <c r="X6355" s="37"/>
      <c r="Y6355" s="43"/>
      <c r="Z6355" s="37"/>
      <c r="AA6355" s="37"/>
      <c r="AD6355" s="37"/>
      <c r="AE6355" s="37"/>
      <c r="AF6355" s="37"/>
    </row>
    <row r="6356" spans="1:32" x14ac:dyDescent="0.25">
      <c r="A6356" s="37"/>
      <c r="B6356" s="37"/>
      <c r="C6356" s="37"/>
      <c r="F6356" s="38"/>
      <c r="G6356" s="38"/>
      <c r="H6356" s="38"/>
      <c r="I6356" s="37"/>
      <c r="J6356" s="38"/>
      <c r="K6356" s="38"/>
      <c r="L6356" s="42"/>
      <c r="M6356" s="42"/>
      <c r="N6356" s="42"/>
      <c r="O6356" s="42"/>
      <c r="R6356" s="37"/>
      <c r="S6356" s="37"/>
      <c r="T6356" s="91"/>
      <c r="U6356" s="91"/>
      <c r="V6356" s="41"/>
      <c r="W6356" s="37"/>
      <c r="X6356" s="37"/>
      <c r="Y6356" s="43"/>
      <c r="Z6356" s="37"/>
      <c r="AA6356" s="37"/>
      <c r="AD6356" s="37"/>
      <c r="AE6356" s="37"/>
      <c r="AF6356" s="37"/>
    </row>
    <row r="6357" spans="1:32" x14ac:dyDescent="0.25">
      <c r="A6357" s="37"/>
      <c r="B6357" s="37"/>
      <c r="C6357" s="37"/>
      <c r="F6357" s="38"/>
      <c r="G6357" s="38"/>
      <c r="H6357" s="38"/>
      <c r="I6357" s="37"/>
      <c r="J6357" s="38"/>
      <c r="K6357" s="38"/>
      <c r="L6357" s="42"/>
      <c r="M6357" s="42"/>
      <c r="N6357" s="42"/>
      <c r="O6357" s="42"/>
      <c r="R6357" s="37"/>
      <c r="S6357" s="37"/>
      <c r="T6357" s="91"/>
      <c r="U6357" s="91"/>
      <c r="V6357" s="41"/>
      <c r="W6357" s="37"/>
      <c r="X6357" s="37"/>
      <c r="Y6357" s="43"/>
      <c r="Z6357" s="37"/>
      <c r="AA6357" s="37"/>
      <c r="AD6357" s="37"/>
      <c r="AE6357" s="37"/>
      <c r="AF6357" s="37"/>
    </row>
    <row r="6358" spans="1:32" x14ac:dyDescent="0.25">
      <c r="A6358" s="37"/>
      <c r="B6358" s="37"/>
      <c r="C6358" s="37"/>
      <c r="F6358" s="38"/>
      <c r="G6358" s="38"/>
      <c r="H6358" s="38"/>
      <c r="I6358" s="37"/>
      <c r="J6358" s="38"/>
      <c r="K6358" s="38"/>
      <c r="L6358" s="42"/>
      <c r="M6358" s="42"/>
      <c r="N6358" s="42"/>
      <c r="O6358" s="42"/>
      <c r="R6358" s="37"/>
      <c r="S6358" s="37"/>
      <c r="T6358" s="91"/>
      <c r="U6358" s="91"/>
      <c r="V6358" s="41"/>
      <c r="W6358" s="37"/>
      <c r="X6358" s="37"/>
      <c r="Y6358" s="43"/>
      <c r="Z6358" s="37"/>
      <c r="AA6358" s="37"/>
      <c r="AD6358" s="37"/>
      <c r="AE6358" s="37"/>
      <c r="AF6358" s="37"/>
    </row>
    <row r="6359" spans="1:32" x14ac:dyDescent="0.25">
      <c r="A6359" s="37"/>
      <c r="B6359" s="37"/>
      <c r="C6359" s="37"/>
      <c r="F6359" s="38"/>
      <c r="G6359" s="38"/>
      <c r="H6359" s="38"/>
      <c r="I6359" s="37"/>
      <c r="J6359" s="38"/>
      <c r="K6359" s="38"/>
      <c r="L6359" s="42"/>
      <c r="M6359" s="42"/>
      <c r="N6359" s="42"/>
      <c r="O6359" s="42"/>
      <c r="R6359" s="37"/>
      <c r="S6359" s="37"/>
      <c r="T6359" s="91"/>
      <c r="U6359" s="91"/>
      <c r="V6359" s="41"/>
      <c r="W6359" s="37"/>
      <c r="X6359" s="37"/>
      <c r="Y6359" s="43"/>
      <c r="Z6359" s="37"/>
      <c r="AA6359" s="37"/>
      <c r="AD6359" s="37"/>
      <c r="AE6359" s="37"/>
      <c r="AF6359" s="37"/>
    </row>
    <row r="6360" spans="1:32" x14ac:dyDescent="0.25">
      <c r="A6360" s="37"/>
      <c r="B6360" s="37"/>
      <c r="C6360" s="37"/>
      <c r="F6360" s="38"/>
      <c r="G6360" s="38"/>
      <c r="H6360" s="38"/>
      <c r="I6360" s="37"/>
      <c r="J6360" s="38"/>
      <c r="K6360" s="38"/>
      <c r="L6360" s="42"/>
      <c r="M6360" s="42"/>
      <c r="N6360" s="42"/>
      <c r="O6360" s="42"/>
      <c r="R6360" s="37"/>
      <c r="S6360" s="37"/>
      <c r="T6360" s="91"/>
      <c r="U6360" s="91"/>
      <c r="V6360" s="41"/>
      <c r="W6360" s="37"/>
      <c r="X6360" s="37"/>
      <c r="Y6360" s="43"/>
      <c r="Z6360" s="37"/>
      <c r="AA6360" s="37"/>
      <c r="AD6360" s="37"/>
      <c r="AE6360" s="37"/>
      <c r="AF6360" s="37"/>
    </row>
    <row r="6361" spans="1:32" x14ac:dyDescent="0.25">
      <c r="A6361" s="37"/>
      <c r="B6361" s="37"/>
      <c r="C6361" s="37"/>
      <c r="F6361" s="38"/>
      <c r="G6361" s="38"/>
      <c r="H6361" s="38"/>
      <c r="I6361" s="37"/>
      <c r="J6361" s="38"/>
      <c r="K6361" s="38"/>
      <c r="L6361" s="42"/>
      <c r="M6361" s="42"/>
      <c r="N6361" s="42"/>
      <c r="O6361" s="42"/>
      <c r="R6361" s="37"/>
      <c r="S6361" s="37"/>
      <c r="T6361" s="91"/>
      <c r="U6361" s="91"/>
      <c r="V6361" s="41"/>
      <c r="W6361" s="37"/>
      <c r="X6361" s="37"/>
      <c r="Y6361" s="43"/>
      <c r="Z6361" s="37"/>
      <c r="AA6361" s="37"/>
      <c r="AD6361" s="37"/>
      <c r="AE6361" s="37"/>
      <c r="AF6361" s="37"/>
    </row>
    <row r="6362" spans="1:32" x14ac:dyDescent="0.25">
      <c r="A6362" s="37"/>
      <c r="B6362" s="37"/>
      <c r="C6362" s="37"/>
      <c r="F6362" s="38"/>
      <c r="G6362" s="38"/>
      <c r="H6362" s="38"/>
      <c r="I6362" s="37"/>
      <c r="J6362" s="38"/>
      <c r="K6362" s="38"/>
      <c r="L6362" s="42"/>
      <c r="M6362" s="42"/>
      <c r="N6362" s="42"/>
      <c r="O6362" s="42"/>
      <c r="R6362" s="37"/>
      <c r="S6362" s="37"/>
      <c r="T6362" s="91"/>
      <c r="U6362" s="91"/>
      <c r="V6362" s="41"/>
      <c r="W6362" s="37"/>
      <c r="X6362" s="37"/>
      <c r="Y6362" s="43"/>
      <c r="Z6362" s="37"/>
      <c r="AA6362" s="37"/>
      <c r="AD6362" s="37"/>
      <c r="AE6362" s="37"/>
      <c r="AF6362" s="37"/>
    </row>
    <row r="6363" spans="1:32" x14ac:dyDescent="0.25">
      <c r="A6363" s="37"/>
      <c r="B6363" s="37"/>
      <c r="C6363" s="37"/>
      <c r="F6363" s="38"/>
      <c r="G6363" s="38"/>
      <c r="H6363" s="38"/>
      <c r="I6363" s="37"/>
      <c r="J6363" s="38"/>
      <c r="K6363" s="38"/>
      <c r="L6363" s="42"/>
      <c r="M6363" s="42"/>
      <c r="N6363" s="42"/>
      <c r="O6363" s="42"/>
      <c r="R6363" s="37"/>
      <c r="S6363" s="37"/>
      <c r="T6363" s="91"/>
      <c r="U6363" s="91"/>
      <c r="V6363" s="41"/>
      <c r="W6363" s="37"/>
      <c r="X6363" s="37"/>
      <c r="Y6363" s="43"/>
      <c r="Z6363" s="37"/>
      <c r="AA6363" s="37"/>
      <c r="AD6363" s="37"/>
      <c r="AE6363" s="37"/>
      <c r="AF6363" s="37"/>
    </row>
    <row r="6364" spans="1:32" x14ac:dyDescent="0.25">
      <c r="A6364" s="37"/>
      <c r="B6364" s="37"/>
      <c r="C6364" s="37"/>
      <c r="F6364" s="38"/>
      <c r="G6364" s="38"/>
      <c r="H6364" s="38"/>
      <c r="I6364" s="37"/>
      <c r="J6364" s="38"/>
      <c r="K6364" s="38"/>
      <c r="L6364" s="42"/>
      <c r="M6364" s="42"/>
      <c r="N6364" s="42"/>
      <c r="O6364" s="42"/>
      <c r="R6364" s="37"/>
      <c r="S6364" s="37"/>
      <c r="T6364" s="91"/>
      <c r="U6364" s="91"/>
      <c r="V6364" s="41"/>
      <c r="W6364" s="37"/>
      <c r="X6364" s="37"/>
      <c r="Y6364" s="43"/>
      <c r="Z6364" s="37"/>
      <c r="AA6364" s="37"/>
      <c r="AD6364" s="37"/>
      <c r="AE6364" s="37"/>
      <c r="AF6364" s="37"/>
    </row>
    <row r="6365" spans="1:32" x14ac:dyDescent="0.25">
      <c r="A6365" s="37"/>
      <c r="B6365" s="37"/>
      <c r="C6365" s="37"/>
      <c r="F6365" s="38"/>
      <c r="G6365" s="38"/>
      <c r="H6365" s="38"/>
      <c r="I6365" s="37"/>
      <c r="J6365" s="38"/>
      <c r="K6365" s="38"/>
      <c r="L6365" s="42"/>
      <c r="M6365" s="42"/>
      <c r="N6365" s="42"/>
      <c r="O6365" s="42"/>
      <c r="R6365" s="37"/>
      <c r="S6365" s="37"/>
      <c r="T6365" s="91"/>
      <c r="U6365" s="91"/>
      <c r="V6365" s="41"/>
      <c r="W6365" s="37"/>
      <c r="X6365" s="37"/>
      <c r="Y6365" s="43"/>
      <c r="Z6365" s="37"/>
      <c r="AA6365" s="37"/>
      <c r="AD6365" s="37"/>
      <c r="AE6365" s="37"/>
      <c r="AF6365" s="37"/>
    </row>
    <row r="6366" spans="1:32" x14ac:dyDescent="0.25">
      <c r="A6366" s="37"/>
      <c r="B6366" s="37"/>
      <c r="C6366" s="37"/>
      <c r="F6366" s="38"/>
      <c r="G6366" s="38"/>
      <c r="H6366" s="38"/>
      <c r="I6366" s="37"/>
      <c r="J6366" s="38"/>
      <c r="K6366" s="38"/>
      <c r="L6366" s="42"/>
      <c r="M6366" s="42"/>
      <c r="N6366" s="42"/>
      <c r="O6366" s="42"/>
      <c r="R6366" s="37"/>
      <c r="S6366" s="37"/>
      <c r="T6366" s="91"/>
      <c r="U6366" s="91"/>
      <c r="V6366" s="41"/>
      <c r="W6366" s="37"/>
      <c r="X6366" s="37"/>
      <c r="Y6366" s="43"/>
      <c r="Z6366" s="37"/>
      <c r="AA6366" s="37"/>
      <c r="AD6366" s="37"/>
      <c r="AE6366" s="37"/>
      <c r="AF6366" s="37"/>
    </row>
    <row r="6367" spans="1:32" x14ac:dyDescent="0.25">
      <c r="A6367" s="37"/>
      <c r="B6367" s="37"/>
      <c r="C6367" s="37"/>
      <c r="F6367" s="38"/>
      <c r="G6367" s="38"/>
      <c r="H6367" s="38"/>
      <c r="I6367" s="37"/>
      <c r="J6367" s="38"/>
      <c r="K6367" s="38"/>
      <c r="L6367" s="42"/>
      <c r="M6367" s="42"/>
      <c r="N6367" s="42"/>
      <c r="O6367" s="42"/>
      <c r="R6367" s="37"/>
      <c r="S6367" s="37"/>
      <c r="T6367" s="91"/>
      <c r="U6367" s="91"/>
      <c r="V6367" s="41"/>
      <c r="W6367" s="37"/>
      <c r="X6367" s="37"/>
      <c r="Y6367" s="43"/>
      <c r="Z6367" s="37"/>
      <c r="AA6367" s="37"/>
      <c r="AD6367" s="37"/>
      <c r="AE6367" s="37"/>
      <c r="AF6367" s="37"/>
    </row>
    <row r="6368" spans="1:32" x14ac:dyDescent="0.25">
      <c r="A6368" s="37"/>
      <c r="B6368" s="37"/>
      <c r="C6368" s="37"/>
      <c r="F6368" s="38"/>
      <c r="G6368" s="38"/>
      <c r="H6368" s="38"/>
      <c r="I6368" s="37"/>
      <c r="J6368" s="38"/>
      <c r="K6368" s="38"/>
      <c r="L6368" s="42"/>
      <c r="M6368" s="42"/>
      <c r="N6368" s="42"/>
      <c r="O6368" s="42"/>
      <c r="R6368" s="37"/>
      <c r="S6368" s="37"/>
      <c r="T6368" s="91"/>
      <c r="U6368" s="91"/>
      <c r="V6368" s="41"/>
      <c r="W6368" s="37"/>
      <c r="X6368" s="37"/>
      <c r="Y6368" s="43"/>
      <c r="Z6368" s="37"/>
      <c r="AA6368" s="37"/>
      <c r="AD6368" s="37"/>
      <c r="AE6368" s="37"/>
      <c r="AF6368" s="37"/>
    </row>
    <row r="6369" spans="1:32" x14ac:dyDescent="0.25">
      <c r="A6369" s="37"/>
      <c r="B6369" s="37"/>
      <c r="C6369" s="37"/>
      <c r="F6369" s="38"/>
      <c r="G6369" s="38"/>
      <c r="H6369" s="38"/>
      <c r="I6369" s="37"/>
      <c r="J6369" s="38"/>
      <c r="K6369" s="38"/>
      <c r="L6369" s="42"/>
      <c r="M6369" s="42"/>
      <c r="N6369" s="42"/>
      <c r="O6369" s="42"/>
      <c r="R6369" s="37"/>
      <c r="S6369" s="37"/>
      <c r="T6369" s="91"/>
      <c r="U6369" s="91"/>
      <c r="V6369" s="41"/>
      <c r="W6369" s="37"/>
      <c r="X6369" s="37"/>
      <c r="Y6369" s="43"/>
      <c r="Z6369" s="37"/>
      <c r="AA6369" s="37"/>
      <c r="AD6369" s="37"/>
      <c r="AE6369" s="37"/>
      <c r="AF6369" s="37"/>
    </row>
    <row r="6370" spans="1:32" x14ac:dyDescent="0.25">
      <c r="A6370" s="37"/>
      <c r="B6370" s="37"/>
      <c r="C6370" s="37"/>
      <c r="F6370" s="38"/>
      <c r="G6370" s="38"/>
      <c r="H6370" s="38"/>
      <c r="I6370" s="37"/>
      <c r="J6370" s="38"/>
      <c r="K6370" s="38"/>
      <c r="L6370" s="42"/>
      <c r="M6370" s="42"/>
      <c r="N6370" s="42"/>
      <c r="O6370" s="42"/>
      <c r="R6370" s="37"/>
      <c r="S6370" s="37"/>
      <c r="T6370" s="91"/>
      <c r="U6370" s="91"/>
      <c r="V6370" s="41"/>
      <c r="W6370" s="37"/>
      <c r="X6370" s="37"/>
      <c r="Y6370" s="43"/>
      <c r="Z6370" s="37"/>
      <c r="AA6370" s="37"/>
      <c r="AD6370" s="37"/>
      <c r="AE6370" s="37"/>
      <c r="AF6370" s="37"/>
    </row>
    <row r="6371" spans="1:32" x14ac:dyDescent="0.25">
      <c r="A6371" s="37"/>
      <c r="B6371" s="37"/>
      <c r="C6371" s="37"/>
      <c r="F6371" s="38"/>
      <c r="G6371" s="38"/>
      <c r="H6371" s="38"/>
      <c r="I6371" s="37"/>
      <c r="J6371" s="38"/>
      <c r="K6371" s="38"/>
      <c r="L6371" s="42"/>
      <c r="M6371" s="42"/>
      <c r="N6371" s="42"/>
      <c r="O6371" s="42"/>
      <c r="R6371" s="37"/>
      <c r="S6371" s="37"/>
      <c r="T6371" s="91"/>
      <c r="U6371" s="91"/>
      <c r="V6371" s="41"/>
      <c r="W6371" s="37"/>
      <c r="X6371" s="37"/>
      <c r="Y6371" s="43"/>
      <c r="Z6371" s="37"/>
      <c r="AA6371" s="37"/>
      <c r="AD6371" s="37"/>
      <c r="AE6371" s="37"/>
      <c r="AF6371" s="37"/>
    </row>
    <row r="6372" spans="1:32" x14ac:dyDescent="0.25">
      <c r="A6372" s="37"/>
      <c r="B6372" s="37"/>
      <c r="C6372" s="37"/>
      <c r="F6372" s="38"/>
      <c r="G6372" s="38"/>
      <c r="H6372" s="38"/>
      <c r="I6372" s="37"/>
      <c r="J6372" s="38"/>
      <c r="K6372" s="38"/>
      <c r="L6372" s="42"/>
      <c r="M6372" s="42"/>
      <c r="N6372" s="42"/>
      <c r="O6372" s="42"/>
      <c r="R6372" s="37"/>
      <c r="S6372" s="37"/>
      <c r="T6372" s="91"/>
      <c r="U6372" s="91"/>
      <c r="V6372" s="41"/>
      <c r="W6372" s="37"/>
      <c r="X6372" s="37"/>
      <c r="Y6372" s="43"/>
      <c r="Z6372" s="37"/>
      <c r="AA6372" s="37"/>
      <c r="AD6372" s="37"/>
      <c r="AE6372" s="37"/>
      <c r="AF6372" s="37"/>
    </row>
    <row r="6373" spans="1:32" x14ac:dyDescent="0.25">
      <c r="A6373" s="37"/>
      <c r="B6373" s="37"/>
      <c r="C6373" s="37"/>
      <c r="F6373" s="38"/>
      <c r="G6373" s="38"/>
      <c r="H6373" s="38"/>
      <c r="I6373" s="37"/>
      <c r="J6373" s="38"/>
      <c r="K6373" s="38"/>
      <c r="L6373" s="42"/>
      <c r="M6373" s="42"/>
      <c r="N6373" s="42"/>
      <c r="O6373" s="42"/>
      <c r="R6373" s="37"/>
      <c r="S6373" s="37"/>
      <c r="T6373" s="91"/>
      <c r="U6373" s="91"/>
      <c r="V6373" s="41"/>
      <c r="W6373" s="37"/>
      <c r="X6373" s="37"/>
      <c r="Y6373" s="43"/>
      <c r="Z6373" s="37"/>
      <c r="AA6373" s="37"/>
      <c r="AD6373" s="37"/>
      <c r="AE6373" s="37"/>
      <c r="AF6373" s="37"/>
    </row>
    <row r="6374" spans="1:32" x14ac:dyDescent="0.25">
      <c r="A6374" s="37"/>
      <c r="B6374" s="37"/>
      <c r="C6374" s="37"/>
      <c r="F6374" s="38"/>
      <c r="G6374" s="38"/>
      <c r="H6374" s="38"/>
      <c r="I6374" s="37"/>
      <c r="J6374" s="38"/>
      <c r="K6374" s="38"/>
      <c r="L6374" s="42"/>
      <c r="M6374" s="42"/>
      <c r="N6374" s="42"/>
      <c r="O6374" s="42"/>
      <c r="R6374" s="37"/>
      <c r="S6374" s="37"/>
      <c r="T6374" s="91"/>
      <c r="U6374" s="91"/>
      <c r="V6374" s="41"/>
      <c r="W6374" s="37"/>
      <c r="X6374" s="37"/>
      <c r="Y6374" s="43"/>
      <c r="Z6374" s="37"/>
      <c r="AA6374" s="37"/>
      <c r="AD6374" s="37"/>
      <c r="AE6374" s="37"/>
      <c r="AF6374" s="37"/>
    </row>
    <row r="6375" spans="1:32" x14ac:dyDescent="0.25">
      <c r="A6375" s="37"/>
      <c r="B6375" s="37"/>
      <c r="C6375" s="37"/>
      <c r="F6375" s="38"/>
      <c r="G6375" s="38"/>
      <c r="H6375" s="38"/>
      <c r="I6375" s="37"/>
      <c r="J6375" s="38"/>
      <c r="K6375" s="38"/>
      <c r="L6375" s="42"/>
      <c r="M6375" s="42"/>
      <c r="N6375" s="42"/>
      <c r="O6375" s="42"/>
      <c r="R6375" s="37"/>
      <c r="S6375" s="37"/>
      <c r="T6375" s="91"/>
      <c r="U6375" s="91"/>
      <c r="V6375" s="41"/>
      <c r="W6375" s="37"/>
      <c r="X6375" s="37"/>
      <c r="Y6375" s="43"/>
      <c r="Z6375" s="37"/>
      <c r="AA6375" s="37"/>
      <c r="AD6375" s="37"/>
      <c r="AE6375" s="37"/>
      <c r="AF6375" s="37"/>
    </row>
    <row r="6376" spans="1:32" x14ac:dyDescent="0.25">
      <c r="A6376" s="37"/>
      <c r="B6376" s="37"/>
      <c r="C6376" s="37"/>
      <c r="F6376" s="38"/>
      <c r="G6376" s="38"/>
      <c r="H6376" s="38"/>
      <c r="I6376" s="37"/>
      <c r="J6376" s="38"/>
      <c r="K6376" s="38"/>
      <c r="L6376" s="42"/>
      <c r="M6376" s="42"/>
      <c r="N6376" s="42"/>
      <c r="O6376" s="42"/>
      <c r="R6376" s="37"/>
      <c r="S6376" s="37"/>
      <c r="T6376" s="91"/>
      <c r="U6376" s="91"/>
      <c r="V6376" s="41"/>
      <c r="W6376" s="37"/>
      <c r="X6376" s="37"/>
      <c r="Y6376" s="43"/>
      <c r="Z6376" s="37"/>
      <c r="AA6376" s="37"/>
      <c r="AD6376" s="37"/>
      <c r="AE6376" s="37"/>
      <c r="AF6376" s="37"/>
    </row>
    <row r="6377" spans="1:32" x14ac:dyDescent="0.25">
      <c r="A6377" s="37"/>
      <c r="B6377" s="37"/>
      <c r="C6377" s="37"/>
      <c r="F6377" s="38"/>
      <c r="G6377" s="38"/>
      <c r="H6377" s="38"/>
      <c r="I6377" s="37"/>
      <c r="J6377" s="38"/>
      <c r="K6377" s="38"/>
      <c r="L6377" s="42"/>
      <c r="M6377" s="42"/>
      <c r="N6377" s="42"/>
      <c r="O6377" s="42"/>
      <c r="R6377" s="37"/>
      <c r="S6377" s="37"/>
      <c r="T6377" s="91"/>
      <c r="U6377" s="91"/>
      <c r="V6377" s="41"/>
      <c r="W6377" s="37"/>
      <c r="X6377" s="37"/>
      <c r="Y6377" s="43"/>
      <c r="Z6377" s="37"/>
      <c r="AA6377" s="37"/>
      <c r="AD6377" s="37"/>
      <c r="AE6377" s="37"/>
      <c r="AF6377" s="37"/>
    </row>
    <row r="6378" spans="1:32" x14ac:dyDescent="0.25">
      <c r="A6378" s="37"/>
      <c r="B6378" s="37"/>
      <c r="C6378" s="37"/>
      <c r="F6378" s="38"/>
      <c r="G6378" s="38"/>
      <c r="H6378" s="38"/>
      <c r="I6378" s="37"/>
      <c r="J6378" s="38"/>
      <c r="K6378" s="38"/>
      <c r="L6378" s="42"/>
      <c r="M6378" s="42"/>
      <c r="N6378" s="42"/>
      <c r="O6378" s="42"/>
      <c r="R6378" s="37"/>
      <c r="S6378" s="37"/>
      <c r="T6378" s="91"/>
      <c r="U6378" s="91"/>
      <c r="V6378" s="41"/>
      <c r="W6378" s="37"/>
      <c r="X6378" s="37"/>
      <c r="Y6378" s="43"/>
      <c r="Z6378" s="37"/>
      <c r="AA6378" s="37"/>
      <c r="AD6378" s="37"/>
      <c r="AE6378" s="37"/>
      <c r="AF6378" s="37"/>
    </row>
    <row r="6379" spans="1:32" x14ac:dyDescent="0.25">
      <c r="A6379" s="37"/>
      <c r="B6379" s="37"/>
      <c r="C6379" s="37"/>
      <c r="F6379" s="38"/>
      <c r="G6379" s="38"/>
      <c r="H6379" s="38"/>
      <c r="I6379" s="37"/>
      <c r="J6379" s="38"/>
      <c r="K6379" s="38"/>
      <c r="L6379" s="42"/>
      <c r="M6379" s="42"/>
      <c r="N6379" s="42"/>
      <c r="O6379" s="42"/>
      <c r="R6379" s="37"/>
      <c r="S6379" s="37"/>
      <c r="T6379" s="91"/>
      <c r="U6379" s="91"/>
      <c r="V6379" s="41"/>
      <c r="W6379" s="37"/>
      <c r="X6379" s="37"/>
      <c r="Y6379" s="43"/>
      <c r="Z6379" s="37"/>
      <c r="AA6379" s="37"/>
      <c r="AD6379" s="37"/>
      <c r="AE6379" s="37"/>
      <c r="AF6379" s="37"/>
    </row>
    <row r="6380" spans="1:32" x14ac:dyDescent="0.25">
      <c r="A6380" s="37"/>
      <c r="B6380" s="37"/>
      <c r="C6380" s="37"/>
      <c r="F6380" s="38"/>
      <c r="G6380" s="38"/>
      <c r="H6380" s="38"/>
      <c r="I6380" s="37"/>
      <c r="J6380" s="38"/>
      <c r="K6380" s="38"/>
      <c r="L6380" s="42"/>
      <c r="M6380" s="42"/>
      <c r="N6380" s="42"/>
      <c r="O6380" s="42"/>
      <c r="R6380" s="37"/>
      <c r="S6380" s="37"/>
      <c r="T6380" s="91"/>
      <c r="U6380" s="91"/>
      <c r="V6380" s="41"/>
      <c r="W6380" s="37"/>
      <c r="X6380" s="37"/>
      <c r="Y6380" s="43"/>
      <c r="Z6380" s="37"/>
      <c r="AA6380" s="37"/>
      <c r="AD6380" s="37"/>
      <c r="AE6380" s="37"/>
      <c r="AF6380" s="37"/>
    </row>
    <row r="6381" spans="1:32" x14ac:dyDescent="0.25">
      <c r="A6381" s="37"/>
      <c r="B6381" s="37"/>
      <c r="C6381" s="37"/>
      <c r="F6381" s="38"/>
      <c r="G6381" s="38"/>
      <c r="H6381" s="38"/>
      <c r="I6381" s="37"/>
      <c r="J6381" s="38"/>
      <c r="K6381" s="38"/>
      <c r="L6381" s="42"/>
      <c r="M6381" s="42"/>
      <c r="N6381" s="42"/>
      <c r="O6381" s="42"/>
      <c r="R6381" s="37"/>
      <c r="S6381" s="37"/>
      <c r="T6381" s="91"/>
      <c r="U6381" s="91"/>
      <c r="V6381" s="41"/>
      <c r="W6381" s="37"/>
      <c r="X6381" s="37"/>
      <c r="Y6381" s="43"/>
      <c r="Z6381" s="37"/>
      <c r="AA6381" s="37"/>
      <c r="AD6381" s="37"/>
      <c r="AE6381" s="37"/>
      <c r="AF6381" s="37"/>
    </row>
    <row r="6382" spans="1:32" x14ac:dyDescent="0.25">
      <c r="A6382" s="37"/>
      <c r="B6382" s="37"/>
      <c r="C6382" s="37"/>
      <c r="F6382" s="38"/>
      <c r="G6382" s="38"/>
      <c r="H6382" s="38"/>
      <c r="I6382" s="37"/>
      <c r="J6382" s="38"/>
      <c r="K6382" s="38"/>
      <c r="L6382" s="42"/>
      <c r="M6382" s="42"/>
      <c r="N6382" s="42"/>
      <c r="O6382" s="42"/>
      <c r="R6382" s="37"/>
      <c r="S6382" s="37"/>
      <c r="T6382" s="91"/>
      <c r="U6382" s="91"/>
      <c r="V6382" s="41"/>
      <c r="W6382" s="37"/>
      <c r="X6382" s="37"/>
      <c r="Y6382" s="43"/>
      <c r="Z6382" s="37"/>
      <c r="AA6382" s="37"/>
      <c r="AD6382" s="37"/>
      <c r="AE6382" s="37"/>
      <c r="AF6382" s="37"/>
    </row>
    <row r="6383" spans="1:32" x14ac:dyDescent="0.25">
      <c r="A6383" s="37"/>
      <c r="B6383" s="37"/>
      <c r="C6383" s="37"/>
      <c r="F6383" s="38"/>
      <c r="G6383" s="38"/>
      <c r="H6383" s="38"/>
      <c r="I6383" s="37"/>
      <c r="J6383" s="38"/>
      <c r="K6383" s="38"/>
      <c r="L6383" s="42"/>
      <c r="M6383" s="42"/>
      <c r="N6383" s="42"/>
      <c r="O6383" s="42"/>
      <c r="R6383" s="37"/>
      <c r="S6383" s="37"/>
      <c r="T6383" s="91"/>
      <c r="U6383" s="91"/>
      <c r="V6383" s="41"/>
      <c r="W6383" s="37"/>
      <c r="X6383" s="37"/>
      <c r="Y6383" s="43"/>
      <c r="Z6383" s="37"/>
      <c r="AA6383" s="37"/>
      <c r="AD6383" s="37"/>
      <c r="AE6383" s="37"/>
      <c r="AF6383" s="37"/>
    </row>
    <row r="6384" spans="1:32" x14ac:dyDescent="0.25">
      <c r="A6384" s="37"/>
      <c r="B6384" s="37"/>
      <c r="C6384" s="37"/>
      <c r="F6384" s="38"/>
      <c r="G6384" s="38"/>
      <c r="H6384" s="38"/>
      <c r="I6384" s="37"/>
      <c r="J6384" s="38"/>
      <c r="K6384" s="38"/>
      <c r="L6384" s="42"/>
      <c r="M6384" s="42"/>
      <c r="N6384" s="42"/>
      <c r="O6384" s="42"/>
      <c r="R6384" s="37"/>
      <c r="S6384" s="37"/>
      <c r="T6384" s="91"/>
      <c r="U6384" s="91"/>
      <c r="V6384" s="41"/>
      <c r="W6384" s="37"/>
      <c r="X6384" s="37"/>
      <c r="Y6384" s="43"/>
      <c r="Z6384" s="37"/>
      <c r="AA6384" s="37"/>
      <c r="AD6384" s="37"/>
      <c r="AE6384" s="37"/>
      <c r="AF6384" s="37"/>
    </row>
    <row r="6385" spans="1:32" x14ac:dyDescent="0.25">
      <c r="A6385" s="37"/>
      <c r="B6385" s="37"/>
      <c r="C6385" s="37"/>
      <c r="F6385" s="38"/>
      <c r="G6385" s="38"/>
      <c r="H6385" s="38"/>
      <c r="I6385" s="37"/>
      <c r="J6385" s="38"/>
      <c r="K6385" s="38"/>
      <c r="L6385" s="42"/>
      <c r="M6385" s="42"/>
      <c r="N6385" s="42"/>
      <c r="O6385" s="42"/>
      <c r="R6385" s="37"/>
      <c r="S6385" s="37"/>
      <c r="T6385" s="91"/>
      <c r="U6385" s="91"/>
      <c r="V6385" s="41"/>
      <c r="W6385" s="37"/>
      <c r="X6385" s="37"/>
      <c r="Y6385" s="43"/>
      <c r="Z6385" s="37"/>
      <c r="AA6385" s="37"/>
      <c r="AD6385" s="37"/>
      <c r="AE6385" s="37"/>
      <c r="AF6385" s="37"/>
    </row>
    <row r="6386" spans="1:32" x14ac:dyDescent="0.25">
      <c r="A6386" s="37"/>
      <c r="B6386" s="37"/>
      <c r="C6386" s="37"/>
      <c r="F6386" s="38"/>
      <c r="G6386" s="38"/>
      <c r="H6386" s="38"/>
      <c r="I6386" s="37"/>
      <c r="J6386" s="38"/>
      <c r="K6386" s="38"/>
      <c r="L6386" s="42"/>
      <c r="M6386" s="42"/>
      <c r="N6386" s="42"/>
      <c r="O6386" s="42"/>
      <c r="R6386" s="37"/>
      <c r="S6386" s="37"/>
      <c r="T6386" s="91"/>
      <c r="U6386" s="91"/>
      <c r="V6386" s="41"/>
      <c r="W6386" s="37"/>
      <c r="X6386" s="37"/>
      <c r="Y6386" s="43"/>
      <c r="Z6386" s="37"/>
      <c r="AA6386" s="37"/>
      <c r="AD6386" s="37"/>
      <c r="AE6386" s="37"/>
      <c r="AF6386" s="37"/>
    </row>
    <row r="6387" spans="1:32" x14ac:dyDescent="0.25">
      <c r="A6387" s="37"/>
      <c r="B6387" s="37"/>
      <c r="C6387" s="37"/>
      <c r="F6387" s="38"/>
      <c r="G6387" s="38"/>
      <c r="H6387" s="38"/>
      <c r="I6387" s="37"/>
      <c r="J6387" s="38"/>
      <c r="K6387" s="38"/>
      <c r="L6387" s="42"/>
      <c r="M6387" s="42"/>
      <c r="N6387" s="42"/>
      <c r="O6387" s="42"/>
      <c r="R6387" s="37"/>
      <c r="S6387" s="37"/>
      <c r="T6387" s="91"/>
      <c r="U6387" s="91"/>
      <c r="V6387" s="41"/>
      <c r="W6387" s="37"/>
      <c r="X6387" s="37"/>
      <c r="Y6387" s="43"/>
      <c r="Z6387" s="37"/>
      <c r="AA6387" s="37"/>
      <c r="AD6387" s="37"/>
      <c r="AE6387" s="37"/>
      <c r="AF6387" s="37"/>
    </row>
    <row r="6388" spans="1:32" x14ac:dyDescent="0.25">
      <c r="A6388" s="37"/>
      <c r="B6388" s="37"/>
      <c r="C6388" s="37"/>
      <c r="F6388" s="38"/>
      <c r="G6388" s="38"/>
      <c r="H6388" s="38"/>
      <c r="I6388" s="37"/>
      <c r="J6388" s="38"/>
      <c r="K6388" s="38"/>
      <c r="L6388" s="42"/>
      <c r="M6388" s="42"/>
      <c r="N6388" s="42"/>
      <c r="O6388" s="42"/>
      <c r="R6388" s="37"/>
      <c r="S6388" s="37"/>
      <c r="T6388" s="91"/>
      <c r="U6388" s="91"/>
      <c r="V6388" s="41"/>
      <c r="W6388" s="37"/>
      <c r="X6388" s="37"/>
      <c r="Y6388" s="43"/>
      <c r="Z6388" s="37"/>
      <c r="AA6388" s="37"/>
      <c r="AD6388" s="37"/>
      <c r="AE6388" s="37"/>
      <c r="AF6388" s="37"/>
    </row>
    <row r="6389" spans="1:32" x14ac:dyDescent="0.25">
      <c r="A6389" s="37"/>
      <c r="B6389" s="37"/>
      <c r="C6389" s="37"/>
      <c r="F6389" s="38"/>
      <c r="G6389" s="38"/>
      <c r="H6389" s="38"/>
      <c r="I6389" s="37"/>
      <c r="J6389" s="38"/>
      <c r="K6389" s="38"/>
      <c r="L6389" s="42"/>
      <c r="M6389" s="42"/>
      <c r="N6389" s="42"/>
      <c r="O6389" s="42"/>
      <c r="R6389" s="37"/>
      <c r="S6389" s="37"/>
      <c r="T6389" s="91"/>
      <c r="U6389" s="91"/>
      <c r="V6389" s="41"/>
      <c r="W6389" s="37"/>
      <c r="X6389" s="37"/>
      <c r="Y6389" s="43"/>
      <c r="Z6389" s="37"/>
      <c r="AA6389" s="37"/>
      <c r="AD6389" s="37"/>
      <c r="AE6389" s="37"/>
      <c r="AF6389" s="37"/>
    </row>
    <row r="6390" spans="1:32" x14ac:dyDescent="0.25">
      <c r="A6390" s="37"/>
      <c r="B6390" s="37"/>
      <c r="C6390" s="37"/>
      <c r="F6390" s="38"/>
      <c r="G6390" s="38"/>
      <c r="H6390" s="38"/>
      <c r="I6390" s="37"/>
      <c r="J6390" s="38"/>
      <c r="K6390" s="38"/>
      <c r="L6390" s="42"/>
      <c r="M6390" s="42"/>
      <c r="N6390" s="42"/>
      <c r="O6390" s="42"/>
      <c r="R6390" s="37"/>
      <c r="S6390" s="37"/>
      <c r="T6390" s="91"/>
      <c r="U6390" s="91"/>
      <c r="V6390" s="41"/>
      <c r="W6390" s="37"/>
      <c r="X6390" s="37"/>
      <c r="Y6390" s="43"/>
      <c r="Z6390" s="37"/>
      <c r="AA6390" s="37"/>
      <c r="AD6390" s="37"/>
      <c r="AE6390" s="37"/>
      <c r="AF6390" s="37"/>
    </row>
    <row r="6391" spans="1:32" x14ac:dyDescent="0.25">
      <c r="A6391" s="37"/>
      <c r="B6391" s="37"/>
      <c r="C6391" s="37"/>
      <c r="F6391" s="38"/>
      <c r="G6391" s="38"/>
      <c r="H6391" s="38"/>
      <c r="I6391" s="37"/>
      <c r="J6391" s="38"/>
      <c r="K6391" s="38"/>
      <c r="L6391" s="42"/>
      <c r="M6391" s="42"/>
      <c r="N6391" s="42"/>
      <c r="O6391" s="42"/>
      <c r="R6391" s="37"/>
      <c r="S6391" s="37"/>
      <c r="T6391" s="91"/>
      <c r="U6391" s="91"/>
      <c r="V6391" s="41"/>
      <c r="W6391" s="37"/>
      <c r="X6391" s="37"/>
      <c r="Y6391" s="43"/>
      <c r="Z6391" s="37"/>
      <c r="AA6391" s="37"/>
      <c r="AD6391" s="37"/>
      <c r="AE6391" s="37"/>
      <c r="AF6391" s="37"/>
    </row>
    <row r="6392" spans="1:32" x14ac:dyDescent="0.25">
      <c r="A6392" s="37"/>
      <c r="B6392" s="37"/>
      <c r="C6392" s="37"/>
      <c r="F6392" s="38"/>
      <c r="G6392" s="38"/>
      <c r="H6392" s="38"/>
      <c r="I6392" s="37"/>
      <c r="J6392" s="38"/>
      <c r="K6392" s="38"/>
      <c r="L6392" s="42"/>
      <c r="M6392" s="42"/>
      <c r="N6392" s="42"/>
      <c r="O6392" s="42"/>
      <c r="R6392" s="37"/>
      <c r="S6392" s="37"/>
      <c r="T6392" s="91"/>
      <c r="U6392" s="91"/>
      <c r="V6392" s="41"/>
      <c r="W6392" s="37"/>
      <c r="X6392" s="37"/>
      <c r="Y6392" s="43"/>
      <c r="Z6392" s="37"/>
      <c r="AA6392" s="37"/>
      <c r="AD6392" s="37"/>
      <c r="AE6392" s="37"/>
      <c r="AF6392" s="37"/>
    </row>
    <row r="6393" spans="1:32" x14ac:dyDescent="0.25">
      <c r="A6393" s="37"/>
      <c r="B6393" s="37"/>
      <c r="C6393" s="37"/>
      <c r="F6393" s="38"/>
      <c r="G6393" s="38"/>
      <c r="H6393" s="38"/>
      <c r="I6393" s="37"/>
      <c r="J6393" s="38"/>
      <c r="K6393" s="38"/>
      <c r="L6393" s="42"/>
      <c r="M6393" s="42"/>
      <c r="N6393" s="42"/>
      <c r="O6393" s="42"/>
      <c r="R6393" s="37"/>
      <c r="S6393" s="37"/>
      <c r="T6393" s="91"/>
      <c r="U6393" s="91"/>
      <c r="V6393" s="41"/>
      <c r="W6393" s="37"/>
      <c r="X6393" s="37"/>
      <c r="Y6393" s="43"/>
      <c r="Z6393" s="37"/>
      <c r="AA6393" s="37"/>
      <c r="AD6393" s="37"/>
      <c r="AE6393" s="37"/>
      <c r="AF6393" s="37"/>
    </row>
    <row r="6394" spans="1:32" x14ac:dyDescent="0.25">
      <c r="A6394" s="37"/>
      <c r="B6394" s="37"/>
      <c r="C6394" s="37"/>
      <c r="F6394" s="38"/>
      <c r="G6394" s="38"/>
      <c r="H6394" s="38"/>
      <c r="I6394" s="37"/>
      <c r="J6394" s="38"/>
      <c r="K6394" s="38"/>
      <c r="L6394" s="42"/>
      <c r="M6394" s="42"/>
      <c r="N6394" s="42"/>
      <c r="O6394" s="42"/>
      <c r="R6394" s="37"/>
      <c r="S6394" s="37"/>
      <c r="T6394" s="91"/>
      <c r="U6394" s="91"/>
      <c r="V6394" s="41"/>
      <c r="W6394" s="37"/>
      <c r="X6394" s="37"/>
      <c r="Y6394" s="43"/>
      <c r="Z6394" s="37"/>
      <c r="AA6394" s="37"/>
      <c r="AD6394" s="37"/>
      <c r="AE6394" s="37"/>
      <c r="AF6394" s="37"/>
    </row>
    <row r="6395" spans="1:32" x14ac:dyDescent="0.25">
      <c r="A6395" s="37"/>
      <c r="B6395" s="37"/>
      <c r="C6395" s="37"/>
      <c r="F6395" s="38"/>
      <c r="G6395" s="38"/>
      <c r="H6395" s="38"/>
      <c r="I6395" s="37"/>
      <c r="J6395" s="38"/>
      <c r="K6395" s="38"/>
      <c r="L6395" s="42"/>
      <c r="M6395" s="42"/>
      <c r="N6395" s="42"/>
      <c r="O6395" s="42"/>
      <c r="R6395" s="37"/>
      <c r="S6395" s="37"/>
      <c r="T6395" s="91"/>
      <c r="U6395" s="91"/>
      <c r="V6395" s="41"/>
      <c r="W6395" s="37"/>
      <c r="X6395" s="37"/>
      <c r="Y6395" s="43"/>
      <c r="Z6395" s="37"/>
      <c r="AA6395" s="37"/>
      <c r="AD6395" s="37"/>
      <c r="AE6395" s="37"/>
      <c r="AF6395" s="37"/>
    </row>
    <row r="6396" spans="1:32" x14ac:dyDescent="0.25">
      <c r="A6396" s="37"/>
      <c r="B6396" s="37"/>
      <c r="C6396" s="37"/>
      <c r="F6396" s="38"/>
      <c r="G6396" s="38"/>
      <c r="H6396" s="38"/>
      <c r="I6396" s="37"/>
      <c r="J6396" s="38"/>
      <c r="K6396" s="38"/>
      <c r="L6396" s="42"/>
      <c r="M6396" s="42"/>
      <c r="N6396" s="42"/>
      <c r="O6396" s="42"/>
      <c r="R6396" s="37"/>
      <c r="S6396" s="37"/>
      <c r="T6396" s="91"/>
      <c r="U6396" s="91"/>
      <c r="V6396" s="41"/>
      <c r="W6396" s="37"/>
      <c r="X6396" s="37"/>
      <c r="Y6396" s="43"/>
      <c r="Z6396" s="37"/>
      <c r="AA6396" s="37"/>
      <c r="AD6396" s="37"/>
      <c r="AE6396" s="37"/>
      <c r="AF6396" s="37"/>
    </row>
    <row r="6397" spans="1:32" x14ac:dyDescent="0.25">
      <c r="A6397" s="37"/>
      <c r="B6397" s="37"/>
      <c r="C6397" s="37"/>
      <c r="F6397" s="38"/>
      <c r="G6397" s="38"/>
      <c r="H6397" s="38"/>
      <c r="I6397" s="37"/>
      <c r="J6397" s="38"/>
      <c r="K6397" s="38"/>
      <c r="L6397" s="42"/>
      <c r="M6397" s="42"/>
      <c r="N6397" s="42"/>
      <c r="O6397" s="42"/>
      <c r="R6397" s="37"/>
      <c r="S6397" s="37"/>
      <c r="T6397" s="91"/>
      <c r="U6397" s="91"/>
      <c r="V6397" s="41"/>
      <c r="W6397" s="37"/>
      <c r="X6397" s="37"/>
      <c r="Y6397" s="43"/>
      <c r="Z6397" s="37"/>
      <c r="AA6397" s="37"/>
      <c r="AD6397" s="37"/>
      <c r="AE6397" s="37"/>
      <c r="AF6397" s="37"/>
    </row>
    <row r="6398" spans="1:32" x14ac:dyDescent="0.25">
      <c r="A6398" s="37"/>
      <c r="B6398" s="37"/>
      <c r="C6398" s="37"/>
      <c r="F6398" s="38"/>
      <c r="G6398" s="38"/>
      <c r="H6398" s="38"/>
      <c r="I6398" s="37"/>
      <c r="J6398" s="38"/>
      <c r="K6398" s="38"/>
      <c r="L6398" s="42"/>
      <c r="M6398" s="42"/>
      <c r="N6398" s="42"/>
      <c r="O6398" s="42"/>
      <c r="R6398" s="37"/>
      <c r="S6398" s="37"/>
      <c r="T6398" s="91"/>
      <c r="U6398" s="91"/>
      <c r="V6398" s="41"/>
      <c r="W6398" s="37"/>
      <c r="X6398" s="37"/>
      <c r="Y6398" s="43"/>
      <c r="Z6398" s="37"/>
      <c r="AA6398" s="37"/>
      <c r="AD6398" s="37"/>
      <c r="AE6398" s="37"/>
      <c r="AF6398" s="37"/>
    </row>
    <row r="6399" spans="1:32" x14ac:dyDescent="0.25">
      <c r="A6399" s="37"/>
      <c r="B6399" s="37"/>
      <c r="C6399" s="37"/>
      <c r="F6399" s="38"/>
      <c r="G6399" s="38"/>
      <c r="H6399" s="38"/>
      <c r="I6399" s="37"/>
      <c r="J6399" s="38"/>
      <c r="K6399" s="38"/>
      <c r="L6399" s="42"/>
      <c r="M6399" s="42"/>
      <c r="N6399" s="42"/>
      <c r="O6399" s="42"/>
      <c r="R6399" s="37"/>
      <c r="S6399" s="37"/>
      <c r="T6399" s="91"/>
      <c r="U6399" s="91"/>
      <c r="V6399" s="41"/>
      <c r="W6399" s="37"/>
      <c r="X6399" s="37"/>
      <c r="Y6399" s="43"/>
      <c r="Z6399" s="37"/>
      <c r="AA6399" s="37"/>
      <c r="AD6399" s="37"/>
      <c r="AE6399" s="37"/>
      <c r="AF6399" s="37"/>
    </row>
    <row r="6400" spans="1:32" x14ac:dyDescent="0.25">
      <c r="A6400" s="37"/>
      <c r="B6400" s="37"/>
      <c r="C6400" s="37"/>
      <c r="F6400" s="38"/>
      <c r="G6400" s="38"/>
      <c r="H6400" s="38"/>
      <c r="I6400" s="37"/>
      <c r="J6400" s="38"/>
      <c r="K6400" s="38"/>
      <c r="L6400" s="42"/>
      <c r="M6400" s="42"/>
      <c r="N6400" s="42"/>
      <c r="O6400" s="42"/>
      <c r="R6400" s="37"/>
      <c r="S6400" s="37"/>
      <c r="T6400" s="91"/>
      <c r="U6400" s="91"/>
      <c r="V6400" s="41"/>
      <c r="W6400" s="37"/>
      <c r="X6400" s="37"/>
      <c r="Y6400" s="43"/>
      <c r="Z6400" s="37"/>
      <c r="AA6400" s="37"/>
      <c r="AD6400" s="37"/>
      <c r="AE6400" s="37"/>
      <c r="AF6400" s="37"/>
    </row>
    <row r="6401" spans="1:32" x14ac:dyDescent="0.25">
      <c r="A6401" s="37"/>
      <c r="B6401" s="37"/>
      <c r="C6401" s="37"/>
      <c r="F6401" s="38"/>
      <c r="G6401" s="38"/>
      <c r="H6401" s="38"/>
      <c r="I6401" s="37"/>
      <c r="J6401" s="38"/>
      <c r="K6401" s="38"/>
      <c r="L6401" s="42"/>
      <c r="M6401" s="42"/>
      <c r="N6401" s="42"/>
      <c r="O6401" s="42"/>
      <c r="R6401" s="37"/>
      <c r="S6401" s="37"/>
      <c r="T6401" s="91"/>
      <c r="U6401" s="91"/>
      <c r="V6401" s="41"/>
      <c r="W6401" s="37"/>
      <c r="X6401" s="37"/>
      <c r="Y6401" s="43"/>
      <c r="Z6401" s="37"/>
      <c r="AA6401" s="37"/>
      <c r="AD6401" s="37"/>
      <c r="AE6401" s="37"/>
      <c r="AF6401" s="37"/>
    </row>
    <row r="6402" spans="1:32" x14ac:dyDescent="0.25">
      <c r="A6402" s="37"/>
      <c r="B6402" s="37"/>
      <c r="C6402" s="37"/>
      <c r="F6402" s="38"/>
      <c r="G6402" s="38"/>
      <c r="H6402" s="38"/>
      <c r="I6402" s="37"/>
      <c r="J6402" s="38"/>
      <c r="K6402" s="38"/>
      <c r="L6402" s="42"/>
      <c r="M6402" s="42"/>
      <c r="N6402" s="42"/>
      <c r="O6402" s="42"/>
      <c r="R6402" s="37"/>
      <c r="S6402" s="37"/>
      <c r="T6402" s="91"/>
      <c r="U6402" s="91"/>
      <c r="V6402" s="41"/>
      <c r="W6402" s="37"/>
      <c r="X6402" s="37"/>
      <c r="Y6402" s="43"/>
      <c r="Z6402" s="37"/>
      <c r="AA6402" s="37"/>
      <c r="AD6402" s="37"/>
      <c r="AE6402" s="37"/>
      <c r="AF6402" s="37"/>
    </row>
    <row r="6403" spans="1:32" x14ac:dyDescent="0.25">
      <c r="A6403" s="37"/>
      <c r="B6403" s="37"/>
      <c r="C6403" s="37"/>
      <c r="F6403" s="38"/>
      <c r="G6403" s="38"/>
      <c r="H6403" s="38"/>
      <c r="I6403" s="37"/>
      <c r="J6403" s="38"/>
      <c r="K6403" s="38"/>
      <c r="L6403" s="42"/>
      <c r="M6403" s="42"/>
      <c r="N6403" s="42"/>
      <c r="O6403" s="42"/>
      <c r="R6403" s="37"/>
      <c r="S6403" s="37"/>
      <c r="T6403" s="91"/>
      <c r="U6403" s="91"/>
      <c r="V6403" s="41"/>
      <c r="W6403" s="37"/>
      <c r="X6403" s="37"/>
      <c r="Y6403" s="43"/>
      <c r="Z6403" s="37"/>
      <c r="AA6403" s="37"/>
      <c r="AD6403" s="37"/>
      <c r="AE6403" s="37"/>
      <c r="AF6403" s="37"/>
    </row>
    <row r="6404" spans="1:32" x14ac:dyDescent="0.25">
      <c r="A6404" s="37"/>
      <c r="B6404" s="37"/>
      <c r="C6404" s="37"/>
      <c r="F6404" s="38"/>
      <c r="G6404" s="38"/>
      <c r="H6404" s="38"/>
      <c r="I6404" s="37"/>
      <c r="J6404" s="38"/>
      <c r="K6404" s="38"/>
      <c r="L6404" s="42"/>
      <c r="M6404" s="42"/>
      <c r="N6404" s="42"/>
      <c r="O6404" s="42"/>
      <c r="R6404" s="37"/>
      <c r="S6404" s="37"/>
      <c r="T6404" s="91"/>
      <c r="U6404" s="91"/>
      <c r="V6404" s="41"/>
      <c r="W6404" s="37"/>
      <c r="X6404" s="37"/>
      <c r="Y6404" s="43"/>
      <c r="Z6404" s="37"/>
      <c r="AA6404" s="37"/>
      <c r="AD6404" s="37"/>
      <c r="AE6404" s="37"/>
      <c r="AF6404" s="37"/>
    </row>
    <row r="6405" spans="1:32" x14ac:dyDescent="0.25">
      <c r="A6405" s="37"/>
      <c r="B6405" s="37"/>
      <c r="C6405" s="37"/>
      <c r="F6405" s="38"/>
      <c r="G6405" s="38"/>
      <c r="H6405" s="38"/>
      <c r="I6405" s="37"/>
      <c r="J6405" s="38"/>
      <c r="K6405" s="38"/>
      <c r="L6405" s="42"/>
      <c r="M6405" s="42"/>
      <c r="N6405" s="42"/>
      <c r="O6405" s="42"/>
      <c r="R6405" s="37"/>
      <c r="S6405" s="37"/>
      <c r="T6405" s="91"/>
      <c r="U6405" s="91"/>
      <c r="V6405" s="41"/>
      <c r="W6405" s="37"/>
      <c r="X6405" s="37"/>
      <c r="Y6405" s="43"/>
      <c r="Z6405" s="37"/>
      <c r="AA6405" s="37"/>
      <c r="AD6405" s="37"/>
      <c r="AE6405" s="37"/>
      <c r="AF6405" s="37"/>
    </row>
    <row r="6406" spans="1:32" x14ac:dyDescent="0.25">
      <c r="A6406" s="37"/>
      <c r="B6406" s="37"/>
      <c r="C6406" s="37"/>
      <c r="F6406" s="38"/>
      <c r="G6406" s="38"/>
      <c r="H6406" s="38"/>
      <c r="I6406" s="37"/>
      <c r="J6406" s="38"/>
      <c r="K6406" s="38"/>
      <c r="L6406" s="42"/>
      <c r="M6406" s="42"/>
      <c r="N6406" s="42"/>
      <c r="O6406" s="42"/>
      <c r="R6406" s="37"/>
      <c r="S6406" s="37"/>
      <c r="T6406" s="91"/>
      <c r="U6406" s="91"/>
      <c r="V6406" s="41"/>
      <c r="W6406" s="37"/>
      <c r="X6406" s="37"/>
      <c r="Y6406" s="43"/>
      <c r="Z6406" s="37"/>
      <c r="AA6406" s="37"/>
      <c r="AD6406" s="37"/>
      <c r="AE6406" s="37"/>
      <c r="AF6406" s="37"/>
    </row>
    <row r="6407" spans="1:32" x14ac:dyDescent="0.25">
      <c r="A6407" s="37"/>
      <c r="B6407" s="37"/>
      <c r="C6407" s="37"/>
      <c r="F6407" s="38"/>
      <c r="G6407" s="38"/>
      <c r="H6407" s="38"/>
      <c r="I6407" s="37"/>
      <c r="J6407" s="38"/>
      <c r="K6407" s="38"/>
      <c r="L6407" s="42"/>
      <c r="M6407" s="42"/>
      <c r="N6407" s="42"/>
      <c r="O6407" s="42"/>
      <c r="R6407" s="37"/>
      <c r="S6407" s="37"/>
      <c r="T6407" s="91"/>
      <c r="U6407" s="91"/>
      <c r="V6407" s="41"/>
      <c r="W6407" s="37"/>
      <c r="X6407" s="37"/>
      <c r="Y6407" s="43"/>
      <c r="Z6407" s="37"/>
      <c r="AA6407" s="37"/>
      <c r="AD6407" s="37"/>
      <c r="AE6407" s="37"/>
      <c r="AF6407" s="37"/>
    </row>
    <row r="6408" spans="1:32" x14ac:dyDescent="0.25">
      <c r="A6408" s="37"/>
      <c r="B6408" s="37"/>
      <c r="C6408" s="37"/>
      <c r="F6408" s="38"/>
      <c r="G6408" s="38"/>
      <c r="H6408" s="38"/>
      <c r="I6408" s="37"/>
      <c r="J6408" s="38"/>
      <c r="K6408" s="38"/>
      <c r="L6408" s="42"/>
      <c r="M6408" s="42"/>
      <c r="N6408" s="42"/>
      <c r="O6408" s="42"/>
      <c r="R6408" s="37"/>
      <c r="S6408" s="37"/>
      <c r="T6408" s="91"/>
      <c r="U6408" s="91"/>
      <c r="V6408" s="41"/>
      <c r="W6408" s="37"/>
      <c r="X6408" s="37"/>
      <c r="Y6408" s="43"/>
      <c r="Z6408" s="37"/>
      <c r="AA6408" s="37"/>
      <c r="AD6408" s="37"/>
      <c r="AE6408" s="37"/>
      <c r="AF6408" s="37"/>
    </row>
    <row r="6409" spans="1:32" x14ac:dyDescent="0.25">
      <c r="A6409" s="37"/>
      <c r="B6409" s="37"/>
      <c r="C6409" s="37"/>
      <c r="F6409" s="38"/>
      <c r="G6409" s="38"/>
      <c r="H6409" s="38"/>
      <c r="I6409" s="37"/>
      <c r="J6409" s="38"/>
      <c r="K6409" s="38"/>
      <c r="L6409" s="42"/>
      <c r="M6409" s="42"/>
      <c r="N6409" s="42"/>
      <c r="O6409" s="42"/>
      <c r="R6409" s="37"/>
      <c r="S6409" s="37"/>
      <c r="T6409" s="91"/>
      <c r="U6409" s="91"/>
      <c r="V6409" s="41"/>
      <c r="W6409" s="37"/>
      <c r="X6409" s="37"/>
      <c r="Y6409" s="43"/>
      <c r="Z6409" s="37"/>
      <c r="AA6409" s="37"/>
      <c r="AD6409" s="37"/>
      <c r="AE6409" s="37"/>
      <c r="AF6409" s="37"/>
    </row>
    <row r="6410" spans="1:32" x14ac:dyDescent="0.25">
      <c r="A6410" s="37"/>
      <c r="B6410" s="37"/>
      <c r="C6410" s="37"/>
      <c r="F6410" s="38"/>
      <c r="G6410" s="38"/>
      <c r="H6410" s="38"/>
      <c r="I6410" s="37"/>
      <c r="J6410" s="38"/>
      <c r="K6410" s="38"/>
      <c r="L6410" s="42"/>
      <c r="M6410" s="42"/>
      <c r="N6410" s="42"/>
      <c r="O6410" s="42"/>
      <c r="R6410" s="37"/>
      <c r="S6410" s="37"/>
      <c r="T6410" s="91"/>
      <c r="U6410" s="91"/>
      <c r="V6410" s="41"/>
      <c r="W6410" s="37"/>
      <c r="X6410" s="37"/>
      <c r="Y6410" s="43"/>
      <c r="Z6410" s="37"/>
      <c r="AA6410" s="37"/>
      <c r="AD6410" s="37"/>
      <c r="AE6410" s="37"/>
      <c r="AF6410" s="37"/>
    </row>
    <row r="6411" spans="1:32" x14ac:dyDescent="0.25">
      <c r="A6411" s="37"/>
      <c r="B6411" s="37"/>
      <c r="C6411" s="37"/>
      <c r="F6411" s="38"/>
      <c r="G6411" s="38"/>
      <c r="H6411" s="38"/>
      <c r="I6411" s="37"/>
      <c r="J6411" s="38"/>
      <c r="K6411" s="38"/>
      <c r="L6411" s="42"/>
      <c r="M6411" s="42"/>
      <c r="N6411" s="42"/>
      <c r="O6411" s="42"/>
      <c r="R6411" s="37"/>
      <c r="S6411" s="37"/>
      <c r="T6411" s="91"/>
      <c r="U6411" s="91"/>
      <c r="V6411" s="41"/>
      <c r="W6411" s="37"/>
      <c r="X6411" s="37"/>
      <c r="Y6411" s="43"/>
      <c r="Z6411" s="37"/>
      <c r="AA6411" s="37"/>
      <c r="AD6411" s="37"/>
      <c r="AE6411" s="37"/>
      <c r="AF6411" s="37"/>
    </row>
    <row r="6412" spans="1:32" x14ac:dyDescent="0.25">
      <c r="A6412" s="37"/>
      <c r="B6412" s="37"/>
      <c r="C6412" s="37"/>
      <c r="F6412" s="38"/>
      <c r="G6412" s="38"/>
      <c r="H6412" s="38"/>
      <c r="I6412" s="37"/>
      <c r="J6412" s="38"/>
      <c r="K6412" s="38"/>
      <c r="L6412" s="42"/>
      <c r="M6412" s="42"/>
      <c r="N6412" s="42"/>
      <c r="O6412" s="42"/>
      <c r="R6412" s="37"/>
      <c r="S6412" s="37"/>
      <c r="T6412" s="91"/>
      <c r="U6412" s="91"/>
      <c r="V6412" s="41"/>
      <c r="W6412" s="37"/>
      <c r="X6412" s="37"/>
      <c r="Y6412" s="43"/>
      <c r="Z6412" s="37"/>
      <c r="AA6412" s="37"/>
      <c r="AD6412" s="37"/>
      <c r="AE6412" s="37"/>
      <c r="AF6412" s="37"/>
    </row>
    <row r="6413" spans="1:32" x14ac:dyDescent="0.25">
      <c r="A6413" s="37"/>
      <c r="B6413" s="37"/>
      <c r="C6413" s="37"/>
      <c r="F6413" s="38"/>
      <c r="G6413" s="38"/>
      <c r="H6413" s="38"/>
      <c r="I6413" s="37"/>
      <c r="J6413" s="38"/>
      <c r="K6413" s="38"/>
      <c r="L6413" s="42"/>
      <c r="M6413" s="42"/>
      <c r="N6413" s="42"/>
      <c r="O6413" s="42"/>
      <c r="R6413" s="37"/>
      <c r="S6413" s="37"/>
      <c r="T6413" s="91"/>
      <c r="U6413" s="91"/>
      <c r="V6413" s="41"/>
      <c r="W6413" s="37"/>
      <c r="X6413" s="37"/>
      <c r="Y6413" s="43"/>
      <c r="Z6413" s="37"/>
      <c r="AA6413" s="37"/>
      <c r="AD6413" s="37"/>
      <c r="AE6413" s="37"/>
      <c r="AF6413" s="37"/>
    </row>
    <row r="6414" spans="1:32" x14ac:dyDescent="0.25">
      <c r="A6414" s="37"/>
      <c r="B6414" s="37"/>
      <c r="C6414" s="37"/>
      <c r="F6414" s="38"/>
      <c r="G6414" s="38"/>
      <c r="H6414" s="38"/>
      <c r="I6414" s="37"/>
      <c r="J6414" s="38"/>
      <c r="K6414" s="38"/>
      <c r="L6414" s="42"/>
      <c r="M6414" s="42"/>
      <c r="N6414" s="42"/>
      <c r="O6414" s="42"/>
      <c r="R6414" s="37"/>
      <c r="S6414" s="37"/>
      <c r="T6414" s="91"/>
      <c r="U6414" s="91"/>
      <c r="V6414" s="41"/>
      <c r="W6414" s="37"/>
      <c r="X6414" s="37"/>
      <c r="Y6414" s="43"/>
      <c r="Z6414" s="37"/>
      <c r="AA6414" s="37"/>
      <c r="AD6414" s="37"/>
      <c r="AE6414" s="37"/>
      <c r="AF6414" s="37"/>
    </row>
    <row r="6415" spans="1:32" x14ac:dyDescent="0.25">
      <c r="A6415" s="37"/>
      <c r="B6415" s="37"/>
      <c r="C6415" s="37"/>
      <c r="F6415" s="38"/>
      <c r="G6415" s="38"/>
      <c r="H6415" s="38"/>
      <c r="I6415" s="37"/>
      <c r="J6415" s="38"/>
      <c r="K6415" s="38"/>
      <c r="L6415" s="42"/>
      <c r="M6415" s="42"/>
      <c r="N6415" s="42"/>
      <c r="O6415" s="42"/>
      <c r="R6415" s="37"/>
      <c r="S6415" s="37"/>
      <c r="T6415" s="91"/>
      <c r="U6415" s="91"/>
      <c r="V6415" s="41"/>
      <c r="W6415" s="37"/>
      <c r="X6415" s="37"/>
      <c r="Y6415" s="43"/>
      <c r="Z6415" s="37"/>
      <c r="AA6415" s="37"/>
      <c r="AD6415" s="37"/>
      <c r="AE6415" s="37"/>
      <c r="AF6415" s="37"/>
    </row>
    <row r="6416" spans="1:32" x14ac:dyDescent="0.25">
      <c r="A6416" s="37"/>
      <c r="B6416" s="37"/>
      <c r="C6416" s="37"/>
      <c r="F6416" s="38"/>
      <c r="G6416" s="38"/>
      <c r="H6416" s="38"/>
      <c r="I6416" s="37"/>
      <c r="J6416" s="38"/>
      <c r="K6416" s="38"/>
      <c r="L6416" s="42"/>
      <c r="M6416" s="42"/>
      <c r="N6416" s="42"/>
      <c r="O6416" s="42"/>
      <c r="R6416" s="37"/>
      <c r="S6416" s="37"/>
      <c r="T6416" s="91"/>
      <c r="U6416" s="91"/>
      <c r="V6416" s="41"/>
      <c r="W6416" s="37"/>
      <c r="X6416" s="37"/>
      <c r="Y6416" s="43"/>
      <c r="Z6416" s="37"/>
      <c r="AA6416" s="37"/>
      <c r="AD6416" s="37"/>
      <c r="AE6416" s="37"/>
      <c r="AF6416" s="37"/>
    </row>
    <row r="6417" spans="1:32" x14ac:dyDescent="0.25">
      <c r="A6417" s="37"/>
      <c r="B6417" s="37"/>
      <c r="C6417" s="37"/>
      <c r="F6417" s="38"/>
      <c r="G6417" s="38"/>
      <c r="H6417" s="38"/>
      <c r="I6417" s="37"/>
      <c r="J6417" s="38"/>
      <c r="K6417" s="38"/>
      <c r="L6417" s="42"/>
      <c r="M6417" s="42"/>
      <c r="N6417" s="42"/>
      <c r="O6417" s="42"/>
      <c r="R6417" s="37"/>
      <c r="S6417" s="37"/>
      <c r="T6417" s="91"/>
      <c r="U6417" s="91"/>
      <c r="V6417" s="41"/>
      <c r="W6417" s="37"/>
      <c r="X6417" s="37"/>
      <c r="Y6417" s="43"/>
      <c r="Z6417" s="37"/>
      <c r="AA6417" s="37"/>
      <c r="AD6417" s="37"/>
      <c r="AE6417" s="37"/>
      <c r="AF6417" s="37"/>
    </row>
    <row r="6418" spans="1:32" x14ac:dyDescent="0.25">
      <c r="A6418" s="37"/>
      <c r="B6418" s="37"/>
      <c r="C6418" s="37"/>
      <c r="F6418" s="38"/>
      <c r="G6418" s="38"/>
      <c r="H6418" s="38"/>
      <c r="I6418" s="37"/>
      <c r="J6418" s="38"/>
      <c r="K6418" s="38"/>
      <c r="L6418" s="42"/>
      <c r="M6418" s="42"/>
      <c r="N6418" s="42"/>
      <c r="O6418" s="42"/>
      <c r="R6418" s="37"/>
      <c r="S6418" s="37"/>
      <c r="T6418" s="91"/>
      <c r="U6418" s="91"/>
      <c r="V6418" s="41"/>
      <c r="W6418" s="37"/>
      <c r="X6418" s="37"/>
      <c r="Y6418" s="43"/>
      <c r="Z6418" s="37"/>
      <c r="AA6418" s="37"/>
      <c r="AD6418" s="37"/>
      <c r="AE6418" s="37"/>
      <c r="AF6418" s="37"/>
    </row>
    <row r="6419" spans="1:32" x14ac:dyDescent="0.25">
      <c r="A6419" s="37"/>
      <c r="B6419" s="37"/>
      <c r="C6419" s="37"/>
      <c r="F6419" s="38"/>
      <c r="G6419" s="38"/>
      <c r="H6419" s="38"/>
      <c r="I6419" s="37"/>
      <c r="J6419" s="38"/>
      <c r="K6419" s="38"/>
      <c r="L6419" s="42"/>
      <c r="M6419" s="42"/>
      <c r="N6419" s="42"/>
      <c r="O6419" s="42"/>
      <c r="R6419" s="37"/>
      <c r="S6419" s="37"/>
      <c r="T6419" s="91"/>
      <c r="U6419" s="91"/>
      <c r="V6419" s="41"/>
      <c r="W6419" s="37"/>
      <c r="X6419" s="37"/>
      <c r="Y6419" s="43"/>
      <c r="Z6419" s="37"/>
      <c r="AA6419" s="37"/>
      <c r="AD6419" s="37"/>
      <c r="AE6419" s="37"/>
      <c r="AF6419" s="37"/>
    </row>
    <row r="6420" spans="1:32" x14ac:dyDescent="0.25">
      <c r="A6420" s="37"/>
      <c r="B6420" s="37"/>
      <c r="C6420" s="37"/>
      <c r="F6420" s="38"/>
      <c r="G6420" s="38"/>
      <c r="H6420" s="38"/>
      <c r="I6420" s="37"/>
      <c r="J6420" s="38"/>
      <c r="K6420" s="38"/>
      <c r="L6420" s="42"/>
      <c r="M6420" s="42"/>
      <c r="N6420" s="42"/>
      <c r="O6420" s="42"/>
      <c r="R6420" s="37"/>
      <c r="S6420" s="37"/>
      <c r="T6420" s="91"/>
      <c r="U6420" s="91"/>
      <c r="V6420" s="41"/>
      <c r="W6420" s="37"/>
      <c r="X6420" s="37"/>
      <c r="Y6420" s="43"/>
      <c r="Z6420" s="37"/>
      <c r="AA6420" s="37"/>
      <c r="AD6420" s="37"/>
      <c r="AE6420" s="37"/>
      <c r="AF6420" s="37"/>
    </row>
    <row r="6421" spans="1:32" x14ac:dyDescent="0.25">
      <c r="A6421" s="37"/>
      <c r="B6421" s="37"/>
      <c r="C6421" s="37"/>
      <c r="F6421" s="38"/>
      <c r="G6421" s="38"/>
      <c r="H6421" s="38"/>
      <c r="I6421" s="37"/>
      <c r="J6421" s="38"/>
      <c r="K6421" s="38"/>
      <c r="L6421" s="42"/>
      <c r="M6421" s="42"/>
      <c r="N6421" s="42"/>
      <c r="O6421" s="42"/>
      <c r="R6421" s="37"/>
      <c r="S6421" s="37"/>
      <c r="T6421" s="91"/>
      <c r="U6421" s="91"/>
      <c r="V6421" s="41"/>
      <c r="W6421" s="37"/>
      <c r="X6421" s="37"/>
      <c r="Y6421" s="43"/>
      <c r="Z6421" s="37"/>
      <c r="AA6421" s="37"/>
      <c r="AD6421" s="37"/>
      <c r="AE6421" s="37"/>
      <c r="AF6421" s="37"/>
    </row>
    <row r="6422" spans="1:32" x14ac:dyDescent="0.25">
      <c r="A6422" s="37"/>
      <c r="B6422" s="37"/>
      <c r="C6422" s="37"/>
      <c r="F6422" s="38"/>
      <c r="G6422" s="38"/>
      <c r="H6422" s="38"/>
      <c r="I6422" s="37"/>
      <c r="J6422" s="38"/>
      <c r="K6422" s="38"/>
      <c r="L6422" s="42"/>
      <c r="M6422" s="42"/>
      <c r="N6422" s="42"/>
      <c r="O6422" s="42"/>
      <c r="R6422" s="37"/>
      <c r="S6422" s="37"/>
      <c r="T6422" s="91"/>
      <c r="U6422" s="91"/>
      <c r="V6422" s="41"/>
      <c r="W6422" s="37"/>
      <c r="X6422" s="37"/>
      <c r="Y6422" s="43"/>
      <c r="Z6422" s="37"/>
      <c r="AA6422" s="37"/>
      <c r="AD6422" s="37"/>
      <c r="AE6422" s="37"/>
      <c r="AF6422" s="37"/>
    </row>
    <row r="6423" spans="1:32" x14ac:dyDescent="0.25">
      <c r="A6423" s="37"/>
      <c r="B6423" s="37"/>
      <c r="C6423" s="37"/>
      <c r="F6423" s="38"/>
      <c r="G6423" s="38"/>
      <c r="H6423" s="38"/>
      <c r="I6423" s="37"/>
      <c r="J6423" s="38"/>
      <c r="K6423" s="38"/>
      <c r="L6423" s="42"/>
      <c r="M6423" s="42"/>
      <c r="N6423" s="42"/>
      <c r="O6423" s="42"/>
      <c r="R6423" s="37"/>
      <c r="S6423" s="37"/>
      <c r="T6423" s="91"/>
      <c r="U6423" s="91"/>
      <c r="V6423" s="41"/>
      <c r="W6423" s="37"/>
      <c r="X6423" s="37"/>
      <c r="Y6423" s="43"/>
      <c r="Z6423" s="37"/>
      <c r="AA6423" s="37"/>
      <c r="AD6423" s="37"/>
      <c r="AE6423" s="37"/>
      <c r="AF6423" s="37"/>
    </row>
    <row r="6424" spans="1:32" x14ac:dyDescent="0.25">
      <c r="A6424" s="37"/>
      <c r="B6424" s="37"/>
      <c r="C6424" s="37"/>
      <c r="F6424" s="38"/>
      <c r="G6424" s="38"/>
      <c r="H6424" s="38"/>
      <c r="I6424" s="37"/>
      <c r="J6424" s="38"/>
      <c r="K6424" s="38"/>
      <c r="L6424" s="42"/>
      <c r="M6424" s="42"/>
      <c r="N6424" s="42"/>
      <c r="O6424" s="42"/>
      <c r="R6424" s="37"/>
      <c r="S6424" s="37"/>
      <c r="T6424" s="91"/>
      <c r="U6424" s="91"/>
      <c r="V6424" s="41"/>
      <c r="W6424" s="37"/>
      <c r="X6424" s="37"/>
      <c r="Y6424" s="43"/>
      <c r="Z6424" s="37"/>
      <c r="AA6424" s="37"/>
      <c r="AD6424" s="37"/>
      <c r="AE6424" s="37"/>
      <c r="AF6424" s="37"/>
    </row>
    <row r="6425" spans="1:32" x14ac:dyDescent="0.25">
      <c r="A6425" s="37"/>
      <c r="B6425" s="37"/>
      <c r="C6425" s="37"/>
      <c r="F6425" s="38"/>
      <c r="G6425" s="38"/>
      <c r="H6425" s="38"/>
      <c r="I6425" s="37"/>
      <c r="J6425" s="38"/>
      <c r="K6425" s="38"/>
      <c r="L6425" s="42"/>
      <c r="M6425" s="42"/>
      <c r="N6425" s="42"/>
      <c r="O6425" s="42"/>
      <c r="R6425" s="37"/>
      <c r="S6425" s="37"/>
      <c r="T6425" s="91"/>
      <c r="U6425" s="91"/>
      <c r="V6425" s="41"/>
      <c r="W6425" s="37"/>
      <c r="X6425" s="37"/>
      <c r="Y6425" s="43"/>
      <c r="Z6425" s="37"/>
      <c r="AA6425" s="37"/>
      <c r="AD6425" s="37"/>
      <c r="AE6425" s="37"/>
      <c r="AF6425" s="37"/>
    </row>
    <row r="6426" spans="1:32" x14ac:dyDescent="0.25">
      <c r="A6426" s="37"/>
      <c r="B6426" s="37"/>
      <c r="C6426" s="37"/>
      <c r="F6426" s="38"/>
      <c r="G6426" s="38"/>
      <c r="H6426" s="38"/>
      <c r="I6426" s="37"/>
      <c r="J6426" s="38"/>
      <c r="K6426" s="38"/>
      <c r="L6426" s="42"/>
      <c r="M6426" s="42"/>
      <c r="N6426" s="42"/>
      <c r="O6426" s="42"/>
      <c r="R6426" s="37"/>
      <c r="S6426" s="37"/>
      <c r="T6426" s="91"/>
      <c r="U6426" s="91"/>
      <c r="V6426" s="41"/>
      <c r="W6426" s="37"/>
      <c r="X6426" s="37"/>
      <c r="Y6426" s="43"/>
      <c r="Z6426" s="37"/>
      <c r="AA6426" s="37"/>
      <c r="AD6426" s="37"/>
      <c r="AE6426" s="37"/>
      <c r="AF6426" s="37"/>
    </row>
    <row r="6427" spans="1:32" x14ac:dyDescent="0.25">
      <c r="A6427" s="37"/>
      <c r="B6427" s="37"/>
      <c r="C6427" s="37"/>
      <c r="F6427" s="38"/>
      <c r="G6427" s="38"/>
      <c r="H6427" s="38"/>
      <c r="I6427" s="37"/>
      <c r="J6427" s="38"/>
      <c r="K6427" s="38"/>
      <c r="L6427" s="42"/>
      <c r="M6427" s="42"/>
      <c r="N6427" s="42"/>
      <c r="O6427" s="42"/>
      <c r="R6427" s="37"/>
      <c r="S6427" s="37"/>
      <c r="T6427" s="91"/>
      <c r="U6427" s="91"/>
      <c r="V6427" s="41"/>
      <c r="W6427" s="37"/>
      <c r="X6427" s="37"/>
      <c r="Y6427" s="43"/>
      <c r="Z6427" s="37"/>
      <c r="AA6427" s="37"/>
      <c r="AD6427" s="37"/>
      <c r="AE6427" s="37"/>
      <c r="AF6427" s="37"/>
    </row>
    <row r="6428" spans="1:32" x14ac:dyDescent="0.25">
      <c r="A6428" s="37"/>
      <c r="B6428" s="37"/>
      <c r="C6428" s="37"/>
      <c r="F6428" s="38"/>
      <c r="G6428" s="38"/>
      <c r="H6428" s="38"/>
      <c r="I6428" s="37"/>
      <c r="J6428" s="38"/>
      <c r="K6428" s="38"/>
      <c r="L6428" s="42"/>
      <c r="M6428" s="42"/>
      <c r="N6428" s="42"/>
      <c r="O6428" s="42"/>
      <c r="R6428" s="37"/>
      <c r="S6428" s="37"/>
      <c r="T6428" s="91"/>
      <c r="U6428" s="91"/>
      <c r="V6428" s="41"/>
      <c r="W6428" s="37"/>
      <c r="X6428" s="37"/>
      <c r="Y6428" s="43"/>
      <c r="Z6428" s="37"/>
      <c r="AA6428" s="37"/>
      <c r="AD6428" s="37"/>
      <c r="AE6428" s="37"/>
      <c r="AF6428" s="37"/>
    </row>
    <row r="6429" spans="1:32" x14ac:dyDescent="0.25">
      <c r="A6429" s="37"/>
      <c r="B6429" s="37"/>
      <c r="C6429" s="37"/>
      <c r="F6429" s="38"/>
      <c r="G6429" s="38"/>
      <c r="H6429" s="38"/>
      <c r="I6429" s="37"/>
      <c r="J6429" s="38"/>
      <c r="K6429" s="38"/>
      <c r="L6429" s="42"/>
      <c r="M6429" s="42"/>
      <c r="N6429" s="42"/>
      <c r="O6429" s="42"/>
      <c r="R6429" s="37"/>
      <c r="S6429" s="37"/>
      <c r="T6429" s="91"/>
      <c r="U6429" s="91"/>
      <c r="V6429" s="41"/>
      <c r="W6429" s="37"/>
      <c r="X6429" s="37"/>
      <c r="Y6429" s="43"/>
      <c r="Z6429" s="37"/>
      <c r="AA6429" s="37"/>
      <c r="AD6429" s="37"/>
      <c r="AE6429" s="37"/>
      <c r="AF6429" s="37"/>
    </row>
    <row r="6430" spans="1:32" x14ac:dyDescent="0.25">
      <c r="A6430" s="37"/>
      <c r="B6430" s="37"/>
      <c r="C6430" s="37"/>
      <c r="F6430" s="38"/>
      <c r="G6430" s="38"/>
      <c r="H6430" s="38"/>
      <c r="I6430" s="37"/>
      <c r="J6430" s="38"/>
      <c r="K6430" s="38"/>
      <c r="L6430" s="42"/>
      <c r="M6430" s="42"/>
      <c r="N6430" s="42"/>
      <c r="O6430" s="42"/>
      <c r="R6430" s="37"/>
      <c r="S6430" s="37"/>
      <c r="T6430" s="91"/>
      <c r="U6430" s="91"/>
      <c r="V6430" s="41"/>
      <c r="W6430" s="37"/>
      <c r="X6430" s="37"/>
      <c r="Y6430" s="43"/>
      <c r="Z6430" s="37"/>
      <c r="AA6430" s="37"/>
      <c r="AD6430" s="37"/>
      <c r="AE6430" s="37"/>
      <c r="AF6430" s="37"/>
    </row>
    <row r="6431" spans="1:32" x14ac:dyDescent="0.25">
      <c r="A6431" s="37"/>
      <c r="B6431" s="37"/>
      <c r="C6431" s="37"/>
      <c r="F6431" s="38"/>
      <c r="G6431" s="38"/>
      <c r="H6431" s="38"/>
      <c r="I6431" s="37"/>
      <c r="J6431" s="38"/>
      <c r="K6431" s="38"/>
      <c r="L6431" s="42"/>
      <c r="M6431" s="42"/>
      <c r="N6431" s="42"/>
      <c r="O6431" s="42"/>
      <c r="R6431" s="37"/>
      <c r="S6431" s="37"/>
      <c r="T6431" s="91"/>
      <c r="U6431" s="91"/>
      <c r="V6431" s="41"/>
      <c r="W6431" s="37"/>
      <c r="X6431" s="37"/>
      <c r="Y6431" s="43"/>
      <c r="Z6431" s="37"/>
      <c r="AA6431" s="37"/>
      <c r="AD6431" s="37"/>
      <c r="AE6431" s="37"/>
      <c r="AF6431" s="37"/>
    </row>
    <row r="6432" spans="1:32" x14ac:dyDescent="0.25">
      <c r="A6432" s="37"/>
      <c r="B6432" s="37"/>
      <c r="C6432" s="37"/>
      <c r="F6432" s="38"/>
      <c r="G6432" s="38"/>
      <c r="H6432" s="38"/>
      <c r="I6432" s="37"/>
      <c r="J6432" s="38"/>
      <c r="K6432" s="38"/>
      <c r="L6432" s="42"/>
      <c r="M6432" s="42"/>
      <c r="N6432" s="42"/>
      <c r="O6432" s="42"/>
      <c r="R6432" s="37"/>
      <c r="S6432" s="37"/>
      <c r="T6432" s="91"/>
      <c r="U6432" s="91"/>
      <c r="V6432" s="41"/>
      <c r="W6432" s="37"/>
      <c r="X6432" s="37"/>
      <c r="Y6432" s="43"/>
      <c r="Z6432" s="37"/>
      <c r="AA6432" s="37"/>
      <c r="AD6432" s="37"/>
      <c r="AE6432" s="37"/>
      <c r="AF6432" s="37"/>
    </row>
    <row r="6433" spans="1:32" x14ac:dyDescent="0.25">
      <c r="A6433" s="37"/>
      <c r="B6433" s="37"/>
      <c r="C6433" s="37"/>
      <c r="F6433" s="38"/>
      <c r="G6433" s="38"/>
      <c r="H6433" s="38"/>
      <c r="I6433" s="37"/>
      <c r="J6433" s="38"/>
      <c r="K6433" s="38"/>
      <c r="L6433" s="42"/>
      <c r="M6433" s="42"/>
      <c r="N6433" s="42"/>
      <c r="O6433" s="42"/>
      <c r="R6433" s="37"/>
      <c r="S6433" s="37"/>
      <c r="T6433" s="91"/>
      <c r="U6433" s="91"/>
      <c r="V6433" s="41"/>
      <c r="W6433" s="37"/>
      <c r="X6433" s="37"/>
      <c r="Y6433" s="43"/>
      <c r="Z6433" s="37"/>
      <c r="AA6433" s="37"/>
      <c r="AD6433" s="37"/>
      <c r="AE6433" s="37"/>
      <c r="AF6433" s="37"/>
    </row>
    <row r="6434" spans="1:32" x14ac:dyDescent="0.25">
      <c r="A6434" s="37"/>
      <c r="B6434" s="37"/>
      <c r="C6434" s="37"/>
      <c r="F6434" s="38"/>
      <c r="G6434" s="38"/>
      <c r="H6434" s="38"/>
      <c r="I6434" s="37"/>
      <c r="J6434" s="38"/>
      <c r="K6434" s="38"/>
      <c r="L6434" s="42"/>
      <c r="M6434" s="42"/>
      <c r="N6434" s="42"/>
      <c r="O6434" s="42"/>
      <c r="R6434" s="37"/>
      <c r="S6434" s="37"/>
      <c r="T6434" s="91"/>
      <c r="U6434" s="91"/>
      <c r="V6434" s="41"/>
      <c r="W6434" s="37"/>
      <c r="X6434" s="37"/>
      <c r="Y6434" s="43"/>
      <c r="Z6434" s="37"/>
      <c r="AA6434" s="37"/>
      <c r="AD6434" s="37"/>
      <c r="AE6434" s="37"/>
      <c r="AF6434" s="37"/>
    </row>
    <row r="6435" spans="1:32" x14ac:dyDescent="0.25">
      <c r="A6435" s="37"/>
      <c r="B6435" s="37"/>
      <c r="C6435" s="37"/>
      <c r="F6435" s="38"/>
      <c r="G6435" s="38"/>
      <c r="H6435" s="38"/>
      <c r="I6435" s="37"/>
      <c r="J6435" s="38"/>
      <c r="K6435" s="38"/>
      <c r="L6435" s="42"/>
      <c r="M6435" s="42"/>
      <c r="N6435" s="42"/>
      <c r="O6435" s="42"/>
      <c r="R6435" s="37"/>
      <c r="S6435" s="37"/>
      <c r="T6435" s="91"/>
      <c r="U6435" s="91"/>
      <c r="V6435" s="41"/>
      <c r="W6435" s="37"/>
      <c r="X6435" s="37"/>
      <c r="Y6435" s="43"/>
      <c r="Z6435" s="37"/>
      <c r="AA6435" s="37"/>
      <c r="AD6435" s="37"/>
      <c r="AE6435" s="37"/>
      <c r="AF6435" s="37"/>
    </row>
    <row r="6436" spans="1:32" x14ac:dyDescent="0.25">
      <c r="A6436" s="37"/>
      <c r="B6436" s="37"/>
      <c r="C6436" s="37"/>
      <c r="F6436" s="38"/>
      <c r="G6436" s="38"/>
      <c r="H6436" s="38"/>
      <c r="I6436" s="37"/>
      <c r="J6436" s="38"/>
      <c r="K6436" s="38"/>
      <c r="L6436" s="42"/>
      <c r="M6436" s="42"/>
      <c r="N6436" s="42"/>
      <c r="O6436" s="42"/>
      <c r="R6436" s="37"/>
      <c r="S6436" s="37"/>
      <c r="T6436" s="91"/>
      <c r="U6436" s="91"/>
      <c r="V6436" s="41"/>
      <c r="W6436" s="37"/>
      <c r="X6436" s="37"/>
      <c r="Y6436" s="43"/>
      <c r="Z6436" s="37"/>
      <c r="AA6436" s="37"/>
      <c r="AD6436" s="37"/>
      <c r="AE6436" s="37"/>
      <c r="AF6436" s="37"/>
    </row>
    <row r="6437" spans="1:32" x14ac:dyDescent="0.25">
      <c r="A6437" s="37"/>
      <c r="B6437" s="37"/>
      <c r="C6437" s="37"/>
      <c r="F6437" s="38"/>
      <c r="G6437" s="38"/>
      <c r="H6437" s="38"/>
      <c r="I6437" s="37"/>
      <c r="J6437" s="38"/>
      <c r="K6437" s="38"/>
      <c r="L6437" s="42"/>
      <c r="M6437" s="42"/>
      <c r="N6437" s="42"/>
      <c r="O6437" s="42"/>
      <c r="R6437" s="37"/>
      <c r="S6437" s="37"/>
      <c r="T6437" s="91"/>
      <c r="U6437" s="91"/>
      <c r="V6437" s="41"/>
      <c r="W6437" s="37"/>
      <c r="X6437" s="37"/>
      <c r="Y6437" s="43"/>
      <c r="Z6437" s="37"/>
      <c r="AA6437" s="37"/>
      <c r="AD6437" s="37"/>
      <c r="AE6437" s="37"/>
      <c r="AF6437" s="37"/>
    </row>
    <row r="6438" spans="1:32" x14ac:dyDescent="0.25">
      <c r="A6438" s="37"/>
      <c r="B6438" s="37"/>
      <c r="C6438" s="37"/>
      <c r="F6438" s="38"/>
      <c r="G6438" s="38"/>
      <c r="H6438" s="38"/>
      <c r="I6438" s="37"/>
      <c r="J6438" s="38"/>
      <c r="K6438" s="38"/>
      <c r="L6438" s="42"/>
      <c r="M6438" s="42"/>
      <c r="N6438" s="42"/>
      <c r="O6438" s="42"/>
      <c r="R6438" s="37"/>
      <c r="S6438" s="37"/>
      <c r="T6438" s="91"/>
      <c r="U6438" s="91"/>
      <c r="V6438" s="41"/>
      <c r="W6438" s="37"/>
      <c r="X6438" s="37"/>
      <c r="Y6438" s="43"/>
      <c r="Z6438" s="37"/>
      <c r="AA6438" s="37"/>
      <c r="AD6438" s="37"/>
      <c r="AE6438" s="37"/>
      <c r="AF6438" s="37"/>
    </row>
    <row r="6439" spans="1:32" x14ac:dyDescent="0.25">
      <c r="A6439" s="37"/>
      <c r="B6439" s="37"/>
      <c r="C6439" s="37"/>
      <c r="F6439" s="38"/>
      <c r="G6439" s="38"/>
      <c r="H6439" s="38"/>
      <c r="I6439" s="37"/>
      <c r="J6439" s="38"/>
      <c r="K6439" s="38"/>
      <c r="L6439" s="42"/>
      <c r="M6439" s="42"/>
      <c r="N6439" s="42"/>
      <c r="O6439" s="42"/>
      <c r="R6439" s="37"/>
      <c r="S6439" s="37"/>
      <c r="T6439" s="91"/>
      <c r="U6439" s="91"/>
      <c r="V6439" s="41"/>
      <c r="W6439" s="37"/>
      <c r="X6439" s="37"/>
      <c r="Y6439" s="43"/>
      <c r="Z6439" s="37"/>
      <c r="AA6439" s="37"/>
      <c r="AD6439" s="37"/>
      <c r="AE6439" s="37"/>
      <c r="AF6439" s="37"/>
    </row>
    <row r="6440" spans="1:32" x14ac:dyDescent="0.25">
      <c r="A6440" s="37"/>
      <c r="B6440" s="37"/>
      <c r="C6440" s="37"/>
      <c r="F6440" s="38"/>
      <c r="G6440" s="38"/>
      <c r="H6440" s="38"/>
      <c r="I6440" s="37"/>
      <c r="J6440" s="38"/>
      <c r="K6440" s="38"/>
      <c r="L6440" s="42"/>
      <c r="M6440" s="42"/>
      <c r="N6440" s="42"/>
      <c r="O6440" s="42"/>
      <c r="R6440" s="37"/>
      <c r="S6440" s="37"/>
      <c r="T6440" s="91"/>
      <c r="U6440" s="91"/>
      <c r="V6440" s="41"/>
      <c r="W6440" s="37"/>
      <c r="X6440" s="37"/>
      <c r="Y6440" s="43"/>
      <c r="Z6440" s="37"/>
      <c r="AA6440" s="37"/>
      <c r="AD6440" s="37"/>
      <c r="AE6440" s="37"/>
      <c r="AF6440" s="37"/>
    </row>
    <row r="6441" spans="1:32" x14ac:dyDescent="0.25">
      <c r="A6441" s="37"/>
      <c r="B6441" s="37"/>
      <c r="C6441" s="37"/>
      <c r="F6441" s="38"/>
      <c r="G6441" s="38"/>
      <c r="H6441" s="38"/>
      <c r="I6441" s="37"/>
      <c r="J6441" s="38"/>
      <c r="K6441" s="38"/>
      <c r="L6441" s="42"/>
      <c r="M6441" s="42"/>
      <c r="N6441" s="42"/>
      <c r="O6441" s="42"/>
      <c r="R6441" s="37"/>
      <c r="S6441" s="37"/>
      <c r="T6441" s="91"/>
      <c r="U6441" s="91"/>
      <c r="V6441" s="41"/>
      <c r="W6441" s="37"/>
      <c r="X6441" s="37"/>
      <c r="Y6441" s="43"/>
      <c r="Z6441" s="37"/>
      <c r="AA6441" s="37"/>
      <c r="AD6441" s="37"/>
      <c r="AE6441" s="37"/>
      <c r="AF6441" s="37"/>
    </row>
    <row r="6442" spans="1:32" x14ac:dyDescent="0.25">
      <c r="A6442" s="37"/>
      <c r="B6442" s="37"/>
      <c r="C6442" s="37"/>
      <c r="F6442" s="38"/>
      <c r="G6442" s="38"/>
      <c r="H6442" s="38"/>
      <c r="I6442" s="37"/>
      <c r="J6442" s="38"/>
      <c r="K6442" s="38"/>
      <c r="L6442" s="42"/>
      <c r="M6442" s="42"/>
      <c r="N6442" s="42"/>
      <c r="O6442" s="42"/>
      <c r="R6442" s="37"/>
      <c r="S6442" s="37"/>
      <c r="T6442" s="91"/>
      <c r="U6442" s="91"/>
      <c r="V6442" s="41"/>
      <c r="W6442" s="37"/>
      <c r="X6442" s="37"/>
      <c r="Y6442" s="43"/>
      <c r="Z6442" s="37"/>
      <c r="AA6442" s="37"/>
      <c r="AD6442" s="37"/>
      <c r="AE6442" s="37"/>
      <c r="AF6442" s="37"/>
    </row>
    <row r="6443" spans="1:32" x14ac:dyDescent="0.25">
      <c r="A6443" s="37"/>
      <c r="B6443" s="37"/>
      <c r="C6443" s="37"/>
      <c r="F6443" s="38"/>
      <c r="G6443" s="38"/>
      <c r="H6443" s="38"/>
      <c r="I6443" s="37"/>
      <c r="J6443" s="38"/>
      <c r="K6443" s="38"/>
      <c r="L6443" s="42"/>
      <c r="M6443" s="42"/>
      <c r="N6443" s="42"/>
      <c r="O6443" s="42"/>
      <c r="R6443" s="37"/>
      <c r="S6443" s="37"/>
      <c r="T6443" s="91"/>
      <c r="U6443" s="91"/>
      <c r="V6443" s="41"/>
      <c r="W6443" s="37"/>
      <c r="X6443" s="37"/>
      <c r="Y6443" s="43"/>
      <c r="Z6443" s="37"/>
      <c r="AA6443" s="37"/>
      <c r="AD6443" s="37"/>
      <c r="AE6443" s="37"/>
      <c r="AF6443" s="37"/>
    </row>
    <row r="6444" spans="1:32" x14ac:dyDescent="0.25">
      <c r="A6444" s="37"/>
      <c r="B6444" s="37"/>
      <c r="C6444" s="37"/>
      <c r="F6444" s="38"/>
      <c r="G6444" s="38"/>
      <c r="H6444" s="38"/>
      <c r="I6444" s="37"/>
      <c r="J6444" s="38"/>
      <c r="K6444" s="38"/>
      <c r="L6444" s="42"/>
      <c r="M6444" s="42"/>
      <c r="N6444" s="42"/>
      <c r="O6444" s="42"/>
      <c r="R6444" s="37"/>
      <c r="S6444" s="37"/>
      <c r="T6444" s="91"/>
      <c r="U6444" s="91"/>
      <c r="V6444" s="41"/>
      <c r="W6444" s="37"/>
      <c r="X6444" s="37"/>
      <c r="Y6444" s="43"/>
      <c r="Z6444" s="37"/>
      <c r="AA6444" s="37"/>
      <c r="AD6444" s="37"/>
      <c r="AE6444" s="37"/>
      <c r="AF6444" s="37"/>
    </row>
    <row r="6445" spans="1:32" x14ac:dyDescent="0.25">
      <c r="A6445" s="37"/>
      <c r="B6445" s="37"/>
      <c r="C6445" s="37"/>
      <c r="F6445" s="38"/>
      <c r="G6445" s="38"/>
      <c r="H6445" s="38"/>
      <c r="I6445" s="37"/>
      <c r="J6445" s="38"/>
      <c r="K6445" s="38"/>
      <c r="L6445" s="42"/>
      <c r="M6445" s="42"/>
      <c r="N6445" s="42"/>
      <c r="O6445" s="42"/>
      <c r="R6445" s="37"/>
      <c r="S6445" s="37"/>
      <c r="T6445" s="91"/>
      <c r="U6445" s="91"/>
      <c r="V6445" s="41"/>
      <c r="W6445" s="37"/>
      <c r="X6445" s="37"/>
      <c r="Y6445" s="43"/>
      <c r="Z6445" s="37"/>
      <c r="AA6445" s="37"/>
      <c r="AD6445" s="37"/>
      <c r="AE6445" s="37"/>
      <c r="AF6445" s="37"/>
    </row>
    <row r="6446" spans="1:32" x14ac:dyDescent="0.25">
      <c r="A6446" s="37"/>
      <c r="B6446" s="37"/>
      <c r="C6446" s="37"/>
      <c r="F6446" s="38"/>
      <c r="G6446" s="38"/>
      <c r="H6446" s="38"/>
      <c r="I6446" s="37"/>
      <c r="J6446" s="38"/>
      <c r="K6446" s="38"/>
      <c r="L6446" s="42"/>
      <c r="M6446" s="42"/>
      <c r="N6446" s="42"/>
      <c r="O6446" s="42"/>
      <c r="R6446" s="37"/>
      <c r="S6446" s="37"/>
      <c r="T6446" s="91"/>
      <c r="U6446" s="91"/>
      <c r="V6446" s="41"/>
      <c r="W6446" s="37"/>
      <c r="X6446" s="37"/>
      <c r="Y6446" s="43"/>
      <c r="Z6446" s="37"/>
      <c r="AA6446" s="37"/>
      <c r="AD6446" s="37"/>
      <c r="AE6446" s="37"/>
      <c r="AF6446" s="37"/>
    </row>
    <row r="6447" spans="1:32" x14ac:dyDescent="0.25">
      <c r="A6447" s="37"/>
      <c r="B6447" s="37"/>
      <c r="C6447" s="37"/>
      <c r="F6447" s="38"/>
      <c r="G6447" s="38"/>
      <c r="H6447" s="38"/>
      <c r="I6447" s="37"/>
      <c r="J6447" s="38"/>
      <c r="K6447" s="38"/>
      <c r="L6447" s="42"/>
      <c r="M6447" s="42"/>
      <c r="N6447" s="42"/>
      <c r="O6447" s="42"/>
      <c r="R6447" s="37"/>
      <c r="S6447" s="37"/>
      <c r="T6447" s="91"/>
      <c r="U6447" s="91"/>
      <c r="V6447" s="41"/>
      <c r="W6447" s="37"/>
      <c r="X6447" s="37"/>
      <c r="Y6447" s="43"/>
      <c r="Z6447" s="37"/>
      <c r="AA6447" s="37"/>
      <c r="AD6447" s="37"/>
      <c r="AE6447" s="37"/>
      <c r="AF6447" s="37"/>
    </row>
    <row r="6448" spans="1:32" x14ac:dyDescent="0.25">
      <c r="A6448" s="37"/>
      <c r="B6448" s="37"/>
      <c r="C6448" s="37"/>
      <c r="F6448" s="38"/>
      <c r="G6448" s="38"/>
      <c r="H6448" s="38"/>
      <c r="I6448" s="37"/>
      <c r="J6448" s="38"/>
      <c r="K6448" s="38"/>
      <c r="L6448" s="42"/>
      <c r="M6448" s="42"/>
      <c r="N6448" s="42"/>
      <c r="O6448" s="42"/>
      <c r="R6448" s="37"/>
      <c r="S6448" s="37"/>
      <c r="T6448" s="91"/>
      <c r="U6448" s="91"/>
      <c r="V6448" s="41"/>
      <c r="W6448" s="37"/>
      <c r="X6448" s="37"/>
      <c r="Y6448" s="43"/>
      <c r="Z6448" s="37"/>
      <c r="AA6448" s="37"/>
      <c r="AD6448" s="37"/>
      <c r="AE6448" s="37"/>
      <c r="AF6448" s="37"/>
    </row>
    <row r="6449" spans="1:32" x14ac:dyDescent="0.25">
      <c r="A6449" s="37"/>
      <c r="B6449" s="37"/>
      <c r="C6449" s="37"/>
      <c r="F6449" s="38"/>
      <c r="G6449" s="38"/>
      <c r="H6449" s="38"/>
      <c r="I6449" s="37"/>
      <c r="J6449" s="38"/>
      <c r="K6449" s="38"/>
      <c r="L6449" s="42"/>
      <c r="M6449" s="42"/>
      <c r="N6449" s="42"/>
      <c r="O6449" s="42"/>
      <c r="R6449" s="37"/>
      <c r="S6449" s="37"/>
      <c r="T6449" s="91"/>
      <c r="U6449" s="91"/>
      <c r="V6449" s="41"/>
      <c r="W6449" s="37"/>
      <c r="X6449" s="37"/>
      <c r="Y6449" s="43"/>
      <c r="Z6449" s="37"/>
      <c r="AA6449" s="37"/>
      <c r="AD6449" s="37"/>
      <c r="AE6449" s="37"/>
      <c r="AF6449" s="37"/>
    </row>
    <row r="6450" spans="1:32" x14ac:dyDescent="0.25">
      <c r="A6450" s="37"/>
      <c r="B6450" s="37"/>
      <c r="C6450" s="37"/>
      <c r="F6450" s="38"/>
      <c r="G6450" s="38"/>
      <c r="H6450" s="38"/>
      <c r="I6450" s="37"/>
      <c r="J6450" s="38"/>
      <c r="K6450" s="38"/>
      <c r="L6450" s="42"/>
      <c r="M6450" s="42"/>
      <c r="N6450" s="42"/>
      <c r="O6450" s="42"/>
      <c r="R6450" s="37"/>
      <c r="S6450" s="37"/>
      <c r="T6450" s="91"/>
      <c r="U6450" s="91"/>
      <c r="V6450" s="41"/>
      <c r="W6450" s="37"/>
      <c r="X6450" s="37"/>
      <c r="Y6450" s="43"/>
      <c r="Z6450" s="37"/>
      <c r="AA6450" s="37"/>
      <c r="AD6450" s="37"/>
      <c r="AE6450" s="37"/>
      <c r="AF6450" s="37"/>
    </row>
    <row r="6451" spans="1:32" x14ac:dyDescent="0.25">
      <c r="A6451" s="37"/>
      <c r="B6451" s="37"/>
      <c r="C6451" s="37"/>
      <c r="F6451" s="38"/>
      <c r="G6451" s="38"/>
      <c r="H6451" s="38"/>
      <c r="I6451" s="37"/>
      <c r="J6451" s="38"/>
      <c r="K6451" s="38"/>
      <c r="L6451" s="42"/>
      <c r="M6451" s="42"/>
      <c r="N6451" s="42"/>
      <c r="O6451" s="42"/>
      <c r="R6451" s="37"/>
      <c r="S6451" s="37"/>
      <c r="T6451" s="91"/>
      <c r="U6451" s="91"/>
      <c r="V6451" s="41"/>
      <c r="W6451" s="37"/>
      <c r="X6451" s="37"/>
      <c r="Y6451" s="43"/>
      <c r="Z6451" s="37"/>
      <c r="AA6451" s="37"/>
      <c r="AD6451" s="37"/>
      <c r="AE6451" s="37"/>
      <c r="AF6451" s="37"/>
    </row>
    <row r="6452" spans="1:32" x14ac:dyDescent="0.25">
      <c r="A6452" s="37"/>
      <c r="B6452" s="37"/>
      <c r="C6452" s="37"/>
      <c r="F6452" s="38"/>
      <c r="G6452" s="38"/>
      <c r="H6452" s="38"/>
      <c r="I6452" s="37"/>
      <c r="J6452" s="38"/>
      <c r="K6452" s="38"/>
      <c r="L6452" s="42"/>
      <c r="M6452" s="42"/>
      <c r="N6452" s="42"/>
      <c r="O6452" s="42"/>
      <c r="R6452" s="37"/>
      <c r="S6452" s="37"/>
      <c r="T6452" s="91"/>
      <c r="U6452" s="91"/>
      <c r="V6452" s="41"/>
      <c r="W6452" s="37"/>
      <c r="X6452" s="37"/>
      <c r="Y6452" s="43"/>
      <c r="Z6452" s="37"/>
      <c r="AA6452" s="37"/>
      <c r="AD6452" s="37"/>
      <c r="AE6452" s="37"/>
      <c r="AF6452" s="37"/>
    </row>
    <row r="6453" spans="1:32" x14ac:dyDescent="0.25">
      <c r="A6453" s="37"/>
      <c r="B6453" s="37"/>
      <c r="C6453" s="37"/>
      <c r="F6453" s="38"/>
      <c r="G6453" s="38"/>
      <c r="H6453" s="38"/>
      <c r="I6453" s="37"/>
      <c r="J6453" s="38"/>
      <c r="K6453" s="38"/>
      <c r="L6453" s="42"/>
      <c r="M6453" s="42"/>
      <c r="N6453" s="42"/>
      <c r="O6453" s="42"/>
      <c r="R6453" s="37"/>
      <c r="S6453" s="37"/>
      <c r="T6453" s="91"/>
      <c r="U6453" s="91"/>
      <c r="V6453" s="41"/>
      <c r="W6453" s="37"/>
      <c r="X6453" s="37"/>
      <c r="Y6453" s="43"/>
      <c r="Z6453" s="37"/>
      <c r="AA6453" s="37"/>
      <c r="AD6453" s="37"/>
      <c r="AE6453" s="37"/>
      <c r="AF6453" s="37"/>
    </row>
    <row r="6454" spans="1:32" x14ac:dyDescent="0.25">
      <c r="A6454" s="37"/>
      <c r="B6454" s="37"/>
      <c r="C6454" s="37"/>
      <c r="F6454" s="38"/>
      <c r="G6454" s="38"/>
      <c r="H6454" s="38"/>
      <c r="I6454" s="37"/>
      <c r="J6454" s="38"/>
      <c r="K6454" s="38"/>
      <c r="L6454" s="42"/>
      <c r="M6454" s="42"/>
      <c r="N6454" s="42"/>
      <c r="O6454" s="42"/>
      <c r="R6454" s="37"/>
      <c r="S6454" s="37"/>
      <c r="T6454" s="91"/>
      <c r="U6454" s="91"/>
      <c r="V6454" s="41"/>
      <c r="W6454" s="37"/>
      <c r="X6454" s="37"/>
      <c r="Y6454" s="43"/>
      <c r="Z6454" s="37"/>
      <c r="AA6454" s="37"/>
      <c r="AD6454" s="37"/>
      <c r="AE6454" s="37"/>
      <c r="AF6454" s="37"/>
    </row>
    <row r="6455" spans="1:32" x14ac:dyDescent="0.25">
      <c r="A6455" s="37"/>
      <c r="B6455" s="37"/>
      <c r="C6455" s="37"/>
      <c r="F6455" s="38"/>
      <c r="G6455" s="38"/>
      <c r="H6455" s="38"/>
      <c r="I6455" s="37"/>
      <c r="J6455" s="38"/>
      <c r="K6455" s="38"/>
      <c r="L6455" s="42"/>
      <c r="M6455" s="42"/>
      <c r="N6455" s="42"/>
      <c r="O6455" s="42"/>
      <c r="R6455" s="37"/>
      <c r="S6455" s="37"/>
      <c r="T6455" s="91"/>
      <c r="U6455" s="91"/>
      <c r="V6455" s="41"/>
      <c r="W6455" s="37"/>
      <c r="X6455" s="37"/>
      <c r="Y6455" s="43"/>
      <c r="Z6455" s="37"/>
      <c r="AA6455" s="37"/>
      <c r="AD6455" s="37"/>
      <c r="AE6455" s="37"/>
      <c r="AF6455" s="37"/>
    </row>
    <row r="6456" spans="1:32" x14ac:dyDescent="0.25">
      <c r="A6456" s="37"/>
      <c r="B6456" s="37"/>
      <c r="C6456" s="37"/>
      <c r="F6456" s="38"/>
      <c r="G6456" s="38"/>
      <c r="H6456" s="38"/>
      <c r="I6456" s="37"/>
      <c r="J6456" s="38"/>
      <c r="K6456" s="38"/>
      <c r="L6456" s="42"/>
      <c r="M6456" s="42"/>
      <c r="N6456" s="42"/>
      <c r="O6456" s="42"/>
      <c r="R6456" s="37"/>
      <c r="S6456" s="37"/>
      <c r="T6456" s="91"/>
      <c r="U6456" s="91"/>
      <c r="V6456" s="41"/>
      <c r="W6456" s="37"/>
      <c r="X6456" s="37"/>
      <c r="Y6456" s="43"/>
      <c r="Z6456" s="37"/>
      <c r="AA6456" s="37"/>
      <c r="AD6456" s="37"/>
      <c r="AE6456" s="37"/>
      <c r="AF6456" s="37"/>
    </row>
    <row r="6457" spans="1:32" x14ac:dyDescent="0.25">
      <c r="A6457" s="37"/>
      <c r="B6457" s="37"/>
      <c r="C6457" s="37"/>
      <c r="F6457" s="38"/>
      <c r="G6457" s="38"/>
      <c r="H6457" s="38"/>
      <c r="I6457" s="37"/>
      <c r="J6457" s="38"/>
      <c r="K6457" s="38"/>
      <c r="L6457" s="42"/>
      <c r="M6457" s="42"/>
      <c r="N6457" s="42"/>
      <c r="O6457" s="42"/>
      <c r="R6457" s="37"/>
      <c r="S6457" s="37"/>
      <c r="T6457" s="91"/>
      <c r="U6457" s="91"/>
      <c r="V6457" s="41"/>
      <c r="W6457" s="37"/>
      <c r="X6457" s="37"/>
      <c r="Y6457" s="43"/>
      <c r="Z6457" s="37"/>
      <c r="AA6457" s="37"/>
      <c r="AD6457" s="37"/>
      <c r="AE6457" s="37"/>
      <c r="AF6457" s="37"/>
    </row>
    <row r="6458" spans="1:32" x14ac:dyDescent="0.25">
      <c r="A6458" s="37"/>
      <c r="B6458" s="37"/>
      <c r="C6458" s="37"/>
      <c r="F6458" s="38"/>
      <c r="G6458" s="38"/>
      <c r="H6458" s="38"/>
      <c r="I6458" s="37"/>
      <c r="J6458" s="38"/>
      <c r="K6458" s="38"/>
      <c r="L6458" s="42"/>
      <c r="M6458" s="42"/>
      <c r="N6458" s="42"/>
      <c r="O6458" s="42"/>
      <c r="R6458" s="37"/>
      <c r="S6458" s="37"/>
      <c r="T6458" s="91"/>
      <c r="U6458" s="91"/>
      <c r="V6458" s="41"/>
      <c r="W6458" s="37"/>
      <c r="X6458" s="37"/>
      <c r="Y6458" s="43"/>
      <c r="Z6458" s="37"/>
      <c r="AA6458" s="37"/>
      <c r="AD6458" s="37"/>
      <c r="AE6458" s="37"/>
      <c r="AF6458" s="37"/>
    </row>
    <row r="6459" spans="1:32" x14ac:dyDescent="0.25">
      <c r="A6459" s="37"/>
      <c r="B6459" s="37"/>
      <c r="C6459" s="37"/>
      <c r="F6459" s="38"/>
      <c r="G6459" s="38"/>
      <c r="H6459" s="38"/>
      <c r="I6459" s="37"/>
      <c r="J6459" s="38"/>
      <c r="K6459" s="38"/>
      <c r="L6459" s="42"/>
      <c r="M6459" s="42"/>
      <c r="N6459" s="42"/>
      <c r="O6459" s="42"/>
      <c r="R6459" s="37"/>
      <c r="S6459" s="37"/>
      <c r="T6459" s="91"/>
      <c r="U6459" s="91"/>
      <c r="V6459" s="41"/>
      <c r="W6459" s="37"/>
      <c r="X6459" s="37"/>
      <c r="Y6459" s="43"/>
      <c r="Z6459" s="37"/>
      <c r="AA6459" s="37"/>
      <c r="AD6459" s="37"/>
      <c r="AE6459" s="37"/>
      <c r="AF6459" s="37"/>
    </row>
    <row r="6460" spans="1:32" x14ac:dyDescent="0.25">
      <c r="A6460" s="37"/>
      <c r="B6460" s="37"/>
      <c r="C6460" s="37"/>
      <c r="F6460" s="38"/>
      <c r="G6460" s="38"/>
      <c r="H6460" s="38"/>
      <c r="I6460" s="37"/>
      <c r="J6460" s="38"/>
      <c r="K6460" s="38"/>
      <c r="L6460" s="42"/>
      <c r="M6460" s="42"/>
      <c r="N6460" s="42"/>
      <c r="O6460" s="42"/>
      <c r="R6460" s="37"/>
      <c r="S6460" s="37"/>
      <c r="T6460" s="91"/>
      <c r="U6460" s="91"/>
      <c r="V6460" s="41"/>
      <c r="W6460" s="37"/>
      <c r="X6460" s="37"/>
      <c r="Y6460" s="43"/>
      <c r="Z6460" s="37"/>
      <c r="AA6460" s="37"/>
      <c r="AD6460" s="37"/>
      <c r="AE6460" s="37"/>
      <c r="AF6460" s="37"/>
    </row>
    <row r="6461" spans="1:32" x14ac:dyDescent="0.25">
      <c r="A6461" s="37"/>
      <c r="B6461" s="37"/>
      <c r="C6461" s="37"/>
      <c r="F6461" s="38"/>
      <c r="G6461" s="38"/>
      <c r="H6461" s="38"/>
      <c r="I6461" s="37"/>
      <c r="J6461" s="38"/>
      <c r="K6461" s="38"/>
      <c r="L6461" s="42"/>
      <c r="M6461" s="42"/>
      <c r="N6461" s="42"/>
      <c r="O6461" s="42"/>
      <c r="R6461" s="37"/>
      <c r="S6461" s="37"/>
      <c r="T6461" s="91"/>
      <c r="U6461" s="91"/>
      <c r="V6461" s="41"/>
      <c r="W6461" s="37"/>
      <c r="X6461" s="37"/>
      <c r="Y6461" s="43"/>
      <c r="Z6461" s="37"/>
      <c r="AA6461" s="37"/>
      <c r="AD6461" s="37"/>
      <c r="AE6461" s="37"/>
      <c r="AF6461" s="37"/>
    </row>
    <row r="6462" spans="1:32" x14ac:dyDescent="0.25">
      <c r="A6462" s="37"/>
      <c r="B6462" s="37"/>
      <c r="C6462" s="37"/>
      <c r="F6462" s="38"/>
      <c r="G6462" s="38"/>
      <c r="H6462" s="38"/>
      <c r="I6462" s="37"/>
      <c r="J6462" s="38"/>
      <c r="K6462" s="38"/>
      <c r="L6462" s="42"/>
      <c r="M6462" s="42"/>
      <c r="N6462" s="42"/>
      <c r="O6462" s="42"/>
      <c r="R6462" s="37"/>
      <c r="S6462" s="37"/>
      <c r="T6462" s="91"/>
      <c r="U6462" s="91"/>
      <c r="V6462" s="41"/>
      <c r="W6462" s="37"/>
      <c r="X6462" s="37"/>
      <c r="Y6462" s="43"/>
      <c r="Z6462" s="37"/>
      <c r="AA6462" s="37"/>
      <c r="AD6462" s="37"/>
      <c r="AE6462" s="37"/>
      <c r="AF6462" s="37"/>
    </row>
    <row r="6463" spans="1:32" x14ac:dyDescent="0.25">
      <c r="A6463" s="37"/>
      <c r="B6463" s="37"/>
      <c r="C6463" s="37"/>
      <c r="F6463" s="38"/>
      <c r="G6463" s="38"/>
      <c r="H6463" s="38"/>
      <c r="I6463" s="37"/>
      <c r="J6463" s="38"/>
      <c r="K6463" s="38"/>
      <c r="L6463" s="42"/>
      <c r="M6463" s="42"/>
      <c r="N6463" s="42"/>
      <c r="O6463" s="42"/>
      <c r="R6463" s="37"/>
      <c r="S6463" s="37"/>
      <c r="T6463" s="91"/>
      <c r="U6463" s="91"/>
      <c r="V6463" s="41"/>
      <c r="W6463" s="37"/>
      <c r="X6463" s="37"/>
      <c r="Y6463" s="43"/>
      <c r="Z6463" s="37"/>
      <c r="AA6463" s="37"/>
      <c r="AD6463" s="37"/>
      <c r="AE6463" s="37"/>
      <c r="AF6463" s="37"/>
    </row>
    <row r="6464" spans="1:32" x14ac:dyDescent="0.25">
      <c r="A6464" s="37"/>
      <c r="B6464" s="37"/>
      <c r="C6464" s="37"/>
      <c r="F6464" s="38"/>
      <c r="G6464" s="38"/>
      <c r="H6464" s="38"/>
      <c r="I6464" s="37"/>
      <c r="J6464" s="38"/>
      <c r="K6464" s="38"/>
      <c r="L6464" s="42"/>
      <c r="M6464" s="42"/>
      <c r="N6464" s="42"/>
      <c r="O6464" s="42"/>
      <c r="R6464" s="37"/>
      <c r="S6464" s="37"/>
      <c r="T6464" s="91"/>
      <c r="U6464" s="91"/>
      <c r="V6464" s="41"/>
      <c r="W6464" s="37"/>
      <c r="X6464" s="37"/>
      <c r="Y6464" s="43"/>
      <c r="Z6464" s="37"/>
      <c r="AA6464" s="37"/>
      <c r="AD6464" s="37"/>
      <c r="AE6464" s="37"/>
      <c r="AF6464" s="37"/>
    </row>
    <row r="6465" spans="1:32" x14ac:dyDescent="0.25">
      <c r="A6465" s="37"/>
      <c r="B6465" s="37"/>
      <c r="C6465" s="37"/>
      <c r="F6465" s="38"/>
      <c r="G6465" s="38"/>
      <c r="H6465" s="38"/>
      <c r="I6465" s="37"/>
      <c r="J6465" s="38"/>
      <c r="K6465" s="38"/>
      <c r="L6465" s="42"/>
      <c r="M6465" s="42"/>
      <c r="N6465" s="42"/>
      <c r="O6465" s="42"/>
      <c r="R6465" s="37"/>
      <c r="S6465" s="37"/>
      <c r="T6465" s="91"/>
      <c r="U6465" s="91"/>
      <c r="V6465" s="41"/>
      <c r="W6465" s="37"/>
      <c r="X6465" s="37"/>
      <c r="Y6465" s="43"/>
      <c r="Z6465" s="37"/>
      <c r="AA6465" s="37"/>
      <c r="AD6465" s="37"/>
      <c r="AE6465" s="37"/>
      <c r="AF6465" s="37"/>
    </row>
    <row r="6466" spans="1:32" x14ac:dyDescent="0.25">
      <c r="A6466" s="37"/>
      <c r="B6466" s="37"/>
      <c r="C6466" s="37"/>
      <c r="F6466" s="38"/>
      <c r="G6466" s="38"/>
      <c r="H6466" s="38"/>
      <c r="I6466" s="37"/>
      <c r="J6466" s="38"/>
      <c r="K6466" s="38"/>
      <c r="L6466" s="42"/>
      <c r="M6466" s="42"/>
      <c r="N6466" s="42"/>
      <c r="O6466" s="42"/>
      <c r="R6466" s="37"/>
      <c r="S6466" s="37"/>
      <c r="T6466" s="91"/>
      <c r="U6466" s="91"/>
      <c r="V6466" s="41"/>
      <c r="W6466" s="37"/>
      <c r="X6466" s="37"/>
      <c r="Y6466" s="43"/>
      <c r="Z6466" s="37"/>
      <c r="AA6466" s="37"/>
      <c r="AD6466" s="37"/>
      <c r="AE6466" s="37"/>
      <c r="AF6466" s="37"/>
    </row>
    <row r="6467" spans="1:32" x14ac:dyDescent="0.25">
      <c r="A6467" s="37"/>
      <c r="B6467" s="37"/>
      <c r="C6467" s="37"/>
      <c r="F6467" s="38"/>
      <c r="G6467" s="38"/>
      <c r="H6467" s="38"/>
      <c r="I6467" s="37"/>
      <c r="J6467" s="38"/>
      <c r="K6467" s="38"/>
      <c r="L6467" s="42"/>
      <c r="M6467" s="42"/>
      <c r="N6467" s="42"/>
      <c r="O6467" s="42"/>
      <c r="R6467" s="37"/>
      <c r="S6467" s="37"/>
      <c r="T6467" s="91"/>
      <c r="U6467" s="91"/>
      <c r="V6467" s="41"/>
      <c r="W6467" s="37"/>
      <c r="X6467" s="37"/>
      <c r="Y6467" s="43"/>
      <c r="Z6467" s="37"/>
      <c r="AA6467" s="37"/>
      <c r="AD6467" s="37"/>
      <c r="AE6467" s="37"/>
      <c r="AF6467" s="37"/>
    </row>
    <row r="6468" spans="1:32" x14ac:dyDescent="0.25">
      <c r="A6468" s="37"/>
      <c r="B6468" s="37"/>
      <c r="C6468" s="37"/>
      <c r="F6468" s="38"/>
      <c r="G6468" s="38"/>
      <c r="H6468" s="38"/>
      <c r="I6468" s="37"/>
      <c r="J6468" s="38"/>
      <c r="K6468" s="38"/>
      <c r="L6468" s="42"/>
      <c r="M6468" s="42"/>
      <c r="N6468" s="42"/>
      <c r="O6468" s="42"/>
      <c r="R6468" s="37"/>
      <c r="S6468" s="37"/>
      <c r="T6468" s="91"/>
      <c r="U6468" s="91"/>
      <c r="V6468" s="41"/>
      <c r="W6468" s="37"/>
      <c r="X6468" s="37"/>
      <c r="Y6468" s="43"/>
      <c r="Z6468" s="37"/>
      <c r="AA6468" s="37"/>
      <c r="AD6468" s="37"/>
      <c r="AE6468" s="37"/>
      <c r="AF6468" s="37"/>
    </row>
    <row r="6469" spans="1:32" x14ac:dyDescent="0.25">
      <c r="A6469" s="37"/>
      <c r="B6469" s="37"/>
      <c r="C6469" s="37"/>
      <c r="F6469" s="38"/>
      <c r="G6469" s="38"/>
      <c r="H6469" s="38"/>
      <c r="I6469" s="37"/>
      <c r="J6469" s="38"/>
      <c r="K6469" s="38"/>
      <c r="L6469" s="42"/>
      <c r="M6469" s="42"/>
      <c r="N6469" s="42"/>
      <c r="O6469" s="42"/>
      <c r="R6469" s="37"/>
      <c r="S6469" s="37"/>
      <c r="T6469" s="91"/>
      <c r="U6469" s="91"/>
      <c r="V6469" s="41"/>
      <c r="W6469" s="37"/>
      <c r="X6469" s="37"/>
      <c r="Y6469" s="43"/>
      <c r="Z6469" s="37"/>
      <c r="AA6469" s="37"/>
      <c r="AD6469" s="37"/>
      <c r="AE6469" s="37"/>
      <c r="AF6469" s="37"/>
    </row>
    <row r="6470" spans="1:32" x14ac:dyDescent="0.25">
      <c r="A6470" s="37"/>
      <c r="B6470" s="37"/>
      <c r="C6470" s="37"/>
      <c r="F6470" s="38"/>
      <c r="G6470" s="38"/>
      <c r="H6470" s="38"/>
      <c r="I6470" s="37"/>
      <c r="J6470" s="38"/>
      <c r="K6470" s="38"/>
      <c r="L6470" s="42"/>
      <c r="M6470" s="42"/>
      <c r="N6470" s="42"/>
      <c r="O6470" s="42"/>
      <c r="R6470" s="37"/>
      <c r="S6470" s="37"/>
      <c r="T6470" s="91"/>
      <c r="U6470" s="91"/>
      <c r="V6470" s="41"/>
      <c r="W6470" s="37"/>
      <c r="X6470" s="37"/>
      <c r="Y6470" s="43"/>
      <c r="Z6470" s="37"/>
      <c r="AA6470" s="37"/>
      <c r="AD6470" s="37"/>
      <c r="AE6470" s="37"/>
      <c r="AF6470" s="37"/>
    </row>
    <row r="6471" spans="1:32" x14ac:dyDescent="0.25">
      <c r="A6471" s="37"/>
      <c r="B6471" s="37"/>
      <c r="C6471" s="37"/>
      <c r="F6471" s="38"/>
      <c r="G6471" s="38"/>
      <c r="H6471" s="38"/>
      <c r="I6471" s="37"/>
      <c r="J6471" s="38"/>
      <c r="K6471" s="38"/>
      <c r="L6471" s="42"/>
      <c r="M6471" s="42"/>
      <c r="N6471" s="42"/>
      <c r="O6471" s="42"/>
      <c r="R6471" s="37"/>
      <c r="S6471" s="37"/>
      <c r="T6471" s="91"/>
      <c r="U6471" s="91"/>
      <c r="V6471" s="41"/>
      <c r="W6471" s="37"/>
      <c r="X6471" s="37"/>
      <c r="Y6471" s="43"/>
      <c r="Z6471" s="37"/>
      <c r="AA6471" s="37"/>
      <c r="AD6471" s="37"/>
      <c r="AE6471" s="37"/>
      <c r="AF6471" s="37"/>
    </row>
    <row r="6472" spans="1:32" x14ac:dyDescent="0.25">
      <c r="A6472" s="37"/>
      <c r="B6472" s="37"/>
      <c r="C6472" s="37"/>
      <c r="F6472" s="38"/>
      <c r="G6472" s="38"/>
      <c r="H6472" s="38"/>
      <c r="I6472" s="37"/>
      <c r="J6472" s="38"/>
      <c r="K6472" s="38"/>
      <c r="L6472" s="42"/>
      <c r="M6472" s="42"/>
      <c r="N6472" s="42"/>
      <c r="O6472" s="42"/>
      <c r="R6472" s="37"/>
      <c r="S6472" s="37"/>
      <c r="T6472" s="91"/>
      <c r="U6472" s="91"/>
      <c r="V6472" s="41"/>
      <c r="W6472" s="37"/>
      <c r="X6472" s="37"/>
      <c r="Y6472" s="43"/>
      <c r="Z6472" s="37"/>
      <c r="AA6472" s="37"/>
      <c r="AD6472" s="37"/>
      <c r="AE6472" s="37"/>
      <c r="AF6472" s="37"/>
    </row>
    <row r="6473" spans="1:32" x14ac:dyDescent="0.25">
      <c r="A6473" s="37"/>
      <c r="B6473" s="37"/>
      <c r="C6473" s="37"/>
      <c r="F6473" s="38"/>
      <c r="G6473" s="38"/>
      <c r="H6473" s="38"/>
      <c r="I6473" s="37"/>
      <c r="J6473" s="38"/>
      <c r="K6473" s="38"/>
      <c r="L6473" s="42"/>
      <c r="M6473" s="42"/>
      <c r="N6473" s="42"/>
      <c r="O6473" s="42"/>
      <c r="R6473" s="37"/>
      <c r="S6473" s="37"/>
      <c r="T6473" s="91"/>
      <c r="U6473" s="91"/>
      <c r="V6473" s="41"/>
      <c r="W6473" s="37"/>
      <c r="X6473" s="37"/>
      <c r="Y6473" s="43"/>
      <c r="Z6473" s="37"/>
      <c r="AA6473" s="37"/>
      <c r="AD6473" s="37"/>
      <c r="AE6473" s="37"/>
      <c r="AF6473" s="37"/>
    </row>
    <row r="6474" spans="1:32" x14ac:dyDescent="0.25">
      <c r="A6474" s="37"/>
      <c r="B6474" s="37"/>
      <c r="C6474" s="37"/>
      <c r="F6474" s="38"/>
      <c r="G6474" s="38"/>
      <c r="H6474" s="38"/>
      <c r="I6474" s="37"/>
      <c r="J6474" s="38"/>
      <c r="K6474" s="38"/>
      <c r="L6474" s="42"/>
      <c r="M6474" s="42"/>
      <c r="N6474" s="42"/>
      <c r="O6474" s="42"/>
      <c r="R6474" s="37"/>
      <c r="S6474" s="37"/>
      <c r="T6474" s="91"/>
      <c r="U6474" s="91"/>
      <c r="V6474" s="41"/>
      <c r="W6474" s="37"/>
      <c r="X6474" s="37"/>
      <c r="Y6474" s="43"/>
      <c r="Z6474" s="37"/>
      <c r="AA6474" s="37"/>
      <c r="AD6474" s="37"/>
      <c r="AE6474" s="37"/>
      <c r="AF6474" s="37"/>
    </row>
    <row r="6475" spans="1:32" x14ac:dyDescent="0.25">
      <c r="A6475" s="37"/>
      <c r="B6475" s="37"/>
      <c r="C6475" s="37"/>
      <c r="F6475" s="38"/>
      <c r="G6475" s="38"/>
      <c r="H6475" s="38"/>
      <c r="I6475" s="37"/>
      <c r="J6475" s="38"/>
      <c r="K6475" s="38"/>
      <c r="L6475" s="42"/>
      <c r="M6475" s="42"/>
      <c r="N6475" s="42"/>
      <c r="O6475" s="42"/>
      <c r="R6475" s="37"/>
      <c r="S6475" s="37"/>
      <c r="T6475" s="91"/>
      <c r="U6475" s="91"/>
      <c r="V6475" s="41"/>
      <c r="W6475" s="37"/>
      <c r="X6475" s="37"/>
      <c r="Y6475" s="43"/>
      <c r="Z6475" s="37"/>
      <c r="AA6475" s="37"/>
      <c r="AD6475" s="37"/>
      <c r="AE6475" s="37"/>
      <c r="AF6475" s="37"/>
    </row>
    <row r="6476" spans="1:32" x14ac:dyDescent="0.25">
      <c r="A6476" s="37"/>
      <c r="B6476" s="37"/>
      <c r="C6476" s="37"/>
      <c r="F6476" s="38"/>
      <c r="G6476" s="38"/>
      <c r="H6476" s="38"/>
      <c r="I6476" s="37"/>
      <c r="J6476" s="38"/>
      <c r="K6476" s="38"/>
      <c r="L6476" s="42"/>
      <c r="M6476" s="42"/>
      <c r="N6476" s="42"/>
      <c r="O6476" s="42"/>
      <c r="R6476" s="37"/>
      <c r="S6476" s="37"/>
      <c r="T6476" s="91"/>
      <c r="U6476" s="91"/>
      <c r="V6476" s="41"/>
      <c r="W6476" s="37"/>
      <c r="X6476" s="37"/>
      <c r="Y6476" s="43"/>
      <c r="Z6476" s="37"/>
      <c r="AA6476" s="37"/>
      <c r="AD6476" s="37"/>
      <c r="AE6476" s="37"/>
      <c r="AF6476" s="37"/>
    </row>
    <row r="6477" spans="1:32" x14ac:dyDescent="0.25">
      <c r="A6477" s="37"/>
      <c r="B6477" s="37"/>
      <c r="C6477" s="37"/>
      <c r="F6477" s="38"/>
      <c r="G6477" s="38"/>
      <c r="H6477" s="38"/>
      <c r="I6477" s="37"/>
      <c r="J6477" s="38"/>
      <c r="K6477" s="38"/>
      <c r="L6477" s="42"/>
      <c r="M6477" s="42"/>
      <c r="N6477" s="42"/>
      <c r="O6477" s="42"/>
      <c r="R6477" s="37"/>
      <c r="S6477" s="37"/>
      <c r="T6477" s="91"/>
      <c r="U6477" s="91"/>
      <c r="V6477" s="41"/>
      <c r="W6477" s="37"/>
      <c r="X6477" s="37"/>
      <c r="Y6477" s="43"/>
      <c r="Z6477" s="37"/>
      <c r="AA6477" s="37"/>
      <c r="AD6477" s="37"/>
      <c r="AE6477" s="37"/>
      <c r="AF6477" s="37"/>
    </row>
    <row r="6478" spans="1:32" x14ac:dyDescent="0.25">
      <c r="A6478" s="37"/>
      <c r="B6478" s="37"/>
      <c r="C6478" s="37"/>
      <c r="F6478" s="38"/>
      <c r="G6478" s="38"/>
      <c r="H6478" s="38"/>
      <c r="I6478" s="37"/>
      <c r="J6478" s="38"/>
      <c r="K6478" s="38"/>
      <c r="L6478" s="42"/>
      <c r="M6478" s="42"/>
      <c r="N6478" s="42"/>
      <c r="O6478" s="42"/>
      <c r="R6478" s="37"/>
      <c r="S6478" s="37"/>
      <c r="T6478" s="91"/>
      <c r="U6478" s="91"/>
      <c r="V6478" s="41"/>
      <c r="W6478" s="37"/>
      <c r="X6478" s="37"/>
      <c r="Y6478" s="43"/>
      <c r="Z6478" s="37"/>
      <c r="AA6478" s="37"/>
      <c r="AD6478" s="37"/>
      <c r="AE6478" s="37"/>
      <c r="AF6478" s="37"/>
    </row>
    <row r="6479" spans="1:32" x14ac:dyDescent="0.25">
      <c r="A6479" s="37"/>
      <c r="B6479" s="37"/>
      <c r="C6479" s="37"/>
      <c r="F6479" s="38"/>
      <c r="G6479" s="38"/>
      <c r="H6479" s="38"/>
      <c r="I6479" s="37"/>
      <c r="J6479" s="38"/>
      <c r="K6479" s="38"/>
      <c r="L6479" s="42"/>
      <c r="M6479" s="42"/>
      <c r="N6479" s="42"/>
      <c r="O6479" s="42"/>
      <c r="R6479" s="37"/>
      <c r="S6479" s="37"/>
      <c r="T6479" s="91"/>
      <c r="U6479" s="91"/>
      <c r="V6479" s="41"/>
      <c r="W6479" s="37"/>
      <c r="X6479" s="37"/>
      <c r="Y6479" s="43"/>
      <c r="Z6479" s="37"/>
      <c r="AA6479" s="37"/>
      <c r="AD6479" s="37"/>
      <c r="AE6479" s="37"/>
      <c r="AF6479" s="37"/>
    </row>
    <row r="6480" spans="1:32" x14ac:dyDescent="0.25">
      <c r="A6480" s="37"/>
      <c r="B6480" s="37"/>
      <c r="C6480" s="37"/>
      <c r="F6480" s="38"/>
      <c r="G6480" s="38"/>
      <c r="H6480" s="38"/>
      <c r="I6480" s="37"/>
      <c r="J6480" s="38"/>
      <c r="K6480" s="38"/>
      <c r="L6480" s="42"/>
      <c r="M6480" s="42"/>
      <c r="N6480" s="42"/>
      <c r="O6480" s="42"/>
      <c r="R6480" s="37"/>
      <c r="S6480" s="37"/>
      <c r="T6480" s="91"/>
      <c r="U6480" s="91"/>
      <c r="V6480" s="41"/>
      <c r="W6480" s="37"/>
      <c r="X6480" s="37"/>
      <c r="Y6480" s="43"/>
      <c r="Z6480" s="37"/>
      <c r="AA6480" s="37"/>
      <c r="AD6480" s="37"/>
      <c r="AE6480" s="37"/>
      <c r="AF6480" s="37"/>
    </row>
    <row r="6481" spans="1:32" x14ac:dyDescent="0.25">
      <c r="A6481" s="37"/>
      <c r="B6481" s="37"/>
      <c r="C6481" s="37"/>
      <c r="F6481" s="38"/>
      <c r="G6481" s="38"/>
      <c r="H6481" s="38"/>
      <c r="I6481" s="37"/>
      <c r="J6481" s="38"/>
      <c r="K6481" s="38"/>
      <c r="L6481" s="42"/>
      <c r="M6481" s="42"/>
      <c r="N6481" s="42"/>
      <c r="O6481" s="42"/>
      <c r="R6481" s="37"/>
      <c r="S6481" s="37"/>
      <c r="T6481" s="91"/>
      <c r="U6481" s="91"/>
      <c r="V6481" s="41"/>
      <c r="W6481" s="37"/>
      <c r="X6481" s="37"/>
      <c r="Y6481" s="43"/>
      <c r="Z6481" s="37"/>
      <c r="AA6481" s="37"/>
      <c r="AD6481" s="37"/>
      <c r="AE6481" s="37"/>
      <c r="AF6481" s="37"/>
    </row>
    <row r="6482" spans="1:32" x14ac:dyDescent="0.25">
      <c r="A6482" s="37"/>
      <c r="B6482" s="37"/>
      <c r="C6482" s="37"/>
      <c r="F6482" s="38"/>
      <c r="G6482" s="38"/>
      <c r="H6482" s="38"/>
      <c r="I6482" s="37"/>
      <c r="J6482" s="38"/>
      <c r="K6482" s="38"/>
      <c r="L6482" s="42"/>
      <c r="M6482" s="42"/>
      <c r="N6482" s="42"/>
      <c r="O6482" s="42"/>
      <c r="R6482" s="37"/>
      <c r="S6482" s="37"/>
      <c r="T6482" s="91"/>
      <c r="U6482" s="91"/>
      <c r="V6482" s="41"/>
      <c r="W6482" s="37"/>
      <c r="X6482" s="37"/>
      <c r="Y6482" s="43"/>
      <c r="Z6482" s="37"/>
      <c r="AA6482" s="37"/>
      <c r="AD6482" s="37"/>
      <c r="AE6482" s="37"/>
      <c r="AF6482" s="37"/>
    </row>
    <row r="6483" spans="1:32" x14ac:dyDescent="0.25">
      <c r="A6483" s="37"/>
      <c r="B6483" s="37"/>
      <c r="C6483" s="37"/>
      <c r="F6483" s="38"/>
      <c r="G6483" s="38"/>
      <c r="H6483" s="38"/>
      <c r="I6483" s="37"/>
      <c r="J6483" s="38"/>
      <c r="K6483" s="38"/>
      <c r="L6483" s="42"/>
      <c r="M6483" s="42"/>
      <c r="N6483" s="42"/>
      <c r="O6483" s="42"/>
      <c r="R6483" s="37"/>
      <c r="S6483" s="37"/>
      <c r="T6483" s="91"/>
      <c r="U6483" s="91"/>
      <c r="V6483" s="41"/>
      <c r="W6483" s="37"/>
      <c r="X6483" s="37"/>
      <c r="Y6483" s="43"/>
      <c r="Z6483" s="37"/>
      <c r="AA6483" s="37"/>
      <c r="AD6483" s="37"/>
      <c r="AE6483" s="37"/>
      <c r="AF6483" s="37"/>
    </row>
    <row r="6484" spans="1:32" x14ac:dyDescent="0.25">
      <c r="A6484" s="37"/>
      <c r="B6484" s="37"/>
      <c r="C6484" s="37"/>
      <c r="F6484" s="38"/>
      <c r="G6484" s="38"/>
      <c r="H6484" s="38"/>
      <c r="I6484" s="37"/>
      <c r="J6484" s="38"/>
      <c r="K6484" s="38"/>
      <c r="L6484" s="42"/>
      <c r="M6484" s="42"/>
      <c r="N6484" s="42"/>
      <c r="O6484" s="42"/>
      <c r="R6484" s="37"/>
      <c r="S6484" s="37"/>
      <c r="T6484" s="91"/>
      <c r="U6484" s="91"/>
      <c r="V6484" s="41"/>
      <c r="W6484" s="37"/>
      <c r="X6484" s="37"/>
      <c r="Y6484" s="43"/>
      <c r="Z6484" s="37"/>
      <c r="AA6484" s="37"/>
      <c r="AD6484" s="37"/>
      <c r="AE6484" s="37"/>
      <c r="AF6484" s="37"/>
    </row>
    <row r="6485" spans="1:32" x14ac:dyDescent="0.25">
      <c r="A6485" s="37"/>
      <c r="B6485" s="37"/>
      <c r="C6485" s="37"/>
      <c r="F6485" s="38"/>
      <c r="G6485" s="38"/>
      <c r="H6485" s="38"/>
      <c r="I6485" s="37"/>
      <c r="J6485" s="38"/>
      <c r="K6485" s="38"/>
      <c r="L6485" s="42"/>
      <c r="M6485" s="42"/>
      <c r="N6485" s="42"/>
      <c r="O6485" s="42"/>
      <c r="R6485" s="37"/>
      <c r="S6485" s="37"/>
      <c r="T6485" s="91"/>
      <c r="U6485" s="91"/>
      <c r="V6485" s="41"/>
      <c r="W6485" s="37"/>
      <c r="X6485" s="37"/>
      <c r="Y6485" s="43"/>
      <c r="Z6485" s="37"/>
      <c r="AA6485" s="37"/>
      <c r="AD6485" s="37"/>
      <c r="AE6485" s="37"/>
      <c r="AF6485" s="37"/>
    </row>
    <row r="6486" spans="1:32" x14ac:dyDescent="0.25">
      <c r="A6486" s="37"/>
      <c r="B6486" s="37"/>
      <c r="C6486" s="37"/>
      <c r="F6486" s="38"/>
      <c r="G6486" s="38"/>
      <c r="H6486" s="38"/>
      <c r="I6486" s="37"/>
      <c r="J6486" s="38"/>
      <c r="K6486" s="38"/>
      <c r="L6486" s="42"/>
      <c r="M6486" s="42"/>
      <c r="N6486" s="42"/>
      <c r="O6486" s="42"/>
      <c r="R6486" s="37"/>
      <c r="S6486" s="37"/>
      <c r="T6486" s="91"/>
      <c r="U6486" s="91"/>
      <c r="V6486" s="41"/>
      <c r="W6486" s="37"/>
      <c r="X6486" s="37"/>
      <c r="Y6486" s="43"/>
      <c r="Z6486" s="37"/>
      <c r="AA6486" s="37"/>
      <c r="AD6486" s="37"/>
      <c r="AE6486" s="37"/>
      <c r="AF6486" s="37"/>
    </row>
    <row r="6487" spans="1:32" x14ac:dyDescent="0.25">
      <c r="A6487" s="37"/>
      <c r="B6487" s="37"/>
      <c r="C6487" s="37"/>
      <c r="F6487" s="38"/>
      <c r="G6487" s="38"/>
      <c r="H6487" s="38"/>
      <c r="I6487" s="37"/>
      <c r="J6487" s="38"/>
      <c r="K6487" s="38"/>
      <c r="L6487" s="42"/>
      <c r="M6487" s="42"/>
      <c r="N6487" s="42"/>
      <c r="O6487" s="42"/>
      <c r="R6487" s="37"/>
      <c r="S6487" s="37"/>
      <c r="T6487" s="91"/>
      <c r="U6487" s="91"/>
      <c r="V6487" s="41"/>
      <c r="W6487" s="37"/>
      <c r="X6487" s="37"/>
      <c r="Y6487" s="43"/>
      <c r="Z6487" s="37"/>
      <c r="AA6487" s="37"/>
      <c r="AD6487" s="37"/>
      <c r="AE6487" s="37"/>
      <c r="AF6487" s="37"/>
    </row>
    <row r="6488" spans="1:32" x14ac:dyDescent="0.25">
      <c r="A6488" s="37"/>
      <c r="B6488" s="37"/>
      <c r="C6488" s="37"/>
      <c r="F6488" s="38"/>
      <c r="G6488" s="38"/>
      <c r="H6488" s="38"/>
      <c r="I6488" s="37"/>
      <c r="J6488" s="38"/>
      <c r="K6488" s="38"/>
      <c r="L6488" s="42"/>
      <c r="M6488" s="42"/>
      <c r="N6488" s="42"/>
      <c r="O6488" s="42"/>
      <c r="R6488" s="37"/>
      <c r="S6488" s="37"/>
      <c r="T6488" s="91"/>
      <c r="U6488" s="91"/>
      <c r="V6488" s="41"/>
      <c r="W6488" s="37"/>
      <c r="X6488" s="37"/>
      <c r="Y6488" s="43"/>
      <c r="Z6488" s="37"/>
      <c r="AA6488" s="37"/>
      <c r="AD6488" s="37"/>
      <c r="AE6488" s="37"/>
      <c r="AF6488" s="37"/>
    </row>
    <row r="6489" spans="1:32" x14ac:dyDescent="0.25">
      <c r="A6489" s="37"/>
      <c r="B6489" s="37"/>
      <c r="C6489" s="37"/>
      <c r="F6489" s="38"/>
      <c r="G6489" s="38"/>
      <c r="H6489" s="38"/>
      <c r="I6489" s="37"/>
      <c r="J6489" s="38"/>
      <c r="K6489" s="38"/>
      <c r="L6489" s="42"/>
      <c r="M6489" s="42"/>
      <c r="N6489" s="42"/>
      <c r="O6489" s="42"/>
      <c r="R6489" s="37"/>
      <c r="S6489" s="37"/>
      <c r="T6489" s="91"/>
      <c r="U6489" s="91"/>
      <c r="V6489" s="41"/>
      <c r="W6489" s="37"/>
      <c r="X6489" s="37"/>
      <c r="Y6489" s="43"/>
      <c r="Z6489" s="37"/>
      <c r="AA6489" s="37"/>
      <c r="AD6489" s="37"/>
      <c r="AE6489" s="37"/>
      <c r="AF6489" s="37"/>
    </row>
    <row r="6490" spans="1:32" x14ac:dyDescent="0.25">
      <c r="A6490" s="37"/>
      <c r="B6490" s="37"/>
      <c r="C6490" s="37"/>
      <c r="F6490" s="38"/>
      <c r="G6490" s="38"/>
      <c r="H6490" s="38"/>
      <c r="I6490" s="37"/>
      <c r="J6490" s="38"/>
      <c r="K6490" s="38"/>
      <c r="L6490" s="42"/>
      <c r="M6490" s="42"/>
      <c r="N6490" s="42"/>
      <c r="O6490" s="42"/>
      <c r="R6490" s="37"/>
      <c r="S6490" s="37"/>
      <c r="T6490" s="91"/>
      <c r="U6490" s="91"/>
      <c r="V6490" s="41"/>
      <c r="W6490" s="37"/>
      <c r="X6490" s="37"/>
      <c r="Y6490" s="43"/>
      <c r="Z6490" s="37"/>
      <c r="AA6490" s="37"/>
      <c r="AD6490" s="37"/>
      <c r="AE6490" s="37"/>
      <c r="AF6490" s="37"/>
    </row>
    <row r="6491" spans="1:32" x14ac:dyDescent="0.25">
      <c r="A6491" s="37"/>
      <c r="B6491" s="37"/>
      <c r="C6491" s="37"/>
      <c r="F6491" s="38"/>
      <c r="G6491" s="38"/>
      <c r="H6491" s="38"/>
      <c r="I6491" s="37"/>
      <c r="J6491" s="38"/>
      <c r="K6491" s="38"/>
      <c r="L6491" s="42"/>
      <c r="M6491" s="42"/>
      <c r="N6491" s="42"/>
      <c r="O6491" s="42"/>
      <c r="R6491" s="37"/>
      <c r="S6491" s="37"/>
      <c r="T6491" s="91"/>
      <c r="U6491" s="91"/>
      <c r="V6491" s="41"/>
      <c r="W6491" s="37"/>
      <c r="X6491" s="37"/>
      <c r="Y6491" s="43"/>
      <c r="Z6491" s="37"/>
      <c r="AA6491" s="37"/>
      <c r="AD6491" s="37"/>
      <c r="AE6491" s="37"/>
      <c r="AF6491" s="37"/>
    </row>
    <row r="6492" spans="1:32" x14ac:dyDescent="0.25">
      <c r="A6492" s="37"/>
      <c r="B6492" s="37"/>
      <c r="C6492" s="37"/>
      <c r="F6492" s="38"/>
      <c r="G6492" s="38"/>
      <c r="H6492" s="38"/>
      <c r="I6492" s="37"/>
      <c r="J6492" s="38"/>
      <c r="K6492" s="38"/>
      <c r="L6492" s="42"/>
      <c r="M6492" s="42"/>
      <c r="N6492" s="42"/>
      <c r="O6492" s="42"/>
      <c r="R6492" s="37"/>
      <c r="S6492" s="37"/>
      <c r="T6492" s="91"/>
      <c r="U6492" s="91"/>
      <c r="V6492" s="41"/>
      <c r="W6492" s="37"/>
      <c r="X6492" s="37"/>
      <c r="Y6492" s="43"/>
      <c r="Z6492" s="37"/>
      <c r="AA6492" s="37"/>
      <c r="AD6492" s="37"/>
      <c r="AE6492" s="37"/>
      <c r="AF6492" s="37"/>
    </row>
    <row r="6493" spans="1:32" x14ac:dyDescent="0.25">
      <c r="A6493" s="37"/>
      <c r="B6493" s="37"/>
      <c r="C6493" s="37"/>
      <c r="F6493" s="38"/>
      <c r="G6493" s="38"/>
      <c r="H6493" s="38"/>
      <c r="I6493" s="37"/>
      <c r="J6493" s="38"/>
      <c r="K6493" s="38"/>
      <c r="L6493" s="42"/>
      <c r="M6493" s="42"/>
      <c r="N6493" s="42"/>
      <c r="O6493" s="42"/>
      <c r="R6493" s="37"/>
      <c r="S6493" s="37"/>
      <c r="T6493" s="91"/>
      <c r="U6493" s="91"/>
      <c r="V6493" s="41"/>
      <c r="W6493" s="37"/>
      <c r="X6493" s="37"/>
      <c r="Y6493" s="43"/>
      <c r="Z6493" s="37"/>
      <c r="AA6493" s="37"/>
      <c r="AD6493" s="37"/>
      <c r="AE6493" s="37"/>
      <c r="AF6493" s="37"/>
    </row>
    <row r="6494" spans="1:32" x14ac:dyDescent="0.25">
      <c r="A6494" s="37"/>
      <c r="B6494" s="37"/>
      <c r="C6494" s="37"/>
      <c r="F6494" s="38"/>
      <c r="G6494" s="38"/>
      <c r="H6494" s="38"/>
      <c r="I6494" s="37"/>
      <c r="J6494" s="38"/>
      <c r="K6494" s="38"/>
      <c r="L6494" s="42"/>
      <c r="M6494" s="42"/>
      <c r="N6494" s="42"/>
      <c r="O6494" s="42"/>
      <c r="R6494" s="37"/>
      <c r="S6494" s="37"/>
      <c r="T6494" s="91"/>
      <c r="U6494" s="91"/>
      <c r="V6494" s="41"/>
      <c r="W6494" s="37"/>
      <c r="X6494" s="37"/>
      <c r="Y6494" s="43"/>
      <c r="Z6494" s="37"/>
      <c r="AA6494" s="37"/>
      <c r="AD6494" s="37"/>
      <c r="AE6494" s="37"/>
      <c r="AF6494" s="37"/>
    </row>
    <row r="6495" spans="1:32" x14ac:dyDescent="0.25">
      <c r="A6495" s="37"/>
      <c r="B6495" s="37"/>
      <c r="C6495" s="37"/>
      <c r="F6495" s="38"/>
      <c r="G6495" s="38"/>
      <c r="H6495" s="38"/>
      <c r="I6495" s="37"/>
      <c r="J6495" s="38"/>
      <c r="K6495" s="38"/>
      <c r="L6495" s="42"/>
      <c r="M6495" s="42"/>
      <c r="N6495" s="42"/>
      <c r="O6495" s="42"/>
      <c r="R6495" s="37"/>
      <c r="S6495" s="37"/>
      <c r="T6495" s="91"/>
      <c r="U6495" s="91"/>
      <c r="V6495" s="41"/>
      <c r="W6495" s="37"/>
      <c r="X6495" s="37"/>
      <c r="Y6495" s="43"/>
      <c r="Z6495" s="37"/>
      <c r="AA6495" s="37"/>
      <c r="AD6495" s="37"/>
      <c r="AE6495" s="37"/>
      <c r="AF6495" s="37"/>
    </row>
    <row r="6496" spans="1:32" x14ac:dyDescent="0.25">
      <c r="A6496" s="37"/>
      <c r="B6496" s="37"/>
      <c r="C6496" s="37"/>
      <c r="F6496" s="38"/>
      <c r="G6496" s="38"/>
      <c r="H6496" s="38"/>
      <c r="I6496" s="37"/>
      <c r="J6496" s="38"/>
      <c r="K6496" s="38"/>
      <c r="L6496" s="42"/>
      <c r="M6496" s="42"/>
      <c r="N6496" s="42"/>
      <c r="O6496" s="42"/>
      <c r="R6496" s="37"/>
      <c r="S6496" s="37"/>
      <c r="T6496" s="91"/>
      <c r="U6496" s="91"/>
      <c r="V6496" s="41"/>
      <c r="W6496" s="37"/>
      <c r="X6496" s="37"/>
      <c r="Y6496" s="43"/>
      <c r="Z6496" s="37"/>
      <c r="AA6496" s="37"/>
      <c r="AD6496" s="37"/>
      <c r="AE6496" s="37"/>
      <c r="AF6496" s="37"/>
    </row>
    <row r="6497" spans="1:32" x14ac:dyDescent="0.25">
      <c r="A6497" s="37"/>
      <c r="B6497" s="37"/>
      <c r="C6497" s="37"/>
      <c r="F6497" s="38"/>
      <c r="G6497" s="38"/>
      <c r="H6497" s="38"/>
      <c r="I6497" s="37"/>
      <c r="J6497" s="38"/>
      <c r="K6497" s="38"/>
      <c r="L6497" s="42"/>
      <c r="M6497" s="42"/>
      <c r="N6497" s="42"/>
      <c r="O6497" s="42"/>
      <c r="R6497" s="37"/>
      <c r="S6497" s="37"/>
      <c r="T6497" s="91"/>
      <c r="U6497" s="91"/>
      <c r="V6497" s="41"/>
      <c r="W6497" s="37"/>
      <c r="X6497" s="37"/>
      <c r="Y6497" s="43"/>
      <c r="Z6497" s="37"/>
      <c r="AA6497" s="37"/>
      <c r="AD6497" s="37"/>
      <c r="AE6497" s="37"/>
      <c r="AF6497" s="37"/>
    </row>
    <row r="6498" spans="1:32" x14ac:dyDescent="0.25">
      <c r="A6498" s="37"/>
      <c r="B6498" s="37"/>
      <c r="C6498" s="37"/>
      <c r="F6498" s="38"/>
      <c r="G6498" s="38"/>
      <c r="H6498" s="38"/>
      <c r="I6498" s="37"/>
      <c r="J6498" s="38"/>
      <c r="K6498" s="38"/>
      <c r="L6498" s="42"/>
      <c r="M6498" s="42"/>
      <c r="N6498" s="42"/>
      <c r="O6498" s="42"/>
      <c r="R6498" s="37"/>
      <c r="S6498" s="37"/>
      <c r="T6498" s="91"/>
      <c r="U6498" s="91"/>
      <c r="V6498" s="41"/>
      <c r="W6498" s="37"/>
      <c r="X6498" s="37"/>
      <c r="Y6498" s="43"/>
      <c r="Z6498" s="37"/>
      <c r="AA6498" s="37"/>
      <c r="AD6498" s="37"/>
      <c r="AE6498" s="37"/>
      <c r="AF6498" s="37"/>
    </row>
    <row r="6499" spans="1:32" x14ac:dyDescent="0.25">
      <c r="A6499" s="37"/>
      <c r="B6499" s="37"/>
      <c r="C6499" s="37"/>
      <c r="F6499" s="38"/>
      <c r="G6499" s="38"/>
      <c r="H6499" s="38"/>
      <c r="I6499" s="37"/>
      <c r="J6499" s="38"/>
      <c r="K6499" s="38"/>
      <c r="L6499" s="42"/>
      <c r="M6499" s="42"/>
      <c r="N6499" s="42"/>
      <c r="O6499" s="42"/>
      <c r="R6499" s="37"/>
      <c r="S6499" s="37"/>
      <c r="T6499" s="91"/>
      <c r="U6499" s="91"/>
      <c r="V6499" s="41"/>
      <c r="W6499" s="37"/>
      <c r="X6499" s="37"/>
      <c r="Y6499" s="43"/>
      <c r="Z6499" s="37"/>
      <c r="AA6499" s="37"/>
      <c r="AD6499" s="37"/>
      <c r="AE6499" s="37"/>
      <c r="AF6499" s="37"/>
    </row>
    <row r="6500" spans="1:32" x14ac:dyDescent="0.25">
      <c r="A6500" s="37"/>
      <c r="B6500" s="37"/>
      <c r="C6500" s="37"/>
      <c r="F6500" s="38"/>
      <c r="G6500" s="38"/>
      <c r="H6500" s="38"/>
      <c r="I6500" s="37"/>
      <c r="J6500" s="38"/>
      <c r="K6500" s="38"/>
      <c r="L6500" s="42"/>
      <c r="M6500" s="42"/>
      <c r="N6500" s="42"/>
      <c r="O6500" s="42"/>
      <c r="R6500" s="37"/>
      <c r="S6500" s="37"/>
      <c r="T6500" s="91"/>
      <c r="U6500" s="91"/>
      <c r="V6500" s="41"/>
      <c r="W6500" s="37"/>
      <c r="X6500" s="37"/>
      <c r="Y6500" s="43"/>
      <c r="Z6500" s="37"/>
      <c r="AA6500" s="37"/>
      <c r="AD6500" s="37"/>
      <c r="AE6500" s="37"/>
      <c r="AF6500" s="37"/>
    </row>
    <row r="6501" spans="1:32" x14ac:dyDescent="0.25">
      <c r="A6501" s="37"/>
      <c r="B6501" s="37"/>
      <c r="C6501" s="37"/>
      <c r="F6501" s="38"/>
      <c r="G6501" s="38"/>
      <c r="H6501" s="38"/>
      <c r="I6501" s="37"/>
      <c r="J6501" s="38"/>
      <c r="K6501" s="38"/>
      <c r="L6501" s="42"/>
      <c r="M6501" s="42"/>
      <c r="N6501" s="42"/>
      <c r="O6501" s="42"/>
      <c r="R6501" s="37"/>
      <c r="S6501" s="37"/>
      <c r="T6501" s="91"/>
      <c r="U6501" s="91"/>
      <c r="V6501" s="41"/>
      <c r="W6501" s="37"/>
      <c r="X6501" s="37"/>
      <c r="Y6501" s="43"/>
      <c r="Z6501" s="37"/>
      <c r="AA6501" s="37"/>
      <c r="AD6501" s="37"/>
      <c r="AE6501" s="37"/>
      <c r="AF6501" s="37"/>
    </row>
    <row r="6502" spans="1:32" x14ac:dyDescent="0.25">
      <c r="A6502" s="37"/>
      <c r="B6502" s="37"/>
      <c r="C6502" s="37"/>
      <c r="F6502" s="38"/>
      <c r="G6502" s="38"/>
      <c r="H6502" s="38"/>
      <c r="I6502" s="37"/>
      <c r="J6502" s="38"/>
      <c r="K6502" s="38"/>
      <c r="L6502" s="42"/>
      <c r="M6502" s="42"/>
      <c r="N6502" s="42"/>
      <c r="O6502" s="42"/>
      <c r="R6502" s="37"/>
      <c r="S6502" s="37"/>
      <c r="T6502" s="91"/>
      <c r="U6502" s="91"/>
      <c r="V6502" s="41"/>
      <c r="W6502" s="37"/>
      <c r="X6502" s="37"/>
      <c r="Y6502" s="43"/>
      <c r="Z6502" s="37"/>
      <c r="AA6502" s="37"/>
      <c r="AD6502" s="37"/>
      <c r="AE6502" s="37"/>
      <c r="AF6502" s="37"/>
    </row>
    <row r="6503" spans="1:32" x14ac:dyDescent="0.25">
      <c r="A6503" s="37"/>
      <c r="B6503" s="37"/>
      <c r="C6503" s="37"/>
      <c r="F6503" s="38"/>
      <c r="G6503" s="38"/>
      <c r="H6503" s="38"/>
      <c r="I6503" s="37"/>
      <c r="J6503" s="38"/>
      <c r="K6503" s="38"/>
      <c r="L6503" s="42"/>
      <c r="M6503" s="42"/>
      <c r="N6503" s="42"/>
      <c r="O6503" s="42"/>
      <c r="R6503" s="37"/>
      <c r="S6503" s="37"/>
      <c r="T6503" s="91"/>
      <c r="U6503" s="91"/>
      <c r="V6503" s="41"/>
      <c r="W6503" s="37"/>
      <c r="X6503" s="37"/>
      <c r="Y6503" s="43"/>
      <c r="Z6503" s="37"/>
      <c r="AA6503" s="37"/>
      <c r="AD6503" s="37"/>
      <c r="AE6503" s="37"/>
      <c r="AF6503" s="37"/>
    </row>
    <row r="6504" spans="1:32" x14ac:dyDescent="0.25">
      <c r="A6504" s="37"/>
      <c r="B6504" s="37"/>
      <c r="C6504" s="37"/>
      <c r="F6504" s="38"/>
      <c r="G6504" s="38"/>
      <c r="H6504" s="38"/>
      <c r="I6504" s="37"/>
      <c r="J6504" s="38"/>
      <c r="K6504" s="38"/>
      <c r="L6504" s="42"/>
      <c r="M6504" s="42"/>
      <c r="N6504" s="42"/>
      <c r="O6504" s="42"/>
      <c r="R6504" s="37"/>
      <c r="S6504" s="37"/>
      <c r="T6504" s="91"/>
      <c r="U6504" s="91"/>
      <c r="V6504" s="41"/>
      <c r="W6504" s="37"/>
      <c r="X6504" s="37"/>
      <c r="Y6504" s="43"/>
      <c r="Z6504" s="37"/>
      <c r="AA6504" s="37"/>
      <c r="AD6504" s="37"/>
      <c r="AE6504" s="37"/>
      <c r="AF6504" s="37"/>
    </row>
    <row r="6505" spans="1:32" x14ac:dyDescent="0.25">
      <c r="A6505" s="37"/>
      <c r="B6505" s="37"/>
      <c r="C6505" s="37"/>
      <c r="F6505" s="38"/>
      <c r="G6505" s="38"/>
      <c r="H6505" s="38"/>
      <c r="I6505" s="37"/>
      <c r="J6505" s="38"/>
      <c r="K6505" s="38"/>
      <c r="L6505" s="42"/>
      <c r="M6505" s="42"/>
      <c r="N6505" s="42"/>
      <c r="O6505" s="42"/>
      <c r="R6505" s="37"/>
      <c r="S6505" s="37"/>
      <c r="T6505" s="91"/>
      <c r="U6505" s="91"/>
      <c r="V6505" s="41"/>
      <c r="W6505" s="37"/>
      <c r="X6505" s="37"/>
      <c r="Y6505" s="43"/>
      <c r="Z6505" s="37"/>
      <c r="AA6505" s="37"/>
      <c r="AD6505" s="37"/>
      <c r="AE6505" s="37"/>
      <c r="AF6505" s="37"/>
    </row>
    <row r="6506" spans="1:32" x14ac:dyDescent="0.25">
      <c r="A6506" s="37"/>
      <c r="B6506" s="37"/>
      <c r="C6506" s="37"/>
      <c r="F6506" s="38"/>
      <c r="G6506" s="38"/>
      <c r="H6506" s="38"/>
      <c r="I6506" s="37"/>
      <c r="J6506" s="38"/>
      <c r="K6506" s="38"/>
      <c r="L6506" s="42"/>
      <c r="M6506" s="42"/>
      <c r="N6506" s="42"/>
      <c r="O6506" s="42"/>
      <c r="R6506" s="37"/>
      <c r="S6506" s="37"/>
      <c r="T6506" s="91"/>
      <c r="U6506" s="91"/>
      <c r="V6506" s="41"/>
      <c r="W6506" s="37"/>
      <c r="X6506" s="37"/>
      <c r="Y6506" s="43"/>
      <c r="Z6506" s="37"/>
      <c r="AA6506" s="37"/>
      <c r="AD6506" s="37"/>
      <c r="AE6506" s="37"/>
      <c r="AF6506" s="37"/>
    </row>
    <row r="6507" spans="1:32" x14ac:dyDescent="0.25">
      <c r="A6507" s="37"/>
      <c r="B6507" s="37"/>
      <c r="C6507" s="37"/>
      <c r="F6507" s="38"/>
      <c r="G6507" s="38"/>
      <c r="H6507" s="38"/>
      <c r="I6507" s="37"/>
      <c r="J6507" s="38"/>
      <c r="K6507" s="38"/>
      <c r="L6507" s="42"/>
      <c r="M6507" s="42"/>
      <c r="N6507" s="42"/>
      <c r="O6507" s="42"/>
      <c r="R6507" s="37"/>
      <c r="S6507" s="37"/>
      <c r="T6507" s="91"/>
      <c r="U6507" s="91"/>
      <c r="V6507" s="41"/>
      <c r="W6507" s="37"/>
      <c r="X6507" s="37"/>
      <c r="Y6507" s="43"/>
      <c r="Z6507" s="37"/>
      <c r="AA6507" s="37"/>
      <c r="AD6507" s="37"/>
      <c r="AE6507" s="37"/>
      <c r="AF6507" s="37"/>
    </row>
    <row r="6508" spans="1:32" x14ac:dyDescent="0.25">
      <c r="A6508" s="37"/>
      <c r="B6508" s="37"/>
      <c r="C6508" s="37"/>
      <c r="F6508" s="38"/>
      <c r="G6508" s="38"/>
      <c r="H6508" s="38"/>
      <c r="I6508" s="37"/>
      <c r="J6508" s="38"/>
      <c r="K6508" s="38"/>
      <c r="L6508" s="42"/>
      <c r="M6508" s="42"/>
      <c r="N6508" s="42"/>
      <c r="O6508" s="42"/>
      <c r="R6508" s="37"/>
      <c r="S6508" s="37"/>
      <c r="T6508" s="91"/>
      <c r="U6508" s="91"/>
      <c r="V6508" s="41"/>
      <c r="W6508" s="37"/>
      <c r="X6508" s="37"/>
      <c r="Y6508" s="43"/>
      <c r="Z6508" s="37"/>
      <c r="AA6508" s="37"/>
      <c r="AD6508" s="37"/>
      <c r="AE6508" s="37"/>
      <c r="AF6508" s="37"/>
    </row>
    <row r="6509" spans="1:32" x14ac:dyDescent="0.25">
      <c r="A6509" s="37"/>
      <c r="B6509" s="37"/>
      <c r="C6509" s="37"/>
      <c r="F6509" s="38"/>
      <c r="G6509" s="38"/>
      <c r="H6509" s="38"/>
      <c r="I6509" s="37"/>
      <c r="J6509" s="38"/>
      <c r="K6509" s="38"/>
      <c r="L6509" s="42"/>
      <c r="M6509" s="42"/>
      <c r="N6509" s="42"/>
      <c r="O6509" s="42"/>
      <c r="R6509" s="37"/>
      <c r="S6509" s="37"/>
      <c r="T6509" s="91"/>
      <c r="U6509" s="91"/>
      <c r="V6509" s="41"/>
      <c r="W6509" s="37"/>
      <c r="X6509" s="37"/>
      <c r="Y6509" s="43"/>
      <c r="Z6509" s="37"/>
      <c r="AA6509" s="37"/>
      <c r="AD6509" s="37"/>
      <c r="AE6509" s="37"/>
      <c r="AF6509" s="37"/>
    </row>
    <row r="6510" spans="1:32" x14ac:dyDescent="0.25">
      <c r="A6510" s="37"/>
      <c r="B6510" s="37"/>
      <c r="C6510" s="37"/>
      <c r="F6510" s="38"/>
      <c r="G6510" s="38"/>
      <c r="H6510" s="38"/>
      <c r="I6510" s="37"/>
      <c r="J6510" s="38"/>
      <c r="K6510" s="38"/>
      <c r="L6510" s="42"/>
      <c r="M6510" s="42"/>
      <c r="N6510" s="42"/>
      <c r="O6510" s="42"/>
      <c r="R6510" s="37"/>
      <c r="S6510" s="37"/>
      <c r="T6510" s="91"/>
      <c r="U6510" s="91"/>
      <c r="V6510" s="41"/>
      <c r="W6510" s="37"/>
      <c r="X6510" s="37"/>
      <c r="Y6510" s="43"/>
      <c r="Z6510" s="37"/>
      <c r="AA6510" s="37"/>
      <c r="AD6510" s="37"/>
      <c r="AE6510" s="37"/>
      <c r="AF6510" s="37"/>
    </row>
    <row r="6511" spans="1:32" x14ac:dyDescent="0.25">
      <c r="A6511" s="37"/>
      <c r="B6511" s="37"/>
      <c r="C6511" s="37"/>
      <c r="F6511" s="38"/>
      <c r="G6511" s="38"/>
      <c r="H6511" s="38"/>
      <c r="I6511" s="37"/>
      <c r="J6511" s="38"/>
      <c r="K6511" s="38"/>
      <c r="L6511" s="42"/>
      <c r="M6511" s="42"/>
      <c r="N6511" s="42"/>
      <c r="O6511" s="42"/>
      <c r="R6511" s="37"/>
      <c r="S6511" s="37"/>
      <c r="T6511" s="91"/>
      <c r="U6511" s="91"/>
      <c r="V6511" s="41"/>
      <c r="W6511" s="37"/>
      <c r="X6511" s="37"/>
      <c r="Y6511" s="43"/>
      <c r="Z6511" s="37"/>
      <c r="AA6511" s="37"/>
      <c r="AD6511" s="37"/>
      <c r="AE6511" s="37"/>
      <c r="AF6511" s="37"/>
    </row>
    <row r="6512" spans="1:32" x14ac:dyDescent="0.25">
      <c r="A6512" s="37"/>
      <c r="B6512" s="37"/>
      <c r="C6512" s="37"/>
      <c r="F6512" s="38"/>
      <c r="G6512" s="38"/>
      <c r="H6512" s="38"/>
      <c r="I6512" s="37"/>
      <c r="J6512" s="38"/>
      <c r="K6512" s="38"/>
      <c r="L6512" s="42"/>
      <c r="M6512" s="42"/>
      <c r="N6512" s="42"/>
      <c r="O6512" s="42"/>
      <c r="R6512" s="37"/>
      <c r="S6512" s="37"/>
      <c r="T6512" s="91"/>
      <c r="U6512" s="91"/>
      <c r="V6512" s="41"/>
      <c r="W6512" s="37"/>
      <c r="X6512" s="37"/>
      <c r="Y6512" s="43"/>
      <c r="Z6512" s="37"/>
      <c r="AA6512" s="37"/>
      <c r="AD6512" s="37"/>
      <c r="AE6512" s="37"/>
      <c r="AF6512" s="37"/>
    </row>
    <row r="6513" spans="1:32" x14ac:dyDescent="0.25">
      <c r="A6513" s="37"/>
      <c r="B6513" s="37"/>
      <c r="C6513" s="37"/>
      <c r="F6513" s="38"/>
      <c r="G6513" s="38"/>
      <c r="H6513" s="38"/>
      <c r="I6513" s="37"/>
      <c r="J6513" s="38"/>
      <c r="K6513" s="38"/>
      <c r="L6513" s="42"/>
      <c r="M6513" s="42"/>
      <c r="N6513" s="42"/>
      <c r="O6513" s="42"/>
      <c r="R6513" s="37"/>
      <c r="S6513" s="37"/>
      <c r="T6513" s="91"/>
      <c r="U6513" s="91"/>
      <c r="V6513" s="41"/>
      <c r="W6513" s="37"/>
      <c r="X6513" s="37"/>
      <c r="Y6513" s="43"/>
      <c r="Z6513" s="37"/>
      <c r="AA6513" s="37"/>
      <c r="AD6513" s="37"/>
      <c r="AE6513" s="37"/>
      <c r="AF6513" s="37"/>
    </row>
    <row r="6514" spans="1:32" x14ac:dyDescent="0.25">
      <c r="A6514" s="37"/>
      <c r="B6514" s="37"/>
      <c r="C6514" s="37"/>
      <c r="F6514" s="38"/>
      <c r="G6514" s="38"/>
      <c r="H6514" s="38"/>
      <c r="I6514" s="37"/>
      <c r="J6514" s="38"/>
      <c r="K6514" s="38"/>
      <c r="L6514" s="42"/>
      <c r="M6514" s="42"/>
      <c r="N6514" s="42"/>
      <c r="O6514" s="42"/>
      <c r="R6514" s="37"/>
      <c r="S6514" s="37"/>
      <c r="T6514" s="91"/>
      <c r="U6514" s="91"/>
      <c r="V6514" s="41"/>
      <c r="W6514" s="37"/>
      <c r="X6514" s="37"/>
      <c r="Y6514" s="43"/>
      <c r="Z6514" s="37"/>
      <c r="AA6514" s="37"/>
      <c r="AD6514" s="37"/>
      <c r="AE6514" s="37"/>
      <c r="AF6514" s="37"/>
    </row>
    <row r="6515" spans="1:32" x14ac:dyDescent="0.25">
      <c r="A6515" s="37"/>
      <c r="B6515" s="37"/>
      <c r="C6515" s="37"/>
      <c r="F6515" s="38"/>
      <c r="G6515" s="38"/>
      <c r="H6515" s="38"/>
      <c r="I6515" s="37"/>
      <c r="J6515" s="38"/>
      <c r="K6515" s="38"/>
      <c r="L6515" s="42"/>
      <c r="M6515" s="42"/>
      <c r="N6515" s="42"/>
      <c r="O6515" s="42"/>
      <c r="R6515" s="37"/>
      <c r="S6515" s="37"/>
      <c r="T6515" s="91"/>
      <c r="U6515" s="91"/>
      <c r="V6515" s="41"/>
      <c r="W6515" s="37"/>
      <c r="X6515" s="37"/>
      <c r="Y6515" s="43"/>
      <c r="Z6515" s="37"/>
      <c r="AA6515" s="37"/>
      <c r="AD6515" s="37"/>
      <c r="AE6515" s="37"/>
      <c r="AF6515" s="37"/>
    </row>
    <row r="6516" spans="1:32" x14ac:dyDescent="0.25">
      <c r="A6516" s="37"/>
      <c r="B6516" s="37"/>
      <c r="C6516" s="37"/>
      <c r="F6516" s="38"/>
      <c r="G6516" s="38"/>
      <c r="H6516" s="38"/>
      <c r="I6516" s="37"/>
      <c r="J6516" s="38"/>
      <c r="K6516" s="38"/>
      <c r="L6516" s="42"/>
      <c r="M6516" s="42"/>
      <c r="N6516" s="42"/>
      <c r="O6516" s="42"/>
      <c r="R6516" s="37"/>
      <c r="S6516" s="37"/>
      <c r="T6516" s="91"/>
      <c r="U6516" s="91"/>
      <c r="V6516" s="41"/>
      <c r="W6516" s="37"/>
      <c r="X6516" s="37"/>
      <c r="Y6516" s="43"/>
      <c r="Z6516" s="37"/>
      <c r="AA6516" s="37"/>
      <c r="AD6516" s="37"/>
      <c r="AE6516" s="37"/>
      <c r="AF6516" s="37"/>
    </row>
    <row r="6517" spans="1:32" x14ac:dyDescent="0.25">
      <c r="A6517" s="37"/>
      <c r="B6517" s="37"/>
      <c r="C6517" s="37"/>
      <c r="F6517" s="38"/>
      <c r="G6517" s="38"/>
      <c r="H6517" s="38"/>
      <c r="I6517" s="37"/>
      <c r="J6517" s="38"/>
      <c r="K6517" s="38"/>
      <c r="L6517" s="42"/>
      <c r="M6517" s="42"/>
      <c r="N6517" s="42"/>
      <c r="O6517" s="42"/>
      <c r="R6517" s="37"/>
      <c r="S6517" s="37"/>
      <c r="T6517" s="91"/>
      <c r="U6517" s="91"/>
      <c r="V6517" s="41"/>
      <c r="W6517" s="37"/>
      <c r="X6517" s="37"/>
      <c r="Y6517" s="43"/>
      <c r="Z6517" s="37"/>
      <c r="AA6517" s="37"/>
      <c r="AD6517" s="37"/>
      <c r="AE6517" s="37"/>
      <c r="AF6517" s="37"/>
    </row>
    <row r="6518" spans="1:32" x14ac:dyDescent="0.25">
      <c r="A6518" s="37"/>
      <c r="B6518" s="37"/>
      <c r="C6518" s="37"/>
      <c r="F6518" s="38"/>
      <c r="G6518" s="38"/>
      <c r="H6518" s="38"/>
      <c r="I6518" s="37"/>
      <c r="J6518" s="38"/>
      <c r="K6518" s="38"/>
      <c r="L6518" s="42"/>
      <c r="M6518" s="42"/>
      <c r="N6518" s="42"/>
      <c r="O6518" s="42"/>
      <c r="R6518" s="37"/>
      <c r="S6518" s="37"/>
      <c r="T6518" s="91"/>
      <c r="U6518" s="91"/>
      <c r="V6518" s="41"/>
      <c r="W6518" s="37"/>
      <c r="X6518" s="37"/>
      <c r="Y6518" s="43"/>
      <c r="Z6518" s="37"/>
      <c r="AA6518" s="37"/>
      <c r="AD6518" s="37"/>
      <c r="AE6518" s="37"/>
      <c r="AF6518" s="37"/>
    </row>
    <row r="6519" spans="1:32" x14ac:dyDescent="0.25">
      <c r="A6519" s="37"/>
      <c r="B6519" s="37"/>
      <c r="C6519" s="37"/>
      <c r="F6519" s="38"/>
      <c r="G6519" s="38"/>
      <c r="H6519" s="38"/>
      <c r="I6519" s="37"/>
      <c r="J6519" s="38"/>
      <c r="K6519" s="38"/>
      <c r="L6519" s="42"/>
      <c r="M6519" s="42"/>
      <c r="N6519" s="42"/>
      <c r="O6519" s="42"/>
      <c r="R6519" s="37"/>
      <c r="S6519" s="37"/>
      <c r="T6519" s="91"/>
      <c r="U6519" s="91"/>
      <c r="V6519" s="41"/>
      <c r="W6519" s="37"/>
      <c r="X6519" s="37"/>
      <c r="Y6519" s="43"/>
      <c r="Z6519" s="37"/>
      <c r="AA6519" s="37"/>
      <c r="AD6519" s="37"/>
      <c r="AE6519" s="37"/>
      <c r="AF6519" s="37"/>
    </row>
    <row r="6520" spans="1:32" x14ac:dyDescent="0.25">
      <c r="A6520" s="37"/>
      <c r="B6520" s="37"/>
      <c r="C6520" s="37"/>
      <c r="F6520" s="38"/>
      <c r="G6520" s="38"/>
      <c r="H6520" s="38"/>
      <c r="I6520" s="37"/>
      <c r="J6520" s="38"/>
      <c r="K6520" s="38"/>
      <c r="L6520" s="42"/>
      <c r="M6520" s="42"/>
      <c r="N6520" s="42"/>
      <c r="O6520" s="42"/>
      <c r="R6520" s="37"/>
      <c r="S6520" s="37"/>
      <c r="T6520" s="91"/>
      <c r="U6520" s="91"/>
      <c r="V6520" s="41"/>
      <c r="W6520" s="37"/>
      <c r="X6520" s="37"/>
      <c r="Y6520" s="43"/>
      <c r="Z6520" s="37"/>
      <c r="AA6520" s="37"/>
      <c r="AD6520" s="37"/>
      <c r="AE6520" s="37"/>
      <c r="AF6520" s="37"/>
    </row>
    <row r="6521" spans="1:32" x14ac:dyDescent="0.25">
      <c r="A6521" s="37"/>
      <c r="B6521" s="37"/>
      <c r="C6521" s="37"/>
      <c r="F6521" s="38"/>
      <c r="G6521" s="38"/>
      <c r="H6521" s="38"/>
      <c r="I6521" s="37"/>
      <c r="J6521" s="38"/>
      <c r="K6521" s="38"/>
      <c r="L6521" s="42"/>
      <c r="M6521" s="42"/>
      <c r="N6521" s="42"/>
      <c r="O6521" s="42"/>
      <c r="R6521" s="37"/>
      <c r="S6521" s="37"/>
      <c r="T6521" s="91"/>
      <c r="U6521" s="91"/>
      <c r="V6521" s="41"/>
      <c r="W6521" s="37"/>
      <c r="X6521" s="37"/>
      <c r="Y6521" s="43"/>
      <c r="Z6521" s="37"/>
      <c r="AA6521" s="37"/>
      <c r="AD6521" s="37"/>
      <c r="AE6521" s="37"/>
      <c r="AF6521" s="37"/>
    </row>
    <row r="6522" spans="1:32" x14ac:dyDescent="0.25">
      <c r="A6522" s="37"/>
      <c r="B6522" s="37"/>
      <c r="C6522" s="37"/>
      <c r="F6522" s="38"/>
      <c r="G6522" s="38"/>
      <c r="H6522" s="38"/>
      <c r="I6522" s="37"/>
      <c r="J6522" s="38"/>
      <c r="K6522" s="38"/>
      <c r="L6522" s="42"/>
      <c r="M6522" s="42"/>
      <c r="N6522" s="42"/>
      <c r="O6522" s="42"/>
      <c r="R6522" s="37"/>
      <c r="S6522" s="37"/>
      <c r="T6522" s="91"/>
      <c r="U6522" s="91"/>
      <c r="V6522" s="41"/>
      <c r="W6522" s="37"/>
      <c r="X6522" s="37"/>
      <c r="Y6522" s="43"/>
      <c r="Z6522" s="37"/>
      <c r="AA6522" s="37"/>
      <c r="AD6522" s="37"/>
      <c r="AE6522" s="37"/>
      <c r="AF6522" s="37"/>
    </row>
    <row r="6523" spans="1:32" x14ac:dyDescent="0.25">
      <c r="A6523" s="37"/>
      <c r="B6523" s="37"/>
      <c r="C6523" s="37"/>
      <c r="F6523" s="38"/>
      <c r="G6523" s="38"/>
      <c r="H6523" s="38"/>
      <c r="I6523" s="37"/>
      <c r="J6523" s="38"/>
      <c r="K6523" s="38"/>
      <c r="L6523" s="42"/>
      <c r="M6523" s="42"/>
      <c r="N6523" s="42"/>
      <c r="O6523" s="42"/>
      <c r="R6523" s="37"/>
      <c r="S6523" s="37"/>
      <c r="T6523" s="91"/>
      <c r="U6523" s="91"/>
      <c r="V6523" s="41"/>
      <c r="W6523" s="37"/>
      <c r="X6523" s="37"/>
      <c r="Y6523" s="43"/>
      <c r="Z6523" s="37"/>
      <c r="AA6523" s="37"/>
      <c r="AD6523" s="37"/>
      <c r="AE6523" s="37"/>
      <c r="AF6523" s="37"/>
    </row>
    <row r="6524" spans="1:32" x14ac:dyDescent="0.25">
      <c r="A6524" s="37"/>
      <c r="B6524" s="37"/>
      <c r="C6524" s="37"/>
      <c r="F6524" s="38"/>
      <c r="G6524" s="38"/>
      <c r="H6524" s="38"/>
      <c r="I6524" s="37"/>
      <c r="J6524" s="38"/>
      <c r="K6524" s="38"/>
      <c r="L6524" s="42"/>
      <c r="M6524" s="42"/>
      <c r="N6524" s="42"/>
      <c r="O6524" s="42"/>
      <c r="R6524" s="37"/>
      <c r="S6524" s="37"/>
      <c r="T6524" s="91"/>
      <c r="U6524" s="91"/>
      <c r="V6524" s="41"/>
      <c r="W6524" s="37"/>
      <c r="X6524" s="37"/>
      <c r="Y6524" s="43"/>
      <c r="Z6524" s="37"/>
      <c r="AA6524" s="37"/>
      <c r="AD6524" s="37"/>
      <c r="AE6524" s="37"/>
      <c r="AF6524" s="37"/>
    </row>
    <row r="6525" spans="1:32" x14ac:dyDescent="0.25">
      <c r="A6525" s="37"/>
      <c r="B6525" s="37"/>
      <c r="C6525" s="37"/>
      <c r="F6525" s="38"/>
      <c r="G6525" s="38"/>
      <c r="H6525" s="38"/>
      <c r="I6525" s="37"/>
      <c r="J6525" s="38"/>
      <c r="K6525" s="38"/>
      <c r="L6525" s="42"/>
      <c r="M6525" s="42"/>
      <c r="N6525" s="42"/>
      <c r="O6525" s="42"/>
      <c r="R6525" s="37"/>
      <c r="S6525" s="37"/>
      <c r="T6525" s="91"/>
      <c r="U6525" s="91"/>
      <c r="V6525" s="41"/>
      <c r="W6525" s="37"/>
      <c r="X6525" s="37"/>
      <c r="Y6525" s="43"/>
      <c r="Z6525" s="37"/>
      <c r="AA6525" s="37"/>
      <c r="AD6525" s="37"/>
      <c r="AE6525" s="37"/>
      <c r="AF6525" s="37"/>
    </row>
    <row r="6526" spans="1:32" x14ac:dyDescent="0.25">
      <c r="A6526" s="37"/>
      <c r="B6526" s="37"/>
      <c r="C6526" s="37"/>
      <c r="F6526" s="38"/>
      <c r="G6526" s="38"/>
      <c r="H6526" s="38"/>
      <c r="I6526" s="37"/>
      <c r="J6526" s="38"/>
      <c r="K6526" s="38"/>
      <c r="L6526" s="42"/>
      <c r="M6526" s="42"/>
      <c r="N6526" s="42"/>
      <c r="O6526" s="42"/>
      <c r="R6526" s="37"/>
      <c r="S6526" s="37"/>
      <c r="T6526" s="91"/>
      <c r="U6526" s="91"/>
      <c r="V6526" s="41"/>
      <c r="W6526" s="37"/>
      <c r="X6526" s="37"/>
      <c r="Y6526" s="43"/>
      <c r="Z6526" s="37"/>
      <c r="AA6526" s="37"/>
      <c r="AD6526" s="37"/>
      <c r="AE6526" s="37"/>
      <c r="AF6526" s="37"/>
    </row>
    <row r="6527" spans="1:32" x14ac:dyDescent="0.25">
      <c r="A6527" s="37"/>
      <c r="B6527" s="37"/>
      <c r="C6527" s="37"/>
      <c r="F6527" s="38"/>
      <c r="G6527" s="38"/>
      <c r="H6527" s="38"/>
      <c r="I6527" s="37"/>
      <c r="J6527" s="38"/>
      <c r="K6527" s="38"/>
      <c r="L6527" s="42"/>
      <c r="M6527" s="42"/>
      <c r="N6527" s="42"/>
      <c r="O6527" s="42"/>
      <c r="R6527" s="37"/>
      <c r="S6527" s="37"/>
      <c r="T6527" s="91"/>
      <c r="U6527" s="91"/>
      <c r="V6527" s="41"/>
      <c r="W6527" s="37"/>
      <c r="X6527" s="37"/>
      <c r="Y6527" s="43"/>
      <c r="Z6527" s="37"/>
      <c r="AA6527" s="37"/>
      <c r="AD6527" s="37"/>
      <c r="AE6527" s="37"/>
      <c r="AF6527" s="37"/>
    </row>
    <row r="6528" spans="1:32" x14ac:dyDescent="0.25">
      <c r="A6528" s="37"/>
      <c r="B6528" s="37"/>
      <c r="C6528" s="37"/>
      <c r="F6528" s="38"/>
      <c r="G6528" s="38"/>
      <c r="H6528" s="38"/>
      <c r="I6528" s="37"/>
      <c r="J6528" s="38"/>
      <c r="K6528" s="38"/>
      <c r="L6528" s="42"/>
      <c r="M6528" s="42"/>
      <c r="N6528" s="42"/>
      <c r="O6528" s="42"/>
      <c r="R6528" s="37"/>
      <c r="S6528" s="37"/>
      <c r="T6528" s="91"/>
      <c r="U6528" s="91"/>
      <c r="V6528" s="41"/>
      <c r="W6528" s="37"/>
      <c r="X6528" s="37"/>
      <c r="Y6528" s="43"/>
      <c r="Z6528" s="37"/>
      <c r="AA6528" s="37"/>
      <c r="AD6528" s="37"/>
      <c r="AE6528" s="37"/>
      <c r="AF6528" s="37"/>
    </row>
    <row r="6529" spans="1:32" x14ac:dyDescent="0.25">
      <c r="A6529" s="37"/>
      <c r="B6529" s="37"/>
      <c r="C6529" s="37"/>
      <c r="F6529" s="38"/>
      <c r="G6529" s="38"/>
      <c r="H6529" s="38"/>
      <c r="I6529" s="37"/>
      <c r="J6529" s="38"/>
      <c r="K6529" s="38"/>
      <c r="L6529" s="42"/>
      <c r="M6529" s="42"/>
      <c r="N6529" s="42"/>
      <c r="O6529" s="42"/>
      <c r="R6529" s="37"/>
      <c r="S6529" s="37"/>
      <c r="T6529" s="91"/>
      <c r="U6529" s="91"/>
      <c r="V6529" s="41"/>
      <c r="W6529" s="37"/>
      <c r="X6529" s="37"/>
      <c r="Y6529" s="43"/>
      <c r="Z6529" s="37"/>
      <c r="AA6529" s="37"/>
      <c r="AD6529" s="37"/>
      <c r="AE6529" s="37"/>
      <c r="AF6529" s="37"/>
    </row>
    <row r="6530" spans="1:32" x14ac:dyDescent="0.25">
      <c r="A6530" s="37"/>
      <c r="B6530" s="37"/>
      <c r="C6530" s="37"/>
      <c r="F6530" s="38"/>
      <c r="G6530" s="38"/>
      <c r="H6530" s="38"/>
      <c r="I6530" s="37"/>
      <c r="J6530" s="38"/>
      <c r="K6530" s="38"/>
      <c r="L6530" s="42"/>
      <c r="M6530" s="42"/>
      <c r="N6530" s="42"/>
      <c r="O6530" s="42"/>
      <c r="R6530" s="37"/>
      <c r="S6530" s="37"/>
      <c r="T6530" s="91"/>
      <c r="U6530" s="91"/>
      <c r="V6530" s="41"/>
      <c r="W6530" s="37"/>
      <c r="X6530" s="37"/>
      <c r="Y6530" s="43"/>
      <c r="Z6530" s="37"/>
      <c r="AA6530" s="37"/>
      <c r="AD6530" s="37"/>
      <c r="AE6530" s="37"/>
      <c r="AF6530" s="37"/>
    </row>
    <row r="6531" spans="1:32" x14ac:dyDescent="0.25">
      <c r="A6531" s="37"/>
      <c r="B6531" s="37"/>
      <c r="C6531" s="37"/>
      <c r="F6531" s="38"/>
      <c r="G6531" s="38"/>
      <c r="H6531" s="38"/>
      <c r="I6531" s="37"/>
      <c r="J6531" s="38"/>
      <c r="K6531" s="38"/>
      <c r="L6531" s="42"/>
      <c r="M6531" s="42"/>
      <c r="N6531" s="42"/>
      <c r="O6531" s="42"/>
      <c r="R6531" s="37"/>
      <c r="S6531" s="37"/>
      <c r="T6531" s="91"/>
      <c r="U6531" s="91"/>
      <c r="V6531" s="41"/>
      <c r="W6531" s="37"/>
      <c r="X6531" s="37"/>
      <c r="Y6531" s="43"/>
      <c r="Z6531" s="37"/>
      <c r="AA6531" s="37"/>
      <c r="AD6531" s="37"/>
      <c r="AE6531" s="37"/>
      <c r="AF6531" s="37"/>
    </row>
    <row r="6532" spans="1:32" x14ac:dyDescent="0.25">
      <c r="A6532" s="37"/>
      <c r="B6532" s="37"/>
      <c r="C6532" s="37"/>
      <c r="F6532" s="38"/>
      <c r="G6532" s="38"/>
      <c r="H6532" s="38"/>
      <c r="I6532" s="37"/>
      <c r="J6532" s="38"/>
      <c r="K6532" s="38"/>
      <c r="L6532" s="42"/>
      <c r="M6532" s="42"/>
      <c r="N6532" s="42"/>
      <c r="O6532" s="42"/>
      <c r="R6532" s="37"/>
      <c r="S6532" s="37"/>
      <c r="T6532" s="91"/>
      <c r="U6532" s="91"/>
      <c r="V6532" s="41"/>
      <c r="W6532" s="37"/>
      <c r="X6532" s="37"/>
      <c r="Y6532" s="43"/>
      <c r="Z6532" s="37"/>
      <c r="AA6532" s="37"/>
      <c r="AD6532" s="37"/>
      <c r="AE6532" s="37"/>
      <c r="AF6532" s="37"/>
    </row>
    <row r="6533" spans="1:32" x14ac:dyDescent="0.25">
      <c r="A6533" s="37"/>
      <c r="B6533" s="37"/>
      <c r="C6533" s="37"/>
      <c r="F6533" s="38"/>
      <c r="G6533" s="38"/>
      <c r="H6533" s="38"/>
      <c r="I6533" s="37"/>
      <c r="J6533" s="38"/>
      <c r="K6533" s="38"/>
      <c r="L6533" s="42"/>
      <c r="M6533" s="42"/>
      <c r="N6533" s="42"/>
      <c r="O6533" s="42"/>
      <c r="R6533" s="37"/>
      <c r="S6533" s="37"/>
      <c r="T6533" s="91"/>
      <c r="U6533" s="91"/>
      <c r="V6533" s="41"/>
      <c r="W6533" s="37"/>
      <c r="X6533" s="37"/>
      <c r="Y6533" s="43"/>
      <c r="Z6533" s="37"/>
      <c r="AA6533" s="37"/>
      <c r="AD6533" s="37"/>
      <c r="AE6533" s="37"/>
      <c r="AF6533" s="37"/>
    </row>
    <row r="6534" spans="1:32" x14ac:dyDescent="0.25">
      <c r="A6534" s="37"/>
      <c r="B6534" s="37"/>
      <c r="C6534" s="37"/>
      <c r="F6534" s="38"/>
      <c r="G6534" s="38"/>
      <c r="H6534" s="38"/>
      <c r="I6534" s="37"/>
      <c r="J6534" s="38"/>
      <c r="K6534" s="38"/>
      <c r="L6534" s="42"/>
      <c r="M6534" s="42"/>
      <c r="N6534" s="42"/>
      <c r="O6534" s="42"/>
      <c r="R6534" s="37"/>
      <c r="S6534" s="37"/>
      <c r="T6534" s="91"/>
      <c r="U6534" s="91"/>
      <c r="V6534" s="41"/>
      <c r="W6534" s="37"/>
      <c r="X6534" s="37"/>
      <c r="Y6534" s="43"/>
      <c r="Z6534" s="37"/>
      <c r="AA6534" s="37"/>
      <c r="AD6534" s="37"/>
      <c r="AE6534" s="37"/>
      <c r="AF6534" s="37"/>
    </row>
    <row r="6535" spans="1:32" x14ac:dyDescent="0.25">
      <c r="A6535" s="37"/>
      <c r="B6535" s="37"/>
      <c r="C6535" s="37"/>
      <c r="F6535" s="38"/>
      <c r="G6535" s="38"/>
      <c r="H6535" s="38"/>
      <c r="I6535" s="37"/>
      <c r="J6535" s="38"/>
      <c r="K6535" s="38"/>
      <c r="L6535" s="42"/>
      <c r="M6535" s="42"/>
      <c r="N6535" s="42"/>
      <c r="O6535" s="42"/>
      <c r="R6535" s="37"/>
      <c r="S6535" s="37"/>
      <c r="T6535" s="91"/>
      <c r="U6535" s="91"/>
      <c r="V6535" s="41"/>
      <c r="W6535" s="37"/>
      <c r="X6535" s="37"/>
      <c r="Y6535" s="43"/>
      <c r="Z6535" s="37"/>
      <c r="AA6535" s="37"/>
      <c r="AD6535" s="37"/>
      <c r="AE6535" s="37"/>
      <c r="AF6535" s="37"/>
    </row>
    <row r="6536" spans="1:32" x14ac:dyDescent="0.25">
      <c r="A6536" s="37"/>
      <c r="B6536" s="37"/>
      <c r="C6536" s="37"/>
      <c r="F6536" s="38"/>
      <c r="G6536" s="38"/>
      <c r="H6536" s="38"/>
      <c r="I6536" s="37"/>
      <c r="J6536" s="38"/>
      <c r="K6536" s="38"/>
      <c r="L6536" s="42"/>
      <c r="M6536" s="42"/>
      <c r="N6536" s="42"/>
      <c r="O6536" s="42"/>
      <c r="R6536" s="37"/>
      <c r="S6536" s="37"/>
      <c r="T6536" s="91"/>
      <c r="U6536" s="91"/>
      <c r="V6536" s="41"/>
      <c r="W6536" s="37"/>
      <c r="X6536" s="37"/>
      <c r="Y6536" s="43"/>
      <c r="Z6536" s="37"/>
      <c r="AA6536" s="37"/>
      <c r="AD6536" s="37"/>
      <c r="AE6536" s="37"/>
      <c r="AF6536" s="37"/>
    </row>
    <row r="6537" spans="1:32" x14ac:dyDescent="0.25">
      <c r="A6537" s="37"/>
      <c r="B6537" s="37"/>
      <c r="C6537" s="37"/>
      <c r="F6537" s="38"/>
      <c r="G6537" s="38"/>
      <c r="H6537" s="38"/>
      <c r="I6537" s="37"/>
      <c r="J6537" s="38"/>
      <c r="K6537" s="38"/>
      <c r="L6537" s="42"/>
      <c r="M6537" s="42"/>
      <c r="N6537" s="42"/>
      <c r="O6537" s="42"/>
      <c r="R6537" s="37"/>
      <c r="S6537" s="37"/>
      <c r="T6537" s="91"/>
      <c r="U6537" s="91"/>
      <c r="V6537" s="41"/>
      <c r="W6537" s="37"/>
      <c r="X6537" s="37"/>
      <c r="Y6537" s="43"/>
      <c r="Z6537" s="37"/>
      <c r="AA6537" s="37"/>
      <c r="AD6537" s="37"/>
      <c r="AE6537" s="37"/>
      <c r="AF6537" s="37"/>
    </row>
    <row r="6538" spans="1:32" x14ac:dyDescent="0.25">
      <c r="A6538" s="37"/>
      <c r="B6538" s="37"/>
      <c r="C6538" s="37"/>
      <c r="F6538" s="38"/>
      <c r="G6538" s="38"/>
      <c r="H6538" s="38"/>
      <c r="I6538" s="37"/>
      <c r="J6538" s="38"/>
      <c r="K6538" s="38"/>
      <c r="L6538" s="42"/>
      <c r="M6538" s="42"/>
      <c r="N6538" s="42"/>
      <c r="O6538" s="42"/>
      <c r="R6538" s="37"/>
      <c r="S6538" s="37"/>
      <c r="T6538" s="91"/>
      <c r="U6538" s="91"/>
      <c r="V6538" s="41"/>
      <c r="W6538" s="37"/>
      <c r="X6538" s="37"/>
      <c r="Y6538" s="43"/>
      <c r="Z6538" s="37"/>
      <c r="AA6538" s="37"/>
      <c r="AD6538" s="37"/>
      <c r="AE6538" s="37"/>
      <c r="AF6538" s="37"/>
    </row>
    <row r="6539" spans="1:32" x14ac:dyDescent="0.25">
      <c r="A6539" s="37"/>
      <c r="B6539" s="37"/>
      <c r="C6539" s="37"/>
      <c r="F6539" s="38"/>
      <c r="G6539" s="38"/>
      <c r="H6539" s="38"/>
      <c r="I6539" s="37"/>
      <c r="J6539" s="38"/>
      <c r="K6539" s="38"/>
      <c r="L6539" s="42"/>
      <c r="M6539" s="42"/>
      <c r="N6539" s="42"/>
      <c r="O6539" s="42"/>
      <c r="R6539" s="37"/>
      <c r="S6539" s="37"/>
      <c r="T6539" s="91"/>
      <c r="U6539" s="91"/>
      <c r="V6539" s="41"/>
      <c r="W6539" s="37"/>
      <c r="X6539" s="37"/>
      <c r="Y6539" s="43"/>
      <c r="Z6539" s="37"/>
      <c r="AA6539" s="37"/>
      <c r="AD6539" s="37"/>
      <c r="AE6539" s="37"/>
      <c r="AF6539" s="37"/>
    </row>
    <row r="6540" spans="1:32" x14ac:dyDescent="0.25">
      <c r="A6540" s="37"/>
      <c r="B6540" s="37"/>
      <c r="C6540" s="37"/>
      <c r="F6540" s="38"/>
      <c r="G6540" s="38"/>
      <c r="H6540" s="38"/>
      <c r="I6540" s="37"/>
      <c r="J6540" s="38"/>
      <c r="K6540" s="38"/>
      <c r="L6540" s="42"/>
      <c r="M6540" s="42"/>
      <c r="N6540" s="42"/>
      <c r="O6540" s="42"/>
      <c r="R6540" s="37"/>
      <c r="S6540" s="37"/>
      <c r="T6540" s="91"/>
      <c r="U6540" s="91"/>
      <c r="V6540" s="41"/>
      <c r="W6540" s="37"/>
      <c r="X6540" s="37"/>
      <c r="Y6540" s="43"/>
      <c r="Z6540" s="37"/>
      <c r="AA6540" s="37"/>
      <c r="AD6540" s="37"/>
      <c r="AE6540" s="37"/>
      <c r="AF6540" s="37"/>
    </row>
    <row r="6541" spans="1:32" x14ac:dyDescent="0.25">
      <c r="A6541" s="37"/>
      <c r="B6541" s="37"/>
      <c r="C6541" s="37"/>
      <c r="F6541" s="38"/>
      <c r="G6541" s="38"/>
      <c r="H6541" s="38"/>
      <c r="I6541" s="37"/>
      <c r="J6541" s="38"/>
      <c r="K6541" s="38"/>
      <c r="L6541" s="42"/>
      <c r="M6541" s="42"/>
      <c r="N6541" s="42"/>
      <c r="O6541" s="42"/>
      <c r="R6541" s="37"/>
      <c r="S6541" s="37"/>
      <c r="T6541" s="91"/>
      <c r="U6541" s="91"/>
      <c r="V6541" s="41"/>
      <c r="W6541" s="37"/>
      <c r="X6541" s="37"/>
      <c r="Y6541" s="43"/>
      <c r="Z6541" s="37"/>
      <c r="AA6541" s="37"/>
      <c r="AD6541" s="37"/>
      <c r="AE6541" s="37"/>
      <c r="AF6541" s="37"/>
    </row>
    <row r="6542" spans="1:32" x14ac:dyDescent="0.25">
      <c r="A6542" s="37"/>
      <c r="B6542" s="37"/>
      <c r="C6542" s="37"/>
      <c r="F6542" s="38"/>
      <c r="G6542" s="38"/>
      <c r="H6542" s="38"/>
      <c r="I6542" s="37"/>
      <c r="J6542" s="38"/>
      <c r="K6542" s="38"/>
      <c r="L6542" s="42"/>
      <c r="M6542" s="42"/>
      <c r="N6542" s="42"/>
      <c r="O6542" s="42"/>
      <c r="R6542" s="37"/>
      <c r="S6542" s="37"/>
      <c r="T6542" s="91"/>
      <c r="U6542" s="91"/>
      <c r="V6542" s="41"/>
      <c r="W6542" s="37"/>
      <c r="X6542" s="37"/>
      <c r="Y6542" s="43"/>
      <c r="Z6542" s="37"/>
      <c r="AA6542" s="37"/>
      <c r="AD6542" s="37"/>
      <c r="AE6542" s="37"/>
      <c r="AF6542" s="37"/>
    </row>
    <row r="6543" spans="1:32" x14ac:dyDescent="0.25">
      <c r="A6543" s="37"/>
      <c r="B6543" s="37"/>
      <c r="C6543" s="37"/>
      <c r="F6543" s="38"/>
      <c r="G6543" s="38"/>
      <c r="H6543" s="38"/>
      <c r="I6543" s="37"/>
      <c r="J6543" s="38"/>
      <c r="K6543" s="38"/>
      <c r="L6543" s="42"/>
      <c r="M6543" s="42"/>
      <c r="N6543" s="42"/>
      <c r="O6543" s="42"/>
      <c r="R6543" s="37"/>
      <c r="S6543" s="37"/>
      <c r="T6543" s="91"/>
      <c r="U6543" s="91"/>
      <c r="V6543" s="41"/>
      <c r="W6543" s="37"/>
      <c r="X6543" s="37"/>
      <c r="Y6543" s="43"/>
      <c r="Z6543" s="37"/>
      <c r="AA6543" s="37"/>
      <c r="AD6543" s="37"/>
      <c r="AE6543" s="37"/>
      <c r="AF6543" s="37"/>
    </row>
    <row r="6544" spans="1:32" x14ac:dyDescent="0.25">
      <c r="A6544" s="37"/>
      <c r="B6544" s="37"/>
      <c r="C6544" s="37"/>
      <c r="F6544" s="38"/>
      <c r="G6544" s="38"/>
      <c r="H6544" s="38"/>
      <c r="I6544" s="37"/>
      <c r="J6544" s="38"/>
      <c r="K6544" s="38"/>
      <c r="L6544" s="42"/>
      <c r="M6544" s="42"/>
      <c r="N6544" s="42"/>
      <c r="O6544" s="42"/>
      <c r="R6544" s="37"/>
      <c r="S6544" s="37"/>
      <c r="T6544" s="91"/>
      <c r="U6544" s="91"/>
      <c r="V6544" s="41"/>
      <c r="W6544" s="37"/>
      <c r="X6544" s="37"/>
      <c r="Y6544" s="43"/>
      <c r="Z6544" s="37"/>
      <c r="AA6544" s="37"/>
      <c r="AD6544" s="37"/>
      <c r="AE6544" s="37"/>
      <c r="AF6544" s="37"/>
    </row>
    <row r="6545" spans="1:32" x14ac:dyDescent="0.25">
      <c r="A6545" s="37"/>
      <c r="B6545" s="37"/>
      <c r="C6545" s="37"/>
      <c r="F6545" s="38"/>
      <c r="G6545" s="38"/>
      <c r="H6545" s="38"/>
      <c r="I6545" s="37"/>
      <c r="J6545" s="38"/>
      <c r="K6545" s="38"/>
      <c r="L6545" s="42"/>
      <c r="M6545" s="42"/>
      <c r="N6545" s="42"/>
      <c r="O6545" s="42"/>
      <c r="R6545" s="37"/>
      <c r="S6545" s="37"/>
      <c r="T6545" s="91"/>
      <c r="U6545" s="91"/>
      <c r="V6545" s="41"/>
      <c r="W6545" s="37"/>
      <c r="X6545" s="37"/>
      <c r="Y6545" s="43"/>
      <c r="Z6545" s="37"/>
      <c r="AA6545" s="37"/>
      <c r="AD6545" s="37"/>
      <c r="AE6545" s="37"/>
      <c r="AF6545" s="37"/>
    </row>
    <row r="6546" spans="1:32" x14ac:dyDescent="0.25">
      <c r="A6546" s="37"/>
      <c r="B6546" s="37"/>
      <c r="C6546" s="37"/>
      <c r="F6546" s="38"/>
      <c r="G6546" s="38"/>
      <c r="H6546" s="38"/>
      <c r="I6546" s="37"/>
      <c r="J6546" s="38"/>
      <c r="K6546" s="38"/>
      <c r="L6546" s="42"/>
      <c r="M6546" s="42"/>
      <c r="N6546" s="42"/>
      <c r="O6546" s="42"/>
      <c r="R6546" s="37"/>
      <c r="S6546" s="37"/>
      <c r="T6546" s="91"/>
      <c r="U6546" s="91"/>
      <c r="V6546" s="41"/>
      <c r="W6546" s="37"/>
      <c r="X6546" s="37"/>
      <c r="Y6546" s="43"/>
      <c r="Z6546" s="37"/>
      <c r="AA6546" s="37"/>
      <c r="AD6546" s="37"/>
      <c r="AE6546" s="37"/>
      <c r="AF6546" s="37"/>
    </row>
    <row r="6547" spans="1:32" x14ac:dyDescent="0.25">
      <c r="A6547" s="37"/>
      <c r="B6547" s="37"/>
      <c r="C6547" s="37"/>
      <c r="F6547" s="38"/>
      <c r="G6547" s="38"/>
      <c r="H6547" s="38"/>
      <c r="I6547" s="37"/>
      <c r="J6547" s="38"/>
      <c r="K6547" s="38"/>
      <c r="L6547" s="42"/>
      <c r="M6547" s="42"/>
      <c r="N6547" s="42"/>
      <c r="O6547" s="42"/>
      <c r="R6547" s="37"/>
      <c r="S6547" s="37"/>
      <c r="T6547" s="91"/>
      <c r="U6547" s="91"/>
      <c r="V6547" s="41"/>
      <c r="W6547" s="37"/>
      <c r="X6547" s="37"/>
      <c r="Y6547" s="43"/>
      <c r="Z6547" s="37"/>
      <c r="AA6547" s="37"/>
      <c r="AD6547" s="37"/>
      <c r="AE6547" s="37"/>
      <c r="AF6547" s="37"/>
    </row>
    <row r="6548" spans="1:32" x14ac:dyDescent="0.25">
      <c r="A6548" s="37"/>
      <c r="B6548" s="37"/>
      <c r="C6548" s="37"/>
      <c r="F6548" s="38"/>
      <c r="G6548" s="38"/>
      <c r="H6548" s="38"/>
      <c r="I6548" s="37"/>
      <c r="J6548" s="38"/>
      <c r="K6548" s="38"/>
      <c r="L6548" s="42"/>
      <c r="M6548" s="42"/>
      <c r="N6548" s="42"/>
      <c r="O6548" s="42"/>
      <c r="R6548" s="37"/>
      <c r="S6548" s="37"/>
      <c r="T6548" s="91"/>
      <c r="U6548" s="91"/>
      <c r="V6548" s="41"/>
      <c r="W6548" s="37"/>
      <c r="X6548" s="37"/>
      <c r="Y6548" s="43"/>
      <c r="Z6548" s="37"/>
      <c r="AA6548" s="37"/>
      <c r="AD6548" s="37"/>
      <c r="AE6548" s="37"/>
      <c r="AF6548" s="37"/>
    </row>
    <row r="6549" spans="1:32" x14ac:dyDescent="0.25">
      <c r="A6549" s="37"/>
      <c r="B6549" s="37"/>
      <c r="C6549" s="37"/>
      <c r="F6549" s="38"/>
      <c r="G6549" s="38"/>
      <c r="H6549" s="38"/>
      <c r="I6549" s="37"/>
      <c r="J6549" s="38"/>
      <c r="K6549" s="38"/>
      <c r="L6549" s="42"/>
      <c r="M6549" s="42"/>
      <c r="N6549" s="42"/>
      <c r="O6549" s="42"/>
      <c r="R6549" s="37"/>
      <c r="S6549" s="37"/>
      <c r="T6549" s="91"/>
      <c r="U6549" s="91"/>
      <c r="V6549" s="41"/>
      <c r="W6549" s="37"/>
      <c r="X6549" s="37"/>
      <c r="Y6549" s="43"/>
      <c r="Z6549" s="37"/>
      <c r="AA6549" s="37"/>
      <c r="AD6549" s="37"/>
      <c r="AE6549" s="37"/>
      <c r="AF6549" s="37"/>
    </row>
    <row r="6550" spans="1:32" x14ac:dyDescent="0.25">
      <c r="A6550" s="37"/>
      <c r="B6550" s="37"/>
      <c r="C6550" s="37"/>
      <c r="F6550" s="38"/>
      <c r="G6550" s="38"/>
      <c r="H6550" s="38"/>
      <c r="I6550" s="37"/>
      <c r="J6550" s="38"/>
      <c r="K6550" s="38"/>
      <c r="L6550" s="42"/>
      <c r="M6550" s="42"/>
      <c r="N6550" s="42"/>
      <c r="O6550" s="42"/>
      <c r="R6550" s="37"/>
      <c r="S6550" s="37"/>
      <c r="T6550" s="91"/>
      <c r="U6550" s="91"/>
      <c r="V6550" s="41"/>
      <c r="W6550" s="37"/>
      <c r="X6550" s="37"/>
      <c r="Y6550" s="43"/>
      <c r="Z6550" s="37"/>
      <c r="AA6550" s="37"/>
      <c r="AD6550" s="37"/>
      <c r="AE6550" s="37"/>
      <c r="AF6550" s="37"/>
    </row>
    <row r="6551" spans="1:32" x14ac:dyDescent="0.25">
      <c r="A6551" s="37"/>
      <c r="B6551" s="37"/>
      <c r="C6551" s="37"/>
      <c r="F6551" s="38"/>
      <c r="G6551" s="38"/>
      <c r="H6551" s="38"/>
      <c r="I6551" s="37"/>
      <c r="J6551" s="38"/>
      <c r="K6551" s="38"/>
      <c r="L6551" s="42"/>
      <c r="M6551" s="42"/>
      <c r="N6551" s="42"/>
      <c r="O6551" s="42"/>
      <c r="R6551" s="37"/>
      <c r="S6551" s="37"/>
      <c r="T6551" s="91"/>
      <c r="U6551" s="91"/>
      <c r="V6551" s="41"/>
      <c r="W6551" s="37"/>
      <c r="X6551" s="37"/>
      <c r="Y6551" s="43"/>
      <c r="Z6551" s="37"/>
      <c r="AA6551" s="37"/>
      <c r="AD6551" s="37"/>
      <c r="AE6551" s="37"/>
      <c r="AF6551" s="37"/>
    </row>
    <row r="6552" spans="1:32" x14ac:dyDescent="0.25">
      <c r="A6552" s="37"/>
      <c r="B6552" s="37"/>
      <c r="C6552" s="37"/>
      <c r="F6552" s="38"/>
      <c r="G6552" s="38"/>
      <c r="H6552" s="38"/>
      <c r="I6552" s="37"/>
      <c r="J6552" s="38"/>
      <c r="K6552" s="38"/>
      <c r="L6552" s="42"/>
      <c r="M6552" s="42"/>
      <c r="N6552" s="42"/>
      <c r="O6552" s="42"/>
      <c r="R6552" s="37"/>
      <c r="S6552" s="37"/>
      <c r="T6552" s="91"/>
      <c r="U6552" s="91"/>
      <c r="V6552" s="41"/>
      <c r="W6552" s="37"/>
      <c r="X6552" s="37"/>
      <c r="Y6552" s="43"/>
      <c r="Z6552" s="37"/>
      <c r="AA6552" s="37"/>
      <c r="AD6552" s="37"/>
      <c r="AE6552" s="37"/>
      <c r="AF6552" s="37"/>
    </row>
    <row r="6553" spans="1:32" x14ac:dyDescent="0.25">
      <c r="A6553" s="37"/>
      <c r="B6553" s="37"/>
      <c r="C6553" s="37"/>
      <c r="F6553" s="38"/>
      <c r="G6553" s="38"/>
      <c r="H6553" s="38"/>
      <c r="I6553" s="37"/>
      <c r="J6553" s="38"/>
      <c r="K6553" s="38"/>
      <c r="L6553" s="42"/>
      <c r="M6553" s="42"/>
      <c r="N6553" s="42"/>
      <c r="O6553" s="42"/>
      <c r="R6553" s="37"/>
      <c r="S6553" s="37"/>
      <c r="T6553" s="91"/>
      <c r="U6553" s="91"/>
      <c r="V6553" s="41"/>
      <c r="W6553" s="37"/>
      <c r="X6553" s="37"/>
      <c r="Y6553" s="43"/>
      <c r="Z6553" s="37"/>
      <c r="AA6553" s="37"/>
      <c r="AD6553" s="37"/>
      <c r="AE6553" s="37"/>
      <c r="AF6553" s="37"/>
    </row>
    <row r="6554" spans="1:32" x14ac:dyDescent="0.25">
      <c r="A6554" s="37"/>
      <c r="B6554" s="37"/>
      <c r="C6554" s="37"/>
      <c r="F6554" s="38"/>
      <c r="G6554" s="38"/>
      <c r="H6554" s="38"/>
      <c r="I6554" s="37"/>
      <c r="J6554" s="38"/>
      <c r="K6554" s="38"/>
      <c r="L6554" s="42"/>
      <c r="M6554" s="42"/>
      <c r="N6554" s="42"/>
      <c r="O6554" s="42"/>
      <c r="R6554" s="37"/>
      <c r="S6554" s="37"/>
      <c r="T6554" s="91"/>
      <c r="U6554" s="91"/>
      <c r="V6554" s="41"/>
      <c r="W6554" s="37"/>
      <c r="X6554" s="37"/>
      <c r="Y6554" s="43"/>
      <c r="Z6554" s="37"/>
      <c r="AA6554" s="37"/>
      <c r="AD6554" s="37"/>
      <c r="AE6554" s="37"/>
      <c r="AF6554" s="37"/>
    </row>
    <row r="6555" spans="1:32" x14ac:dyDescent="0.25">
      <c r="A6555" s="37"/>
      <c r="B6555" s="37"/>
      <c r="C6555" s="37"/>
      <c r="F6555" s="38"/>
      <c r="G6555" s="38"/>
      <c r="H6555" s="38"/>
      <c r="I6555" s="37"/>
      <c r="J6555" s="38"/>
      <c r="K6555" s="38"/>
      <c r="L6555" s="42"/>
      <c r="M6555" s="42"/>
      <c r="N6555" s="42"/>
      <c r="O6555" s="42"/>
      <c r="R6555" s="37"/>
      <c r="S6555" s="37"/>
      <c r="T6555" s="91"/>
      <c r="U6555" s="91"/>
      <c r="V6555" s="41"/>
      <c r="W6555" s="37"/>
      <c r="X6555" s="37"/>
      <c r="Y6555" s="43"/>
      <c r="Z6555" s="37"/>
      <c r="AA6555" s="37"/>
      <c r="AD6555" s="37"/>
      <c r="AE6555" s="37"/>
      <c r="AF6555" s="37"/>
    </row>
    <row r="6556" spans="1:32" x14ac:dyDescent="0.25">
      <c r="A6556" s="37"/>
      <c r="B6556" s="37"/>
      <c r="C6556" s="37"/>
      <c r="F6556" s="38"/>
      <c r="G6556" s="38"/>
      <c r="H6556" s="38"/>
      <c r="I6556" s="37"/>
      <c r="J6556" s="38"/>
      <c r="K6556" s="38"/>
      <c r="L6556" s="42"/>
      <c r="M6556" s="42"/>
      <c r="N6556" s="42"/>
      <c r="O6556" s="42"/>
      <c r="R6556" s="37"/>
      <c r="S6556" s="37"/>
      <c r="T6556" s="91"/>
      <c r="U6556" s="91"/>
      <c r="V6556" s="41"/>
      <c r="W6556" s="37"/>
      <c r="X6556" s="37"/>
      <c r="Y6556" s="43"/>
      <c r="Z6556" s="37"/>
      <c r="AA6556" s="37"/>
      <c r="AD6556" s="37"/>
      <c r="AE6556" s="37"/>
      <c r="AF6556" s="37"/>
    </row>
    <row r="6557" spans="1:32" x14ac:dyDescent="0.25">
      <c r="A6557" s="37"/>
      <c r="B6557" s="37"/>
      <c r="C6557" s="37"/>
      <c r="F6557" s="38"/>
      <c r="G6557" s="38"/>
      <c r="H6557" s="38"/>
      <c r="I6557" s="37"/>
      <c r="J6557" s="38"/>
      <c r="K6557" s="38"/>
      <c r="L6557" s="42"/>
      <c r="M6557" s="42"/>
      <c r="N6557" s="42"/>
      <c r="O6557" s="42"/>
      <c r="R6557" s="37"/>
      <c r="S6557" s="37"/>
      <c r="T6557" s="91"/>
      <c r="U6557" s="91"/>
      <c r="V6557" s="41"/>
      <c r="W6557" s="37"/>
      <c r="X6557" s="37"/>
      <c r="Y6557" s="43"/>
      <c r="Z6557" s="37"/>
      <c r="AA6557" s="37"/>
      <c r="AD6557" s="37"/>
      <c r="AE6557" s="37"/>
      <c r="AF6557" s="37"/>
    </row>
    <row r="6558" spans="1:32" x14ac:dyDescent="0.25">
      <c r="A6558" s="37"/>
      <c r="B6558" s="37"/>
      <c r="C6558" s="37"/>
      <c r="F6558" s="38"/>
      <c r="G6558" s="38"/>
      <c r="H6558" s="38"/>
      <c r="I6558" s="37"/>
      <c r="J6558" s="38"/>
      <c r="K6558" s="38"/>
      <c r="L6558" s="42"/>
      <c r="M6558" s="42"/>
      <c r="N6558" s="42"/>
      <c r="O6558" s="42"/>
      <c r="R6558" s="37"/>
      <c r="S6558" s="37"/>
      <c r="T6558" s="91"/>
      <c r="U6558" s="91"/>
      <c r="V6558" s="41"/>
      <c r="W6558" s="37"/>
      <c r="X6558" s="37"/>
      <c r="Y6558" s="43"/>
      <c r="Z6558" s="37"/>
      <c r="AA6558" s="37"/>
      <c r="AD6558" s="37"/>
      <c r="AE6558" s="37"/>
      <c r="AF6558" s="37"/>
    </row>
    <row r="6559" spans="1:32" x14ac:dyDescent="0.25">
      <c r="A6559" s="37"/>
      <c r="B6559" s="37"/>
      <c r="C6559" s="37"/>
      <c r="F6559" s="38"/>
      <c r="G6559" s="38"/>
      <c r="H6559" s="38"/>
      <c r="I6559" s="37"/>
      <c r="J6559" s="38"/>
      <c r="K6559" s="38"/>
      <c r="L6559" s="42"/>
      <c r="M6559" s="42"/>
      <c r="N6559" s="42"/>
      <c r="O6559" s="42"/>
      <c r="R6559" s="37"/>
      <c r="S6559" s="37"/>
      <c r="T6559" s="91"/>
      <c r="U6559" s="91"/>
      <c r="V6559" s="41"/>
      <c r="W6559" s="37"/>
      <c r="X6559" s="37"/>
      <c r="Y6559" s="43"/>
      <c r="Z6559" s="37"/>
      <c r="AA6559" s="37"/>
      <c r="AD6559" s="37"/>
      <c r="AE6559" s="37"/>
      <c r="AF6559" s="37"/>
    </row>
    <row r="6560" spans="1:32" x14ac:dyDescent="0.25">
      <c r="A6560" s="37"/>
      <c r="B6560" s="37"/>
      <c r="C6560" s="37"/>
      <c r="F6560" s="38"/>
      <c r="G6560" s="38"/>
      <c r="H6560" s="38"/>
      <c r="I6560" s="37"/>
      <c r="J6560" s="38"/>
      <c r="K6560" s="38"/>
      <c r="L6560" s="42"/>
      <c r="M6560" s="42"/>
      <c r="N6560" s="42"/>
      <c r="O6560" s="42"/>
      <c r="R6560" s="37"/>
      <c r="S6560" s="37"/>
      <c r="T6560" s="91"/>
      <c r="U6560" s="91"/>
      <c r="V6560" s="41"/>
      <c r="W6560" s="37"/>
      <c r="X6560" s="37"/>
      <c r="Y6560" s="43"/>
      <c r="Z6560" s="37"/>
      <c r="AA6560" s="37"/>
      <c r="AD6560" s="37"/>
      <c r="AE6560" s="37"/>
      <c r="AF6560" s="37"/>
    </row>
    <row r="6561" spans="1:32" x14ac:dyDescent="0.25">
      <c r="A6561" s="37"/>
      <c r="B6561" s="37"/>
      <c r="C6561" s="37"/>
      <c r="F6561" s="38"/>
      <c r="G6561" s="38"/>
      <c r="H6561" s="38"/>
      <c r="I6561" s="37"/>
      <c r="J6561" s="38"/>
      <c r="K6561" s="38"/>
      <c r="L6561" s="42"/>
      <c r="M6561" s="42"/>
      <c r="N6561" s="42"/>
      <c r="O6561" s="42"/>
      <c r="R6561" s="37"/>
      <c r="S6561" s="37"/>
      <c r="T6561" s="91"/>
      <c r="U6561" s="91"/>
      <c r="V6561" s="41"/>
      <c r="W6561" s="37"/>
      <c r="X6561" s="37"/>
      <c r="Y6561" s="43"/>
      <c r="Z6561" s="37"/>
      <c r="AA6561" s="37"/>
      <c r="AD6561" s="37"/>
      <c r="AE6561" s="37"/>
      <c r="AF6561" s="37"/>
    </row>
    <row r="6562" spans="1:32" x14ac:dyDescent="0.25">
      <c r="A6562" s="37"/>
      <c r="B6562" s="37"/>
      <c r="C6562" s="37"/>
      <c r="F6562" s="38"/>
      <c r="G6562" s="38"/>
      <c r="H6562" s="38"/>
      <c r="I6562" s="37"/>
      <c r="J6562" s="38"/>
      <c r="K6562" s="38"/>
      <c r="L6562" s="42"/>
      <c r="M6562" s="42"/>
      <c r="N6562" s="42"/>
      <c r="O6562" s="42"/>
      <c r="R6562" s="37"/>
      <c r="S6562" s="37"/>
      <c r="T6562" s="91"/>
      <c r="U6562" s="91"/>
      <c r="V6562" s="41"/>
      <c r="W6562" s="37"/>
      <c r="X6562" s="37"/>
      <c r="Y6562" s="43"/>
      <c r="Z6562" s="37"/>
      <c r="AA6562" s="37"/>
      <c r="AD6562" s="37"/>
      <c r="AE6562" s="37"/>
      <c r="AF6562" s="37"/>
    </row>
    <row r="6563" spans="1:32" x14ac:dyDescent="0.25">
      <c r="A6563" s="37"/>
      <c r="B6563" s="37"/>
      <c r="C6563" s="37"/>
      <c r="F6563" s="38"/>
      <c r="G6563" s="38"/>
      <c r="H6563" s="38"/>
      <c r="I6563" s="37"/>
      <c r="J6563" s="38"/>
      <c r="K6563" s="38"/>
      <c r="L6563" s="42"/>
      <c r="M6563" s="42"/>
      <c r="N6563" s="42"/>
      <c r="O6563" s="42"/>
      <c r="R6563" s="37"/>
      <c r="S6563" s="37"/>
      <c r="T6563" s="91"/>
      <c r="U6563" s="91"/>
      <c r="V6563" s="41"/>
      <c r="W6563" s="37"/>
      <c r="X6563" s="37"/>
      <c r="Y6563" s="43"/>
      <c r="Z6563" s="37"/>
      <c r="AA6563" s="37"/>
      <c r="AD6563" s="37"/>
      <c r="AE6563" s="37"/>
      <c r="AF6563" s="37"/>
    </row>
    <row r="6564" spans="1:32" x14ac:dyDescent="0.25">
      <c r="A6564" s="37"/>
      <c r="B6564" s="37"/>
      <c r="C6564" s="37"/>
      <c r="F6564" s="38"/>
      <c r="G6564" s="38"/>
      <c r="H6564" s="38"/>
      <c r="I6564" s="37"/>
      <c r="J6564" s="38"/>
      <c r="K6564" s="38"/>
      <c r="L6564" s="42"/>
      <c r="M6564" s="42"/>
      <c r="N6564" s="42"/>
      <c r="O6564" s="42"/>
      <c r="R6564" s="37"/>
      <c r="S6564" s="37"/>
      <c r="T6564" s="91"/>
      <c r="U6564" s="91"/>
      <c r="V6564" s="41"/>
      <c r="W6564" s="37"/>
      <c r="X6564" s="37"/>
      <c r="Y6564" s="43"/>
      <c r="Z6564" s="37"/>
      <c r="AA6564" s="37"/>
      <c r="AD6564" s="37"/>
      <c r="AE6564" s="37"/>
      <c r="AF6564" s="37"/>
    </row>
    <row r="6565" spans="1:32" x14ac:dyDescent="0.25">
      <c r="A6565" s="37"/>
      <c r="B6565" s="37"/>
      <c r="C6565" s="37"/>
      <c r="F6565" s="38"/>
      <c r="G6565" s="38"/>
      <c r="H6565" s="38"/>
      <c r="I6565" s="37"/>
      <c r="J6565" s="38"/>
      <c r="K6565" s="38"/>
      <c r="L6565" s="42"/>
      <c r="M6565" s="42"/>
      <c r="N6565" s="42"/>
      <c r="O6565" s="42"/>
      <c r="R6565" s="37"/>
      <c r="S6565" s="37"/>
      <c r="T6565" s="91"/>
      <c r="U6565" s="91"/>
      <c r="V6565" s="41"/>
      <c r="W6565" s="37"/>
      <c r="X6565" s="37"/>
      <c r="Y6565" s="43"/>
      <c r="Z6565" s="37"/>
      <c r="AA6565" s="37"/>
      <c r="AD6565" s="37"/>
      <c r="AE6565" s="37"/>
      <c r="AF6565" s="37"/>
    </row>
    <row r="6566" spans="1:32" x14ac:dyDescent="0.25">
      <c r="A6566" s="37"/>
      <c r="B6566" s="37"/>
      <c r="C6566" s="37"/>
      <c r="F6566" s="38"/>
      <c r="G6566" s="38"/>
      <c r="H6566" s="38"/>
      <c r="I6566" s="37"/>
      <c r="J6566" s="38"/>
      <c r="K6566" s="38"/>
      <c r="L6566" s="42"/>
      <c r="M6566" s="42"/>
      <c r="N6566" s="42"/>
      <c r="O6566" s="42"/>
      <c r="R6566" s="37"/>
      <c r="S6566" s="37"/>
      <c r="T6566" s="91"/>
      <c r="U6566" s="91"/>
      <c r="V6566" s="41"/>
      <c r="W6566" s="37"/>
      <c r="X6566" s="37"/>
      <c r="Y6566" s="43"/>
      <c r="Z6566" s="37"/>
      <c r="AA6566" s="37"/>
      <c r="AD6566" s="37"/>
      <c r="AE6566" s="37"/>
      <c r="AF6566" s="37"/>
    </row>
    <row r="6567" spans="1:32" x14ac:dyDescent="0.25">
      <c r="A6567" s="37"/>
      <c r="B6567" s="37"/>
      <c r="C6567" s="37"/>
      <c r="F6567" s="38"/>
      <c r="G6567" s="38"/>
      <c r="H6567" s="38"/>
      <c r="I6567" s="37"/>
      <c r="J6567" s="38"/>
      <c r="K6567" s="38"/>
      <c r="L6567" s="42"/>
      <c r="M6567" s="42"/>
      <c r="N6567" s="42"/>
      <c r="O6567" s="42"/>
      <c r="R6567" s="37"/>
      <c r="S6567" s="37"/>
      <c r="T6567" s="91"/>
      <c r="U6567" s="91"/>
      <c r="V6567" s="41"/>
      <c r="W6567" s="37"/>
      <c r="X6567" s="37"/>
      <c r="Y6567" s="43"/>
      <c r="Z6567" s="37"/>
      <c r="AA6567" s="37"/>
      <c r="AD6567" s="37"/>
      <c r="AE6567" s="37"/>
      <c r="AF6567" s="37"/>
    </row>
    <row r="6568" spans="1:32" x14ac:dyDescent="0.25">
      <c r="A6568" s="37"/>
      <c r="B6568" s="37"/>
      <c r="C6568" s="37"/>
      <c r="F6568" s="38"/>
      <c r="G6568" s="38"/>
      <c r="H6568" s="38"/>
      <c r="I6568" s="37"/>
      <c r="J6568" s="38"/>
      <c r="K6568" s="38"/>
      <c r="L6568" s="42"/>
      <c r="M6568" s="42"/>
      <c r="N6568" s="42"/>
      <c r="O6568" s="42"/>
      <c r="R6568" s="37"/>
      <c r="S6568" s="37"/>
      <c r="T6568" s="91"/>
      <c r="U6568" s="91"/>
      <c r="V6568" s="41"/>
      <c r="W6568" s="37"/>
      <c r="X6568" s="37"/>
      <c r="Y6568" s="43"/>
      <c r="Z6568" s="37"/>
      <c r="AA6568" s="37"/>
      <c r="AD6568" s="37"/>
      <c r="AE6568" s="37"/>
      <c r="AF6568" s="37"/>
    </row>
    <row r="6569" spans="1:32" x14ac:dyDescent="0.25">
      <c r="A6569" s="37"/>
      <c r="B6569" s="37"/>
      <c r="C6569" s="37"/>
      <c r="F6569" s="38"/>
      <c r="G6569" s="38"/>
      <c r="H6569" s="38"/>
      <c r="I6569" s="37"/>
      <c r="J6569" s="38"/>
      <c r="K6569" s="38"/>
      <c r="L6569" s="42"/>
      <c r="M6569" s="42"/>
      <c r="N6569" s="42"/>
      <c r="O6569" s="42"/>
      <c r="R6569" s="37"/>
      <c r="S6569" s="37"/>
      <c r="T6569" s="91"/>
      <c r="U6569" s="91"/>
      <c r="V6569" s="41"/>
      <c r="W6569" s="37"/>
      <c r="X6569" s="37"/>
      <c r="Y6569" s="43"/>
      <c r="Z6569" s="37"/>
      <c r="AA6569" s="37"/>
      <c r="AD6569" s="37"/>
      <c r="AE6569" s="37"/>
      <c r="AF6569" s="37"/>
    </row>
    <row r="6570" spans="1:32" x14ac:dyDescent="0.25">
      <c r="A6570" s="37"/>
      <c r="B6570" s="37"/>
      <c r="C6570" s="37"/>
      <c r="F6570" s="38"/>
      <c r="G6570" s="38"/>
      <c r="H6570" s="38"/>
      <c r="I6570" s="37"/>
      <c r="J6570" s="38"/>
      <c r="K6570" s="38"/>
      <c r="L6570" s="42"/>
      <c r="M6570" s="42"/>
      <c r="N6570" s="42"/>
      <c r="O6570" s="42"/>
      <c r="R6570" s="37"/>
      <c r="S6570" s="37"/>
      <c r="T6570" s="91"/>
      <c r="U6570" s="91"/>
      <c r="V6570" s="41"/>
      <c r="W6570" s="37"/>
      <c r="X6570" s="37"/>
      <c r="Y6570" s="43"/>
      <c r="Z6570" s="37"/>
      <c r="AA6570" s="37"/>
      <c r="AD6570" s="37"/>
      <c r="AE6570" s="37"/>
      <c r="AF6570" s="37"/>
    </row>
    <row r="6571" spans="1:32" x14ac:dyDescent="0.25">
      <c r="A6571" s="37"/>
      <c r="B6571" s="37"/>
      <c r="C6571" s="37"/>
      <c r="F6571" s="38"/>
      <c r="G6571" s="38"/>
      <c r="H6571" s="38"/>
      <c r="I6571" s="37"/>
      <c r="J6571" s="38"/>
      <c r="K6571" s="38"/>
      <c r="L6571" s="42"/>
      <c r="M6571" s="42"/>
      <c r="N6571" s="42"/>
      <c r="O6571" s="42"/>
      <c r="R6571" s="37"/>
      <c r="S6571" s="37"/>
      <c r="T6571" s="91"/>
      <c r="U6571" s="91"/>
      <c r="V6571" s="41"/>
      <c r="W6571" s="37"/>
      <c r="X6571" s="37"/>
      <c r="Y6571" s="43"/>
      <c r="Z6571" s="37"/>
      <c r="AA6571" s="37"/>
      <c r="AD6571" s="37"/>
      <c r="AE6571" s="37"/>
      <c r="AF6571" s="37"/>
    </row>
    <row r="6572" spans="1:32" x14ac:dyDescent="0.25">
      <c r="A6572" s="37"/>
      <c r="B6572" s="37"/>
      <c r="C6572" s="37"/>
      <c r="F6572" s="38"/>
      <c r="G6572" s="38"/>
      <c r="H6572" s="38"/>
      <c r="I6572" s="37"/>
      <c r="J6572" s="38"/>
      <c r="K6572" s="38"/>
      <c r="L6572" s="42"/>
      <c r="M6572" s="42"/>
      <c r="N6572" s="42"/>
      <c r="O6572" s="42"/>
      <c r="R6572" s="37"/>
      <c r="S6572" s="37"/>
      <c r="T6572" s="91"/>
      <c r="U6572" s="91"/>
      <c r="V6572" s="41"/>
      <c r="W6572" s="37"/>
      <c r="X6572" s="37"/>
      <c r="Y6572" s="43"/>
      <c r="Z6572" s="37"/>
      <c r="AA6572" s="37"/>
      <c r="AD6572" s="37"/>
      <c r="AE6572" s="37"/>
      <c r="AF6572" s="37"/>
    </row>
    <row r="6573" spans="1:32" x14ac:dyDescent="0.25">
      <c r="A6573" s="37"/>
      <c r="B6573" s="37"/>
      <c r="C6573" s="37"/>
      <c r="F6573" s="38"/>
      <c r="G6573" s="38"/>
      <c r="H6573" s="38"/>
      <c r="I6573" s="37"/>
      <c r="J6573" s="38"/>
      <c r="K6573" s="38"/>
      <c r="L6573" s="42"/>
      <c r="M6573" s="42"/>
      <c r="N6573" s="42"/>
      <c r="O6573" s="42"/>
      <c r="R6573" s="37"/>
      <c r="S6573" s="37"/>
      <c r="T6573" s="91"/>
      <c r="U6573" s="91"/>
      <c r="V6573" s="41"/>
      <c r="W6573" s="37"/>
      <c r="X6573" s="37"/>
      <c r="Y6573" s="43"/>
      <c r="Z6573" s="37"/>
      <c r="AA6573" s="37"/>
      <c r="AD6573" s="37"/>
      <c r="AE6573" s="37"/>
      <c r="AF6573" s="37"/>
    </row>
    <row r="6574" spans="1:32" x14ac:dyDescent="0.25">
      <c r="A6574" s="37"/>
      <c r="B6574" s="37"/>
      <c r="C6574" s="37"/>
      <c r="F6574" s="38"/>
      <c r="G6574" s="38"/>
      <c r="H6574" s="38"/>
      <c r="I6574" s="37"/>
      <c r="J6574" s="38"/>
      <c r="K6574" s="38"/>
      <c r="L6574" s="42"/>
      <c r="M6574" s="42"/>
      <c r="N6574" s="42"/>
      <c r="O6574" s="42"/>
      <c r="R6574" s="37"/>
      <c r="S6574" s="37"/>
      <c r="T6574" s="91"/>
      <c r="U6574" s="91"/>
      <c r="V6574" s="41"/>
      <c r="W6574" s="37"/>
      <c r="X6574" s="37"/>
      <c r="Y6574" s="43"/>
      <c r="Z6574" s="37"/>
      <c r="AA6574" s="37"/>
      <c r="AD6574" s="37"/>
      <c r="AE6574" s="37"/>
      <c r="AF6574" s="37"/>
    </row>
    <row r="6575" spans="1:32" x14ac:dyDescent="0.25">
      <c r="A6575" s="37"/>
      <c r="B6575" s="37"/>
      <c r="C6575" s="37"/>
      <c r="F6575" s="38"/>
      <c r="G6575" s="38"/>
      <c r="H6575" s="38"/>
      <c r="I6575" s="37"/>
      <c r="J6575" s="38"/>
      <c r="K6575" s="38"/>
      <c r="L6575" s="42"/>
      <c r="M6575" s="42"/>
      <c r="N6575" s="42"/>
      <c r="O6575" s="42"/>
      <c r="R6575" s="37"/>
      <c r="S6575" s="37"/>
      <c r="T6575" s="91"/>
      <c r="U6575" s="91"/>
      <c r="V6575" s="41"/>
      <c r="W6575" s="37"/>
      <c r="X6575" s="37"/>
      <c r="Y6575" s="43"/>
      <c r="Z6575" s="37"/>
      <c r="AA6575" s="37"/>
      <c r="AD6575" s="37"/>
      <c r="AE6575" s="37"/>
      <c r="AF6575" s="37"/>
    </row>
    <row r="6576" spans="1:32" x14ac:dyDescent="0.25">
      <c r="A6576" s="37"/>
      <c r="B6576" s="37"/>
      <c r="C6576" s="37"/>
      <c r="F6576" s="38"/>
      <c r="G6576" s="38"/>
      <c r="H6576" s="38"/>
      <c r="I6576" s="37"/>
      <c r="J6576" s="38"/>
      <c r="K6576" s="38"/>
      <c r="L6576" s="42"/>
      <c r="M6576" s="42"/>
      <c r="N6576" s="42"/>
      <c r="O6576" s="42"/>
      <c r="R6576" s="37"/>
      <c r="S6576" s="37"/>
      <c r="T6576" s="91"/>
      <c r="U6576" s="91"/>
      <c r="V6576" s="41"/>
      <c r="W6576" s="37"/>
      <c r="X6576" s="37"/>
      <c r="Y6576" s="43"/>
      <c r="Z6576" s="37"/>
      <c r="AA6576" s="37"/>
      <c r="AD6576" s="37"/>
      <c r="AE6576" s="37"/>
      <c r="AF6576" s="37"/>
    </row>
    <row r="6577" spans="1:32" x14ac:dyDescent="0.25">
      <c r="A6577" s="37"/>
      <c r="B6577" s="37"/>
      <c r="C6577" s="37"/>
      <c r="F6577" s="38"/>
      <c r="G6577" s="38"/>
      <c r="H6577" s="38"/>
      <c r="I6577" s="37"/>
      <c r="J6577" s="38"/>
      <c r="K6577" s="38"/>
      <c r="L6577" s="42"/>
      <c r="M6577" s="42"/>
      <c r="N6577" s="42"/>
      <c r="O6577" s="42"/>
      <c r="R6577" s="37"/>
      <c r="S6577" s="37"/>
      <c r="T6577" s="91"/>
      <c r="U6577" s="91"/>
      <c r="V6577" s="41"/>
      <c r="W6577" s="37"/>
      <c r="X6577" s="37"/>
      <c r="Y6577" s="43"/>
      <c r="Z6577" s="37"/>
      <c r="AA6577" s="37"/>
      <c r="AD6577" s="37"/>
      <c r="AE6577" s="37"/>
      <c r="AF6577" s="37"/>
    </row>
    <row r="6578" spans="1:32" x14ac:dyDescent="0.25">
      <c r="A6578" s="37"/>
      <c r="B6578" s="37"/>
      <c r="C6578" s="37"/>
      <c r="F6578" s="38"/>
      <c r="G6578" s="38"/>
      <c r="H6578" s="38"/>
      <c r="I6578" s="37"/>
      <c r="J6578" s="38"/>
      <c r="K6578" s="38"/>
      <c r="L6578" s="42"/>
      <c r="M6578" s="42"/>
      <c r="N6578" s="42"/>
      <c r="O6578" s="42"/>
      <c r="R6578" s="37"/>
      <c r="S6578" s="37"/>
      <c r="T6578" s="91"/>
      <c r="U6578" s="91"/>
      <c r="V6578" s="41"/>
      <c r="W6578" s="37"/>
      <c r="X6578" s="37"/>
      <c r="Y6578" s="43"/>
      <c r="Z6578" s="37"/>
      <c r="AA6578" s="37"/>
      <c r="AD6578" s="37"/>
      <c r="AE6578" s="37"/>
      <c r="AF6578" s="37"/>
    </row>
    <row r="6579" spans="1:32" x14ac:dyDescent="0.25">
      <c r="A6579" s="37"/>
      <c r="B6579" s="37"/>
      <c r="C6579" s="37"/>
      <c r="F6579" s="38"/>
      <c r="G6579" s="38"/>
      <c r="H6579" s="38"/>
      <c r="I6579" s="37"/>
      <c r="J6579" s="38"/>
      <c r="K6579" s="38"/>
      <c r="L6579" s="42"/>
      <c r="M6579" s="42"/>
      <c r="N6579" s="42"/>
      <c r="O6579" s="42"/>
      <c r="R6579" s="37"/>
      <c r="S6579" s="37"/>
      <c r="T6579" s="91"/>
      <c r="U6579" s="91"/>
      <c r="V6579" s="41"/>
      <c r="W6579" s="37"/>
      <c r="X6579" s="37"/>
      <c r="Y6579" s="43"/>
      <c r="Z6579" s="37"/>
      <c r="AA6579" s="37"/>
      <c r="AD6579" s="37"/>
      <c r="AE6579" s="37"/>
      <c r="AF6579" s="37"/>
    </row>
    <row r="6580" spans="1:32" x14ac:dyDescent="0.25">
      <c r="A6580" s="37"/>
      <c r="B6580" s="37"/>
      <c r="C6580" s="37"/>
      <c r="F6580" s="38"/>
      <c r="G6580" s="38"/>
      <c r="H6580" s="38"/>
      <c r="I6580" s="37"/>
      <c r="J6580" s="38"/>
      <c r="K6580" s="38"/>
      <c r="L6580" s="42"/>
      <c r="M6580" s="42"/>
      <c r="N6580" s="42"/>
      <c r="O6580" s="42"/>
      <c r="R6580" s="37"/>
      <c r="S6580" s="37"/>
      <c r="T6580" s="91"/>
      <c r="U6580" s="91"/>
      <c r="V6580" s="41"/>
      <c r="W6580" s="37"/>
      <c r="X6580" s="37"/>
      <c r="Y6580" s="43"/>
      <c r="Z6580" s="37"/>
      <c r="AA6580" s="37"/>
      <c r="AD6580" s="37"/>
      <c r="AE6580" s="37"/>
      <c r="AF6580" s="37"/>
    </row>
    <row r="6581" spans="1:32" x14ac:dyDescent="0.25">
      <c r="A6581" s="37"/>
      <c r="B6581" s="37"/>
      <c r="C6581" s="37"/>
      <c r="F6581" s="38"/>
      <c r="G6581" s="38"/>
      <c r="H6581" s="38"/>
      <c r="I6581" s="37"/>
      <c r="J6581" s="38"/>
      <c r="K6581" s="38"/>
      <c r="L6581" s="42"/>
      <c r="M6581" s="42"/>
      <c r="N6581" s="42"/>
      <c r="O6581" s="42"/>
      <c r="R6581" s="37"/>
      <c r="S6581" s="37"/>
      <c r="T6581" s="91"/>
      <c r="U6581" s="91"/>
      <c r="V6581" s="41"/>
      <c r="W6581" s="37"/>
      <c r="X6581" s="37"/>
      <c r="Y6581" s="43"/>
      <c r="Z6581" s="37"/>
      <c r="AA6581" s="37"/>
      <c r="AD6581" s="37"/>
      <c r="AE6581" s="37"/>
      <c r="AF6581" s="37"/>
    </row>
    <row r="6582" spans="1:32" x14ac:dyDescent="0.25">
      <c r="A6582" s="37"/>
      <c r="B6582" s="37"/>
      <c r="C6582" s="37"/>
      <c r="F6582" s="38"/>
      <c r="G6582" s="38"/>
      <c r="H6582" s="38"/>
      <c r="I6582" s="37"/>
      <c r="J6582" s="38"/>
      <c r="K6582" s="38"/>
      <c r="L6582" s="42"/>
      <c r="M6582" s="42"/>
      <c r="N6582" s="42"/>
      <c r="O6582" s="42"/>
      <c r="R6582" s="37"/>
      <c r="S6582" s="37"/>
      <c r="T6582" s="91"/>
      <c r="U6582" s="91"/>
      <c r="V6582" s="41"/>
      <c r="W6582" s="37"/>
      <c r="X6582" s="37"/>
      <c r="Y6582" s="43"/>
      <c r="Z6582" s="37"/>
      <c r="AA6582" s="37"/>
      <c r="AD6582" s="37"/>
      <c r="AE6582" s="37"/>
      <c r="AF6582" s="37"/>
    </row>
    <row r="6583" spans="1:32" x14ac:dyDescent="0.25">
      <c r="A6583" s="37"/>
      <c r="B6583" s="37"/>
      <c r="C6583" s="37"/>
      <c r="F6583" s="38"/>
      <c r="G6583" s="38"/>
      <c r="H6583" s="38"/>
      <c r="I6583" s="37"/>
      <c r="J6583" s="38"/>
      <c r="K6583" s="38"/>
      <c r="L6583" s="42"/>
      <c r="M6583" s="42"/>
      <c r="N6583" s="42"/>
      <c r="O6583" s="42"/>
      <c r="R6583" s="37"/>
      <c r="S6583" s="37"/>
      <c r="T6583" s="91"/>
      <c r="U6583" s="91"/>
      <c r="V6583" s="41"/>
      <c r="W6583" s="37"/>
      <c r="X6583" s="37"/>
      <c r="Y6583" s="43"/>
      <c r="Z6583" s="37"/>
      <c r="AA6583" s="37"/>
      <c r="AD6583" s="37"/>
      <c r="AE6583" s="37"/>
      <c r="AF6583" s="37"/>
    </row>
    <row r="6584" spans="1:32" x14ac:dyDescent="0.25">
      <c r="A6584" s="37"/>
      <c r="B6584" s="37"/>
      <c r="C6584" s="37"/>
      <c r="F6584" s="38"/>
      <c r="G6584" s="38"/>
      <c r="H6584" s="38"/>
      <c r="I6584" s="37"/>
      <c r="J6584" s="38"/>
      <c r="K6584" s="38"/>
      <c r="L6584" s="42"/>
      <c r="M6584" s="42"/>
      <c r="N6584" s="42"/>
      <c r="O6584" s="42"/>
      <c r="R6584" s="37"/>
      <c r="S6584" s="37"/>
      <c r="T6584" s="91"/>
      <c r="U6584" s="91"/>
      <c r="V6584" s="41"/>
      <c r="W6584" s="37"/>
      <c r="X6584" s="37"/>
      <c r="Y6584" s="43"/>
      <c r="Z6584" s="37"/>
      <c r="AA6584" s="37"/>
      <c r="AD6584" s="37"/>
      <c r="AE6584" s="37"/>
      <c r="AF6584" s="37"/>
    </row>
    <row r="6585" spans="1:32" x14ac:dyDescent="0.25">
      <c r="A6585" s="37"/>
      <c r="B6585" s="37"/>
      <c r="C6585" s="37"/>
      <c r="F6585" s="38"/>
      <c r="G6585" s="38"/>
      <c r="H6585" s="38"/>
      <c r="I6585" s="37"/>
      <c r="J6585" s="38"/>
      <c r="K6585" s="38"/>
      <c r="L6585" s="42"/>
      <c r="M6585" s="42"/>
      <c r="N6585" s="42"/>
      <c r="O6585" s="42"/>
      <c r="R6585" s="37"/>
      <c r="S6585" s="37"/>
      <c r="T6585" s="91"/>
      <c r="U6585" s="91"/>
      <c r="V6585" s="41"/>
      <c r="W6585" s="37"/>
      <c r="X6585" s="37"/>
      <c r="Y6585" s="43"/>
      <c r="Z6585" s="37"/>
      <c r="AA6585" s="37"/>
      <c r="AD6585" s="37"/>
      <c r="AE6585" s="37"/>
      <c r="AF6585" s="37"/>
    </row>
    <row r="6586" spans="1:32" x14ac:dyDescent="0.25">
      <c r="A6586" s="37"/>
      <c r="B6586" s="37"/>
      <c r="C6586" s="37"/>
      <c r="F6586" s="38"/>
      <c r="G6586" s="38"/>
      <c r="H6586" s="38"/>
      <c r="I6586" s="37"/>
      <c r="J6586" s="38"/>
      <c r="K6586" s="38"/>
      <c r="L6586" s="42"/>
      <c r="M6586" s="42"/>
      <c r="N6586" s="42"/>
      <c r="O6586" s="42"/>
      <c r="R6586" s="37"/>
      <c r="S6586" s="37"/>
      <c r="T6586" s="91"/>
      <c r="U6586" s="91"/>
      <c r="V6586" s="41"/>
      <c r="W6586" s="37"/>
      <c r="X6586" s="37"/>
      <c r="Y6586" s="43"/>
      <c r="Z6586" s="37"/>
      <c r="AA6586" s="37"/>
      <c r="AD6586" s="37"/>
      <c r="AE6586" s="37"/>
      <c r="AF6586" s="37"/>
    </row>
    <row r="6587" spans="1:32" x14ac:dyDescent="0.25">
      <c r="A6587" s="37"/>
      <c r="B6587" s="37"/>
      <c r="C6587" s="37"/>
      <c r="F6587" s="38"/>
      <c r="G6587" s="38"/>
      <c r="H6587" s="38"/>
      <c r="I6587" s="37"/>
      <c r="J6587" s="38"/>
      <c r="K6587" s="38"/>
      <c r="L6587" s="42"/>
      <c r="M6587" s="42"/>
      <c r="N6587" s="42"/>
      <c r="O6587" s="42"/>
      <c r="R6587" s="37"/>
      <c r="S6587" s="37"/>
      <c r="T6587" s="91"/>
      <c r="U6587" s="91"/>
      <c r="V6587" s="41"/>
      <c r="W6587" s="37"/>
      <c r="X6587" s="37"/>
      <c r="Y6587" s="43"/>
      <c r="Z6587" s="37"/>
      <c r="AA6587" s="37"/>
      <c r="AD6587" s="37"/>
      <c r="AE6587" s="37"/>
      <c r="AF6587" s="37"/>
    </row>
    <row r="6588" spans="1:32" x14ac:dyDescent="0.25">
      <c r="A6588" s="37"/>
      <c r="B6588" s="37"/>
      <c r="C6588" s="37"/>
      <c r="F6588" s="38"/>
      <c r="G6588" s="38"/>
      <c r="H6588" s="38"/>
      <c r="I6588" s="37"/>
      <c r="J6588" s="38"/>
      <c r="K6588" s="38"/>
      <c r="L6588" s="42"/>
      <c r="M6588" s="42"/>
      <c r="N6588" s="42"/>
      <c r="O6588" s="42"/>
      <c r="R6588" s="37"/>
      <c r="S6588" s="37"/>
      <c r="T6588" s="91"/>
      <c r="U6588" s="91"/>
      <c r="V6588" s="41"/>
      <c r="W6588" s="37"/>
      <c r="X6588" s="37"/>
      <c r="Y6588" s="43"/>
      <c r="Z6588" s="37"/>
      <c r="AA6588" s="37"/>
      <c r="AD6588" s="37"/>
      <c r="AE6588" s="37"/>
      <c r="AF6588" s="37"/>
    </row>
    <row r="6589" spans="1:32" x14ac:dyDescent="0.25">
      <c r="A6589" s="37"/>
      <c r="B6589" s="37"/>
      <c r="C6589" s="37"/>
      <c r="F6589" s="38"/>
      <c r="G6589" s="38"/>
      <c r="H6589" s="38"/>
      <c r="I6589" s="37"/>
      <c r="J6589" s="38"/>
      <c r="K6589" s="38"/>
      <c r="L6589" s="42"/>
      <c r="M6589" s="42"/>
      <c r="N6589" s="42"/>
      <c r="O6589" s="42"/>
      <c r="R6589" s="37"/>
      <c r="S6589" s="37"/>
      <c r="T6589" s="91"/>
      <c r="U6589" s="91"/>
      <c r="V6589" s="41"/>
      <c r="W6589" s="37"/>
      <c r="X6589" s="37"/>
      <c r="Y6589" s="43"/>
      <c r="Z6589" s="37"/>
      <c r="AA6589" s="37"/>
      <c r="AD6589" s="37"/>
      <c r="AE6589" s="37"/>
      <c r="AF6589" s="37"/>
    </row>
    <row r="6590" spans="1:32" x14ac:dyDescent="0.25">
      <c r="A6590" s="37"/>
      <c r="B6590" s="37"/>
      <c r="C6590" s="37"/>
      <c r="F6590" s="38"/>
      <c r="G6590" s="38"/>
      <c r="H6590" s="38"/>
      <c r="I6590" s="37"/>
      <c r="J6590" s="38"/>
      <c r="K6590" s="38"/>
      <c r="L6590" s="42"/>
      <c r="M6590" s="42"/>
      <c r="N6590" s="42"/>
      <c r="O6590" s="42"/>
      <c r="R6590" s="37"/>
      <c r="S6590" s="37"/>
      <c r="T6590" s="91"/>
      <c r="U6590" s="91"/>
      <c r="V6590" s="41"/>
      <c r="W6590" s="37"/>
      <c r="X6590" s="37"/>
      <c r="Y6590" s="43"/>
      <c r="Z6590" s="37"/>
      <c r="AA6590" s="37"/>
      <c r="AD6590" s="37"/>
      <c r="AE6590" s="37"/>
      <c r="AF6590" s="37"/>
    </row>
    <row r="6591" spans="1:32" x14ac:dyDescent="0.25">
      <c r="A6591" s="37"/>
      <c r="B6591" s="37"/>
      <c r="C6591" s="37"/>
      <c r="F6591" s="38"/>
      <c r="G6591" s="38"/>
      <c r="H6591" s="38"/>
      <c r="I6591" s="37"/>
      <c r="J6591" s="38"/>
      <c r="K6591" s="38"/>
      <c r="L6591" s="42"/>
      <c r="M6591" s="42"/>
      <c r="N6591" s="42"/>
      <c r="O6591" s="42"/>
      <c r="R6591" s="37"/>
      <c r="S6591" s="37"/>
      <c r="T6591" s="91"/>
      <c r="U6591" s="91"/>
      <c r="V6591" s="41"/>
      <c r="W6591" s="37"/>
      <c r="X6591" s="37"/>
      <c r="Y6591" s="43"/>
      <c r="Z6591" s="37"/>
      <c r="AA6591" s="37"/>
      <c r="AD6591" s="37"/>
      <c r="AE6591" s="37"/>
      <c r="AF6591" s="37"/>
    </row>
    <row r="6592" spans="1:32" x14ac:dyDescent="0.25">
      <c r="A6592" s="37"/>
      <c r="B6592" s="37"/>
      <c r="C6592" s="37"/>
      <c r="F6592" s="38"/>
      <c r="G6592" s="38"/>
      <c r="H6592" s="38"/>
      <c r="I6592" s="37"/>
      <c r="J6592" s="38"/>
      <c r="K6592" s="38"/>
      <c r="L6592" s="42"/>
      <c r="M6592" s="42"/>
      <c r="N6592" s="42"/>
      <c r="O6592" s="42"/>
      <c r="R6592" s="37"/>
      <c r="S6592" s="37"/>
      <c r="T6592" s="91"/>
      <c r="U6592" s="91"/>
      <c r="V6592" s="41"/>
      <c r="W6592" s="37"/>
      <c r="X6592" s="37"/>
      <c r="Y6592" s="43"/>
      <c r="Z6592" s="37"/>
      <c r="AA6592" s="37"/>
      <c r="AD6592" s="37"/>
      <c r="AE6592" s="37"/>
      <c r="AF6592" s="37"/>
    </row>
    <row r="6593" spans="1:32" x14ac:dyDescent="0.25">
      <c r="A6593" s="37"/>
      <c r="B6593" s="37"/>
      <c r="C6593" s="37"/>
      <c r="F6593" s="38"/>
      <c r="G6593" s="38"/>
      <c r="H6593" s="38"/>
      <c r="I6593" s="37"/>
      <c r="J6593" s="38"/>
      <c r="K6593" s="38"/>
      <c r="L6593" s="42"/>
      <c r="M6593" s="42"/>
      <c r="N6593" s="42"/>
      <c r="O6593" s="42"/>
      <c r="R6593" s="37"/>
      <c r="S6593" s="37"/>
      <c r="T6593" s="91"/>
      <c r="U6593" s="91"/>
      <c r="V6593" s="41"/>
      <c r="W6593" s="37"/>
      <c r="X6593" s="37"/>
      <c r="Y6593" s="43"/>
      <c r="Z6593" s="37"/>
      <c r="AA6593" s="37"/>
      <c r="AD6593" s="37"/>
      <c r="AE6593" s="37"/>
      <c r="AF6593" s="37"/>
    </row>
    <row r="6594" spans="1:32" x14ac:dyDescent="0.25">
      <c r="A6594" s="37"/>
      <c r="B6594" s="37"/>
      <c r="C6594" s="37"/>
      <c r="F6594" s="38"/>
      <c r="G6594" s="38"/>
      <c r="H6594" s="38"/>
      <c r="I6594" s="37"/>
      <c r="J6594" s="38"/>
      <c r="K6594" s="38"/>
      <c r="L6594" s="42"/>
      <c r="M6594" s="42"/>
      <c r="N6594" s="42"/>
      <c r="O6594" s="42"/>
      <c r="R6594" s="37"/>
      <c r="S6594" s="37"/>
      <c r="T6594" s="91"/>
      <c r="U6594" s="91"/>
      <c r="V6594" s="41"/>
      <c r="W6594" s="37"/>
      <c r="X6594" s="37"/>
      <c r="Y6594" s="43"/>
      <c r="Z6594" s="37"/>
      <c r="AA6594" s="37"/>
      <c r="AD6594" s="37"/>
      <c r="AE6594" s="37"/>
      <c r="AF6594" s="37"/>
    </row>
    <row r="6595" spans="1:32" x14ac:dyDescent="0.25">
      <c r="A6595" s="37"/>
      <c r="B6595" s="37"/>
      <c r="C6595" s="37"/>
      <c r="F6595" s="38"/>
      <c r="G6595" s="38"/>
      <c r="H6595" s="38"/>
      <c r="I6595" s="37"/>
      <c r="J6595" s="38"/>
      <c r="K6595" s="38"/>
      <c r="L6595" s="42"/>
      <c r="M6595" s="42"/>
      <c r="N6595" s="42"/>
      <c r="O6595" s="42"/>
      <c r="R6595" s="37"/>
      <c r="S6595" s="37"/>
      <c r="T6595" s="91"/>
      <c r="U6595" s="91"/>
      <c r="V6595" s="41"/>
      <c r="W6595" s="37"/>
      <c r="X6595" s="37"/>
      <c r="Y6595" s="43"/>
      <c r="Z6595" s="37"/>
      <c r="AA6595" s="37"/>
      <c r="AD6595" s="37"/>
      <c r="AE6595" s="37"/>
      <c r="AF6595" s="37"/>
    </row>
    <row r="6596" spans="1:32" x14ac:dyDescent="0.25">
      <c r="A6596" s="37"/>
      <c r="B6596" s="37"/>
      <c r="C6596" s="37"/>
      <c r="F6596" s="38"/>
      <c r="G6596" s="38"/>
      <c r="H6596" s="38"/>
      <c r="I6596" s="37"/>
      <c r="J6596" s="38"/>
      <c r="K6596" s="38"/>
      <c r="L6596" s="42"/>
      <c r="M6596" s="42"/>
      <c r="N6596" s="42"/>
      <c r="O6596" s="42"/>
      <c r="R6596" s="37"/>
      <c r="S6596" s="37"/>
      <c r="T6596" s="91"/>
      <c r="U6596" s="91"/>
      <c r="V6596" s="41"/>
      <c r="W6596" s="37"/>
      <c r="X6596" s="37"/>
      <c r="Y6596" s="43"/>
      <c r="Z6596" s="37"/>
      <c r="AA6596" s="37"/>
      <c r="AD6596" s="37"/>
      <c r="AE6596" s="37"/>
      <c r="AF6596" s="37"/>
    </row>
    <row r="6597" spans="1:32" x14ac:dyDescent="0.25">
      <c r="A6597" s="37"/>
      <c r="B6597" s="37"/>
      <c r="C6597" s="37"/>
      <c r="F6597" s="38"/>
      <c r="G6597" s="38"/>
      <c r="H6597" s="38"/>
      <c r="I6597" s="37"/>
      <c r="J6597" s="38"/>
      <c r="K6597" s="38"/>
      <c r="L6597" s="42"/>
      <c r="M6597" s="42"/>
      <c r="N6597" s="42"/>
      <c r="O6597" s="42"/>
      <c r="R6597" s="37"/>
      <c r="S6597" s="37"/>
      <c r="T6597" s="91"/>
      <c r="U6597" s="91"/>
      <c r="V6597" s="41"/>
      <c r="W6597" s="37"/>
      <c r="X6597" s="37"/>
      <c r="Y6597" s="43"/>
      <c r="Z6597" s="37"/>
      <c r="AA6597" s="37"/>
      <c r="AD6597" s="37"/>
      <c r="AE6597" s="37"/>
      <c r="AF6597" s="37"/>
    </row>
    <row r="6598" spans="1:32" x14ac:dyDescent="0.25">
      <c r="A6598" s="37"/>
      <c r="B6598" s="37"/>
      <c r="C6598" s="37"/>
      <c r="F6598" s="38"/>
      <c r="G6598" s="38"/>
      <c r="H6598" s="38"/>
      <c r="I6598" s="37"/>
      <c r="J6598" s="38"/>
      <c r="K6598" s="38"/>
      <c r="L6598" s="42"/>
      <c r="M6598" s="42"/>
      <c r="N6598" s="42"/>
      <c r="O6598" s="42"/>
      <c r="R6598" s="37"/>
      <c r="S6598" s="37"/>
      <c r="T6598" s="91"/>
      <c r="U6598" s="91"/>
      <c r="V6598" s="41"/>
      <c r="W6598" s="37"/>
      <c r="X6598" s="37"/>
      <c r="Y6598" s="43"/>
      <c r="Z6598" s="37"/>
      <c r="AA6598" s="37"/>
      <c r="AD6598" s="37"/>
      <c r="AE6598" s="37"/>
      <c r="AF6598" s="37"/>
    </row>
    <row r="6599" spans="1:32" x14ac:dyDescent="0.25">
      <c r="A6599" s="37"/>
      <c r="B6599" s="37"/>
      <c r="C6599" s="37"/>
      <c r="F6599" s="38"/>
      <c r="G6599" s="38"/>
      <c r="H6599" s="38"/>
      <c r="I6599" s="37"/>
      <c r="J6599" s="38"/>
      <c r="K6599" s="38"/>
      <c r="L6599" s="42"/>
      <c r="M6599" s="42"/>
      <c r="N6599" s="42"/>
      <c r="O6599" s="42"/>
      <c r="R6599" s="37"/>
      <c r="S6599" s="37"/>
      <c r="T6599" s="91"/>
      <c r="U6599" s="91"/>
      <c r="V6599" s="41"/>
      <c r="W6599" s="37"/>
      <c r="X6599" s="37"/>
      <c r="Y6599" s="43"/>
      <c r="Z6599" s="37"/>
      <c r="AA6599" s="37"/>
      <c r="AD6599" s="37"/>
      <c r="AE6599" s="37"/>
      <c r="AF6599" s="37"/>
    </row>
    <row r="6600" spans="1:32" x14ac:dyDescent="0.25">
      <c r="A6600" s="37"/>
      <c r="B6600" s="37"/>
      <c r="C6600" s="37"/>
      <c r="F6600" s="38"/>
      <c r="G6600" s="38"/>
      <c r="H6600" s="38"/>
      <c r="I6600" s="37"/>
      <c r="J6600" s="38"/>
      <c r="K6600" s="38"/>
      <c r="L6600" s="42"/>
      <c r="M6600" s="42"/>
      <c r="N6600" s="42"/>
      <c r="O6600" s="42"/>
      <c r="R6600" s="37"/>
      <c r="S6600" s="37"/>
      <c r="T6600" s="91"/>
      <c r="U6600" s="91"/>
      <c r="V6600" s="41"/>
      <c r="W6600" s="37"/>
      <c r="X6600" s="37"/>
      <c r="Y6600" s="43"/>
      <c r="Z6600" s="37"/>
      <c r="AA6600" s="37"/>
      <c r="AD6600" s="37"/>
      <c r="AE6600" s="37"/>
      <c r="AF6600" s="37"/>
    </row>
    <row r="6601" spans="1:32" x14ac:dyDescent="0.25">
      <c r="A6601" s="37"/>
      <c r="B6601" s="37"/>
      <c r="C6601" s="37"/>
      <c r="F6601" s="38"/>
      <c r="G6601" s="38"/>
      <c r="H6601" s="38"/>
      <c r="I6601" s="37"/>
      <c r="J6601" s="38"/>
      <c r="K6601" s="38"/>
      <c r="L6601" s="42"/>
      <c r="M6601" s="42"/>
      <c r="N6601" s="42"/>
      <c r="O6601" s="42"/>
      <c r="R6601" s="37"/>
      <c r="S6601" s="37"/>
      <c r="T6601" s="91"/>
      <c r="U6601" s="91"/>
      <c r="V6601" s="41"/>
      <c r="W6601" s="37"/>
      <c r="X6601" s="37"/>
      <c r="Y6601" s="43"/>
      <c r="Z6601" s="37"/>
      <c r="AA6601" s="37"/>
      <c r="AD6601" s="37"/>
      <c r="AE6601" s="37"/>
      <c r="AF6601" s="37"/>
    </row>
    <row r="6602" spans="1:32" x14ac:dyDescent="0.25">
      <c r="A6602" s="37"/>
      <c r="B6602" s="37"/>
      <c r="C6602" s="37"/>
      <c r="F6602" s="38"/>
      <c r="G6602" s="38"/>
      <c r="H6602" s="38"/>
      <c r="I6602" s="37"/>
      <c r="J6602" s="38"/>
      <c r="K6602" s="38"/>
      <c r="L6602" s="42"/>
      <c r="M6602" s="42"/>
      <c r="N6602" s="42"/>
      <c r="O6602" s="42"/>
      <c r="R6602" s="37"/>
      <c r="S6602" s="37"/>
      <c r="T6602" s="91"/>
      <c r="U6602" s="91"/>
      <c r="V6602" s="41"/>
      <c r="W6602" s="37"/>
      <c r="X6602" s="37"/>
      <c r="Y6602" s="43"/>
      <c r="Z6602" s="37"/>
      <c r="AA6602" s="37"/>
      <c r="AD6602" s="37"/>
      <c r="AE6602" s="37"/>
      <c r="AF6602" s="37"/>
    </row>
    <row r="6603" spans="1:32" x14ac:dyDescent="0.25">
      <c r="A6603" s="37"/>
      <c r="B6603" s="37"/>
      <c r="C6603" s="37"/>
      <c r="F6603" s="38"/>
      <c r="G6603" s="38"/>
      <c r="H6603" s="38"/>
      <c r="I6603" s="37"/>
      <c r="J6603" s="38"/>
      <c r="K6603" s="38"/>
      <c r="L6603" s="42"/>
      <c r="M6603" s="42"/>
      <c r="N6603" s="42"/>
      <c r="O6603" s="42"/>
      <c r="R6603" s="37"/>
      <c r="S6603" s="37"/>
      <c r="T6603" s="91"/>
      <c r="U6603" s="91"/>
      <c r="V6603" s="41"/>
      <c r="W6603" s="37"/>
      <c r="X6603" s="37"/>
      <c r="Y6603" s="43"/>
      <c r="Z6603" s="37"/>
      <c r="AA6603" s="37"/>
      <c r="AD6603" s="37"/>
      <c r="AE6603" s="37"/>
      <c r="AF6603" s="37"/>
    </row>
    <row r="6604" spans="1:32" x14ac:dyDescent="0.25">
      <c r="A6604" s="37"/>
      <c r="B6604" s="37"/>
      <c r="C6604" s="37"/>
      <c r="F6604" s="38"/>
      <c r="G6604" s="38"/>
      <c r="H6604" s="38"/>
      <c r="I6604" s="37"/>
      <c r="J6604" s="38"/>
      <c r="K6604" s="38"/>
      <c r="L6604" s="42"/>
      <c r="M6604" s="42"/>
      <c r="N6604" s="42"/>
      <c r="O6604" s="42"/>
      <c r="R6604" s="37"/>
      <c r="S6604" s="37"/>
      <c r="T6604" s="91"/>
      <c r="U6604" s="91"/>
      <c r="V6604" s="41"/>
      <c r="W6604" s="37"/>
      <c r="X6604" s="37"/>
      <c r="Y6604" s="43"/>
      <c r="Z6604" s="37"/>
      <c r="AA6604" s="37"/>
      <c r="AD6604" s="37"/>
      <c r="AE6604" s="37"/>
      <c r="AF6604" s="37"/>
    </row>
    <row r="6605" spans="1:32" x14ac:dyDescent="0.25">
      <c r="A6605" s="37"/>
      <c r="B6605" s="37"/>
      <c r="C6605" s="37"/>
      <c r="F6605" s="38"/>
      <c r="G6605" s="38"/>
      <c r="H6605" s="38"/>
      <c r="I6605" s="37"/>
      <c r="J6605" s="38"/>
      <c r="K6605" s="38"/>
      <c r="L6605" s="42"/>
      <c r="M6605" s="42"/>
      <c r="N6605" s="42"/>
      <c r="O6605" s="42"/>
      <c r="R6605" s="37"/>
      <c r="S6605" s="37"/>
      <c r="T6605" s="91"/>
      <c r="U6605" s="91"/>
      <c r="V6605" s="41"/>
      <c r="W6605" s="37"/>
      <c r="X6605" s="37"/>
      <c r="Y6605" s="43"/>
      <c r="Z6605" s="37"/>
      <c r="AA6605" s="37"/>
      <c r="AD6605" s="37"/>
      <c r="AE6605" s="37"/>
      <c r="AF6605" s="37"/>
    </row>
    <row r="6606" spans="1:32" x14ac:dyDescent="0.25">
      <c r="A6606" s="37"/>
      <c r="B6606" s="37"/>
      <c r="C6606" s="37"/>
      <c r="F6606" s="38"/>
      <c r="G6606" s="38"/>
      <c r="H6606" s="38"/>
      <c r="I6606" s="37"/>
      <c r="J6606" s="38"/>
      <c r="K6606" s="38"/>
      <c r="L6606" s="42"/>
      <c r="M6606" s="42"/>
      <c r="N6606" s="42"/>
      <c r="O6606" s="42"/>
      <c r="R6606" s="37"/>
      <c r="S6606" s="37"/>
      <c r="T6606" s="91"/>
      <c r="U6606" s="91"/>
      <c r="V6606" s="41"/>
      <c r="W6606" s="37"/>
      <c r="X6606" s="37"/>
      <c r="Y6606" s="43"/>
      <c r="Z6606" s="37"/>
      <c r="AA6606" s="37"/>
      <c r="AD6606" s="37"/>
      <c r="AE6606" s="37"/>
      <c r="AF6606" s="37"/>
    </row>
    <row r="6607" spans="1:32" x14ac:dyDescent="0.25">
      <c r="A6607" s="37"/>
      <c r="B6607" s="37"/>
      <c r="C6607" s="37"/>
      <c r="F6607" s="38"/>
      <c r="G6607" s="38"/>
      <c r="H6607" s="38"/>
      <c r="I6607" s="37"/>
      <c r="J6607" s="38"/>
      <c r="K6607" s="38"/>
      <c r="L6607" s="42"/>
      <c r="M6607" s="42"/>
      <c r="N6607" s="42"/>
      <c r="O6607" s="42"/>
      <c r="R6607" s="37"/>
      <c r="S6607" s="37"/>
      <c r="T6607" s="91"/>
      <c r="U6607" s="91"/>
      <c r="V6607" s="41"/>
      <c r="W6607" s="37"/>
      <c r="X6607" s="37"/>
      <c r="Y6607" s="43"/>
      <c r="Z6607" s="37"/>
      <c r="AA6607" s="37"/>
      <c r="AD6607" s="37"/>
      <c r="AE6607" s="37"/>
      <c r="AF6607" s="37"/>
    </row>
    <row r="6608" spans="1:32" x14ac:dyDescent="0.25">
      <c r="A6608" s="37"/>
      <c r="B6608" s="37"/>
      <c r="C6608" s="37"/>
      <c r="F6608" s="38"/>
      <c r="G6608" s="38"/>
      <c r="H6608" s="38"/>
      <c r="I6608" s="37"/>
      <c r="J6608" s="38"/>
      <c r="K6608" s="38"/>
      <c r="L6608" s="42"/>
      <c r="M6608" s="42"/>
      <c r="N6608" s="42"/>
      <c r="O6608" s="42"/>
      <c r="R6608" s="37"/>
      <c r="S6608" s="37"/>
      <c r="T6608" s="91"/>
      <c r="U6608" s="91"/>
      <c r="V6608" s="41"/>
      <c r="W6608" s="37"/>
      <c r="X6608" s="37"/>
      <c r="Y6608" s="43"/>
      <c r="Z6608" s="37"/>
      <c r="AA6608" s="37"/>
      <c r="AD6608" s="37"/>
      <c r="AE6608" s="37"/>
      <c r="AF6608" s="37"/>
    </row>
    <row r="6609" spans="1:32" x14ac:dyDescent="0.25">
      <c r="A6609" s="37"/>
      <c r="B6609" s="37"/>
      <c r="C6609" s="37"/>
      <c r="F6609" s="38"/>
      <c r="G6609" s="38"/>
      <c r="H6609" s="38"/>
      <c r="I6609" s="37"/>
      <c r="J6609" s="38"/>
      <c r="K6609" s="38"/>
      <c r="L6609" s="42"/>
      <c r="M6609" s="42"/>
      <c r="N6609" s="42"/>
      <c r="O6609" s="42"/>
      <c r="R6609" s="37"/>
      <c r="S6609" s="37"/>
      <c r="T6609" s="91"/>
      <c r="U6609" s="91"/>
      <c r="V6609" s="41"/>
      <c r="W6609" s="37"/>
      <c r="X6609" s="37"/>
      <c r="Y6609" s="43"/>
      <c r="Z6609" s="37"/>
      <c r="AA6609" s="37"/>
      <c r="AD6609" s="37"/>
      <c r="AE6609" s="37"/>
      <c r="AF6609" s="37"/>
    </row>
    <row r="6610" spans="1:32" x14ac:dyDescent="0.25">
      <c r="A6610" s="37"/>
      <c r="B6610" s="37"/>
      <c r="C6610" s="37"/>
      <c r="F6610" s="38"/>
      <c r="G6610" s="38"/>
      <c r="H6610" s="38"/>
      <c r="I6610" s="37"/>
      <c r="J6610" s="38"/>
      <c r="K6610" s="38"/>
      <c r="L6610" s="42"/>
      <c r="M6610" s="42"/>
      <c r="N6610" s="42"/>
      <c r="O6610" s="42"/>
      <c r="R6610" s="37"/>
      <c r="S6610" s="37"/>
      <c r="T6610" s="91"/>
      <c r="U6610" s="91"/>
      <c r="V6610" s="41"/>
      <c r="W6610" s="37"/>
      <c r="X6610" s="37"/>
      <c r="Y6610" s="43"/>
      <c r="Z6610" s="37"/>
      <c r="AA6610" s="37"/>
      <c r="AD6610" s="37"/>
      <c r="AE6610" s="37"/>
      <c r="AF6610" s="37"/>
    </row>
    <row r="6611" spans="1:32" x14ac:dyDescent="0.25">
      <c r="A6611" s="37"/>
      <c r="B6611" s="37"/>
      <c r="C6611" s="37"/>
      <c r="F6611" s="38"/>
      <c r="G6611" s="38"/>
      <c r="H6611" s="38"/>
      <c r="I6611" s="37"/>
      <c r="J6611" s="38"/>
      <c r="K6611" s="38"/>
      <c r="L6611" s="42"/>
      <c r="M6611" s="42"/>
      <c r="N6611" s="42"/>
      <c r="O6611" s="42"/>
      <c r="R6611" s="37"/>
      <c r="S6611" s="37"/>
      <c r="T6611" s="91"/>
      <c r="U6611" s="91"/>
      <c r="V6611" s="41"/>
      <c r="W6611" s="37"/>
      <c r="X6611" s="37"/>
      <c r="Y6611" s="43"/>
      <c r="Z6611" s="37"/>
      <c r="AA6611" s="37"/>
      <c r="AD6611" s="37"/>
      <c r="AE6611" s="37"/>
      <c r="AF6611" s="37"/>
    </row>
    <row r="6612" spans="1:32" x14ac:dyDescent="0.25">
      <c r="A6612" s="37"/>
      <c r="B6612" s="37"/>
      <c r="C6612" s="37"/>
      <c r="F6612" s="38"/>
      <c r="G6612" s="38"/>
      <c r="H6612" s="38"/>
      <c r="I6612" s="37"/>
      <c r="J6612" s="38"/>
      <c r="K6612" s="38"/>
      <c r="L6612" s="42"/>
      <c r="M6612" s="42"/>
      <c r="N6612" s="42"/>
      <c r="O6612" s="42"/>
      <c r="R6612" s="37"/>
      <c r="S6612" s="37"/>
      <c r="T6612" s="91"/>
      <c r="U6612" s="91"/>
      <c r="V6612" s="41"/>
      <c r="W6612" s="37"/>
      <c r="X6612" s="37"/>
      <c r="Y6612" s="43"/>
      <c r="Z6612" s="37"/>
      <c r="AA6612" s="37"/>
      <c r="AD6612" s="37"/>
      <c r="AE6612" s="37"/>
      <c r="AF6612" s="37"/>
    </row>
    <row r="6613" spans="1:32" x14ac:dyDescent="0.25">
      <c r="A6613" s="37"/>
      <c r="B6613" s="37"/>
      <c r="C6613" s="37"/>
      <c r="F6613" s="38"/>
      <c r="G6613" s="38"/>
      <c r="H6613" s="38"/>
      <c r="I6613" s="37"/>
      <c r="J6613" s="38"/>
      <c r="K6613" s="38"/>
      <c r="L6613" s="42"/>
      <c r="M6613" s="42"/>
      <c r="N6613" s="42"/>
      <c r="O6613" s="42"/>
      <c r="R6613" s="37"/>
      <c r="S6613" s="37"/>
      <c r="T6613" s="91"/>
      <c r="U6613" s="91"/>
      <c r="V6613" s="41"/>
      <c r="W6613" s="37"/>
      <c r="X6613" s="37"/>
      <c r="Y6613" s="43"/>
      <c r="Z6613" s="37"/>
      <c r="AA6613" s="37"/>
      <c r="AD6613" s="37"/>
      <c r="AE6613" s="37"/>
      <c r="AF6613" s="37"/>
    </row>
    <row r="6614" spans="1:32" x14ac:dyDescent="0.25">
      <c r="A6614" s="37"/>
      <c r="B6614" s="37"/>
      <c r="C6614" s="37"/>
      <c r="F6614" s="38"/>
      <c r="G6614" s="38"/>
      <c r="H6614" s="38"/>
      <c r="I6614" s="37"/>
      <c r="J6614" s="38"/>
      <c r="K6614" s="38"/>
      <c r="L6614" s="42"/>
      <c r="M6614" s="42"/>
      <c r="N6614" s="42"/>
      <c r="O6614" s="42"/>
      <c r="R6614" s="37"/>
      <c r="S6614" s="37"/>
      <c r="T6614" s="91"/>
      <c r="U6614" s="91"/>
      <c r="V6614" s="41"/>
      <c r="W6614" s="37"/>
      <c r="X6614" s="37"/>
      <c r="Y6614" s="43"/>
      <c r="Z6614" s="37"/>
      <c r="AA6614" s="37"/>
      <c r="AD6614" s="37"/>
      <c r="AE6614" s="37"/>
      <c r="AF6614" s="37"/>
    </row>
    <row r="6615" spans="1:32" x14ac:dyDescent="0.25">
      <c r="A6615" s="37"/>
      <c r="B6615" s="37"/>
      <c r="C6615" s="37"/>
      <c r="F6615" s="38"/>
      <c r="G6615" s="38"/>
      <c r="H6615" s="38"/>
      <c r="I6615" s="37"/>
      <c r="J6615" s="38"/>
      <c r="K6615" s="38"/>
      <c r="L6615" s="42"/>
      <c r="M6615" s="42"/>
      <c r="N6615" s="42"/>
      <c r="O6615" s="42"/>
      <c r="R6615" s="37"/>
      <c r="S6615" s="37"/>
      <c r="T6615" s="91"/>
      <c r="U6615" s="91"/>
      <c r="V6615" s="41"/>
      <c r="W6615" s="37"/>
      <c r="X6615" s="37"/>
      <c r="Y6615" s="43"/>
      <c r="Z6615" s="37"/>
      <c r="AA6615" s="37"/>
      <c r="AD6615" s="37"/>
      <c r="AE6615" s="37"/>
      <c r="AF6615" s="37"/>
    </row>
    <row r="6616" spans="1:32" x14ac:dyDescent="0.25">
      <c r="A6616" s="37"/>
      <c r="B6616" s="37"/>
      <c r="C6616" s="37"/>
      <c r="F6616" s="38"/>
      <c r="G6616" s="38"/>
      <c r="H6616" s="38"/>
      <c r="I6616" s="37"/>
      <c r="J6616" s="38"/>
      <c r="K6616" s="38"/>
      <c r="L6616" s="42"/>
      <c r="M6616" s="42"/>
      <c r="N6616" s="42"/>
      <c r="O6616" s="42"/>
      <c r="R6616" s="37"/>
      <c r="S6616" s="37"/>
      <c r="T6616" s="91"/>
      <c r="U6616" s="91"/>
      <c r="V6616" s="41"/>
      <c r="W6616" s="37"/>
      <c r="X6616" s="37"/>
      <c r="Y6616" s="43"/>
      <c r="Z6616" s="37"/>
      <c r="AA6616" s="37"/>
      <c r="AD6616" s="37"/>
      <c r="AE6616" s="37"/>
      <c r="AF6616" s="37"/>
    </row>
    <row r="6617" spans="1:32" x14ac:dyDescent="0.25">
      <c r="A6617" s="37"/>
      <c r="B6617" s="37"/>
      <c r="C6617" s="37"/>
      <c r="F6617" s="38"/>
      <c r="G6617" s="38"/>
      <c r="H6617" s="38"/>
      <c r="I6617" s="37"/>
      <c r="J6617" s="38"/>
      <c r="K6617" s="38"/>
      <c r="L6617" s="42"/>
      <c r="M6617" s="42"/>
      <c r="N6617" s="42"/>
      <c r="O6617" s="42"/>
      <c r="R6617" s="37"/>
      <c r="S6617" s="37"/>
      <c r="T6617" s="91"/>
      <c r="U6617" s="91"/>
      <c r="V6617" s="41"/>
      <c r="W6617" s="37"/>
      <c r="X6617" s="37"/>
      <c r="Y6617" s="43"/>
      <c r="Z6617" s="37"/>
      <c r="AA6617" s="37"/>
      <c r="AD6617" s="37"/>
      <c r="AE6617" s="37"/>
      <c r="AF6617" s="37"/>
    </row>
    <row r="6618" spans="1:32" x14ac:dyDescent="0.25">
      <c r="A6618" s="37"/>
      <c r="B6618" s="37"/>
      <c r="C6618" s="37"/>
      <c r="F6618" s="38"/>
      <c r="G6618" s="38"/>
      <c r="H6618" s="38"/>
      <c r="I6618" s="37"/>
      <c r="J6618" s="38"/>
      <c r="K6618" s="38"/>
      <c r="L6618" s="42"/>
      <c r="M6618" s="42"/>
      <c r="N6618" s="42"/>
      <c r="O6618" s="42"/>
      <c r="R6618" s="37"/>
      <c r="S6618" s="37"/>
      <c r="T6618" s="91"/>
      <c r="U6618" s="91"/>
      <c r="V6618" s="41"/>
      <c r="W6618" s="37"/>
      <c r="X6618" s="37"/>
      <c r="Y6618" s="43"/>
      <c r="Z6618" s="37"/>
      <c r="AA6618" s="37"/>
      <c r="AD6618" s="37"/>
      <c r="AE6618" s="37"/>
      <c r="AF6618" s="37"/>
    </row>
    <row r="6619" spans="1:32" x14ac:dyDescent="0.25">
      <c r="A6619" s="37"/>
      <c r="B6619" s="37"/>
      <c r="C6619" s="37"/>
      <c r="F6619" s="38"/>
      <c r="G6619" s="38"/>
      <c r="H6619" s="38"/>
      <c r="I6619" s="37"/>
      <c r="J6619" s="38"/>
      <c r="K6619" s="38"/>
      <c r="L6619" s="42"/>
      <c r="M6619" s="42"/>
      <c r="N6619" s="42"/>
      <c r="O6619" s="42"/>
      <c r="R6619" s="37"/>
      <c r="S6619" s="37"/>
      <c r="T6619" s="91"/>
      <c r="U6619" s="91"/>
      <c r="V6619" s="41"/>
      <c r="W6619" s="37"/>
      <c r="X6619" s="37"/>
      <c r="Y6619" s="43"/>
      <c r="Z6619" s="37"/>
      <c r="AA6619" s="37"/>
      <c r="AD6619" s="37"/>
      <c r="AE6619" s="37"/>
      <c r="AF6619" s="37"/>
    </row>
    <row r="6620" spans="1:32" x14ac:dyDescent="0.25">
      <c r="A6620" s="37"/>
      <c r="B6620" s="37"/>
      <c r="C6620" s="37"/>
      <c r="F6620" s="38"/>
      <c r="G6620" s="38"/>
      <c r="H6620" s="38"/>
      <c r="I6620" s="37"/>
      <c r="J6620" s="38"/>
      <c r="K6620" s="38"/>
      <c r="L6620" s="42"/>
      <c r="M6620" s="42"/>
      <c r="N6620" s="42"/>
      <c r="O6620" s="42"/>
      <c r="R6620" s="37"/>
      <c r="S6620" s="37"/>
      <c r="T6620" s="91"/>
      <c r="U6620" s="91"/>
      <c r="V6620" s="41"/>
      <c r="W6620" s="37"/>
      <c r="X6620" s="37"/>
      <c r="Y6620" s="43"/>
      <c r="Z6620" s="37"/>
      <c r="AA6620" s="37"/>
      <c r="AD6620" s="37"/>
      <c r="AE6620" s="37"/>
      <c r="AF6620" s="37"/>
    </row>
    <row r="6621" spans="1:32" x14ac:dyDescent="0.25">
      <c r="A6621" s="37"/>
      <c r="B6621" s="37"/>
      <c r="C6621" s="37"/>
      <c r="F6621" s="38"/>
      <c r="G6621" s="38"/>
      <c r="H6621" s="38"/>
      <c r="I6621" s="37"/>
      <c r="J6621" s="38"/>
      <c r="K6621" s="38"/>
      <c r="L6621" s="42"/>
      <c r="M6621" s="42"/>
      <c r="N6621" s="42"/>
      <c r="O6621" s="42"/>
      <c r="R6621" s="37"/>
      <c r="S6621" s="37"/>
      <c r="T6621" s="91"/>
      <c r="U6621" s="91"/>
      <c r="V6621" s="41"/>
      <c r="W6621" s="37"/>
      <c r="X6621" s="37"/>
      <c r="Y6621" s="43"/>
      <c r="Z6621" s="37"/>
      <c r="AA6621" s="37"/>
      <c r="AD6621" s="37"/>
      <c r="AE6621" s="37"/>
      <c r="AF6621" s="37"/>
    </row>
    <row r="6622" spans="1:32" x14ac:dyDescent="0.25">
      <c r="A6622" s="37"/>
      <c r="B6622" s="37"/>
      <c r="C6622" s="37"/>
      <c r="F6622" s="38"/>
      <c r="G6622" s="38"/>
      <c r="H6622" s="38"/>
      <c r="I6622" s="37"/>
      <c r="J6622" s="38"/>
      <c r="K6622" s="38"/>
      <c r="L6622" s="42"/>
      <c r="M6622" s="42"/>
      <c r="N6622" s="42"/>
      <c r="O6622" s="42"/>
      <c r="R6622" s="37"/>
      <c r="S6622" s="37"/>
      <c r="T6622" s="91"/>
      <c r="U6622" s="91"/>
      <c r="V6622" s="41"/>
      <c r="W6622" s="37"/>
      <c r="X6622" s="37"/>
      <c r="Y6622" s="43"/>
      <c r="Z6622" s="37"/>
      <c r="AA6622" s="37"/>
      <c r="AD6622" s="37"/>
      <c r="AE6622" s="37"/>
      <c r="AF6622" s="37"/>
    </row>
    <row r="6623" spans="1:32" x14ac:dyDescent="0.25">
      <c r="A6623" s="37"/>
      <c r="B6623" s="37"/>
      <c r="C6623" s="37"/>
      <c r="F6623" s="38"/>
      <c r="G6623" s="38"/>
      <c r="H6623" s="38"/>
      <c r="I6623" s="37"/>
      <c r="J6623" s="38"/>
      <c r="K6623" s="38"/>
      <c r="L6623" s="42"/>
      <c r="M6623" s="42"/>
      <c r="N6623" s="42"/>
      <c r="O6623" s="42"/>
      <c r="R6623" s="37"/>
      <c r="S6623" s="37"/>
      <c r="T6623" s="91"/>
      <c r="U6623" s="91"/>
      <c r="V6623" s="41"/>
      <c r="W6623" s="37"/>
      <c r="X6623" s="37"/>
      <c r="Y6623" s="43"/>
      <c r="Z6623" s="37"/>
      <c r="AA6623" s="37"/>
      <c r="AD6623" s="37"/>
      <c r="AE6623" s="37"/>
      <c r="AF6623" s="37"/>
    </row>
    <row r="6624" spans="1:32" x14ac:dyDescent="0.25">
      <c r="A6624" s="37"/>
      <c r="B6624" s="37"/>
      <c r="C6624" s="37"/>
      <c r="F6624" s="38"/>
      <c r="G6624" s="38"/>
      <c r="H6624" s="38"/>
      <c r="I6624" s="37"/>
      <c r="J6624" s="38"/>
      <c r="K6624" s="38"/>
      <c r="L6624" s="42"/>
      <c r="M6624" s="42"/>
      <c r="N6624" s="42"/>
      <c r="O6624" s="42"/>
      <c r="R6624" s="37"/>
      <c r="S6624" s="37"/>
      <c r="T6624" s="91"/>
      <c r="U6624" s="91"/>
      <c r="V6624" s="41"/>
      <c r="W6624" s="37"/>
      <c r="X6624" s="37"/>
      <c r="Y6624" s="43"/>
      <c r="Z6624" s="37"/>
      <c r="AA6624" s="37"/>
      <c r="AD6624" s="37"/>
      <c r="AE6624" s="37"/>
      <c r="AF6624" s="37"/>
    </row>
    <row r="6625" spans="1:32" x14ac:dyDescent="0.25">
      <c r="A6625" s="37"/>
      <c r="B6625" s="37"/>
      <c r="C6625" s="37"/>
      <c r="F6625" s="38"/>
      <c r="G6625" s="38"/>
      <c r="H6625" s="38"/>
      <c r="I6625" s="37"/>
      <c r="J6625" s="38"/>
      <c r="K6625" s="38"/>
      <c r="L6625" s="42"/>
      <c r="M6625" s="42"/>
      <c r="N6625" s="42"/>
      <c r="O6625" s="42"/>
      <c r="R6625" s="37"/>
      <c r="S6625" s="37"/>
      <c r="T6625" s="91"/>
      <c r="U6625" s="91"/>
      <c r="V6625" s="41"/>
      <c r="W6625" s="37"/>
      <c r="X6625" s="37"/>
      <c r="Y6625" s="43"/>
      <c r="Z6625" s="37"/>
      <c r="AA6625" s="37"/>
      <c r="AD6625" s="37"/>
      <c r="AE6625" s="37"/>
      <c r="AF6625" s="37"/>
    </row>
    <row r="6626" spans="1:32" x14ac:dyDescent="0.25">
      <c r="A6626" s="37"/>
      <c r="B6626" s="37"/>
      <c r="C6626" s="37"/>
      <c r="F6626" s="38"/>
      <c r="G6626" s="38"/>
      <c r="H6626" s="38"/>
      <c r="I6626" s="37"/>
      <c r="J6626" s="38"/>
      <c r="K6626" s="38"/>
      <c r="L6626" s="42"/>
      <c r="M6626" s="42"/>
      <c r="N6626" s="42"/>
      <c r="O6626" s="42"/>
      <c r="R6626" s="37"/>
      <c r="S6626" s="37"/>
      <c r="T6626" s="91"/>
      <c r="U6626" s="91"/>
      <c r="V6626" s="41"/>
      <c r="W6626" s="37"/>
      <c r="X6626" s="37"/>
      <c r="Y6626" s="43"/>
      <c r="Z6626" s="37"/>
      <c r="AA6626" s="37"/>
      <c r="AD6626" s="37"/>
      <c r="AE6626" s="37"/>
      <c r="AF6626" s="37"/>
    </row>
    <row r="6627" spans="1:32" x14ac:dyDescent="0.25">
      <c r="A6627" s="37"/>
      <c r="B6627" s="37"/>
      <c r="C6627" s="37"/>
      <c r="F6627" s="38"/>
      <c r="G6627" s="38"/>
      <c r="H6627" s="38"/>
      <c r="I6627" s="37"/>
      <c r="J6627" s="38"/>
      <c r="K6627" s="38"/>
      <c r="L6627" s="42"/>
      <c r="M6627" s="42"/>
      <c r="N6627" s="42"/>
      <c r="O6627" s="42"/>
      <c r="R6627" s="37"/>
      <c r="S6627" s="37"/>
      <c r="T6627" s="91"/>
      <c r="U6627" s="91"/>
      <c r="V6627" s="41"/>
      <c r="W6627" s="37"/>
      <c r="X6627" s="37"/>
      <c r="Y6627" s="43"/>
      <c r="Z6627" s="37"/>
      <c r="AA6627" s="37"/>
      <c r="AD6627" s="37"/>
      <c r="AE6627" s="37"/>
      <c r="AF6627" s="37"/>
    </row>
    <row r="6628" spans="1:32" x14ac:dyDescent="0.25">
      <c r="A6628" s="37"/>
      <c r="B6628" s="37"/>
      <c r="C6628" s="37"/>
      <c r="F6628" s="38"/>
      <c r="G6628" s="38"/>
      <c r="H6628" s="38"/>
      <c r="I6628" s="37"/>
      <c r="J6628" s="38"/>
      <c r="K6628" s="38"/>
      <c r="L6628" s="42"/>
      <c r="M6628" s="42"/>
      <c r="N6628" s="42"/>
      <c r="O6628" s="42"/>
      <c r="R6628" s="37"/>
      <c r="S6628" s="37"/>
      <c r="T6628" s="91"/>
      <c r="U6628" s="91"/>
      <c r="V6628" s="41"/>
      <c r="W6628" s="37"/>
      <c r="X6628" s="37"/>
      <c r="Y6628" s="43"/>
      <c r="Z6628" s="37"/>
      <c r="AA6628" s="37"/>
      <c r="AD6628" s="37"/>
      <c r="AE6628" s="37"/>
      <c r="AF6628" s="37"/>
    </row>
    <row r="6629" spans="1:32" x14ac:dyDescent="0.25">
      <c r="A6629" s="37"/>
      <c r="B6629" s="37"/>
      <c r="C6629" s="37"/>
      <c r="F6629" s="38"/>
      <c r="G6629" s="38"/>
      <c r="H6629" s="38"/>
      <c r="I6629" s="37"/>
      <c r="J6629" s="38"/>
      <c r="K6629" s="38"/>
      <c r="L6629" s="42"/>
      <c r="M6629" s="42"/>
      <c r="N6629" s="42"/>
      <c r="O6629" s="42"/>
      <c r="R6629" s="37"/>
      <c r="S6629" s="37"/>
      <c r="T6629" s="91"/>
      <c r="U6629" s="91"/>
      <c r="V6629" s="41"/>
      <c r="W6629" s="37"/>
      <c r="X6629" s="37"/>
      <c r="Y6629" s="43"/>
      <c r="Z6629" s="37"/>
      <c r="AA6629" s="37"/>
      <c r="AD6629" s="37"/>
      <c r="AE6629" s="37"/>
      <c r="AF6629" s="37"/>
    </row>
    <row r="6630" spans="1:32" x14ac:dyDescent="0.25">
      <c r="A6630" s="37"/>
      <c r="B6630" s="37"/>
      <c r="C6630" s="37"/>
      <c r="F6630" s="38"/>
      <c r="G6630" s="38"/>
      <c r="H6630" s="38"/>
      <c r="I6630" s="37"/>
      <c r="J6630" s="38"/>
      <c r="K6630" s="38"/>
      <c r="L6630" s="42"/>
      <c r="M6630" s="42"/>
      <c r="N6630" s="42"/>
      <c r="O6630" s="42"/>
      <c r="R6630" s="37"/>
      <c r="S6630" s="37"/>
      <c r="T6630" s="91"/>
      <c r="U6630" s="91"/>
      <c r="V6630" s="41"/>
      <c r="W6630" s="37"/>
      <c r="X6630" s="37"/>
      <c r="Y6630" s="43"/>
      <c r="Z6630" s="37"/>
      <c r="AA6630" s="37"/>
      <c r="AD6630" s="37"/>
      <c r="AE6630" s="37"/>
      <c r="AF6630" s="37"/>
    </row>
    <row r="6631" spans="1:32" x14ac:dyDescent="0.25">
      <c r="A6631" s="37"/>
      <c r="B6631" s="37"/>
      <c r="C6631" s="37"/>
      <c r="F6631" s="38"/>
      <c r="G6631" s="38"/>
      <c r="H6631" s="38"/>
      <c r="I6631" s="37"/>
      <c r="J6631" s="38"/>
      <c r="K6631" s="38"/>
      <c r="L6631" s="42"/>
      <c r="M6631" s="42"/>
      <c r="N6631" s="42"/>
      <c r="O6631" s="42"/>
      <c r="R6631" s="37"/>
      <c r="S6631" s="37"/>
      <c r="T6631" s="91"/>
      <c r="U6631" s="91"/>
      <c r="V6631" s="41"/>
      <c r="W6631" s="37"/>
      <c r="X6631" s="37"/>
      <c r="Y6631" s="43"/>
      <c r="Z6631" s="37"/>
      <c r="AA6631" s="37"/>
      <c r="AD6631" s="37"/>
      <c r="AE6631" s="37"/>
      <c r="AF6631" s="37"/>
    </row>
    <row r="6632" spans="1:32" x14ac:dyDescent="0.25">
      <c r="A6632" s="37"/>
      <c r="B6632" s="37"/>
      <c r="C6632" s="37"/>
      <c r="F6632" s="38"/>
      <c r="G6632" s="38"/>
      <c r="H6632" s="38"/>
      <c r="I6632" s="37"/>
      <c r="J6632" s="38"/>
      <c r="K6632" s="38"/>
      <c r="L6632" s="42"/>
      <c r="M6632" s="42"/>
      <c r="N6632" s="42"/>
      <c r="O6632" s="42"/>
      <c r="R6632" s="37"/>
      <c r="S6632" s="37"/>
      <c r="T6632" s="91"/>
      <c r="U6632" s="91"/>
      <c r="V6632" s="41"/>
      <c r="W6632" s="37"/>
      <c r="X6632" s="37"/>
      <c r="Y6632" s="43"/>
      <c r="Z6632" s="37"/>
      <c r="AA6632" s="37"/>
      <c r="AD6632" s="37"/>
      <c r="AE6632" s="37"/>
      <c r="AF6632" s="37"/>
    </row>
    <row r="6633" spans="1:32" x14ac:dyDescent="0.25">
      <c r="A6633" s="37"/>
      <c r="B6633" s="37"/>
      <c r="C6633" s="37"/>
      <c r="F6633" s="38"/>
      <c r="G6633" s="38"/>
      <c r="H6633" s="38"/>
      <c r="I6633" s="37"/>
      <c r="J6633" s="38"/>
      <c r="K6633" s="38"/>
      <c r="L6633" s="42"/>
      <c r="M6633" s="42"/>
      <c r="N6633" s="42"/>
      <c r="O6633" s="42"/>
      <c r="R6633" s="37"/>
      <c r="S6633" s="37"/>
      <c r="T6633" s="91"/>
      <c r="U6633" s="91"/>
      <c r="V6633" s="41"/>
      <c r="W6633" s="37"/>
      <c r="X6633" s="37"/>
      <c r="Y6633" s="43"/>
      <c r="Z6633" s="37"/>
      <c r="AA6633" s="37"/>
      <c r="AD6633" s="37"/>
      <c r="AE6633" s="37"/>
      <c r="AF6633" s="37"/>
    </row>
    <row r="6634" spans="1:32" x14ac:dyDescent="0.25">
      <c r="A6634" s="37"/>
      <c r="B6634" s="37"/>
      <c r="C6634" s="37"/>
      <c r="F6634" s="38"/>
      <c r="G6634" s="38"/>
      <c r="H6634" s="38"/>
      <c r="I6634" s="37"/>
      <c r="J6634" s="38"/>
      <c r="K6634" s="38"/>
      <c r="L6634" s="42"/>
      <c r="M6634" s="42"/>
      <c r="N6634" s="42"/>
      <c r="O6634" s="42"/>
      <c r="R6634" s="37"/>
      <c r="S6634" s="37"/>
      <c r="T6634" s="91"/>
      <c r="U6634" s="91"/>
      <c r="V6634" s="41"/>
      <c r="W6634" s="37"/>
      <c r="X6634" s="37"/>
      <c r="Y6634" s="43"/>
      <c r="Z6634" s="37"/>
      <c r="AA6634" s="37"/>
      <c r="AD6634" s="37"/>
      <c r="AE6634" s="37"/>
      <c r="AF6634" s="37"/>
    </row>
    <row r="6635" spans="1:32" x14ac:dyDescent="0.25">
      <c r="A6635" s="37"/>
      <c r="B6635" s="37"/>
      <c r="C6635" s="37"/>
      <c r="F6635" s="38"/>
      <c r="G6635" s="38"/>
      <c r="H6635" s="38"/>
      <c r="I6635" s="37"/>
      <c r="J6635" s="38"/>
      <c r="K6635" s="38"/>
      <c r="L6635" s="42"/>
      <c r="M6635" s="42"/>
      <c r="N6635" s="42"/>
      <c r="O6635" s="42"/>
      <c r="R6635" s="37"/>
      <c r="S6635" s="37"/>
      <c r="T6635" s="91"/>
      <c r="U6635" s="91"/>
      <c r="V6635" s="41"/>
      <c r="W6635" s="37"/>
      <c r="X6635" s="37"/>
      <c r="Y6635" s="43"/>
      <c r="Z6635" s="37"/>
      <c r="AA6635" s="37"/>
      <c r="AD6635" s="37"/>
      <c r="AE6635" s="37"/>
      <c r="AF6635" s="37"/>
    </row>
    <row r="6636" spans="1:32" x14ac:dyDescent="0.25">
      <c r="A6636" s="37"/>
      <c r="B6636" s="37"/>
      <c r="C6636" s="37"/>
      <c r="F6636" s="38"/>
      <c r="G6636" s="38"/>
      <c r="H6636" s="38"/>
      <c r="I6636" s="37"/>
      <c r="J6636" s="38"/>
      <c r="K6636" s="38"/>
      <c r="L6636" s="42"/>
      <c r="M6636" s="42"/>
      <c r="N6636" s="42"/>
      <c r="O6636" s="42"/>
      <c r="R6636" s="37"/>
      <c r="S6636" s="37"/>
      <c r="T6636" s="91"/>
      <c r="U6636" s="91"/>
      <c r="V6636" s="41"/>
      <c r="W6636" s="37"/>
      <c r="X6636" s="37"/>
      <c r="Y6636" s="43"/>
      <c r="Z6636" s="37"/>
      <c r="AA6636" s="37"/>
      <c r="AD6636" s="37"/>
      <c r="AE6636" s="37"/>
      <c r="AF6636" s="37"/>
    </row>
    <row r="6637" spans="1:32" x14ac:dyDescent="0.25">
      <c r="A6637" s="37"/>
      <c r="B6637" s="37"/>
      <c r="C6637" s="37"/>
      <c r="F6637" s="38"/>
      <c r="G6637" s="38"/>
      <c r="H6637" s="38"/>
      <c r="I6637" s="37"/>
      <c r="J6637" s="38"/>
      <c r="K6637" s="38"/>
      <c r="L6637" s="42"/>
      <c r="M6637" s="42"/>
      <c r="N6637" s="42"/>
      <c r="O6637" s="42"/>
      <c r="R6637" s="37"/>
      <c r="S6637" s="37"/>
      <c r="T6637" s="91"/>
      <c r="U6637" s="91"/>
      <c r="V6637" s="41"/>
      <c r="W6637" s="37"/>
      <c r="X6637" s="37"/>
      <c r="Y6637" s="43"/>
      <c r="Z6637" s="37"/>
      <c r="AA6637" s="37"/>
      <c r="AD6637" s="37"/>
      <c r="AE6637" s="37"/>
      <c r="AF6637" s="37"/>
    </row>
    <row r="6638" spans="1:32" x14ac:dyDescent="0.25">
      <c r="A6638" s="37"/>
      <c r="B6638" s="37"/>
      <c r="C6638" s="37"/>
      <c r="F6638" s="38"/>
      <c r="G6638" s="38"/>
      <c r="H6638" s="38"/>
      <c r="I6638" s="37"/>
      <c r="J6638" s="38"/>
      <c r="K6638" s="38"/>
      <c r="L6638" s="42"/>
      <c r="M6638" s="42"/>
      <c r="N6638" s="42"/>
      <c r="O6638" s="42"/>
      <c r="R6638" s="37"/>
      <c r="S6638" s="37"/>
      <c r="T6638" s="91"/>
      <c r="U6638" s="91"/>
      <c r="V6638" s="41"/>
      <c r="W6638" s="37"/>
      <c r="X6638" s="37"/>
      <c r="Y6638" s="43"/>
      <c r="Z6638" s="37"/>
      <c r="AA6638" s="37"/>
      <c r="AD6638" s="37"/>
      <c r="AE6638" s="37"/>
      <c r="AF6638" s="37"/>
    </row>
    <row r="6639" spans="1:32" x14ac:dyDescent="0.25">
      <c r="A6639" s="37"/>
      <c r="B6639" s="37"/>
      <c r="C6639" s="37"/>
      <c r="F6639" s="38"/>
      <c r="G6639" s="38"/>
      <c r="H6639" s="38"/>
      <c r="I6639" s="37"/>
      <c r="J6639" s="38"/>
      <c r="K6639" s="38"/>
      <c r="L6639" s="42"/>
      <c r="M6639" s="42"/>
      <c r="N6639" s="42"/>
      <c r="O6639" s="42"/>
      <c r="R6639" s="37"/>
      <c r="S6639" s="37"/>
      <c r="T6639" s="91"/>
      <c r="U6639" s="91"/>
      <c r="V6639" s="41"/>
      <c r="W6639" s="37"/>
      <c r="X6639" s="37"/>
      <c r="Y6639" s="43"/>
      <c r="Z6639" s="37"/>
      <c r="AA6639" s="37"/>
      <c r="AD6639" s="37"/>
      <c r="AE6639" s="37"/>
      <c r="AF6639" s="37"/>
    </row>
    <row r="6640" spans="1:32" x14ac:dyDescent="0.25">
      <c r="A6640" s="37"/>
      <c r="B6640" s="37"/>
      <c r="C6640" s="37"/>
      <c r="F6640" s="38"/>
      <c r="G6640" s="38"/>
      <c r="H6640" s="38"/>
      <c r="I6640" s="37"/>
      <c r="J6640" s="38"/>
      <c r="K6640" s="38"/>
      <c r="L6640" s="42"/>
      <c r="M6640" s="42"/>
      <c r="N6640" s="42"/>
      <c r="O6640" s="42"/>
      <c r="R6640" s="37"/>
      <c r="S6640" s="37"/>
      <c r="T6640" s="91"/>
      <c r="U6640" s="91"/>
      <c r="V6640" s="41"/>
      <c r="W6640" s="37"/>
      <c r="X6640" s="37"/>
      <c r="Y6640" s="43"/>
      <c r="Z6640" s="37"/>
      <c r="AA6640" s="37"/>
      <c r="AD6640" s="37"/>
      <c r="AE6640" s="37"/>
      <c r="AF6640" s="37"/>
    </row>
  </sheetData>
  <mergeCells count="1">
    <mergeCell ref="AN2:AO2"/>
  </mergeCells>
  <phoneticPr fontId="0" type="noConversion"/>
  <conditionalFormatting sqref="AJ7:AJ67">
    <cfRule type="cellIs" dxfId="1" priority="1" operator="lessThan">
      <formula>90</formula>
    </cfRule>
    <cfRule type="cellIs" dxfId="0" priority="2" operator="greaterThan">
      <formula>110</formula>
    </cfRule>
  </conditionalFormatting>
  <printOptions gridLines="1"/>
  <pageMargins left="0.39" right="0.39" top="0.51" bottom="0.39" header="0.28000000000000003" footer="0.24"/>
  <pageSetup paperSize="9" scale="52" orientation="landscape"/>
  <headerFooter alignWithMargins="0">
    <oddHeader>&amp;F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043-B4E7-4397-A731-FE6B5B6FD5E1}">
  <dimension ref="A1:L110"/>
  <sheetViews>
    <sheetView workbookViewId="0">
      <selection activeCell="I1" sqref="I1"/>
    </sheetView>
  </sheetViews>
  <sheetFormatPr defaultRowHeight="12.5" x14ac:dyDescent="0.25"/>
  <cols>
    <col min="1" max="1" width="5.54296875" bestFit="1" customWidth="1"/>
    <col min="2" max="2" width="16.54296875" bestFit="1" customWidth="1"/>
    <col min="3" max="3" width="10" bestFit="1" customWidth="1"/>
    <col min="4" max="4" width="5.54296875" bestFit="1" customWidth="1"/>
    <col min="5" max="5" width="19.1796875" customWidth="1"/>
    <col min="6" max="6" width="19.7265625" customWidth="1"/>
    <col min="7" max="7" width="19.1796875" customWidth="1"/>
    <col min="8" max="8" width="18.1796875" customWidth="1"/>
    <col min="9" max="9" width="18.453125" bestFit="1" customWidth="1"/>
    <col min="10" max="10" width="71.26953125" bestFit="1" customWidth="1"/>
    <col min="258" max="258" width="5.54296875" bestFit="1" customWidth="1"/>
    <col min="259" max="259" width="16.54296875" bestFit="1" customWidth="1"/>
    <col min="260" max="260" width="10" bestFit="1" customWidth="1"/>
    <col min="261" max="261" width="5.54296875" bestFit="1" customWidth="1"/>
    <col min="262" max="262" width="32.26953125" bestFit="1" customWidth="1"/>
    <col min="263" max="263" width="19.7265625" customWidth="1"/>
    <col min="264" max="264" width="19.1796875" customWidth="1"/>
    <col min="265" max="265" width="18.1796875" customWidth="1"/>
    <col min="266" max="266" width="71.26953125" bestFit="1" customWidth="1"/>
    <col min="514" max="514" width="5.54296875" bestFit="1" customWidth="1"/>
    <col min="515" max="515" width="16.54296875" bestFit="1" customWidth="1"/>
    <col min="516" max="516" width="10" bestFit="1" customWidth="1"/>
    <col min="517" max="517" width="5.54296875" bestFit="1" customWidth="1"/>
    <col min="518" max="518" width="32.26953125" bestFit="1" customWidth="1"/>
    <col min="519" max="519" width="19.7265625" customWidth="1"/>
    <col min="520" max="520" width="19.1796875" customWidth="1"/>
    <col min="521" max="521" width="18.1796875" customWidth="1"/>
    <col min="522" max="522" width="71.26953125" bestFit="1" customWidth="1"/>
    <col min="770" max="770" width="5.54296875" bestFit="1" customWidth="1"/>
    <col min="771" max="771" width="16.54296875" bestFit="1" customWidth="1"/>
    <col min="772" max="772" width="10" bestFit="1" customWidth="1"/>
    <col min="773" max="773" width="5.54296875" bestFit="1" customWidth="1"/>
    <col min="774" max="774" width="32.26953125" bestFit="1" customWidth="1"/>
    <col min="775" max="775" width="19.7265625" customWidth="1"/>
    <col min="776" max="776" width="19.1796875" customWidth="1"/>
    <col min="777" max="777" width="18.1796875" customWidth="1"/>
    <col min="778" max="778" width="71.26953125" bestFit="1" customWidth="1"/>
    <col min="1026" max="1026" width="5.54296875" bestFit="1" customWidth="1"/>
    <col min="1027" max="1027" width="16.54296875" bestFit="1" customWidth="1"/>
    <col min="1028" max="1028" width="10" bestFit="1" customWidth="1"/>
    <col min="1029" max="1029" width="5.54296875" bestFit="1" customWidth="1"/>
    <col min="1030" max="1030" width="32.26953125" bestFit="1" customWidth="1"/>
    <col min="1031" max="1031" width="19.7265625" customWidth="1"/>
    <col min="1032" max="1032" width="19.1796875" customWidth="1"/>
    <col min="1033" max="1033" width="18.1796875" customWidth="1"/>
    <col min="1034" max="1034" width="71.26953125" bestFit="1" customWidth="1"/>
    <col min="1282" max="1282" width="5.54296875" bestFit="1" customWidth="1"/>
    <col min="1283" max="1283" width="16.54296875" bestFit="1" customWidth="1"/>
    <col min="1284" max="1284" width="10" bestFit="1" customWidth="1"/>
    <col min="1285" max="1285" width="5.54296875" bestFit="1" customWidth="1"/>
    <col min="1286" max="1286" width="32.26953125" bestFit="1" customWidth="1"/>
    <col min="1287" max="1287" width="19.7265625" customWidth="1"/>
    <col min="1288" max="1288" width="19.1796875" customWidth="1"/>
    <col min="1289" max="1289" width="18.1796875" customWidth="1"/>
    <col min="1290" max="1290" width="71.26953125" bestFit="1" customWidth="1"/>
    <col min="1538" max="1538" width="5.54296875" bestFit="1" customWidth="1"/>
    <col min="1539" max="1539" width="16.54296875" bestFit="1" customWidth="1"/>
    <col min="1540" max="1540" width="10" bestFit="1" customWidth="1"/>
    <col min="1541" max="1541" width="5.54296875" bestFit="1" customWidth="1"/>
    <col min="1542" max="1542" width="32.26953125" bestFit="1" customWidth="1"/>
    <col min="1543" max="1543" width="19.7265625" customWidth="1"/>
    <col min="1544" max="1544" width="19.1796875" customWidth="1"/>
    <col min="1545" max="1545" width="18.1796875" customWidth="1"/>
    <col min="1546" max="1546" width="71.26953125" bestFit="1" customWidth="1"/>
    <col min="1794" max="1794" width="5.54296875" bestFit="1" customWidth="1"/>
    <col min="1795" max="1795" width="16.54296875" bestFit="1" customWidth="1"/>
    <col min="1796" max="1796" width="10" bestFit="1" customWidth="1"/>
    <col min="1797" max="1797" width="5.54296875" bestFit="1" customWidth="1"/>
    <col min="1798" max="1798" width="32.26953125" bestFit="1" customWidth="1"/>
    <col min="1799" max="1799" width="19.7265625" customWidth="1"/>
    <col min="1800" max="1800" width="19.1796875" customWidth="1"/>
    <col min="1801" max="1801" width="18.1796875" customWidth="1"/>
    <col min="1802" max="1802" width="71.26953125" bestFit="1" customWidth="1"/>
    <col min="2050" max="2050" width="5.54296875" bestFit="1" customWidth="1"/>
    <col min="2051" max="2051" width="16.54296875" bestFit="1" customWidth="1"/>
    <col min="2052" max="2052" width="10" bestFit="1" customWidth="1"/>
    <col min="2053" max="2053" width="5.54296875" bestFit="1" customWidth="1"/>
    <col min="2054" max="2054" width="32.26953125" bestFit="1" customWidth="1"/>
    <col min="2055" max="2055" width="19.7265625" customWidth="1"/>
    <col min="2056" max="2056" width="19.1796875" customWidth="1"/>
    <col min="2057" max="2057" width="18.1796875" customWidth="1"/>
    <col min="2058" max="2058" width="71.26953125" bestFit="1" customWidth="1"/>
    <col min="2306" max="2306" width="5.54296875" bestFit="1" customWidth="1"/>
    <col min="2307" max="2307" width="16.54296875" bestFit="1" customWidth="1"/>
    <col min="2308" max="2308" width="10" bestFit="1" customWidth="1"/>
    <col min="2309" max="2309" width="5.54296875" bestFit="1" customWidth="1"/>
    <col min="2310" max="2310" width="32.26953125" bestFit="1" customWidth="1"/>
    <col min="2311" max="2311" width="19.7265625" customWidth="1"/>
    <col min="2312" max="2312" width="19.1796875" customWidth="1"/>
    <col min="2313" max="2313" width="18.1796875" customWidth="1"/>
    <col min="2314" max="2314" width="71.26953125" bestFit="1" customWidth="1"/>
    <col min="2562" max="2562" width="5.54296875" bestFit="1" customWidth="1"/>
    <col min="2563" max="2563" width="16.54296875" bestFit="1" customWidth="1"/>
    <col min="2564" max="2564" width="10" bestFit="1" customWidth="1"/>
    <col min="2565" max="2565" width="5.54296875" bestFit="1" customWidth="1"/>
    <col min="2566" max="2566" width="32.26953125" bestFit="1" customWidth="1"/>
    <col min="2567" max="2567" width="19.7265625" customWidth="1"/>
    <col min="2568" max="2568" width="19.1796875" customWidth="1"/>
    <col min="2569" max="2569" width="18.1796875" customWidth="1"/>
    <col min="2570" max="2570" width="71.26953125" bestFit="1" customWidth="1"/>
    <col min="2818" max="2818" width="5.54296875" bestFit="1" customWidth="1"/>
    <col min="2819" max="2819" width="16.54296875" bestFit="1" customWidth="1"/>
    <col min="2820" max="2820" width="10" bestFit="1" customWidth="1"/>
    <col min="2821" max="2821" width="5.54296875" bestFit="1" customWidth="1"/>
    <col min="2822" max="2822" width="32.26953125" bestFit="1" customWidth="1"/>
    <col min="2823" max="2823" width="19.7265625" customWidth="1"/>
    <col min="2824" max="2824" width="19.1796875" customWidth="1"/>
    <col min="2825" max="2825" width="18.1796875" customWidth="1"/>
    <col min="2826" max="2826" width="71.26953125" bestFit="1" customWidth="1"/>
    <col min="3074" max="3074" width="5.54296875" bestFit="1" customWidth="1"/>
    <col min="3075" max="3075" width="16.54296875" bestFit="1" customWidth="1"/>
    <col min="3076" max="3076" width="10" bestFit="1" customWidth="1"/>
    <col min="3077" max="3077" width="5.54296875" bestFit="1" customWidth="1"/>
    <col min="3078" max="3078" width="32.26953125" bestFit="1" customWidth="1"/>
    <col min="3079" max="3079" width="19.7265625" customWidth="1"/>
    <col min="3080" max="3080" width="19.1796875" customWidth="1"/>
    <col min="3081" max="3081" width="18.1796875" customWidth="1"/>
    <col min="3082" max="3082" width="71.26953125" bestFit="1" customWidth="1"/>
    <col min="3330" max="3330" width="5.54296875" bestFit="1" customWidth="1"/>
    <col min="3331" max="3331" width="16.54296875" bestFit="1" customWidth="1"/>
    <col min="3332" max="3332" width="10" bestFit="1" customWidth="1"/>
    <col min="3333" max="3333" width="5.54296875" bestFit="1" customWidth="1"/>
    <col min="3334" max="3334" width="32.26953125" bestFit="1" customWidth="1"/>
    <col min="3335" max="3335" width="19.7265625" customWidth="1"/>
    <col min="3336" max="3336" width="19.1796875" customWidth="1"/>
    <col min="3337" max="3337" width="18.1796875" customWidth="1"/>
    <col min="3338" max="3338" width="71.26953125" bestFit="1" customWidth="1"/>
    <col min="3586" max="3586" width="5.54296875" bestFit="1" customWidth="1"/>
    <col min="3587" max="3587" width="16.54296875" bestFit="1" customWidth="1"/>
    <col min="3588" max="3588" width="10" bestFit="1" customWidth="1"/>
    <col min="3589" max="3589" width="5.54296875" bestFit="1" customWidth="1"/>
    <col min="3590" max="3590" width="32.26953125" bestFit="1" customWidth="1"/>
    <col min="3591" max="3591" width="19.7265625" customWidth="1"/>
    <col min="3592" max="3592" width="19.1796875" customWidth="1"/>
    <col min="3593" max="3593" width="18.1796875" customWidth="1"/>
    <col min="3594" max="3594" width="71.26953125" bestFit="1" customWidth="1"/>
    <col min="3842" max="3842" width="5.54296875" bestFit="1" customWidth="1"/>
    <col min="3843" max="3843" width="16.54296875" bestFit="1" customWidth="1"/>
    <col min="3844" max="3844" width="10" bestFit="1" customWidth="1"/>
    <col min="3845" max="3845" width="5.54296875" bestFit="1" customWidth="1"/>
    <col min="3846" max="3846" width="32.26953125" bestFit="1" customWidth="1"/>
    <col min="3847" max="3847" width="19.7265625" customWidth="1"/>
    <col min="3848" max="3848" width="19.1796875" customWidth="1"/>
    <col min="3849" max="3849" width="18.1796875" customWidth="1"/>
    <col min="3850" max="3850" width="71.26953125" bestFit="1" customWidth="1"/>
    <col min="4098" max="4098" width="5.54296875" bestFit="1" customWidth="1"/>
    <col min="4099" max="4099" width="16.54296875" bestFit="1" customWidth="1"/>
    <col min="4100" max="4100" width="10" bestFit="1" customWidth="1"/>
    <col min="4101" max="4101" width="5.54296875" bestFit="1" customWidth="1"/>
    <col min="4102" max="4102" width="32.26953125" bestFit="1" customWidth="1"/>
    <col min="4103" max="4103" width="19.7265625" customWidth="1"/>
    <col min="4104" max="4104" width="19.1796875" customWidth="1"/>
    <col min="4105" max="4105" width="18.1796875" customWidth="1"/>
    <col min="4106" max="4106" width="71.26953125" bestFit="1" customWidth="1"/>
    <col min="4354" max="4354" width="5.54296875" bestFit="1" customWidth="1"/>
    <col min="4355" max="4355" width="16.54296875" bestFit="1" customWidth="1"/>
    <col min="4356" max="4356" width="10" bestFit="1" customWidth="1"/>
    <col min="4357" max="4357" width="5.54296875" bestFit="1" customWidth="1"/>
    <col min="4358" max="4358" width="32.26953125" bestFit="1" customWidth="1"/>
    <col min="4359" max="4359" width="19.7265625" customWidth="1"/>
    <col min="4360" max="4360" width="19.1796875" customWidth="1"/>
    <col min="4361" max="4361" width="18.1796875" customWidth="1"/>
    <col min="4362" max="4362" width="71.26953125" bestFit="1" customWidth="1"/>
    <col min="4610" max="4610" width="5.54296875" bestFit="1" customWidth="1"/>
    <col min="4611" max="4611" width="16.54296875" bestFit="1" customWidth="1"/>
    <col min="4612" max="4612" width="10" bestFit="1" customWidth="1"/>
    <col min="4613" max="4613" width="5.54296875" bestFit="1" customWidth="1"/>
    <col min="4614" max="4614" width="32.26953125" bestFit="1" customWidth="1"/>
    <col min="4615" max="4615" width="19.7265625" customWidth="1"/>
    <col min="4616" max="4616" width="19.1796875" customWidth="1"/>
    <col min="4617" max="4617" width="18.1796875" customWidth="1"/>
    <col min="4618" max="4618" width="71.26953125" bestFit="1" customWidth="1"/>
    <col min="4866" max="4866" width="5.54296875" bestFit="1" customWidth="1"/>
    <col min="4867" max="4867" width="16.54296875" bestFit="1" customWidth="1"/>
    <col min="4868" max="4868" width="10" bestFit="1" customWidth="1"/>
    <col min="4869" max="4869" width="5.54296875" bestFit="1" customWidth="1"/>
    <col min="4870" max="4870" width="32.26953125" bestFit="1" customWidth="1"/>
    <col min="4871" max="4871" width="19.7265625" customWidth="1"/>
    <col min="4872" max="4872" width="19.1796875" customWidth="1"/>
    <col min="4873" max="4873" width="18.1796875" customWidth="1"/>
    <col min="4874" max="4874" width="71.26953125" bestFit="1" customWidth="1"/>
    <col min="5122" max="5122" width="5.54296875" bestFit="1" customWidth="1"/>
    <col min="5123" max="5123" width="16.54296875" bestFit="1" customWidth="1"/>
    <col min="5124" max="5124" width="10" bestFit="1" customWidth="1"/>
    <col min="5125" max="5125" width="5.54296875" bestFit="1" customWidth="1"/>
    <col min="5126" max="5126" width="32.26953125" bestFit="1" customWidth="1"/>
    <col min="5127" max="5127" width="19.7265625" customWidth="1"/>
    <col min="5128" max="5128" width="19.1796875" customWidth="1"/>
    <col min="5129" max="5129" width="18.1796875" customWidth="1"/>
    <col min="5130" max="5130" width="71.26953125" bestFit="1" customWidth="1"/>
    <col min="5378" max="5378" width="5.54296875" bestFit="1" customWidth="1"/>
    <col min="5379" max="5379" width="16.54296875" bestFit="1" customWidth="1"/>
    <col min="5380" max="5380" width="10" bestFit="1" customWidth="1"/>
    <col min="5381" max="5381" width="5.54296875" bestFit="1" customWidth="1"/>
    <col min="5382" max="5382" width="32.26953125" bestFit="1" customWidth="1"/>
    <col min="5383" max="5383" width="19.7265625" customWidth="1"/>
    <col min="5384" max="5384" width="19.1796875" customWidth="1"/>
    <col min="5385" max="5385" width="18.1796875" customWidth="1"/>
    <col min="5386" max="5386" width="71.26953125" bestFit="1" customWidth="1"/>
    <col min="5634" max="5634" width="5.54296875" bestFit="1" customWidth="1"/>
    <col min="5635" max="5635" width="16.54296875" bestFit="1" customWidth="1"/>
    <col min="5636" max="5636" width="10" bestFit="1" customWidth="1"/>
    <col min="5637" max="5637" width="5.54296875" bestFit="1" customWidth="1"/>
    <col min="5638" max="5638" width="32.26953125" bestFit="1" customWidth="1"/>
    <col min="5639" max="5639" width="19.7265625" customWidth="1"/>
    <col min="5640" max="5640" width="19.1796875" customWidth="1"/>
    <col min="5641" max="5641" width="18.1796875" customWidth="1"/>
    <col min="5642" max="5642" width="71.26953125" bestFit="1" customWidth="1"/>
    <col min="5890" max="5890" width="5.54296875" bestFit="1" customWidth="1"/>
    <col min="5891" max="5891" width="16.54296875" bestFit="1" customWidth="1"/>
    <col min="5892" max="5892" width="10" bestFit="1" customWidth="1"/>
    <col min="5893" max="5893" width="5.54296875" bestFit="1" customWidth="1"/>
    <col min="5894" max="5894" width="32.26953125" bestFit="1" customWidth="1"/>
    <col min="5895" max="5895" width="19.7265625" customWidth="1"/>
    <col min="5896" max="5896" width="19.1796875" customWidth="1"/>
    <col min="5897" max="5897" width="18.1796875" customWidth="1"/>
    <col min="5898" max="5898" width="71.26953125" bestFit="1" customWidth="1"/>
    <col min="6146" max="6146" width="5.54296875" bestFit="1" customWidth="1"/>
    <col min="6147" max="6147" width="16.54296875" bestFit="1" customWidth="1"/>
    <col min="6148" max="6148" width="10" bestFit="1" customWidth="1"/>
    <col min="6149" max="6149" width="5.54296875" bestFit="1" customWidth="1"/>
    <col min="6150" max="6150" width="32.26953125" bestFit="1" customWidth="1"/>
    <col min="6151" max="6151" width="19.7265625" customWidth="1"/>
    <col min="6152" max="6152" width="19.1796875" customWidth="1"/>
    <col min="6153" max="6153" width="18.1796875" customWidth="1"/>
    <col min="6154" max="6154" width="71.26953125" bestFit="1" customWidth="1"/>
    <col min="6402" max="6402" width="5.54296875" bestFit="1" customWidth="1"/>
    <col min="6403" max="6403" width="16.54296875" bestFit="1" customWidth="1"/>
    <col min="6404" max="6404" width="10" bestFit="1" customWidth="1"/>
    <col min="6405" max="6405" width="5.54296875" bestFit="1" customWidth="1"/>
    <col min="6406" max="6406" width="32.26953125" bestFit="1" customWidth="1"/>
    <col min="6407" max="6407" width="19.7265625" customWidth="1"/>
    <col min="6408" max="6408" width="19.1796875" customWidth="1"/>
    <col min="6409" max="6409" width="18.1796875" customWidth="1"/>
    <col min="6410" max="6410" width="71.26953125" bestFit="1" customWidth="1"/>
    <col min="6658" max="6658" width="5.54296875" bestFit="1" customWidth="1"/>
    <col min="6659" max="6659" width="16.54296875" bestFit="1" customWidth="1"/>
    <col min="6660" max="6660" width="10" bestFit="1" customWidth="1"/>
    <col min="6661" max="6661" width="5.54296875" bestFit="1" customWidth="1"/>
    <col min="6662" max="6662" width="32.26953125" bestFit="1" customWidth="1"/>
    <col min="6663" max="6663" width="19.7265625" customWidth="1"/>
    <col min="6664" max="6664" width="19.1796875" customWidth="1"/>
    <col min="6665" max="6665" width="18.1796875" customWidth="1"/>
    <col min="6666" max="6666" width="71.26953125" bestFit="1" customWidth="1"/>
    <col min="6914" max="6914" width="5.54296875" bestFit="1" customWidth="1"/>
    <col min="6915" max="6915" width="16.54296875" bestFit="1" customWidth="1"/>
    <col min="6916" max="6916" width="10" bestFit="1" customWidth="1"/>
    <col min="6917" max="6917" width="5.54296875" bestFit="1" customWidth="1"/>
    <col min="6918" max="6918" width="32.26953125" bestFit="1" customWidth="1"/>
    <col min="6919" max="6919" width="19.7265625" customWidth="1"/>
    <col min="6920" max="6920" width="19.1796875" customWidth="1"/>
    <col min="6921" max="6921" width="18.1796875" customWidth="1"/>
    <col min="6922" max="6922" width="71.26953125" bestFit="1" customWidth="1"/>
    <col min="7170" max="7170" width="5.54296875" bestFit="1" customWidth="1"/>
    <col min="7171" max="7171" width="16.54296875" bestFit="1" customWidth="1"/>
    <col min="7172" max="7172" width="10" bestFit="1" customWidth="1"/>
    <col min="7173" max="7173" width="5.54296875" bestFit="1" customWidth="1"/>
    <col min="7174" max="7174" width="32.26953125" bestFit="1" customWidth="1"/>
    <col min="7175" max="7175" width="19.7265625" customWidth="1"/>
    <col min="7176" max="7176" width="19.1796875" customWidth="1"/>
    <col min="7177" max="7177" width="18.1796875" customWidth="1"/>
    <col min="7178" max="7178" width="71.26953125" bestFit="1" customWidth="1"/>
    <col min="7426" max="7426" width="5.54296875" bestFit="1" customWidth="1"/>
    <col min="7427" max="7427" width="16.54296875" bestFit="1" customWidth="1"/>
    <col min="7428" max="7428" width="10" bestFit="1" customWidth="1"/>
    <col min="7429" max="7429" width="5.54296875" bestFit="1" customWidth="1"/>
    <col min="7430" max="7430" width="32.26953125" bestFit="1" customWidth="1"/>
    <col min="7431" max="7431" width="19.7265625" customWidth="1"/>
    <col min="7432" max="7432" width="19.1796875" customWidth="1"/>
    <col min="7433" max="7433" width="18.1796875" customWidth="1"/>
    <col min="7434" max="7434" width="71.26953125" bestFit="1" customWidth="1"/>
    <col min="7682" max="7682" width="5.54296875" bestFit="1" customWidth="1"/>
    <col min="7683" max="7683" width="16.54296875" bestFit="1" customWidth="1"/>
    <col min="7684" max="7684" width="10" bestFit="1" customWidth="1"/>
    <col min="7685" max="7685" width="5.54296875" bestFit="1" customWidth="1"/>
    <col min="7686" max="7686" width="32.26953125" bestFit="1" customWidth="1"/>
    <col min="7687" max="7687" width="19.7265625" customWidth="1"/>
    <col min="7688" max="7688" width="19.1796875" customWidth="1"/>
    <col min="7689" max="7689" width="18.1796875" customWidth="1"/>
    <col min="7690" max="7690" width="71.26953125" bestFit="1" customWidth="1"/>
    <col min="7938" max="7938" width="5.54296875" bestFit="1" customWidth="1"/>
    <col min="7939" max="7939" width="16.54296875" bestFit="1" customWidth="1"/>
    <col min="7940" max="7940" width="10" bestFit="1" customWidth="1"/>
    <col min="7941" max="7941" width="5.54296875" bestFit="1" customWidth="1"/>
    <col min="7942" max="7942" width="32.26953125" bestFit="1" customWidth="1"/>
    <col min="7943" max="7943" width="19.7265625" customWidth="1"/>
    <col min="7944" max="7944" width="19.1796875" customWidth="1"/>
    <col min="7945" max="7945" width="18.1796875" customWidth="1"/>
    <col min="7946" max="7946" width="71.26953125" bestFit="1" customWidth="1"/>
    <col min="8194" max="8194" width="5.54296875" bestFit="1" customWidth="1"/>
    <col min="8195" max="8195" width="16.54296875" bestFit="1" customWidth="1"/>
    <col min="8196" max="8196" width="10" bestFit="1" customWidth="1"/>
    <col min="8197" max="8197" width="5.54296875" bestFit="1" customWidth="1"/>
    <col min="8198" max="8198" width="32.26953125" bestFit="1" customWidth="1"/>
    <col min="8199" max="8199" width="19.7265625" customWidth="1"/>
    <col min="8200" max="8200" width="19.1796875" customWidth="1"/>
    <col min="8201" max="8201" width="18.1796875" customWidth="1"/>
    <col min="8202" max="8202" width="71.26953125" bestFit="1" customWidth="1"/>
    <col min="8450" max="8450" width="5.54296875" bestFit="1" customWidth="1"/>
    <col min="8451" max="8451" width="16.54296875" bestFit="1" customWidth="1"/>
    <col min="8452" max="8452" width="10" bestFit="1" customWidth="1"/>
    <col min="8453" max="8453" width="5.54296875" bestFit="1" customWidth="1"/>
    <col min="8454" max="8454" width="32.26953125" bestFit="1" customWidth="1"/>
    <col min="8455" max="8455" width="19.7265625" customWidth="1"/>
    <col min="8456" max="8456" width="19.1796875" customWidth="1"/>
    <col min="8457" max="8457" width="18.1796875" customWidth="1"/>
    <col min="8458" max="8458" width="71.26953125" bestFit="1" customWidth="1"/>
    <col min="8706" max="8706" width="5.54296875" bestFit="1" customWidth="1"/>
    <col min="8707" max="8707" width="16.54296875" bestFit="1" customWidth="1"/>
    <col min="8708" max="8708" width="10" bestFit="1" customWidth="1"/>
    <col min="8709" max="8709" width="5.54296875" bestFit="1" customWidth="1"/>
    <col min="8710" max="8710" width="32.26953125" bestFit="1" customWidth="1"/>
    <col min="8711" max="8711" width="19.7265625" customWidth="1"/>
    <col min="8712" max="8712" width="19.1796875" customWidth="1"/>
    <col min="8713" max="8713" width="18.1796875" customWidth="1"/>
    <col min="8714" max="8714" width="71.26953125" bestFit="1" customWidth="1"/>
    <col min="8962" max="8962" width="5.54296875" bestFit="1" customWidth="1"/>
    <col min="8963" max="8963" width="16.54296875" bestFit="1" customWidth="1"/>
    <col min="8964" max="8964" width="10" bestFit="1" customWidth="1"/>
    <col min="8965" max="8965" width="5.54296875" bestFit="1" customWidth="1"/>
    <col min="8966" max="8966" width="32.26953125" bestFit="1" customWidth="1"/>
    <col min="8967" max="8967" width="19.7265625" customWidth="1"/>
    <col min="8968" max="8968" width="19.1796875" customWidth="1"/>
    <col min="8969" max="8969" width="18.1796875" customWidth="1"/>
    <col min="8970" max="8970" width="71.26953125" bestFit="1" customWidth="1"/>
    <col min="9218" max="9218" width="5.54296875" bestFit="1" customWidth="1"/>
    <col min="9219" max="9219" width="16.54296875" bestFit="1" customWidth="1"/>
    <col min="9220" max="9220" width="10" bestFit="1" customWidth="1"/>
    <col min="9221" max="9221" width="5.54296875" bestFit="1" customWidth="1"/>
    <col min="9222" max="9222" width="32.26953125" bestFit="1" customWidth="1"/>
    <col min="9223" max="9223" width="19.7265625" customWidth="1"/>
    <col min="9224" max="9224" width="19.1796875" customWidth="1"/>
    <col min="9225" max="9225" width="18.1796875" customWidth="1"/>
    <col min="9226" max="9226" width="71.26953125" bestFit="1" customWidth="1"/>
    <col min="9474" max="9474" width="5.54296875" bestFit="1" customWidth="1"/>
    <col min="9475" max="9475" width="16.54296875" bestFit="1" customWidth="1"/>
    <col min="9476" max="9476" width="10" bestFit="1" customWidth="1"/>
    <col min="9477" max="9477" width="5.54296875" bestFit="1" customWidth="1"/>
    <col min="9478" max="9478" width="32.26953125" bestFit="1" customWidth="1"/>
    <col min="9479" max="9479" width="19.7265625" customWidth="1"/>
    <col min="9480" max="9480" width="19.1796875" customWidth="1"/>
    <col min="9481" max="9481" width="18.1796875" customWidth="1"/>
    <col min="9482" max="9482" width="71.26953125" bestFit="1" customWidth="1"/>
    <col min="9730" max="9730" width="5.54296875" bestFit="1" customWidth="1"/>
    <col min="9731" max="9731" width="16.54296875" bestFit="1" customWidth="1"/>
    <col min="9732" max="9732" width="10" bestFit="1" customWidth="1"/>
    <col min="9733" max="9733" width="5.54296875" bestFit="1" customWidth="1"/>
    <col min="9734" max="9734" width="32.26953125" bestFit="1" customWidth="1"/>
    <col min="9735" max="9735" width="19.7265625" customWidth="1"/>
    <col min="9736" max="9736" width="19.1796875" customWidth="1"/>
    <col min="9737" max="9737" width="18.1796875" customWidth="1"/>
    <col min="9738" max="9738" width="71.26953125" bestFit="1" customWidth="1"/>
    <col min="9986" max="9986" width="5.54296875" bestFit="1" customWidth="1"/>
    <col min="9987" max="9987" width="16.54296875" bestFit="1" customWidth="1"/>
    <col min="9988" max="9988" width="10" bestFit="1" customWidth="1"/>
    <col min="9989" max="9989" width="5.54296875" bestFit="1" customWidth="1"/>
    <col min="9990" max="9990" width="32.26953125" bestFit="1" customWidth="1"/>
    <col min="9991" max="9991" width="19.7265625" customWidth="1"/>
    <col min="9992" max="9992" width="19.1796875" customWidth="1"/>
    <col min="9993" max="9993" width="18.1796875" customWidth="1"/>
    <col min="9994" max="9994" width="71.26953125" bestFit="1" customWidth="1"/>
    <col min="10242" max="10242" width="5.54296875" bestFit="1" customWidth="1"/>
    <col min="10243" max="10243" width="16.54296875" bestFit="1" customWidth="1"/>
    <col min="10244" max="10244" width="10" bestFit="1" customWidth="1"/>
    <col min="10245" max="10245" width="5.54296875" bestFit="1" customWidth="1"/>
    <col min="10246" max="10246" width="32.26953125" bestFit="1" customWidth="1"/>
    <col min="10247" max="10247" width="19.7265625" customWidth="1"/>
    <col min="10248" max="10248" width="19.1796875" customWidth="1"/>
    <col min="10249" max="10249" width="18.1796875" customWidth="1"/>
    <col min="10250" max="10250" width="71.26953125" bestFit="1" customWidth="1"/>
    <col min="10498" max="10498" width="5.54296875" bestFit="1" customWidth="1"/>
    <col min="10499" max="10499" width="16.54296875" bestFit="1" customWidth="1"/>
    <col min="10500" max="10500" width="10" bestFit="1" customWidth="1"/>
    <col min="10501" max="10501" width="5.54296875" bestFit="1" customWidth="1"/>
    <col min="10502" max="10502" width="32.26953125" bestFit="1" customWidth="1"/>
    <col min="10503" max="10503" width="19.7265625" customWidth="1"/>
    <col min="10504" max="10504" width="19.1796875" customWidth="1"/>
    <col min="10505" max="10505" width="18.1796875" customWidth="1"/>
    <col min="10506" max="10506" width="71.26953125" bestFit="1" customWidth="1"/>
    <col min="10754" max="10754" width="5.54296875" bestFit="1" customWidth="1"/>
    <col min="10755" max="10755" width="16.54296875" bestFit="1" customWidth="1"/>
    <col min="10756" max="10756" width="10" bestFit="1" customWidth="1"/>
    <col min="10757" max="10757" width="5.54296875" bestFit="1" customWidth="1"/>
    <col min="10758" max="10758" width="32.26953125" bestFit="1" customWidth="1"/>
    <col min="10759" max="10759" width="19.7265625" customWidth="1"/>
    <col min="10760" max="10760" width="19.1796875" customWidth="1"/>
    <col min="10761" max="10761" width="18.1796875" customWidth="1"/>
    <col min="10762" max="10762" width="71.26953125" bestFit="1" customWidth="1"/>
    <col min="11010" max="11010" width="5.54296875" bestFit="1" customWidth="1"/>
    <col min="11011" max="11011" width="16.54296875" bestFit="1" customWidth="1"/>
    <col min="11012" max="11012" width="10" bestFit="1" customWidth="1"/>
    <col min="11013" max="11013" width="5.54296875" bestFit="1" customWidth="1"/>
    <col min="11014" max="11014" width="32.26953125" bestFit="1" customWidth="1"/>
    <col min="11015" max="11015" width="19.7265625" customWidth="1"/>
    <col min="11016" max="11016" width="19.1796875" customWidth="1"/>
    <col min="11017" max="11017" width="18.1796875" customWidth="1"/>
    <col min="11018" max="11018" width="71.26953125" bestFit="1" customWidth="1"/>
    <col min="11266" max="11266" width="5.54296875" bestFit="1" customWidth="1"/>
    <col min="11267" max="11267" width="16.54296875" bestFit="1" customWidth="1"/>
    <col min="11268" max="11268" width="10" bestFit="1" customWidth="1"/>
    <col min="11269" max="11269" width="5.54296875" bestFit="1" customWidth="1"/>
    <col min="11270" max="11270" width="32.26953125" bestFit="1" customWidth="1"/>
    <col min="11271" max="11271" width="19.7265625" customWidth="1"/>
    <col min="11272" max="11272" width="19.1796875" customWidth="1"/>
    <col min="11273" max="11273" width="18.1796875" customWidth="1"/>
    <col min="11274" max="11274" width="71.26953125" bestFit="1" customWidth="1"/>
    <col min="11522" max="11522" width="5.54296875" bestFit="1" customWidth="1"/>
    <col min="11523" max="11523" width="16.54296875" bestFit="1" customWidth="1"/>
    <col min="11524" max="11524" width="10" bestFit="1" customWidth="1"/>
    <col min="11525" max="11525" width="5.54296875" bestFit="1" customWidth="1"/>
    <col min="11526" max="11526" width="32.26953125" bestFit="1" customWidth="1"/>
    <col min="11527" max="11527" width="19.7265625" customWidth="1"/>
    <col min="11528" max="11528" width="19.1796875" customWidth="1"/>
    <col min="11529" max="11529" width="18.1796875" customWidth="1"/>
    <col min="11530" max="11530" width="71.26953125" bestFit="1" customWidth="1"/>
    <col min="11778" max="11778" width="5.54296875" bestFit="1" customWidth="1"/>
    <col min="11779" max="11779" width="16.54296875" bestFit="1" customWidth="1"/>
    <col min="11780" max="11780" width="10" bestFit="1" customWidth="1"/>
    <col min="11781" max="11781" width="5.54296875" bestFit="1" customWidth="1"/>
    <col min="11782" max="11782" width="32.26953125" bestFit="1" customWidth="1"/>
    <col min="11783" max="11783" width="19.7265625" customWidth="1"/>
    <col min="11784" max="11784" width="19.1796875" customWidth="1"/>
    <col min="11785" max="11785" width="18.1796875" customWidth="1"/>
    <col min="11786" max="11786" width="71.26953125" bestFit="1" customWidth="1"/>
    <col min="12034" max="12034" width="5.54296875" bestFit="1" customWidth="1"/>
    <col min="12035" max="12035" width="16.54296875" bestFit="1" customWidth="1"/>
    <col min="12036" max="12036" width="10" bestFit="1" customWidth="1"/>
    <col min="12037" max="12037" width="5.54296875" bestFit="1" customWidth="1"/>
    <col min="12038" max="12038" width="32.26953125" bestFit="1" customWidth="1"/>
    <col min="12039" max="12039" width="19.7265625" customWidth="1"/>
    <col min="12040" max="12040" width="19.1796875" customWidth="1"/>
    <col min="12041" max="12041" width="18.1796875" customWidth="1"/>
    <col min="12042" max="12042" width="71.26953125" bestFit="1" customWidth="1"/>
    <col min="12290" max="12290" width="5.54296875" bestFit="1" customWidth="1"/>
    <col min="12291" max="12291" width="16.54296875" bestFit="1" customWidth="1"/>
    <col min="12292" max="12292" width="10" bestFit="1" customWidth="1"/>
    <col min="12293" max="12293" width="5.54296875" bestFit="1" customWidth="1"/>
    <col min="12294" max="12294" width="32.26953125" bestFit="1" customWidth="1"/>
    <col min="12295" max="12295" width="19.7265625" customWidth="1"/>
    <col min="12296" max="12296" width="19.1796875" customWidth="1"/>
    <col min="12297" max="12297" width="18.1796875" customWidth="1"/>
    <col min="12298" max="12298" width="71.26953125" bestFit="1" customWidth="1"/>
    <col min="12546" max="12546" width="5.54296875" bestFit="1" customWidth="1"/>
    <col min="12547" max="12547" width="16.54296875" bestFit="1" customWidth="1"/>
    <col min="12548" max="12548" width="10" bestFit="1" customWidth="1"/>
    <col min="12549" max="12549" width="5.54296875" bestFit="1" customWidth="1"/>
    <col min="12550" max="12550" width="32.26953125" bestFit="1" customWidth="1"/>
    <col min="12551" max="12551" width="19.7265625" customWidth="1"/>
    <col min="12552" max="12552" width="19.1796875" customWidth="1"/>
    <col min="12553" max="12553" width="18.1796875" customWidth="1"/>
    <col min="12554" max="12554" width="71.26953125" bestFit="1" customWidth="1"/>
    <col min="12802" max="12802" width="5.54296875" bestFit="1" customWidth="1"/>
    <col min="12803" max="12803" width="16.54296875" bestFit="1" customWidth="1"/>
    <col min="12804" max="12804" width="10" bestFit="1" customWidth="1"/>
    <col min="12805" max="12805" width="5.54296875" bestFit="1" customWidth="1"/>
    <col min="12806" max="12806" width="32.26953125" bestFit="1" customWidth="1"/>
    <col min="12807" max="12807" width="19.7265625" customWidth="1"/>
    <col min="12808" max="12808" width="19.1796875" customWidth="1"/>
    <col min="12809" max="12809" width="18.1796875" customWidth="1"/>
    <col min="12810" max="12810" width="71.26953125" bestFit="1" customWidth="1"/>
    <col min="13058" max="13058" width="5.54296875" bestFit="1" customWidth="1"/>
    <col min="13059" max="13059" width="16.54296875" bestFit="1" customWidth="1"/>
    <col min="13060" max="13060" width="10" bestFit="1" customWidth="1"/>
    <col min="13061" max="13061" width="5.54296875" bestFit="1" customWidth="1"/>
    <col min="13062" max="13062" width="32.26953125" bestFit="1" customWidth="1"/>
    <col min="13063" max="13063" width="19.7265625" customWidth="1"/>
    <col min="13064" max="13064" width="19.1796875" customWidth="1"/>
    <col min="13065" max="13065" width="18.1796875" customWidth="1"/>
    <col min="13066" max="13066" width="71.26953125" bestFit="1" customWidth="1"/>
    <col min="13314" max="13314" width="5.54296875" bestFit="1" customWidth="1"/>
    <col min="13315" max="13315" width="16.54296875" bestFit="1" customWidth="1"/>
    <col min="13316" max="13316" width="10" bestFit="1" customWidth="1"/>
    <col min="13317" max="13317" width="5.54296875" bestFit="1" customWidth="1"/>
    <col min="13318" max="13318" width="32.26953125" bestFit="1" customWidth="1"/>
    <col min="13319" max="13319" width="19.7265625" customWidth="1"/>
    <col min="13320" max="13320" width="19.1796875" customWidth="1"/>
    <col min="13321" max="13321" width="18.1796875" customWidth="1"/>
    <col min="13322" max="13322" width="71.26953125" bestFit="1" customWidth="1"/>
    <col min="13570" max="13570" width="5.54296875" bestFit="1" customWidth="1"/>
    <col min="13571" max="13571" width="16.54296875" bestFit="1" customWidth="1"/>
    <col min="13572" max="13572" width="10" bestFit="1" customWidth="1"/>
    <col min="13573" max="13573" width="5.54296875" bestFit="1" customWidth="1"/>
    <col min="13574" max="13574" width="32.26953125" bestFit="1" customWidth="1"/>
    <col min="13575" max="13575" width="19.7265625" customWidth="1"/>
    <col min="13576" max="13576" width="19.1796875" customWidth="1"/>
    <col min="13577" max="13577" width="18.1796875" customWidth="1"/>
    <col min="13578" max="13578" width="71.26953125" bestFit="1" customWidth="1"/>
    <col min="13826" max="13826" width="5.54296875" bestFit="1" customWidth="1"/>
    <col min="13827" max="13827" width="16.54296875" bestFit="1" customWidth="1"/>
    <col min="13828" max="13828" width="10" bestFit="1" customWidth="1"/>
    <col min="13829" max="13829" width="5.54296875" bestFit="1" customWidth="1"/>
    <col min="13830" max="13830" width="32.26953125" bestFit="1" customWidth="1"/>
    <col min="13831" max="13831" width="19.7265625" customWidth="1"/>
    <col min="13832" max="13832" width="19.1796875" customWidth="1"/>
    <col min="13833" max="13833" width="18.1796875" customWidth="1"/>
    <col min="13834" max="13834" width="71.26953125" bestFit="1" customWidth="1"/>
    <col min="14082" max="14082" width="5.54296875" bestFit="1" customWidth="1"/>
    <col min="14083" max="14083" width="16.54296875" bestFit="1" customWidth="1"/>
    <col min="14084" max="14084" width="10" bestFit="1" customWidth="1"/>
    <col min="14085" max="14085" width="5.54296875" bestFit="1" customWidth="1"/>
    <col min="14086" max="14086" width="32.26953125" bestFit="1" customWidth="1"/>
    <col min="14087" max="14087" width="19.7265625" customWidth="1"/>
    <col min="14088" max="14088" width="19.1796875" customWidth="1"/>
    <col min="14089" max="14089" width="18.1796875" customWidth="1"/>
    <col min="14090" max="14090" width="71.26953125" bestFit="1" customWidth="1"/>
    <col min="14338" max="14338" width="5.54296875" bestFit="1" customWidth="1"/>
    <col min="14339" max="14339" width="16.54296875" bestFit="1" customWidth="1"/>
    <col min="14340" max="14340" width="10" bestFit="1" customWidth="1"/>
    <col min="14341" max="14341" width="5.54296875" bestFit="1" customWidth="1"/>
    <col min="14342" max="14342" width="32.26953125" bestFit="1" customWidth="1"/>
    <col min="14343" max="14343" width="19.7265625" customWidth="1"/>
    <col min="14344" max="14344" width="19.1796875" customWidth="1"/>
    <col min="14345" max="14345" width="18.1796875" customWidth="1"/>
    <col min="14346" max="14346" width="71.26953125" bestFit="1" customWidth="1"/>
    <col min="14594" max="14594" width="5.54296875" bestFit="1" customWidth="1"/>
    <col min="14595" max="14595" width="16.54296875" bestFit="1" customWidth="1"/>
    <col min="14596" max="14596" width="10" bestFit="1" customWidth="1"/>
    <col min="14597" max="14597" width="5.54296875" bestFit="1" customWidth="1"/>
    <col min="14598" max="14598" width="32.26953125" bestFit="1" customWidth="1"/>
    <col min="14599" max="14599" width="19.7265625" customWidth="1"/>
    <col min="14600" max="14600" width="19.1796875" customWidth="1"/>
    <col min="14601" max="14601" width="18.1796875" customWidth="1"/>
    <col min="14602" max="14602" width="71.26953125" bestFit="1" customWidth="1"/>
    <col min="14850" max="14850" width="5.54296875" bestFit="1" customWidth="1"/>
    <col min="14851" max="14851" width="16.54296875" bestFit="1" customWidth="1"/>
    <col min="14852" max="14852" width="10" bestFit="1" customWidth="1"/>
    <col min="14853" max="14853" width="5.54296875" bestFit="1" customWidth="1"/>
    <col min="14854" max="14854" width="32.26953125" bestFit="1" customWidth="1"/>
    <col min="14855" max="14855" width="19.7265625" customWidth="1"/>
    <col min="14856" max="14856" width="19.1796875" customWidth="1"/>
    <col min="14857" max="14857" width="18.1796875" customWidth="1"/>
    <col min="14858" max="14858" width="71.26953125" bestFit="1" customWidth="1"/>
    <col min="15106" max="15106" width="5.54296875" bestFit="1" customWidth="1"/>
    <col min="15107" max="15107" width="16.54296875" bestFit="1" customWidth="1"/>
    <col min="15108" max="15108" width="10" bestFit="1" customWidth="1"/>
    <col min="15109" max="15109" width="5.54296875" bestFit="1" customWidth="1"/>
    <col min="15110" max="15110" width="32.26953125" bestFit="1" customWidth="1"/>
    <col min="15111" max="15111" width="19.7265625" customWidth="1"/>
    <col min="15112" max="15112" width="19.1796875" customWidth="1"/>
    <col min="15113" max="15113" width="18.1796875" customWidth="1"/>
    <col min="15114" max="15114" width="71.26953125" bestFit="1" customWidth="1"/>
    <col min="15362" max="15362" width="5.54296875" bestFit="1" customWidth="1"/>
    <col min="15363" max="15363" width="16.54296875" bestFit="1" customWidth="1"/>
    <col min="15364" max="15364" width="10" bestFit="1" customWidth="1"/>
    <col min="15365" max="15365" width="5.54296875" bestFit="1" customWidth="1"/>
    <col min="15366" max="15366" width="32.26953125" bestFit="1" customWidth="1"/>
    <col min="15367" max="15367" width="19.7265625" customWidth="1"/>
    <col min="15368" max="15368" width="19.1796875" customWidth="1"/>
    <col min="15369" max="15369" width="18.1796875" customWidth="1"/>
    <col min="15370" max="15370" width="71.26953125" bestFit="1" customWidth="1"/>
    <col min="15618" max="15618" width="5.54296875" bestFit="1" customWidth="1"/>
    <col min="15619" max="15619" width="16.54296875" bestFit="1" customWidth="1"/>
    <col min="15620" max="15620" width="10" bestFit="1" customWidth="1"/>
    <col min="15621" max="15621" width="5.54296875" bestFit="1" customWidth="1"/>
    <col min="15622" max="15622" width="32.26953125" bestFit="1" customWidth="1"/>
    <col min="15623" max="15623" width="19.7265625" customWidth="1"/>
    <col min="15624" max="15624" width="19.1796875" customWidth="1"/>
    <col min="15625" max="15625" width="18.1796875" customWidth="1"/>
    <col min="15626" max="15626" width="71.26953125" bestFit="1" customWidth="1"/>
    <col min="15874" max="15874" width="5.54296875" bestFit="1" customWidth="1"/>
    <col min="15875" max="15875" width="16.54296875" bestFit="1" customWidth="1"/>
    <col min="15876" max="15876" width="10" bestFit="1" customWidth="1"/>
    <col min="15877" max="15877" width="5.54296875" bestFit="1" customWidth="1"/>
    <col min="15878" max="15878" width="32.26953125" bestFit="1" customWidth="1"/>
    <col min="15879" max="15879" width="19.7265625" customWidth="1"/>
    <col min="15880" max="15880" width="19.1796875" customWidth="1"/>
    <col min="15881" max="15881" width="18.1796875" customWidth="1"/>
    <col min="15882" max="15882" width="71.26953125" bestFit="1" customWidth="1"/>
    <col min="16130" max="16130" width="5.54296875" bestFit="1" customWidth="1"/>
    <col min="16131" max="16131" width="16.54296875" bestFit="1" customWidth="1"/>
    <col min="16132" max="16132" width="10" bestFit="1" customWidth="1"/>
    <col min="16133" max="16133" width="5.54296875" bestFit="1" customWidth="1"/>
    <col min="16134" max="16134" width="32.26953125" bestFit="1" customWidth="1"/>
    <col min="16135" max="16135" width="19.7265625" customWidth="1"/>
    <col min="16136" max="16136" width="19.1796875" customWidth="1"/>
    <col min="16137" max="16137" width="18.1796875" customWidth="1"/>
    <col min="16138" max="16138" width="71.26953125" bestFit="1" customWidth="1"/>
  </cols>
  <sheetData>
    <row r="1" spans="1:12" s="10" customFormat="1" ht="13" x14ac:dyDescent="0.3">
      <c r="A1" s="10" t="s">
        <v>3209</v>
      </c>
      <c r="B1" s="10" t="s">
        <v>3210</v>
      </c>
      <c r="C1" s="10" t="s">
        <v>3211</v>
      </c>
      <c r="D1" s="10" t="s">
        <v>3212</v>
      </c>
      <c r="E1" s="10" t="s">
        <v>3213</v>
      </c>
      <c r="F1" s="10" t="s">
        <v>3214</v>
      </c>
      <c r="G1" s="10" t="s">
        <v>3215</v>
      </c>
      <c r="H1" s="10" t="s">
        <v>3216</v>
      </c>
      <c r="I1" s="10" t="s">
        <v>3301</v>
      </c>
      <c r="J1" s="10" t="s">
        <v>3217</v>
      </c>
    </row>
    <row r="2" spans="1:12" s="10" customFormat="1" ht="13" x14ac:dyDescent="0.3">
      <c r="A2">
        <v>18</v>
      </c>
      <c r="B2" s="17">
        <v>2016</v>
      </c>
      <c r="C2" s="5" t="str">
        <f>main!B7</f>
        <v>47_1000</v>
      </c>
      <c r="D2" s="5">
        <v>1</v>
      </c>
      <c r="I2" s="3">
        <v>48.95</v>
      </c>
      <c r="J2" s="1">
        <f>main!E7*0.7-CHN!F26/1000-PIC!E4/1000-samp_list_BSi!H6/1000-I2</f>
        <v>313.42070000000001</v>
      </c>
      <c r="L2" s="413" t="s">
        <v>3302</v>
      </c>
    </row>
    <row r="3" spans="1:12" s="10" customFormat="1" ht="13" x14ac:dyDescent="0.3">
      <c r="A3">
        <v>18</v>
      </c>
      <c r="B3" s="17">
        <v>2016</v>
      </c>
      <c r="C3" s="5" t="str">
        <f>main!B8</f>
        <v>47_1000</v>
      </c>
      <c r="D3" s="5">
        <f>main!C8</f>
        <v>2</v>
      </c>
      <c r="I3" s="3">
        <v>49.05</v>
      </c>
      <c r="J3" s="1">
        <f>main!E8*0.7-CHN!F27/1000-PIC!E5/1000-samp_list_BSi!H7/1000-I3</f>
        <v>89.730899999999949</v>
      </c>
    </row>
    <row r="4" spans="1:12" s="10" customFormat="1" ht="13" x14ac:dyDescent="0.3">
      <c r="A4">
        <v>18</v>
      </c>
      <c r="B4" s="17">
        <v>2016</v>
      </c>
      <c r="C4" s="5" t="str">
        <f>main!B9</f>
        <v>47_1000</v>
      </c>
      <c r="D4" s="5">
        <f>main!C9</f>
        <v>3</v>
      </c>
      <c r="I4" s="3">
        <v>49.09</v>
      </c>
      <c r="J4" s="1">
        <f>main!E9*0.7-CHN!F28/1000-PIC!E6/1000-samp_list_BSi!H8/1000-I4</f>
        <v>63.250900000000001</v>
      </c>
    </row>
    <row r="5" spans="1:12" s="10" customFormat="1" ht="13" x14ac:dyDescent="0.3">
      <c r="A5">
        <v>18</v>
      </c>
      <c r="B5" s="17">
        <v>2016</v>
      </c>
      <c r="C5" s="5" t="str">
        <f>main!B10</f>
        <v>47_1000</v>
      </c>
      <c r="D5" s="5">
        <f>main!C10</f>
        <v>4</v>
      </c>
      <c r="I5" s="3">
        <v>49.22</v>
      </c>
      <c r="J5" s="1">
        <f>main!E10*0.7-CHN!F29/1000-PIC!E7/1000-samp_list_BSi!H9/1000-I5</f>
        <v>97.051999999999964</v>
      </c>
    </row>
    <row r="6" spans="1:12" s="10" customFormat="1" ht="13" x14ac:dyDescent="0.3">
      <c r="A6">
        <v>18</v>
      </c>
      <c r="B6" s="17">
        <v>2016</v>
      </c>
      <c r="C6" s="5" t="str">
        <f>main!B11</f>
        <v>47_1000</v>
      </c>
      <c r="D6" s="5">
        <f>main!C11</f>
        <v>5</v>
      </c>
      <c r="I6" s="3">
        <v>50.84</v>
      </c>
      <c r="J6" s="1">
        <f>main!E11*0.7-CHN!F20/1000-CHN!F21/1000-PIC!E8/1000-PIC!E9/1000-samp_list_BSi!H10/1000-samp_list_BSi!H11/1000-I6</f>
        <v>168.68730000000005</v>
      </c>
    </row>
    <row r="7" spans="1:12" s="10" customFormat="1" ht="13" x14ac:dyDescent="0.3">
      <c r="A7">
        <v>18</v>
      </c>
      <c r="B7" s="17">
        <v>2016</v>
      </c>
      <c r="C7" s="5" t="str">
        <f>main!B12</f>
        <v>47_1000</v>
      </c>
      <c r="D7" s="5">
        <f>main!C12</f>
        <v>6</v>
      </c>
      <c r="I7" s="3">
        <v>39.56</v>
      </c>
      <c r="J7" s="1">
        <f>main!E12*0.7-CHN!F13/1000-PIC!E10/1000-samp_list_BSi!H12/1000-I7</f>
        <v>-1.5919000000000096</v>
      </c>
    </row>
    <row r="8" spans="1:12" s="10" customFormat="1" ht="13" x14ac:dyDescent="0.3">
      <c r="A8">
        <v>18</v>
      </c>
      <c r="B8" s="17">
        <v>2016</v>
      </c>
      <c r="C8" s="5" t="str">
        <f>main!B13</f>
        <v>47_1000</v>
      </c>
      <c r="D8" s="5">
        <f>main!C13</f>
        <v>7</v>
      </c>
      <c r="J8" s="1">
        <f>main!E13*0.7-CHN!F14/1000-samp_list_BSi!H13/1000</f>
        <v>5.3010000000000002</v>
      </c>
    </row>
    <row r="9" spans="1:12" s="10" customFormat="1" ht="13" x14ac:dyDescent="0.3">
      <c r="A9">
        <v>18</v>
      </c>
      <c r="B9" s="17">
        <v>2016</v>
      </c>
      <c r="C9" s="5" t="str">
        <f>main!B14</f>
        <v>47_1000</v>
      </c>
      <c r="D9" s="5">
        <f>main!C14</f>
        <v>8</v>
      </c>
      <c r="I9" s="3">
        <v>51.08</v>
      </c>
      <c r="J9" s="1">
        <f>main!E14*0.7-CHN!F30/1000-PIC!E12/1000-samp_list_BSi!H14/1000-I9</f>
        <v>66.989200000000025</v>
      </c>
    </row>
    <row r="10" spans="1:12" s="10" customFormat="1" ht="13" x14ac:dyDescent="0.3">
      <c r="A10">
        <v>18</v>
      </c>
      <c r="B10" s="17">
        <v>2016</v>
      </c>
      <c r="C10" s="5" t="str">
        <f>main!B15</f>
        <v>47_1000</v>
      </c>
      <c r="D10" s="5">
        <f>main!C15</f>
        <v>9</v>
      </c>
      <c r="I10" s="3">
        <v>47.3</v>
      </c>
      <c r="J10" s="1">
        <f>main!E15*0.7-CHN!F31/1000-PIC!E13/1000-samp_list_BSi!H15/1000-I10</f>
        <v>31.200099999999992</v>
      </c>
    </row>
    <row r="11" spans="1:12" s="10" customFormat="1" ht="13" x14ac:dyDescent="0.3">
      <c r="A11">
        <v>18</v>
      </c>
      <c r="B11" s="17">
        <v>2016</v>
      </c>
      <c r="C11" s="5" t="str">
        <f>main!B16</f>
        <v>47_1000</v>
      </c>
      <c r="D11" s="5">
        <f>main!C16</f>
        <v>10</v>
      </c>
      <c r="J11" s="1">
        <f>main!E16*0.7-CHN!F15/1000-PIC!E14/1000-samp_list_BSi!H16/1000</f>
        <v>32.871099999999984</v>
      </c>
    </row>
    <row r="12" spans="1:12" s="10" customFormat="1" ht="13" x14ac:dyDescent="0.3">
      <c r="A12">
        <v>18</v>
      </c>
      <c r="B12" s="17">
        <v>2016</v>
      </c>
      <c r="C12" s="5" t="str">
        <f>main!B17</f>
        <v>47_1000</v>
      </c>
      <c r="D12" s="5">
        <f>main!C17</f>
        <v>11</v>
      </c>
      <c r="J12" s="1">
        <f>main!E17*0.7-CHN!F32/1000-PIC!E15/1000-samp_list_BSi!H17/1000</f>
        <v>94.263199999999983</v>
      </c>
    </row>
    <row r="13" spans="1:12" s="10" customFormat="1" ht="13" x14ac:dyDescent="0.3">
      <c r="A13">
        <v>18</v>
      </c>
      <c r="B13" s="17">
        <v>2016</v>
      </c>
      <c r="C13" s="5" t="str">
        <f>main!B18</f>
        <v>47_1000</v>
      </c>
      <c r="D13" s="5">
        <f>main!C18</f>
        <v>12</v>
      </c>
      <c r="J13" s="1">
        <f>main!E18*0.7-CHN!F16/1000-PIC!E16/1000-samp_list_BSi!H18/1000</f>
        <v>5.49190000000001</v>
      </c>
    </row>
    <row r="14" spans="1:12" s="10" customFormat="1" ht="13" x14ac:dyDescent="0.3">
      <c r="A14">
        <v>18</v>
      </c>
      <c r="B14" s="17">
        <v>2016</v>
      </c>
      <c r="C14" s="5" t="str">
        <f>main!B19</f>
        <v>47_1000</v>
      </c>
      <c r="D14" s="5">
        <f>main!C19</f>
        <v>13</v>
      </c>
      <c r="J14" s="1">
        <f>main!E19*0.7-CHN!F17/1000-samp_list_BSi!H19/1000</f>
        <v>6.7104999999999961</v>
      </c>
    </row>
    <row r="15" spans="1:12" s="10" customFormat="1" ht="13" x14ac:dyDescent="0.3">
      <c r="A15">
        <v>18</v>
      </c>
      <c r="B15" s="17">
        <v>2016</v>
      </c>
      <c r="C15" s="5" t="str">
        <f>main!B20</f>
        <v>47_1000</v>
      </c>
      <c r="D15" s="5">
        <f>main!C20</f>
        <v>14</v>
      </c>
      <c r="J15" s="1">
        <f>main!E20*0.7-CHN!F18/1000-PIC!E18/1000-samp_list_BSi!H20/1000</f>
        <v>11.2951</v>
      </c>
    </row>
    <row r="16" spans="1:12" s="10" customFormat="1" ht="13" x14ac:dyDescent="0.3">
      <c r="A16">
        <v>18</v>
      </c>
      <c r="B16" s="17">
        <v>2016</v>
      </c>
      <c r="C16" s="5" t="str">
        <f>main!B21</f>
        <v>47_1000</v>
      </c>
      <c r="D16" s="5">
        <f>main!C21</f>
        <v>15</v>
      </c>
      <c r="J16" s="1">
        <f>main!E21*0.7-CHN!F19/1000-samp_list_BSi!H21/1000</f>
        <v>5.4804000000000004</v>
      </c>
    </row>
    <row r="17" spans="1:10" s="10" customFormat="1" ht="13" x14ac:dyDescent="0.3">
      <c r="A17">
        <v>18</v>
      </c>
      <c r="B17" s="17">
        <v>2016</v>
      </c>
      <c r="C17" s="5" t="str">
        <f>main!B22</f>
        <v>47_1000</v>
      </c>
      <c r="D17" s="5">
        <f>main!C22</f>
        <v>16</v>
      </c>
      <c r="J17" s="1" t="s">
        <v>280</v>
      </c>
    </row>
    <row r="18" spans="1:10" s="10" customFormat="1" ht="13" x14ac:dyDescent="0.3">
      <c r="A18">
        <v>18</v>
      </c>
      <c r="B18" s="17">
        <v>2016</v>
      </c>
      <c r="C18" s="5" t="str">
        <f>main!B23</f>
        <v>47_1000</v>
      </c>
      <c r="D18" s="5">
        <f>main!C23</f>
        <v>17</v>
      </c>
      <c r="J18" s="1" t="s">
        <v>280</v>
      </c>
    </row>
    <row r="19" spans="1:10" s="10" customFormat="1" ht="13" x14ac:dyDescent="0.3">
      <c r="A19">
        <v>18</v>
      </c>
      <c r="B19" s="17">
        <v>2016</v>
      </c>
      <c r="C19" s="5" t="str">
        <f>main!B24</f>
        <v>47_1000</v>
      </c>
      <c r="D19" s="5">
        <f>main!C24</f>
        <v>18</v>
      </c>
      <c r="J19" s="1" t="s">
        <v>280</v>
      </c>
    </row>
    <row r="20" spans="1:10" s="10" customFormat="1" ht="13" x14ac:dyDescent="0.3">
      <c r="A20">
        <v>18</v>
      </c>
      <c r="B20" s="17">
        <v>2016</v>
      </c>
      <c r="C20" s="5" t="str">
        <f>main!B25</f>
        <v>47_1000</v>
      </c>
      <c r="D20" s="5">
        <f>main!C25</f>
        <v>19</v>
      </c>
      <c r="J20" s="1" t="s">
        <v>280</v>
      </c>
    </row>
    <row r="21" spans="1:10" s="10" customFormat="1" ht="13" x14ac:dyDescent="0.3">
      <c r="A21">
        <v>18</v>
      </c>
      <c r="B21" s="17">
        <v>2016</v>
      </c>
      <c r="C21" s="5" t="str">
        <f>main!B26</f>
        <v>47_1000</v>
      </c>
      <c r="D21" s="5">
        <f>main!C26</f>
        <v>20</v>
      </c>
      <c r="J21" s="1" t="s">
        <v>280</v>
      </c>
    </row>
    <row r="22" spans="1:10" s="10" customFormat="1" ht="13" x14ac:dyDescent="0.3">
      <c r="A22">
        <v>18</v>
      </c>
      <c r="B22" s="17">
        <v>2016</v>
      </c>
      <c r="C22" s="5" t="str">
        <f>main!B27</f>
        <v>47_1000</v>
      </c>
      <c r="D22" s="5">
        <f>main!C27</f>
        <v>21</v>
      </c>
      <c r="J22" s="1" t="s">
        <v>280</v>
      </c>
    </row>
    <row r="23" spans="1:10" s="10" customFormat="1" ht="13" x14ac:dyDescent="0.3">
      <c r="A23"/>
      <c r="B23" s="17"/>
    </row>
    <row r="24" spans="1:10" s="10" customFormat="1" ht="13" x14ac:dyDescent="0.3">
      <c r="A24">
        <v>18</v>
      </c>
      <c r="B24" s="17">
        <v>2016</v>
      </c>
      <c r="C24" s="5" t="str">
        <f>main!B31</f>
        <v>47_2000</v>
      </c>
      <c r="D24" s="5">
        <v>1</v>
      </c>
      <c r="J24" s="1">
        <f>main!E31*0.7-CHN!F33/1000-PIC!E26/1000-samp_list_BSi!H28/1000</f>
        <v>173.38529999999994</v>
      </c>
    </row>
    <row r="25" spans="1:10" s="10" customFormat="1" ht="13" x14ac:dyDescent="0.3">
      <c r="A25">
        <v>18</v>
      </c>
      <c r="B25" s="17">
        <v>2016</v>
      </c>
      <c r="C25" s="5" t="str">
        <f>main!B32</f>
        <v>47_2000</v>
      </c>
      <c r="D25" s="5">
        <f>main!C32</f>
        <v>2</v>
      </c>
      <c r="J25" s="1">
        <f>main!E32*0.7-CHN!F34/1000-PIC!E27/1000-samp_list_BSi!H29/1000</f>
        <v>172.80929999999998</v>
      </c>
    </row>
    <row r="26" spans="1:10" s="10" customFormat="1" ht="13" x14ac:dyDescent="0.3">
      <c r="A26">
        <v>18</v>
      </c>
      <c r="B26" s="17">
        <v>2016</v>
      </c>
      <c r="C26" s="5" t="str">
        <f>main!B33</f>
        <v>47_2000</v>
      </c>
      <c r="D26" s="5">
        <f>main!C33</f>
        <v>3</v>
      </c>
      <c r="J26" s="1">
        <f>main!E33*0.7-CHN!F25/1000-PIC!E28/1000-samp_list_BSi!H30/1000</f>
        <v>219.7371</v>
      </c>
    </row>
    <row r="27" spans="1:10" s="10" customFormat="1" ht="13" x14ac:dyDescent="0.3">
      <c r="A27">
        <v>18</v>
      </c>
      <c r="B27" s="17">
        <v>2016</v>
      </c>
      <c r="C27" s="5" t="str">
        <f>main!B34</f>
        <v>47_2000</v>
      </c>
      <c r="D27" s="5">
        <f>main!C34</f>
        <v>4</v>
      </c>
      <c r="J27" s="1">
        <f>main!E34*0.7-CHN!F24/1000-PIC!E29/1000-samp_list_BSi!H31/1000</f>
        <v>266.63749999999999</v>
      </c>
    </row>
    <row r="28" spans="1:10" s="10" customFormat="1" ht="13" x14ac:dyDescent="0.3">
      <c r="A28">
        <v>18</v>
      </c>
      <c r="B28" s="17">
        <v>2016</v>
      </c>
      <c r="C28" s="5" t="str">
        <f>main!B35</f>
        <v>47_2000</v>
      </c>
      <c r="D28" s="5">
        <f>main!C35</f>
        <v>5</v>
      </c>
      <c r="J28" s="1">
        <f>main!E35*0.7-CHN!F22/1000-CHN!F23/1000-PIC!E30/1000-PIC!E31/1000-samp_list_BSi!H32/1000-samp_list_BSi!H33/1000</f>
        <v>358.17429999999985</v>
      </c>
    </row>
    <row r="29" spans="1:10" s="10" customFormat="1" ht="13" x14ac:dyDescent="0.3">
      <c r="A29">
        <v>18</v>
      </c>
      <c r="B29" s="17">
        <v>2016</v>
      </c>
      <c r="C29" s="5" t="str">
        <f>main!B36</f>
        <v>47_2000</v>
      </c>
      <c r="D29" s="5">
        <f>main!C36</f>
        <v>6</v>
      </c>
      <c r="J29" s="1">
        <f>main!E36*0.7-CHN!F35/1000-PIC!E32/1000-samp_list_BSi!H34/1000</f>
        <v>261.3732</v>
      </c>
    </row>
    <row r="30" spans="1:10" s="10" customFormat="1" ht="13" x14ac:dyDescent="0.3">
      <c r="A30">
        <v>18</v>
      </c>
      <c r="B30" s="17">
        <v>2016</v>
      </c>
      <c r="C30" s="5" t="str">
        <f>main!B37</f>
        <v>47_2000</v>
      </c>
      <c r="D30" s="5">
        <f>main!C37</f>
        <v>7</v>
      </c>
      <c r="J30" s="1">
        <f>main!E37*0.7-CHN!F38/1000-PIC!E33/1000-samp_list_BSi!H35/1000</f>
        <v>177.44529999999995</v>
      </c>
    </row>
    <row r="31" spans="1:10" s="10" customFormat="1" ht="13" x14ac:dyDescent="0.3">
      <c r="A31">
        <v>18</v>
      </c>
      <c r="B31" s="17">
        <v>2016</v>
      </c>
      <c r="C31" s="5" t="str">
        <f>main!B38</f>
        <v>47_2000</v>
      </c>
      <c r="D31" s="5">
        <f>main!C38</f>
        <v>8</v>
      </c>
      <c r="J31" s="1">
        <f>main!E38*0.7-CHN!F39/1000-PIC!E34/1000-samp_list_BSi!H36/1000</f>
        <v>239.25760000000002</v>
      </c>
    </row>
    <row r="32" spans="1:10" s="10" customFormat="1" ht="13" x14ac:dyDescent="0.3">
      <c r="A32">
        <v>18</v>
      </c>
      <c r="B32" s="17">
        <v>2016</v>
      </c>
      <c r="C32" s="5" t="str">
        <f>main!B39</f>
        <v>47_2000</v>
      </c>
      <c r="D32" s="5">
        <f>main!C39</f>
        <v>9</v>
      </c>
      <c r="J32" s="1">
        <f>main!E39*0.7-CHN!F40/1000-PIC!E35/1000-samp_list_BSi!H37/1000</f>
        <v>158.03940000000003</v>
      </c>
    </row>
    <row r="33" spans="1:11" s="10" customFormat="1" ht="13" x14ac:dyDescent="0.3">
      <c r="A33">
        <v>18</v>
      </c>
      <c r="B33" s="17">
        <v>2016</v>
      </c>
      <c r="C33" s="5" t="str">
        <f>main!B40</f>
        <v>47_2000</v>
      </c>
      <c r="D33" s="5">
        <f>main!C40</f>
        <v>10</v>
      </c>
      <c r="J33" s="1">
        <f>main!E40*0.7-CHN!F41/1000-PIC!E36/1000-samp_list_BSi!H38/1000</f>
        <v>234.63359999999992</v>
      </c>
    </row>
    <row r="34" spans="1:11" s="10" customFormat="1" ht="13" x14ac:dyDescent="0.3">
      <c r="A34">
        <v>18</v>
      </c>
      <c r="B34" s="17">
        <v>2016</v>
      </c>
      <c r="C34" s="5" t="str">
        <f>main!B41</f>
        <v>47_2000</v>
      </c>
      <c r="D34" s="5">
        <f>main!C41</f>
        <v>11</v>
      </c>
      <c r="J34" s="1">
        <f>main!E41*0.7-CHN!F42/1000-PIC!E37/1000-samp_list_BSi!H39/1000</f>
        <v>208.16040000000001</v>
      </c>
    </row>
    <row r="35" spans="1:11" s="10" customFormat="1" ht="13" x14ac:dyDescent="0.3">
      <c r="A35">
        <v>18</v>
      </c>
      <c r="B35" s="17">
        <v>2016</v>
      </c>
      <c r="C35" s="5" t="str">
        <f>main!B42</f>
        <v>47_2000</v>
      </c>
      <c r="D35" s="5">
        <f>main!C42</f>
        <v>12</v>
      </c>
      <c r="J35" s="1">
        <f>main!E42*0.7-CHN!F45/1000-PIC!E38/1000-samp_list_BSi!H40/1000</f>
        <v>245.85230000000001</v>
      </c>
    </row>
    <row r="36" spans="1:11" s="10" customFormat="1" ht="13" x14ac:dyDescent="0.3">
      <c r="A36">
        <v>18</v>
      </c>
      <c r="B36" s="17">
        <v>2016</v>
      </c>
      <c r="C36" s="5" t="str">
        <f>main!B43</f>
        <v>47_2000</v>
      </c>
      <c r="D36" s="5">
        <f>main!C43</f>
        <v>13</v>
      </c>
      <c r="J36" s="1">
        <f>main!E43*0.7-CHN!F46/1000-PIC!E39/1000-samp_list_BSi!H41/1000</f>
        <v>353.6937999999999</v>
      </c>
    </row>
    <row r="37" spans="1:11" s="10" customFormat="1" ht="13" x14ac:dyDescent="0.3">
      <c r="A37">
        <v>18</v>
      </c>
      <c r="B37" s="17">
        <v>2016</v>
      </c>
      <c r="C37" s="5" t="str">
        <f>main!B44</f>
        <v>47_2000</v>
      </c>
      <c r="D37" s="5">
        <f>main!C44</f>
        <v>14</v>
      </c>
      <c r="J37" s="1">
        <f>main!E44*0.7-CHN!F47/1000-PIC!E40/1000-samp_list_BSi!H42/1000</f>
        <v>498.12769999999995</v>
      </c>
    </row>
    <row r="38" spans="1:11" s="10" customFormat="1" ht="13" x14ac:dyDescent="0.3">
      <c r="A38">
        <v>18</v>
      </c>
      <c r="B38" s="17">
        <v>2016</v>
      </c>
      <c r="C38" s="5" t="str">
        <f>main!B45</f>
        <v>47_2000</v>
      </c>
      <c r="D38" s="5">
        <f>main!C45</f>
        <v>15</v>
      </c>
      <c r="J38" s="1">
        <f>main!E45*0.7-CHN!F48/1000-PIC!E41/1000-samp_list_BSi!H43/1000</f>
        <v>836.70569999999998</v>
      </c>
    </row>
    <row r="39" spans="1:11" s="10" customFormat="1" ht="13" x14ac:dyDescent="0.3">
      <c r="A39">
        <v>18</v>
      </c>
      <c r="B39" s="17">
        <v>2016</v>
      </c>
      <c r="C39" s="5" t="str">
        <f>main!B46</f>
        <v>47_2000</v>
      </c>
      <c r="D39" s="5">
        <f>main!C46</f>
        <v>16</v>
      </c>
      <c r="J39" s="1">
        <f>main!E46*0.7-CHN!F49/1000-CHN!F50/1000-PIC!E42/1000-PIC!E43/1000-samp_list_BSi!H44/1000-samp_list_BSi!H45/1000</f>
        <v>937.91349999999977</v>
      </c>
    </row>
    <row r="40" spans="1:11" s="10" customFormat="1" ht="13" x14ac:dyDescent="0.3">
      <c r="A40">
        <v>18</v>
      </c>
      <c r="B40" s="17">
        <v>2016</v>
      </c>
      <c r="C40" s="5" t="str">
        <f>main!B47</f>
        <v>47_2000</v>
      </c>
      <c r="D40" s="5">
        <f>main!C47</f>
        <v>17</v>
      </c>
      <c r="J40" s="1">
        <f>main!E47*0.7-CHN!F36/1000-PIC!E44/1000-samp_list_BSi!H46/1000</f>
        <v>1100.3479</v>
      </c>
    </row>
    <row r="41" spans="1:11" s="10" customFormat="1" ht="13" x14ac:dyDescent="0.3">
      <c r="A41">
        <v>18</v>
      </c>
      <c r="B41" s="17">
        <v>2016</v>
      </c>
      <c r="C41" s="5" t="str">
        <f>main!B48</f>
        <v>47_2000</v>
      </c>
      <c r="D41" s="5">
        <f>main!C48</f>
        <v>18</v>
      </c>
      <c r="J41" s="1">
        <f>main!E48*0.7-CHN!F37/1000-PIC!E45/1000-samp_list_BSi!H47/1000</f>
        <v>490.41799999999989</v>
      </c>
    </row>
    <row r="42" spans="1:11" s="10" customFormat="1" ht="13" x14ac:dyDescent="0.3">
      <c r="A42">
        <v>18</v>
      </c>
      <c r="B42" s="17">
        <v>2016</v>
      </c>
      <c r="C42" s="5" t="str">
        <f>main!B49</f>
        <v>47_2000</v>
      </c>
      <c r="D42" s="5">
        <f>main!C49</f>
        <v>19</v>
      </c>
      <c r="J42" s="1" t="s">
        <v>280</v>
      </c>
    </row>
    <row r="43" spans="1:11" s="10" customFormat="1" ht="13" x14ac:dyDescent="0.3">
      <c r="A43">
        <v>18</v>
      </c>
      <c r="B43" s="17">
        <v>2016</v>
      </c>
      <c r="C43" s="5" t="str">
        <f>main!B50</f>
        <v>47_2000</v>
      </c>
      <c r="D43" s="5">
        <f>main!C50</f>
        <v>20</v>
      </c>
      <c r="J43" s="1" t="s">
        <v>280</v>
      </c>
    </row>
    <row r="44" spans="1:11" s="10" customFormat="1" ht="13" x14ac:dyDescent="0.3">
      <c r="A44">
        <v>18</v>
      </c>
      <c r="B44" s="17">
        <v>2016</v>
      </c>
      <c r="C44" s="5" t="str">
        <f>main!B51</f>
        <v>47_2000</v>
      </c>
      <c r="D44" s="5">
        <f>main!C51</f>
        <v>21</v>
      </c>
      <c r="J44" s="1" t="s">
        <v>280</v>
      </c>
    </row>
    <row r="45" spans="1:11" s="10" customFormat="1" ht="13" x14ac:dyDescent="0.3">
      <c r="A45"/>
      <c r="B45" s="17"/>
      <c r="C45" s="5"/>
      <c r="D45" s="5"/>
      <c r="J45" s="1"/>
    </row>
    <row r="46" spans="1:11" s="10" customFormat="1" ht="13" x14ac:dyDescent="0.3">
      <c r="A46">
        <v>18</v>
      </c>
      <c r="B46" s="17">
        <v>2016</v>
      </c>
      <c r="C46" s="5" t="str">
        <f>main!B55</f>
        <v>47_3800</v>
      </c>
      <c r="D46" s="5">
        <v>1</v>
      </c>
      <c r="J46" s="1">
        <f>main!E55*0.7-CHN!F51/1000-PIC!E49/1000-samp_list_BSi!H51/1000</f>
        <v>307.88230000000004</v>
      </c>
      <c r="K46" s="17"/>
    </row>
    <row r="47" spans="1:11" s="10" customFormat="1" ht="13" x14ac:dyDescent="0.3">
      <c r="A47">
        <v>18</v>
      </c>
      <c r="B47" s="17">
        <v>2016</v>
      </c>
      <c r="C47" s="5" t="str">
        <f>main!B56</f>
        <v>47_3800</v>
      </c>
      <c r="D47" s="5">
        <f>main!C56</f>
        <v>2</v>
      </c>
      <c r="J47" s="1">
        <f>main!E56*0.7-CHN!F52/1000-PIC!E50/1000-samp_list_BSi!H52/1000</f>
        <v>379.1878999999999</v>
      </c>
    </row>
    <row r="48" spans="1:11" ht="13" x14ac:dyDescent="0.3">
      <c r="A48">
        <v>18</v>
      </c>
      <c r="B48" s="17">
        <v>2016</v>
      </c>
      <c r="C48" s="5" t="str">
        <f>main!B57</f>
        <v>47_3800</v>
      </c>
      <c r="D48" s="5">
        <f>main!C57</f>
        <v>3</v>
      </c>
      <c r="E48" s="10"/>
      <c r="J48" s="1">
        <f>main!E57*0.7-CHN!F53/1000-PIC!E51/1000-samp_list_BSi!H53/1000</f>
        <v>487.95649999999995</v>
      </c>
    </row>
    <row r="49" spans="1:10" ht="13" x14ac:dyDescent="0.3">
      <c r="A49">
        <v>18</v>
      </c>
      <c r="B49" s="17">
        <v>2016</v>
      </c>
      <c r="C49" s="5" t="str">
        <f>main!B58</f>
        <v>47_3800</v>
      </c>
      <c r="D49" s="5">
        <f>main!C58</f>
        <v>4</v>
      </c>
      <c r="E49" s="10"/>
      <c r="J49" s="1">
        <f>main!E58*0.7-CHN!F54/1000-PIC!E52/1000-samp_list_BSi!H54/1000</f>
        <v>440.50959999999992</v>
      </c>
    </row>
    <row r="50" spans="1:10" ht="13" x14ac:dyDescent="0.3">
      <c r="A50">
        <v>18</v>
      </c>
      <c r="B50" s="17">
        <v>2016</v>
      </c>
      <c r="C50" s="5" t="str">
        <f>main!B59</f>
        <v>47_3800</v>
      </c>
      <c r="D50" s="5">
        <f>main!C59</f>
        <v>5</v>
      </c>
      <c r="E50" s="10"/>
      <c r="J50" s="1">
        <f>main!E59*0.7-CHN!F55/1000-PIC!E53/1000-samp_list_BSi!H55/1000</f>
        <v>369.59559999999993</v>
      </c>
    </row>
    <row r="51" spans="1:10" ht="13" x14ac:dyDescent="0.3">
      <c r="A51">
        <v>18</v>
      </c>
      <c r="B51" s="17">
        <v>2016</v>
      </c>
      <c r="C51" s="5" t="str">
        <f>main!B60</f>
        <v>47_3800</v>
      </c>
      <c r="D51" s="5">
        <f>main!C60</f>
        <v>6</v>
      </c>
      <c r="E51" s="10"/>
      <c r="J51" s="1">
        <f>main!E60*0.7-CHN!F56/1000-PIC!E54/1000-samp_list_BSi!H56/1000</f>
        <v>296.35699999999997</v>
      </c>
    </row>
    <row r="52" spans="1:10" ht="13" x14ac:dyDescent="0.3">
      <c r="A52">
        <v>18</v>
      </c>
      <c r="B52" s="17">
        <v>2016</v>
      </c>
      <c r="C52" s="5" t="str">
        <f>main!B61</f>
        <v>47_3800</v>
      </c>
      <c r="D52" s="5">
        <f>main!C61</f>
        <v>7</v>
      </c>
      <c r="E52" s="10"/>
      <c r="J52" s="1">
        <f>main!E61*0.7-CHN!F57/1000-PIC!E55/1000-samp_list_BSi!H57/1000</f>
        <v>292.38769999999988</v>
      </c>
    </row>
    <row r="53" spans="1:10" ht="13" x14ac:dyDescent="0.3">
      <c r="A53">
        <v>18</v>
      </c>
      <c r="B53" s="17">
        <v>2016</v>
      </c>
      <c r="C53" s="5" t="str">
        <f>main!B62</f>
        <v>47_3800</v>
      </c>
      <c r="D53" s="5">
        <f>main!C62</f>
        <v>8</v>
      </c>
      <c r="E53" s="10"/>
      <c r="J53" s="1">
        <f>main!E62*0.7-CHN!F58/1000-PIC!E56/1000-samp_list_BSi!H58/1000</f>
        <v>335.05840000000001</v>
      </c>
    </row>
    <row r="54" spans="1:10" ht="13" x14ac:dyDescent="0.3">
      <c r="A54">
        <v>18</v>
      </c>
      <c r="B54" s="17">
        <v>2016</v>
      </c>
      <c r="C54" s="5" t="str">
        <f>main!B63</f>
        <v>47_3800</v>
      </c>
      <c r="D54" s="5">
        <f>main!C63</f>
        <v>9</v>
      </c>
      <c r="E54" s="10"/>
      <c r="J54" s="1">
        <f>main!E63*0.7-CHN!F59/1000-PIC!E57/1000-samp_list_BSi!H59/1000</f>
        <v>383.1327</v>
      </c>
    </row>
    <row r="55" spans="1:10" ht="13" x14ac:dyDescent="0.3">
      <c r="A55">
        <v>18</v>
      </c>
      <c r="B55" s="17">
        <v>2016</v>
      </c>
      <c r="C55" s="5" t="str">
        <f>main!B64</f>
        <v>47_3800</v>
      </c>
      <c r="D55" s="5">
        <f>main!C64</f>
        <v>10</v>
      </c>
      <c r="E55" s="10"/>
      <c r="J55" s="1">
        <f>main!E64*0.7-CHN!F60/1000-CHN!F61/1000-PIC!E58/1000-PIC!E59/1000-samp_list_BSi!H60/1000-samp_list_BSi!H61/1000</f>
        <v>1041.6844000000001</v>
      </c>
    </row>
    <row r="56" spans="1:10" ht="13" x14ac:dyDescent="0.3">
      <c r="A56">
        <v>18</v>
      </c>
      <c r="B56" s="17">
        <v>2016</v>
      </c>
      <c r="C56" s="5" t="str">
        <f>main!B65</f>
        <v>47_3800</v>
      </c>
      <c r="D56" s="5">
        <f>main!C65</f>
        <v>11</v>
      </c>
      <c r="E56" s="10"/>
      <c r="J56" s="1">
        <f>main!E65*0.7-CHN!F62/1000-PIC!E60/1000-samp_list_BSi!H62/1000</f>
        <v>1199.4885999999997</v>
      </c>
    </row>
    <row r="57" spans="1:10" ht="13" x14ac:dyDescent="0.3">
      <c r="A57">
        <v>18</v>
      </c>
      <c r="B57" s="17">
        <v>2016</v>
      </c>
      <c r="C57" s="5" t="str">
        <f>main!B66</f>
        <v>47_3800</v>
      </c>
      <c r="D57" s="5">
        <f>main!C66</f>
        <v>12</v>
      </c>
      <c r="E57" s="10"/>
      <c r="J57" s="1">
        <f>main!E66*0.7-CHN!F63/1000-CHN!F64/1000-PIC!E61/1000-PIC!E62/1000-samp_list_BSi!H63/1000-samp_list_BSi!H64/1000</f>
        <v>944.42669999999976</v>
      </c>
    </row>
    <row r="58" spans="1:10" ht="13" x14ac:dyDescent="0.3">
      <c r="A58">
        <v>18</v>
      </c>
      <c r="B58" s="17">
        <v>2016</v>
      </c>
      <c r="C58" s="5" t="str">
        <f>main!B67</f>
        <v>47_3800</v>
      </c>
      <c r="D58" s="5">
        <f>main!C67</f>
        <v>13</v>
      </c>
      <c r="E58" s="10"/>
      <c r="J58" s="1">
        <f>main!E67*0.7-CHN!F65/1000-PIC!E63/1000-samp_list_BSi!H65/1000</f>
        <v>642.88069999999993</v>
      </c>
    </row>
    <row r="59" spans="1:10" ht="13" x14ac:dyDescent="0.3">
      <c r="B59" s="17"/>
      <c r="C59" s="5"/>
      <c r="D59" s="5"/>
      <c r="E59" s="10"/>
      <c r="J59" s="5"/>
    </row>
    <row r="60" spans="1:10" ht="13" x14ac:dyDescent="0.3">
      <c r="B60" s="17"/>
      <c r="C60" s="5"/>
      <c r="D60" s="5"/>
      <c r="E60" s="10"/>
      <c r="J60" s="5"/>
    </row>
    <row r="61" spans="1:10" ht="13" x14ac:dyDescent="0.3">
      <c r="B61" s="17"/>
      <c r="C61" s="5"/>
      <c r="D61" s="5"/>
      <c r="E61" s="10"/>
      <c r="J61" s="5"/>
    </row>
    <row r="62" spans="1:10" ht="13" x14ac:dyDescent="0.3">
      <c r="B62" s="17"/>
      <c r="C62" s="5"/>
      <c r="D62" s="5"/>
      <c r="E62" s="10"/>
      <c r="J62" s="5"/>
    </row>
    <row r="63" spans="1:10" ht="13" x14ac:dyDescent="0.3">
      <c r="B63" s="17"/>
      <c r="C63" s="5"/>
      <c r="D63" s="5"/>
      <c r="E63" s="10"/>
      <c r="J63" s="5"/>
    </row>
    <row r="64" spans="1:10" x14ac:dyDescent="0.25">
      <c r="B64" s="17"/>
      <c r="C64" s="5"/>
      <c r="D64" s="5"/>
      <c r="J64" s="5"/>
    </row>
    <row r="65" spans="2:10" x14ac:dyDescent="0.25">
      <c r="B65" s="17"/>
      <c r="C65" s="5"/>
      <c r="D65" s="5"/>
      <c r="J65" s="1"/>
    </row>
    <row r="66" spans="2:10" x14ac:dyDescent="0.25">
      <c r="B66" s="17"/>
      <c r="C66" s="5"/>
      <c r="D66" s="5"/>
      <c r="J66" s="1"/>
    </row>
    <row r="67" spans="2:10" x14ac:dyDescent="0.25">
      <c r="C67" s="5"/>
      <c r="D67" s="5"/>
      <c r="J67" s="1"/>
    </row>
    <row r="68" spans="2:10" x14ac:dyDescent="0.25">
      <c r="B68" s="17"/>
      <c r="C68" s="5"/>
      <c r="D68" s="5"/>
      <c r="J68" s="1"/>
    </row>
    <row r="69" spans="2:10" x14ac:dyDescent="0.25">
      <c r="B69" s="17"/>
      <c r="C69" s="5"/>
      <c r="D69" s="5"/>
      <c r="J69" s="1"/>
    </row>
    <row r="70" spans="2:10" x14ac:dyDescent="0.25">
      <c r="B70" s="17"/>
      <c r="C70" s="5"/>
      <c r="D70" s="5"/>
      <c r="E70" s="17"/>
      <c r="J70" s="1"/>
    </row>
    <row r="71" spans="2:10" x14ac:dyDescent="0.25">
      <c r="B71" s="17"/>
      <c r="C71" s="5"/>
      <c r="D71" s="5"/>
      <c r="J71" s="1"/>
    </row>
    <row r="72" spans="2:10" x14ac:dyDescent="0.25">
      <c r="B72" s="17"/>
      <c r="C72" s="5"/>
      <c r="D72" s="5"/>
      <c r="J72" s="1"/>
    </row>
    <row r="73" spans="2:10" x14ac:dyDescent="0.25">
      <c r="B73" s="17"/>
      <c r="C73" s="5"/>
      <c r="D73" s="5"/>
      <c r="J73" s="1"/>
    </row>
    <row r="74" spans="2:10" x14ac:dyDescent="0.25">
      <c r="B74" s="17"/>
      <c r="C74" s="5"/>
      <c r="D74" s="5"/>
      <c r="J74" s="1"/>
    </row>
    <row r="75" spans="2:10" x14ac:dyDescent="0.25">
      <c r="B75" s="17"/>
      <c r="C75" s="5"/>
      <c r="D75" s="5"/>
      <c r="J75" s="1"/>
    </row>
    <row r="76" spans="2:10" x14ac:dyDescent="0.25">
      <c r="B76" s="17"/>
      <c r="C76" s="5"/>
      <c r="D76" s="5"/>
      <c r="J76" s="1"/>
    </row>
    <row r="77" spans="2:10" x14ac:dyDescent="0.25">
      <c r="B77" s="17"/>
      <c r="C77" s="5"/>
      <c r="D77" s="5"/>
      <c r="J77" s="1"/>
    </row>
    <row r="78" spans="2:10" x14ac:dyDescent="0.25">
      <c r="B78" s="17"/>
      <c r="C78" s="5"/>
      <c r="D78" s="5"/>
      <c r="J78" s="1"/>
    </row>
    <row r="79" spans="2:10" x14ac:dyDescent="0.25">
      <c r="B79" s="17"/>
      <c r="C79" s="5"/>
      <c r="D79" s="5"/>
      <c r="J79" s="1"/>
    </row>
    <row r="80" spans="2:10" x14ac:dyDescent="0.25">
      <c r="B80" s="17"/>
      <c r="C80" s="5"/>
      <c r="D80" s="5"/>
      <c r="J80" s="1"/>
    </row>
    <row r="81" spans="2:10" x14ac:dyDescent="0.25">
      <c r="B81" s="17"/>
      <c r="C81" s="5"/>
      <c r="D81" s="5"/>
      <c r="J81" s="1"/>
    </row>
    <row r="82" spans="2:10" x14ac:dyDescent="0.25">
      <c r="B82" s="17"/>
      <c r="C82" s="5"/>
      <c r="D82" s="5"/>
      <c r="J82" s="1"/>
    </row>
    <row r="83" spans="2:10" x14ac:dyDescent="0.25">
      <c r="B83" s="17"/>
      <c r="C83" s="5"/>
      <c r="D83" s="5"/>
      <c r="J83" s="1"/>
    </row>
    <row r="84" spans="2:10" x14ac:dyDescent="0.25">
      <c r="B84" s="17"/>
      <c r="C84" s="5"/>
      <c r="D84" s="5"/>
      <c r="J84" s="1"/>
    </row>
    <row r="85" spans="2:10" x14ac:dyDescent="0.25">
      <c r="B85" s="17"/>
      <c r="C85" s="5"/>
      <c r="D85" s="5"/>
      <c r="J85" s="1"/>
    </row>
    <row r="86" spans="2:10" x14ac:dyDescent="0.25">
      <c r="B86" s="17"/>
      <c r="C86" s="5"/>
      <c r="D86" s="5"/>
      <c r="J86" s="1"/>
    </row>
    <row r="87" spans="2:10" x14ac:dyDescent="0.25">
      <c r="B87" s="17"/>
      <c r="C87" s="5"/>
      <c r="D87" s="5"/>
      <c r="J87" s="1"/>
    </row>
    <row r="88" spans="2:10" x14ac:dyDescent="0.25">
      <c r="B88" s="17"/>
      <c r="C88" s="5"/>
      <c r="D88" s="5"/>
      <c r="J88" s="1"/>
    </row>
    <row r="89" spans="2:10" x14ac:dyDescent="0.25">
      <c r="C89" s="17"/>
      <c r="J89" s="20"/>
    </row>
    <row r="90" spans="2:10" x14ac:dyDescent="0.25">
      <c r="B90" s="17"/>
      <c r="C90" s="5"/>
      <c r="D90" s="5"/>
      <c r="J90" s="20"/>
    </row>
    <row r="91" spans="2:10" x14ac:dyDescent="0.25">
      <c r="B91" s="17"/>
      <c r="C91" s="5"/>
      <c r="D91" s="5"/>
    </row>
    <row r="92" spans="2:10" x14ac:dyDescent="0.25">
      <c r="B92" s="17"/>
      <c r="C92" s="5"/>
      <c r="D92" s="5"/>
    </row>
    <row r="93" spans="2:10" x14ac:dyDescent="0.25">
      <c r="B93" s="17"/>
      <c r="C93" s="5"/>
      <c r="D93" s="5"/>
    </row>
    <row r="94" spans="2:10" x14ac:dyDescent="0.25">
      <c r="B94" s="17"/>
      <c r="C94" s="5"/>
      <c r="D94" s="5"/>
    </row>
    <row r="95" spans="2:10" x14ac:dyDescent="0.25">
      <c r="B95" s="17"/>
      <c r="C95" s="5"/>
      <c r="D95" s="5"/>
    </row>
    <row r="96" spans="2:10" x14ac:dyDescent="0.25">
      <c r="B96" s="17"/>
      <c r="C96" s="5"/>
      <c r="D96" s="5"/>
    </row>
    <row r="97" spans="2:4" x14ac:dyDescent="0.25">
      <c r="B97" s="17"/>
      <c r="C97" s="5"/>
      <c r="D97" s="5"/>
    </row>
    <row r="98" spans="2:4" x14ac:dyDescent="0.25">
      <c r="B98" s="17"/>
      <c r="C98" s="5"/>
      <c r="D98" s="5"/>
    </row>
    <row r="99" spans="2:4" x14ac:dyDescent="0.25">
      <c r="B99" s="17"/>
      <c r="C99" s="5"/>
      <c r="D99" s="5"/>
    </row>
    <row r="100" spans="2:4" x14ac:dyDescent="0.25">
      <c r="B100" s="17"/>
      <c r="C100" s="5"/>
      <c r="D100" s="5"/>
    </row>
    <row r="101" spans="2:4" x14ac:dyDescent="0.25">
      <c r="B101" s="17"/>
      <c r="C101" s="5"/>
      <c r="D101" s="5"/>
    </row>
    <row r="102" spans="2:4" x14ac:dyDescent="0.25">
      <c r="B102" s="17"/>
      <c r="C102" s="5"/>
      <c r="D102" s="5"/>
    </row>
    <row r="103" spans="2:4" x14ac:dyDescent="0.25">
      <c r="B103" s="17"/>
      <c r="C103" s="5"/>
      <c r="D103" s="5"/>
    </row>
    <row r="104" spans="2:4" x14ac:dyDescent="0.25">
      <c r="B104" s="17"/>
      <c r="C104" s="5"/>
      <c r="D104" s="5"/>
    </row>
    <row r="105" spans="2:4" x14ac:dyDescent="0.25">
      <c r="B105" s="17"/>
      <c r="C105" s="5"/>
      <c r="D105" s="5"/>
    </row>
    <row r="106" spans="2:4" x14ac:dyDescent="0.25">
      <c r="B106" s="17"/>
      <c r="C106" s="5"/>
      <c r="D106" s="5"/>
    </row>
    <row r="107" spans="2:4" x14ac:dyDescent="0.25">
      <c r="B107" s="17"/>
      <c r="C107" s="5"/>
      <c r="D107" s="5"/>
    </row>
    <row r="108" spans="2:4" x14ac:dyDescent="0.25">
      <c r="B108" s="17"/>
      <c r="C108" s="5"/>
      <c r="D108" s="5"/>
    </row>
    <row r="109" spans="2:4" x14ac:dyDescent="0.25">
      <c r="B109" s="17"/>
      <c r="C109" s="5"/>
      <c r="D109" s="5"/>
    </row>
    <row r="110" spans="2:4" x14ac:dyDescent="0.25">
      <c r="B110" s="17"/>
      <c r="C110" s="5"/>
      <c r="D110" s="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6"/>
  </sheetPr>
  <dimension ref="A1:AP74"/>
  <sheetViews>
    <sheetView workbookViewId="0">
      <pane xSplit="3" ySplit="5" topLeftCell="P6" activePane="bottomRight" state="frozen"/>
      <selection pane="topRight" activeCell="D1" sqref="D1"/>
      <selection pane="bottomLeft" activeCell="A6" sqref="A6"/>
      <selection pane="bottomRight" activeCell="V6" sqref="V6"/>
    </sheetView>
  </sheetViews>
  <sheetFormatPr defaultColWidth="11.453125" defaultRowHeight="12.5" x14ac:dyDescent="0.25"/>
  <cols>
    <col min="4" max="4" width="47.1796875" customWidth="1"/>
    <col min="16" max="16" width="12.453125" bestFit="1" customWidth="1"/>
    <col min="32" max="32" width="7.453125" bestFit="1" customWidth="1"/>
  </cols>
  <sheetData>
    <row r="1" spans="1:42" x14ac:dyDescent="0.25">
      <c r="A1" s="128" t="s">
        <v>50</v>
      </c>
      <c r="B1" s="128" t="s">
        <v>54</v>
      </c>
      <c r="C1" s="128" t="s">
        <v>55</v>
      </c>
      <c r="D1" s="128" t="s">
        <v>62</v>
      </c>
      <c r="E1" s="129" t="s">
        <v>303</v>
      </c>
      <c r="F1" t="s">
        <v>304</v>
      </c>
      <c r="G1" t="s">
        <v>305</v>
      </c>
      <c r="H1" s="128" t="s">
        <v>305</v>
      </c>
      <c r="I1" s="3" t="s">
        <v>306</v>
      </c>
      <c r="J1" t="s">
        <v>307</v>
      </c>
      <c r="K1" t="s">
        <v>283</v>
      </c>
      <c r="L1" t="s">
        <v>284</v>
      </c>
      <c r="M1" t="s">
        <v>308</v>
      </c>
      <c r="N1" t="s">
        <v>106</v>
      </c>
      <c r="O1" t="s">
        <v>158</v>
      </c>
      <c r="P1" s="3" t="s">
        <v>306</v>
      </c>
      <c r="Q1" s="3" t="s">
        <v>307</v>
      </c>
      <c r="R1" s="3" t="s">
        <v>283</v>
      </c>
      <c r="S1" t="s">
        <v>284</v>
      </c>
      <c r="T1" t="s">
        <v>308</v>
      </c>
      <c r="U1" t="s">
        <v>158</v>
      </c>
      <c r="V1" s="130" t="s">
        <v>32</v>
      </c>
      <c r="W1" s="130" t="s">
        <v>32</v>
      </c>
      <c r="X1" s="131" t="s">
        <v>32</v>
      </c>
      <c r="Y1" s="132" t="s">
        <v>32</v>
      </c>
      <c r="Z1" s="3" t="s">
        <v>106</v>
      </c>
      <c r="AA1" s="133" t="s">
        <v>309</v>
      </c>
      <c r="AB1" s="134" t="s">
        <v>310</v>
      </c>
      <c r="AC1" s="134" t="s">
        <v>311</v>
      </c>
      <c r="AD1" s="134" t="s">
        <v>312</v>
      </c>
      <c r="AE1" s="134" t="s">
        <v>313</v>
      </c>
      <c r="AF1" s="397" t="s">
        <v>287</v>
      </c>
      <c r="AH1" s="133" t="s">
        <v>309</v>
      </c>
      <c r="AI1" s="134" t="s">
        <v>310</v>
      </c>
      <c r="AJ1" s="134" t="s">
        <v>311</v>
      </c>
      <c r="AK1" s="134" t="s">
        <v>312</v>
      </c>
      <c r="AL1" s="134" t="s">
        <v>313</v>
      </c>
      <c r="AM1" s="134" t="s">
        <v>1262</v>
      </c>
      <c r="AN1" s="134" t="s">
        <v>3199</v>
      </c>
      <c r="AO1" s="134" t="s">
        <v>3200</v>
      </c>
      <c r="AP1" s="134" t="s">
        <v>30</v>
      </c>
    </row>
    <row r="2" spans="1:42" ht="14.5" x14ac:dyDescent="0.35">
      <c r="A2" t="s">
        <v>314</v>
      </c>
      <c r="E2" s="20" t="s">
        <v>315</v>
      </c>
      <c r="G2" t="s">
        <v>137</v>
      </c>
      <c r="H2" s="128" t="s">
        <v>137</v>
      </c>
      <c r="I2" s="3" t="s">
        <v>157</v>
      </c>
      <c r="J2" t="s">
        <v>157</v>
      </c>
      <c r="K2" t="s">
        <v>157</v>
      </c>
      <c r="L2" t="s">
        <v>157</v>
      </c>
      <c r="M2" t="s">
        <v>157</v>
      </c>
      <c r="N2" t="s">
        <v>157</v>
      </c>
      <c r="O2" t="s">
        <v>157</v>
      </c>
      <c r="P2" s="3" t="s">
        <v>137</v>
      </c>
      <c r="Q2" s="3" t="s">
        <v>137</v>
      </c>
      <c r="R2" s="3" t="s">
        <v>137</v>
      </c>
      <c r="S2" t="s">
        <v>137</v>
      </c>
      <c r="T2" t="s">
        <v>137</v>
      </c>
      <c r="U2" t="s">
        <v>137</v>
      </c>
      <c r="V2" s="130" t="s">
        <v>316</v>
      </c>
      <c r="W2" s="130" t="s">
        <v>317</v>
      </c>
      <c r="X2" s="131" t="s">
        <v>318</v>
      </c>
      <c r="Y2" s="132" t="s">
        <v>319</v>
      </c>
      <c r="Z2" s="3" t="s">
        <v>137</v>
      </c>
      <c r="AA2" s="135" t="s">
        <v>320</v>
      </c>
      <c r="AB2" s="136" t="s">
        <v>321</v>
      </c>
      <c r="AC2" s="136" t="s">
        <v>322</v>
      </c>
      <c r="AD2" s="136" t="s">
        <v>323</v>
      </c>
      <c r="AE2" s="136" t="s">
        <v>324</v>
      </c>
      <c r="AF2" s="398" t="s">
        <v>325</v>
      </c>
      <c r="AH2" s="135" t="s">
        <v>320</v>
      </c>
      <c r="AI2" s="136" t="s">
        <v>321</v>
      </c>
      <c r="AJ2" s="136" t="s">
        <v>322</v>
      </c>
      <c r="AK2" s="136" t="s">
        <v>323</v>
      </c>
      <c r="AL2" s="136" t="s">
        <v>324</v>
      </c>
    </row>
    <row r="3" spans="1:42" ht="14.5" x14ac:dyDescent="0.35">
      <c r="E3" s="20"/>
      <c r="F3" t="s">
        <v>22</v>
      </c>
      <c r="G3" t="s">
        <v>22</v>
      </c>
      <c r="H3" t="s">
        <v>22</v>
      </c>
      <c r="I3" s="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s="3" t="s">
        <v>22</v>
      </c>
      <c r="Q3" s="3" t="s">
        <v>22</v>
      </c>
      <c r="R3" s="3" t="s">
        <v>22</v>
      </c>
      <c r="S3" t="s">
        <v>22</v>
      </c>
      <c r="T3" t="s">
        <v>22</v>
      </c>
      <c r="U3" t="s">
        <v>22</v>
      </c>
      <c r="V3" s="30"/>
      <c r="W3" s="30"/>
      <c r="X3" s="31">
        <v>1</v>
      </c>
      <c r="Y3" s="5"/>
      <c r="Z3" s="3" t="s">
        <v>22</v>
      </c>
      <c r="AA3" s="135" t="s">
        <v>326</v>
      </c>
      <c r="AB3" s="136" t="s">
        <v>326</v>
      </c>
      <c r="AC3" s="136" t="s">
        <v>326</v>
      </c>
      <c r="AD3" s="136" t="s">
        <v>326</v>
      </c>
      <c r="AE3" s="136" t="s">
        <v>326</v>
      </c>
      <c r="AF3" s="2" t="s">
        <v>906</v>
      </c>
      <c r="AH3" s="135" t="s">
        <v>1294</v>
      </c>
      <c r="AI3" s="135" t="s">
        <v>1294</v>
      </c>
      <c r="AJ3" s="135" t="s">
        <v>1294</v>
      </c>
      <c r="AK3" s="135" t="s">
        <v>1294</v>
      </c>
      <c r="AL3" s="135" t="s">
        <v>1294</v>
      </c>
      <c r="AM3" s="135" t="s">
        <v>3201</v>
      </c>
    </row>
    <row r="4" spans="1:42" ht="14.5" x14ac:dyDescent="0.35">
      <c r="E4" s="20" t="s">
        <v>327</v>
      </c>
      <c r="F4" t="s">
        <v>53</v>
      </c>
      <c r="G4" t="s">
        <v>43</v>
      </c>
      <c r="H4" t="s">
        <v>44</v>
      </c>
      <c r="I4" s="3" t="s">
        <v>45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45</v>
      </c>
      <c r="P4" s="3" t="s">
        <v>44</v>
      </c>
      <c r="Q4" s="3" t="s">
        <v>44</v>
      </c>
      <c r="R4" s="3" t="s">
        <v>44</v>
      </c>
      <c r="S4" t="s">
        <v>44</v>
      </c>
      <c r="T4" t="s">
        <v>44</v>
      </c>
      <c r="U4" t="s">
        <v>44</v>
      </c>
      <c r="V4" s="30" t="s">
        <v>14</v>
      </c>
      <c r="W4" s="30" t="s">
        <v>14</v>
      </c>
      <c r="X4" s="31" t="s">
        <v>328</v>
      </c>
      <c r="Y4" s="5" t="s">
        <v>49</v>
      </c>
      <c r="Z4" s="3" t="s">
        <v>44</v>
      </c>
      <c r="AA4" s="135" t="s">
        <v>22</v>
      </c>
      <c r="AB4" s="136" t="s">
        <v>22</v>
      </c>
      <c r="AC4" s="136" t="s">
        <v>22</v>
      </c>
      <c r="AD4" s="136" t="s">
        <v>22</v>
      </c>
      <c r="AE4" s="136" t="s">
        <v>22</v>
      </c>
      <c r="AF4" s="2"/>
      <c r="AH4" s="135" t="s">
        <v>22</v>
      </c>
      <c r="AI4" s="136" t="s">
        <v>22</v>
      </c>
      <c r="AJ4" s="136" t="s">
        <v>22</v>
      </c>
      <c r="AK4" s="136" t="s">
        <v>22</v>
      </c>
      <c r="AL4" s="136" t="s">
        <v>22</v>
      </c>
    </row>
    <row r="5" spans="1:42" x14ac:dyDescent="0.25">
      <c r="AM5" s="84"/>
      <c r="AN5" s="84"/>
      <c r="AO5" s="84"/>
      <c r="AP5" s="84"/>
    </row>
    <row r="6" spans="1:42" x14ac:dyDescent="0.25">
      <c r="A6" s="241">
        <v>2016</v>
      </c>
      <c r="B6" s="255" t="s">
        <v>111</v>
      </c>
      <c r="C6" s="256">
        <v>1</v>
      </c>
      <c r="D6" t="str">
        <f>main!$B$6</f>
        <v>McLane-PARFLUX-Mark78H-21 ; 12419-01, S250x21</v>
      </c>
      <c r="E6">
        <v>1000</v>
      </c>
      <c r="F6" s="3">
        <f>main!E7</f>
        <v>530.17142857142858</v>
      </c>
      <c r="G6" s="3">
        <f>main!H7</f>
        <v>62.373109243697478</v>
      </c>
      <c r="H6" s="3">
        <f>main!I7</f>
        <v>22.781778151260507</v>
      </c>
      <c r="I6">
        <f>main!AF7</f>
        <v>51.619814824470502</v>
      </c>
      <c r="J6" s="3">
        <f>main!AG7</f>
        <v>6.1941570379529267</v>
      </c>
      <c r="K6" s="3">
        <f>main!L7</f>
        <v>17.179433822631836</v>
      </c>
      <c r="L6" s="3">
        <f>main!N7</f>
        <v>1.8958081007003784</v>
      </c>
      <c r="M6" s="3">
        <f>main!AH7</f>
        <v>10.985276784678909</v>
      </c>
      <c r="N6" s="3">
        <f>main!AB7</f>
        <v>4.2735492084299702</v>
      </c>
      <c r="O6" s="3">
        <f>main!AC7</f>
        <v>9.1419569930422533</v>
      </c>
      <c r="P6" s="3">
        <f>(I6/100)*$H6</f>
        <v>11.759911695402353</v>
      </c>
      <c r="Q6" s="3">
        <f t="shared" ref="Q6:T6" si="0">(J6/100)*$H6</f>
        <v>1.4111391147271251</v>
      </c>
      <c r="R6" s="3">
        <f t="shared" si="0"/>
        <v>3.9137805011145979</v>
      </c>
      <c r="S6" s="3">
        <f t="shared" si="0"/>
        <v>0.43189879567518563</v>
      </c>
      <c r="T6" s="3">
        <f t="shared" si="0"/>
        <v>2.5026413863874724</v>
      </c>
      <c r="U6" s="3">
        <f>(O6/100)*$H6</f>
        <v>2.0827003608385324</v>
      </c>
      <c r="V6" s="30">
        <f>main!T7</f>
        <v>42453</v>
      </c>
      <c r="W6" s="30">
        <f>main!U7</f>
        <v>42470</v>
      </c>
      <c r="X6" s="30">
        <f>main!V7</f>
        <v>42461.5</v>
      </c>
      <c r="Y6" s="5">
        <f>main!G7</f>
        <v>17</v>
      </c>
      <c r="Z6">
        <f>(N6/100)*$H6</f>
        <v>0.97359049984946522</v>
      </c>
      <c r="AA6">
        <f>R6/12.01</f>
        <v>0.3258768110836468</v>
      </c>
      <c r="AB6">
        <f>S6/14.01</f>
        <v>3.0827894052475779E-2</v>
      </c>
      <c r="AC6">
        <f>T6/12.01</f>
        <v>0.20837979903309511</v>
      </c>
      <c r="AD6">
        <f>Q6/12.01</f>
        <v>0.11749701205055163</v>
      </c>
      <c r="AE6">
        <f>Z6/28.09</f>
        <v>3.4659683155908338E-2</v>
      </c>
      <c r="AF6">
        <v>983.3</v>
      </c>
      <c r="AH6" s="3">
        <f>AA6*1000</f>
        <v>325.87681108364683</v>
      </c>
      <c r="AI6" s="3">
        <f t="shared" ref="AI6:AL6" si="1">AB6*1000</f>
        <v>30.827894052475777</v>
      </c>
      <c r="AJ6" s="3">
        <f t="shared" si="1"/>
        <v>208.37979903309511</v>
      </c>
      <c r="AK6" s="3">
        <f t="shared" si="1"/>
        <v>117.49701205055163</v>
      </c>
      <c r="AL6" s="3">
        <f t="shared" si="1"/>
        <v>34.65968315590834</v>
      </c>
      <c r="AM6" s="3">
        <f>AJ6/AI6</f>
        <v>6.7594561820663905</v>
      </c>
      <c r="AN6" s="3">
        <f>AK6/AI6</f>
        <v>3.8113862675973316</v>
      </c>
      <c r="AO6" s="3">
        <f>main!R7</f>
        <v>36.92</v>
      </c>
      <c r="AP6" s="3">
        <f>main!S7</f>
        <v>8.33</v>
      </c>
    </row>
    <row r="7" spans="1:42" x14ac:dyDescent="0.25">
      <c r="A7" s="241">
        <v>2016</v>
      </c>
      <c r="B7" s="255" t="s">
        <v>111</v>
      </c>
      <c r="C7" s="219">
        <v>2</v>
      </c>
      <c r="D7" t="str">
        <f>main!$B$6</f>
        <v>McLane-PARFLUX-Mark78H-21 ; 12419-01, S250x21</v>
      </c>
      <c r="E7">
        <v>1000</v>
      </c>
      <c r="F7" s="3">
        <f>main!E8</f>
        <v>211.89999999999995</v>
      </c>
      <c r="G7" s="3">
        <f>main!H8</f>
        <v>24.929411764705875</v>
      </c>
      <c r="H7" s="3">
        <f>main!I8</f>
        <v>9.1054676470588216</v>
      </c>
      <c r="I7">
        <f>main!AF8</f>
        <v>62.503012838930125</v>
      </c>
      <c r="J7" s="3">
        <f>main!AG8</f>
        <v>7.5000942600435305</v>
      </c>
      <c r="K7" s="3">
        <f>main!L8</f>
        <v>18.903266906738281</v>
      </c>
      <c r="L7" s="3">
        <f>main!N8</f>
        <v>1.5006539821624756</v>
      </c>
      <c r="M7" s="3">
        <f>main!AH8</f>
        <v>11.403172646694751</v>
      </c>
      <c r="N7" s="3">
        <f>main!AB8</f>
        <v>1.2346026068987441</v>
      </c>
      <c r="O7" s="3">
        <f>main!AC8</f>
        <v>2.6410562708631375</v>
      </c>
      <c r="P7" s="3">
        <f t="shared" ref="P7:P59" si="2">(I7/100)*$H7</f>
        <v>5.6911916124858042</v>
      </c>
      <c r="Q7" s="3">
        <f t="shared" ref="Q7:Q60" si="3">(J7/100)*$H7</f>
        <v>0.6829186563471793</v>
      </c>
      <c r="R7" s="3">
        <f t="shared" ref="R7:R60" si="4">(K7/100)*$H7</f>
        <v>1.7212308524302311</v>
      </c>
      <c r="S7" s="3">
        <f t="shared" ref="S7:S60" si="5">(L7/100)*$H7</f>
        <v>0.13664156284010406</v>
      </c>
      <c r="T7" s="3">
        <f t="shared" ref="T7:T59" si="6">(M7/100)*$H7</f>
        <v>1.0383121960830517</v>
      </c>
      <c r="U7" s="3">
        <f t="shared" ref="U7:U60" si="7">(O7/100)*$H7</f>
        <v>0.24048052428406119</v>
      </c>
      <c r="V7" s="30">
        <f>main!T8</f>
        <v>42470</v>
      </c>
      <c r="W7" s="30">
        <f>main!U8</f>
        <v>42487</v>
      </c>
      <c r="X7" s="30">
        <f>main!V8</f>
        <v>42478.5</v>
      </c>
      <c r="Y7" s="5">
        <f>main!G8</f>
        <v>17</v>
      </c>
      <c r="Z7">
        <f t="shared" ref="Z7:Z60" si="8">(N7/100)*$H7</f>
        <v>0.11241634094090995</v>
      </c>
      <c r="AA7">
        <f t="shared" ref="AA7:AA60" si="9">R7/12.01</f>
        <v>0.14331647397420741</v>
      </c>
      <c r="AB7">
        <f t="shared" ref="AB7:AB60" si="10">S7/14.01</f>
        <v>9.753145099222274E-3</v>
      </c>
      <c r="AC7">
        <f t="shared" ref="AC7:AC60" si="11">T7/12.01</f>
        <v>8.6453971364117546E-2</v>
      </c>
      <c r="AD7">
        <f t="shared" ref="AD7:AD60" si="12">Q7/12.01</f>
        <v>5.686250261008987E-2</v>
      </c>
      <c r="AE7">
        <f t="shared" ref="AE7:AE60" si="13">Z7/28.09</f>
        <v>4.0020057294734767E-3</v>
      </c>
      <c r="AF7">
        <v>983.3</v>
      </c>
      <c r="AH7" s="3">
        <f t="shared" ref="AH7:AH60" si="14">AA7*1000</f>
        <v>143.31647397420741</v>
      </c>
      <c r="AI7" s="3">
        <f t="shared" ref="AI7:AI60" si="15">AB7*1000</f>
        <v>9.7531450992222748</v>
      </c>
      <c r="AJ7" s="3">
        <f t="shared" ref="AJ7:AJ60" si="16">AC7*1000</f>
        <v>86.45397136411755</v>
      </c>
      <c r="AK7" s="3">
        <f t="shared" ref="AK7:AK60" si="17">AD7*1000</f>
        <v>56.862502610089869</v>
      </c>
      <c r="AL7" s="3">
        <f t="shared" ref="AL7:AL60" si="18">AE7*1000</f>
        <v>4.0020057294734768</v>
      </c>
      <c r="AM7" s="3">
        <f t="shared" ref="AM7:AM60" si="19">AJ7/AI7</f>
        <v>8.8642146184220589</v>
      </c>
      <c r="AN7" s="3">
        <f t="shared" ref="AN7:AN60" si="20">AK7/AI7</f>
        <v>5.8301708865814108</v>
      </c>
      <c r="AO7" s="3">
        <f>main!R8</f>
        <v>36.15</v>
      </c>
      <c r="AP7" s="3">
        <f>main!S8</f>
        <v>8.44</v>
      </c>
    </row>
    <row r="8" spans="1:42" x14ac:dyDescent="0.25">
      <c r="A8" s="241">
        <v>2016</v>
      </c>
      <c r="B8" s="255" t="s">
        <v>111</v>
      </c>
      <c r="C8" s="219">
        <v>3</v>
      </c>
      <c r="D8" t="str">
        <f>main!$B$6</f>
        <v>McLane-PARFLUX-Mark78H-21 ; 12419-01, S250x21</v>
      </c>
      <c r="E8">
        <v>1000</v>
      </c>
      <c r="F8" s="3">
        <f>main!E9</f>
        <v>175.27142857142857</v>
      </c>
      <c r="G8" s="3">
        <f>main!H9</f>
        <v>20.620168067226892</v>
      </c>
      <c r="H8" s="3">
        <f>main!I9</f>
        <v>7.531516386554622</v>
      </c>
      <c r="I8">
        <f>main!AF9</f>
        <v>84.946569207024396</v>
      </c>
      <c r="J8" s="3">
        <f>main!AG9</f>
        <v>10.193225049195879</v>
      </c>
      <c r="K8" s="3">
        <f>main!L9</f>
        <v>15.506331443786621</v>
      </c>
      <c r="L8" s="3">
        <f>main!N9</f>
        <v>0.76707053184509277</v>
      </c>
      <c r="M8" s="3">
        <f>main!AH9</f>
        <v>5.3131063945907417</v>
      </c>
      <c r="N8" s="3">
        <f>main!AB9</f>
        <v>0.75642819466422351</v>
      </c>
      <c r="O8" s="3">
        <f>main!AC9</f>
        <v>1.6181477471474974</v>
      </c>
      <c r="P8" s="3">
        <f t="shared" si="2"/>
        <v>6.3977647796430048</v>
      </c>
      <c r="Q8" s="3">
        <f t="shared" si="3"/>
        <v>0.7677044148985781</v>
      </c>
      <c r="R8" s="3">
        <f>(K8/100)*$H8</f>
        <v>1.1678618936422613</v>
      </c>
      <c r="S8" s="3">
        <f t="shared" si="5"/>
        <v>5.7772042802344853E-2</v>
      </c>
      <c r="T8" s="3">
        <f t="shared" si="6"/>
        <v>0.40015747874368318</v>
      </c>
      <c r="U8" s="3">
        <f t="shared" si="7"/>
        <v>0.12187106273507821</v>
      </c>
      <c r="V8" s="30">
        <f>main!T9</f>
        <v>42487</v>
      </c>
      <c r="W8" s="30">
        <f>main!U9</f>
        <v>42504</v>
      </c>
      <c r="X8" s="30">
        <f>main!V9</f>
        <v>42495.5</v>
      </c>
      <c r="Y8" s="5">
        <f>main!G9</f>
        <v>17</v>
      </c>
      <c r="Z8">
        <f t="shared" si="8"/>
        <v>5.6970513433655286E-2</v>
      </c>
      <c r="AA8">
        <f t="shared" si="9"/>
        <v>9.724079047812334E-2</v>
      </c>
      <c r="AB8">
        <f t="shared" si="10"/>
        <v>4.12362903656994E-3</v>
      </c>
      <c r="AC8">
        <f t="shared" si="11"/>
        <v>3.3318690986151804E-2</v>
      </c>
      <c r="AD8">
        <f t="shared" si="12"/>
        <v>6.3922099491971529E-2</v>
      </c>
      <c r="AE8">
        <f t="shared" si="13"/>
        <v>2.0281421656694657E-3</v>
      </c>
      <c r="AF8">
        <v>983.3</v>
      </c>
      <c r="AH8" s="3">
        <f t="shared" si="14"/>
        <v>97.240790478123344</v>
      </c>
      <c r="AI8" s="3">
        <f t="shared" si="15"/>
        <v>4.1236290365699402</v>
      </c>
      <c r="AJ8" s="3">
        <f t="shared" si="16"/>
        <v>33.318690986151807</v>
      </c>
      <c r="AK8" s="3">
        <f t="shared" si="17"/>
        <v>63.92209949197153</v>
      </c>
      <c r="AL8" s="3">
        <f t="shared" si="18"/>
        <v>2.0281421656694656</v>
      </c>
      <c r="AM8" s="3">
        <f t="shared" si="19"/>
        <v>8.0799438287655718</v>
      </c>
      <c r="AN8" s="3">
        <f t="shared" si="20"/>
        <v>15.50141851390743</v>
      </c>
      <c r="AO8" s="3">
        <f>main!R9</f>
        <v>34.619999999999997</v>
      </c>
      <c r="AP8" s="3">
        <f>main!S9</f>
        <v>7.99</v>
      </c>
    </row>
    <row r="9" spans="1:42" x14ac:dyDescent="0.25">
      <c r="A9" s="241">
        <v>2016</v>
      </c>
      <c r="B9" s="255" t="s">
        <v>111</v>
      </c>
      <c r="C9" s="219">
        <v>4</v>
      </c>
      <c r="D9" t="str">
        <f>main!$B$6</f>
        <v>McLane-PARFLUX-Mark78H-21 ; 12419-01, S250x21</v>
      </c>
      <c r="E9">
        <v>1000</v>
      </c>
      <c r="F9" s="3">
        <f>main!E10</f>
        <v>223.42857142857139</v>
      </c>
      <c r="G9" s="3">
        <f>main!H10</f>
        <v>26.285714285714281</v>
      </c>
      <c r="H9" s="3">
        <f>main!I10</f>
        <v>9.6008571428571425</v>
      </c>
      <c r="I9">
        <f>main!AF10</f>
        <v>78.156285393439944</v>
      </c>
      <c r="J9" s="3">
        <f>main!AG10</f>
        <v>9.378420028747156</v>
      </c>
      <c r="K9" s="3">
        <f>main!L10</f>
        <v>15.687155723571777</v>
      </c>
      <c r="L9" s="3">
        <f>main!N10</f>
        <v>1.3400105237960815</v>
      </c>
      <c r="M9" s="3">
        <f>main!AH10</f>
        <v>6.3087356948246214</v>
      </c>
      <c r="N9" s="3">
        <f>main!AB10</f>
        <v>1.7973557446373152</v>
      </c>
      <c r="O9" s="3">
        <f>main!AC10</f>
        <v>3.8448952187702479</v>
      </c>
      <c r="P9" s="3">
        <f t="shared" si="2"/>
        <v>7.5036733087878922</v>
      </c>
      <c r="Q9" s="3">
        <f t="shared" si="3"/>
        <v>0.90040870921711624</v>
      </c>
      <c r="R9" s="3">
        <f t="shared" si="4"/>
        <v>1.506101410797664</v>
      </c>
      <c r="S9" s="3">
        <f t="shared" si="5"/>
        <v>0.12865249608891349</v>
      </c>
      <c r="T9" s="3">
        <f t="shared" si="6"/>
        <v>0.60569270158054789</v>
      </c>
      <c r="U9" s="3">
        <f t="shared" si="7"/>
        <v>0.36914289724667609</v>
      </c>
      <c r="V9" s="30">
        <f>main!T10</f>
        <v>42504</v>
      </c>
      <c r="W9" s="30">
        <f>main!U10</f>
        <v>42521</v>
      </c>
      <c r="X9" s="30">
        <f>main!V10</f>
        <v>42512.5</v>
      </c>
      <c r="Y9" s="5">
        <f>main!G10</f>
        <v>17</v>
      </c>
      <c r="Z9">
        <f t="shared" si="8"/>
        <v>0.17256155739156484</v>
      </c>
      <c r="AA9">
        <f>R9/12.01</f>
        <v>0.12540394761013024</v>
      </c>
      <c r="AB9">
        <f t="shared" si="10"/>
        <v>9.1829047886447888E-3</v>
      </c>
      <c r="AC9">
        <f t="shared" si="11"/>
        <v>5.0432364827689251E-2</v>
      </c>
      <c r="AD9">
        <f t="shared" si="12"/>
        <v>7.4971582782440982E-2</v>
      </c>
      <c r="AE9">
        <f t="shared" si="13"/>
        <v>6.1431668704722267E-3</v>
      </c>
      <c r="AF9">
        <v>983.3</v>
      </c>
      <c r="AH9" s="3">
        <f t="shared" si="14"/>
        <v>125.40394761013025</v>
      </c>
      <c r="AI9" s="3">
        <f t="shared" si="15"/>
        <v>9.1829047886447892</v>
      </c>
      <c r="AJ9" s="3">
        <f t="shared" si="16"/>
        <v>50.432364827689248</v>
      </c>
      <c r="AK9" s="3">
        <f t="shared" si="17"/>
        <v>74.971582782440976</v>
      </c>
      <c r="AL9" s="3">
        <f t="shared" si="18"/>
        <v>6.1431668704722266</v>
      </c>
      <c r="AM9" s="3">
        <f t="shared" si="19"/>
        <v>5.4919838535244185</v>
      </c>
      <c r="AN9" s="3">
        <f t="shared" si="20"/>
        <v>8.1642557020898021</v>
      </c>
      <c r="AO9" s="3">
        <f>main!R10</f>
        <v>35.79</v>
      </c>
      <c r="AP9" s="3">
        <f>main!S10</f>
        <v>8.33</v>
      </c>
    </row>
    <row r="10" spans="1:42" x14ac:dyDescent="0.25">
      <c r="A10" s="241">
        <v>2016</v>
      </c>
      <c r="B10" s="255" t="s">
        <v>111</v>
      </c>
      <c r="C10" s="219">
        <v>5</v>
      </c>
      <c r="D10" t="str">
        <f>main!$B$6</f>
        <v>McLane-PARFLUX-Mark78H-21 ; 12419-01, S250x21</v>
      </c>
      <c r="E10">
        <v>1000</v>
      </c>
      <c r="F10" s="3">
        <f>main!E11</f>
        <v>340.01428571428579</v>
      </c>
      <c r="G10" s="3">
        <f>main!H11</f>
        <v>40.001680672268918</v>
      </c>
      <c r="H10" s="3">
        <f>main!I11</f>
        <v>14.610613865546224</v>
      </c>
      <c r="I10">
        <f>main!AF11</f>
        <v>67.580360963191339</v>
      </c>
      <c r="J10" s="3">
        <f>main!AG11</f>
        <v>8.1093543227727896</v>
      </c>
      <c r="K10" s="3">
        <f>main!L11</f>
        <v>15.706814289093018</v>
      </c>
      <c r="L10" s="3">
        <f>main!N11</f>
        <v>1.1232302188873291</v>
      </c>
      <c r="M10" s="3">
        <f>main!AH11</f>
        <v>7.597459966320228</v>
      </c>
      <c r="N10" s="3">
        <f>main!AB11</f>
        <v>4.1786102977837167</v>
      </c>
      <c r="O10" s="3">
        <f>main!AC11</f>
        <v>8.9388641080036884</v>
      </c>
      <c r="P10" s="3">
        <f t="shared" si="2"/>
        <v>9.8739055892742229</v>
      </c>
      <c r="Q10" s="3">
        <f t="shared" si="3"/>
        <v>1.1848264470893133</v>
      </c>
      <c r="R10" s="3">
        <f t="shared" si="4"/>
        <v>2.2948619863578199</v>
      </c>
      <c r="S10" s="3">
        <f t="shared" si="5"/>
        <v>0.16411083010275732</v>
      </c>
      <c r="T10" s="3">
        <f t="shared" si="6"/>
        <v>1.1100355392685066</v>
      </c>
      <c r="U10" s="3">
        <f t="shared" si="7"/>
        <v>1.3060229187863217</v>
      </c>
      <c r="V10" s="30">
        <f>main!T11</f>
        <v>42521</v>
      </c>
      <c r="W10" s="30">
        <f>main!U11</f>
        <v>42538</v>
      </c>
      <c r="X10" s="30">
        <f>main!V11</f>
        <v>42529.5</v>
      </c>
      <c r="Y10" s="5">
        <f>main!G11</f>
        <v>17</v>
      </c>
      <c r="Z10">
        <f t="shared" si="8"/>
        <v>0.61052061555513004</v>
      </c>
      <c r="AA10">
        <f t="shared" si="9"/>
        <v>0.19107926614136719</v>
      </c>
      <c r="AB10">
        <f t="shared" si="10"/>
        <v>1.1713835125107588E-2</v>
      </c>
      <c r="AC10">
        <f t="shared" si="11"/>
        <v>9.2425939989051339E-2</v>
      </c>
      <c r="AD10">
        <f t="shared" si="12"/>
        <v>9.865332615231584E-2</v>
      </c>
      <c r="AE10">
        <f t="shared" si="13"/>
        <v>2.1734446975974726E-2</v>
      </c>
      <c r="AF10">
        <v>983.3</v>
      </c>
      <c r="AH10" s="3">
        <f t="shared" si="14"/>
        <v>191.07926614136719</v>
      </c>
      <c r="AI10" s="3">
        <f t="shared" si="15"/>
        <v>11.713835125107588</v>
      </c>
      <c r="AJ10" s="3">
        <f t="shared" si="16"/>
        <v>92.425939989051344</v>
      </c>
      <c r="AK10" s="3">
        <f t="shared" si="17"/>
        <v>98.653326152315842</v>
      </c>
      <c r="AL10" s="3">
        <f t="shared" si="18"/>
        <v>21.734446975974727</v>
      </c>
      <c r="AM10" s="3">
        <f t="shared" si="19"/>
        <v>7.8903227680697308</v>
      </c>
      <c r="AN10" s="3">
        <f t="shared" si="20"/>
        <v>8.4219493529374514</v>
      </c>
      <c r="AO10" s="3">
        <f>main!R11</f>
        <v>37.15</v>
      </c>
      <c r="AP10" s="3">
        <f>main!S11</f>
        <v>8.39</v>
      </c>
    </row>
    <row r="11" spans="1:42" x14ac:dyDescent="0.25">
      <c r="A11" s="241">
        <v>2016</v>
      </c>
      <c r="B11" s="255" t="s">
        <v>111</v>
      </c>
      <c r="C11" s="219">
        <v>6</v>
      </c>
      <c r="D11" t="str">
        <f>main!$B$6</f>
        <v>McLane-PARFLUX-Mark78H-21 ; 12419-01, S250x21</v>
      </c>
      <c r="E11">
        <v>1000</v>
      </c>
      <c r="F11" s="3">
        <f>main!E12</f>
        <v>66.357142857142861</v>
      </c>
      <c r="G11" s="3">
        <f>main!H12</f>
        <v>7.8067226890756309</v>
      </c>
      <c r="H11" s="3">
        <f>main!I12</f>
        <v>2.8514054621848746</v>
      </c>
      <c r="I11">
        <f>main!AF12</f>
        <v>59.446226910085166</v>
      </c>
      <c r="J11" s="3">
        <f>main!AG12</f>
        <v>7.1332930202666169</v>
      </c>
      <c r="K11" s="3">
        <f>main!L12</f>
        <v>17.796354293823242</v>
      </c>
      <c r="L11" s="3">
        <f>main!N12</f>
        <v>1.9629404544830322</v>
      </c>
      <c r="M11" s="3">
        <f>main!AH12</f>
        <v>10.663061273556625</v>
      </c>
      <c r="N11" s="3">
        <f>main!AB12</f>
        <v>3.4394797833128559</v>
      </c>
      <c r="O11" s="3">
        <f>main!AC12</f>
        <v>7.3577194795040786</v>
      </c>
      <c r="P11" s="3">
        <f t="shared" si="2"/>
        <v>1.6950529611769831</v>
      </c>
      <c r="Q11" s="3">
        <f t="shared" si="3"/>
        <v>0.20339910681353471</v>
      </c>
      <c r="R11" s="3">
        <f t="shared" si="4"/>
        <v>0.5074462184038484</v>
      </c>
      <c r="S11" s="3">
        <f t="shared" si="5"/>
        <v>5.5971391338565782E-2</v>
      </c>
      <c r="T11" s="3">
        <f t="shared" si="6"/>
        <v>0.30404711159031367</v>
      </c>
      <c r="U11" s="3">
        <f t="shared" si="7"/>
        <v>0.20979841513081982</v>
      </c>
      <c r="V11" s="30">
        <f>main!T12</f>
        <v>42538</v>
      </c>
      <c r="W11" s="30">
        <f>main!U12</f>
        <v>42555</v>
      </c>
      <c r="X11" s="30">
        <f>main!V12</f>
        <v>42546.5</v>
      </c>
      <c r="Y11" s="5">
        <f>main!G12</f>
        <v>17</v>
      </c>
      <c r="Z11">
        <f t="shared" si="8"/>
        <v>9.807351441212725E-2</v>
      </c>
      <c r="AA11">
        <f t="shared" si="9"/>
        <v>4.2251974887914108E-2</v>
      </c>
      <c r="AB11">
        <f t="shared" si="10"/>
        <v>3.9951028792695065E-3</v>
      </c>
      <c r="AC11">
        <f t="shared" si="11"/>
        <v>2.5316162497111879E-2</v>
      </c>
      <c r="AD11">
        <f t="shared" si="12"/>
        <v>1.6935812390802225E-2</v>
      </c>
      <c r="AE11">
        <f t="shared" si="13"/>
        <v>3.4914031474591401E-3</v>
      </c>
      <c r="AF11">
        <v>983.3</v>
      </c>
      <c r="AH11" s="3">
        <f t="shared" si="14"/>
        <v>42.251974887914109</v>
      </c>
      <c r="AI11" s="3">
        <f t="shared" si="15"/>
        <v>3.9951028792695067</v>
      </c>
      <c r="AJ11" s="3">
        <f t="shared" si="16"/>
        <v>25.316162497111879</v>
      </c>
      <c r="AK11" s="3">
        <f t="shared" si="17"/>
        <v>16.935812390802226</v>
      </c>
      <c r="AL11" s="3">
        <f t="shared" si="18"/>
        <v>3.49140314745914</v>
      </c>
      <c r="AM11" s="3">
        <f t="shared" si="19"/>
        <v>6.3367986412757578</v>
      </c>
      <c r="AN11" s="3">
        <f t="shared" si="20"/>
        <v>4.2391429964624319</v>
      </c>
      <c r="AO11" s="3">
        <f>main!R12</f>
        <v>37.35</v>
      </c>
      <c r="AP11" s="3">
        <f>main!S12</f>
        <v>8.5</v>
      </c>
    </row>
    <row r="12" spans="1:42" x14ac:dyDescent="0.25">
      <c r="A12" s="241">
        <v>2016</v>
      </c>
      <c r="B12" s="255" t="s">
        <v>111</v>
      </c>
      <c r="C12" s="219">
        <v>7</v>
      </c>
      <c r="D12" t="str">
        <f>main!$B$6</f>
        <v>McLane-PARFLUX-Mark78H-21 ; 12419-01, S250x21</v>
      </c>
      <c r="E12">
        <v>1000</v>
      </c>
      <c r="F12" s="3">
        <f>main!E13</f>
        <v>14.12857142857143</v>
      </c>
      <c r="G12" s="3">
        <f>main!H13</f>
        <v>1.6621848739495799</v>
      </c>
      <c r="H12" s="3">
        <f>main!I13</f>
        <v>0.60711302521008403</v>
      </c>
      <c r="I12" t="str">
        <f>main!AF13</f>
        <v>NaN</v>
      </c>
      <c r="J12" s="3" t="str">
        <f>main!AG13</f>
        <v>NaN</v>
      </c>
      <c r="K12" s="3">
        <f>main!L13</f>
        <v>16.213146209716797</v>
      </c>
      <c r="L12" s="3">
        <f>main!N13</f>
        <v>1.2208572626113892</v>
      </c>
      <c r="M12" s="3" t="str">
        <f>main!AH13</f>
        <v>NaN</v>
      </c>
      <c r="N12" s="3">
        <f>main!AB13</f>
        <v>1.7535571260306242</v>
      </c>
      <c r="O12" s="3">
        <f>main!AC13</f>
        <v>3.751201413427562</v>
      </c>
      <c r="P12" s="18" t="s">
        <v>900</v>
      </c>
      <c r="Q12" s="18" t="s">
        <v>900</v>
      </c>
      <c r="R12" s="3">
        <f t="shared" si="4"/>
        <v>9.8432122435545721E-2</v>
      </c>
      <c r="S12" s="3">
        <f t="shared" si="5"/>
        <v>7.4119834605370248E-3</v>
      </c>
      <c r="T12" s="18" t="s">
        <v>900</v>
      </c>
      <c r="U12" s="3">
        <f t="shared" si="7"/>
        <v>2.2774032382783502E-2</v>
      </c>
      <c r="V12" s="30">
        <f>main!T13</f>
        <v>42555</v>
      </c>
      <c r="W12" s="30">
        <f>main!U13</f>
        <v>42572</v>
      </c>
      <c r="X12" s="30">
        <f>main!V13</f>
        <v>42563.5</v>
      </c>
      <c r="Y12" s="5">
        <f>main!G13</f>
        <v>17</v>
      </c>
      <c r="Z12">
        <f t="shared" si="8"/>
        <v>1.0646073716631529E-2</v>
      </c>
      <c r="AA12">
        <f t="shared" si="9"/>
        <v>8.1958469971312002E-3</v>
      </c>
      <c r="AB12">
        <f t="shared" si="10"/>
        <v>5.2904949754011596E-4</v>
      </c>
      <c r="AC12" s="17" t="s">
        <v>900</v>
      </c>
      <c r="AD12" s="17" t="s">
        <v>900</v>
      </c>
      <c r="AE12">
        <f t="shared" si="13"/>
        <v>3.7899870831724917E-4</v>
      </c>
      <c r="AF12">
        <v>983.3</v>
      </c>
      <c r="AH12" s="3">
        <f t="shared" si="14"/>
        <v>8.1958469971312002</v>
      </c>
      <c r="AI12" s="3">
        <f t="shared" si="15"/>
        <v>0.52904949754011599</v>
      </c>
      <c r="AJ12" s="3" t="s">
        <v>900</v>
      </c>
      <c r="AK12" s="3" t="s">
        <v>900</v>
      </c>
      <c r="AL12" s="3">
        <f t="shared" si="18"/>
        <v>0.37899870831724919</v>
      </c>
      <c r="AM12" s="3" t="s">
        <v>900</v>
      </c>
      <c r="AN12" s="3" t="s">
        <v>900</v>
      </c>
      <c r="AO12" s="3">
        <f>main!R13</f>
        <v>37.72</v>
      </c>
      <c r="AP12" s="3">
        <f>main!S13</f>
        <v>8.61</v>
      </c>
    </row>
    <row r="13" spans="1:42" x14ac:dyDescent="0.25">
      <c r="A13" s="241">
        <v>2016</v>
      </c>
      <c r="B13" s="255" t="s">
        <v>111</v>
      </c>
      <c r="C13" s="219">
        <v>8</v>
      </c>
      <c r="D13" t="str">
        <f>main!$B$6</f>
        <v>McLane-PARFLUX-Mark78H-21 ; 12419-01, S250x21</v>
      </c>
      <c r="E13">
        <v>1000</v>
      </c>
      <c r="F13" s="3">
        <f>main!E14</f>
        <v>179.90000000000003</v>
      </c>
      <c r="G13" s="3">
        <f>main!H14</f>
        <v>21.164705882352944</v>
      </c>
      <c r="H13" s="3">
        <f>main!I14</f>
        <v>7.7304088235294142</v>
      </c>
      <c r="I13">
        <f>main!AF14</f>
        <v>61.61044446726104</v>
      </c>
      <c r="J13" s="3">
        <f>main!AG14</f>
        <v>7.3929898723190055</v>
      </c>
      <c r="K13" s="3">
        <f>main!L14</f>
        <v>16.828649520874023</v>
      </c>
      <c r="L13" s="3">
        <f>main!N14</f>
        <v>1.3967040777206421</v>
      </c>
      <c r="M13" s="3">
        <f>main!AH14</f>
        <v>9.435659648555017</v>
      </c>
      <c r="N13" s="3">
        <f>main!AB14</f>
        <v>4.1045175470137716</v>
      </c>
      <c r="O13" s="3">
        <f>main!AC14</f>
        <v>8.7803652331811151</v>
      </c>
      <c r="P13" s="3">
        <f t="shared" si="2"/>
        <v>4.7627392353128375</v>
      </c>
      <c r="Q13" s="3">
        <f t="shared" si="3"/>
        <v>0.57150834141238438</v>
      </c>
      <c r="R13" s="3">
        <f t="shared" si="4"/>
        <v>1.300923407442486</v>
      </c>
      <c r="S13" s="3">
        <f t="shared" si="5"/>
        <v>0.10797093526271165</v>
      </c>
      <c r="T13" s="3">
        <f t="shared" si="6"/>
        <v>0.72941506603010153</v>
      </c>
      <c r="U13" s="3">
        <f t="shared" si="7"/>
        <v>0.67875812872394192</v>
      </c>
      <c r="V13" s="30">
        <f>main!T14</f>
        <v>42572</v>
      </c>
      <c r="W13" s="30">
        <f>main!U14</f>
        <v>42589</v>
      </c>
      <c r="X13" s="30">
        <f>main!V14</f>
        <v>42580.5</v>
      </c>
      <c r="Y13" s="5">
        <f>main!G14</f>
        <v>17</v>
      </c>
      <c r="Z13">
        <f t="shared" si="8"/>
        <v>0.31729598661766567</v>
      </c>
      <c r="AA13">
        <f t="shared" si="9"/>
        <v>0.1083200172724801</v>
      </c>
      <c r="AB13">
        <f t="shared" si="10"/>
        <v>7.7067048724276692E-3</v>
      </c>
      <c r="AC13">
        <f t="shared" si="11"/>
        <v>6.0733977188184976E-2</v>
      </c>
      <c r="AD13">
        <f t="shared" si="12"/>
        <v>4.7586040084295123E-2</v>
      </c>
      <c r="AE13">
        <f t="shared" si="13"/>
        <v>1.1295691940821135E-2</v>
      </c>
      <c r="AF13">
        <v>983.3</v>
      </c>
      <c r="AH13" s="3">
        <f t="shared" si="14"/>
        <v>108.3200172724801</v>
      </c>
      <c r="AI13" s="3">
        <f t="shared" si="15"/>
        <v>7.706704872427669</v>
      </c>
      <c r="AJ13" s="3">
        <f t="shared" si="16"/>
        <v>60.733977188184973</v>
      </c>
      <c r="AK13" s="3">
        <f t="shared" si="17"/>
        <v>47.586040084295121</v>
      </c>
      <c r="AL13" s="3">
        <f t="shared" si="18"/>
        <v>11.295691940821134</v>
      </c>
      <c r="AM13" s="3">
        <f t="shared" si="19"/>
        <v>7.880667314181621</v>
      </c>
      <c r="AN13" s="3">
        <f t="shared" si="20"/>
        <v>6.1746285697982319</v>
      </c>
      <c r="AO13" s="3">
        <f>main!R14</f>
        <v>37.97</v>
      </c>
      <c r="AP13" s="3">
        <f>main!S14</f>
        <v>8.58</v>
      </c>
    </row>
    <row r="14" spans="1:42" x14ac:dyDescent="0.25">
      <c r="A14" s="241">
        <v>2016</v>
      </c>
      <c r="B14" s="255" t="s">
        <v>111</v>
      </c>
      <c r="C14" s="219">
        <v>9</v>
      </c>
      <c r="D14" t="str">
        <f>main!$B$6</f>
        <v>McLane-PARFLUX-Mark78H-21 ; 12419-01, S250x21</v>
      </c>
      <c r="E14">
        <v>1000</v>
      </c>
      <c r="F14" s="3">
        <f>main!E15</f>
        <v>124.47142857142856</v>
      </c>
      <c r="G14" s="3">
        <f>main!H15</f>
        <v>14.643697478991596</v>
      </c>
      <c r="H14" s="3">
        <f>main!I15</f>
        <v>5.3486105042016803</v>
      </c>
      <c r="I14">
        <f>main!AF15</f>
        <v>61.212728676716452</v>
      </c>
      <c r="J14" s="3">
        <f>main!AG15</f>
        <v>7.34526567819929</v>
      </c>
      <c r="K14" s="3">
        <f>main!L15</f>
        <v>16.612297058105469</v>
      </c>
      <c r="L14" s="3">
        <f>main!N15</f>
        <v>1.340276837348938</v>
      </c>
      <c r="M14" s="3">
        <f>main!AH15</f>
        <v>9.2670313799061788</v>
      </c>
      <c r="N14" s="3">
        <f>main!AB15</f>
        <v>4.6360487197724041</v>
      </c>
      <c r="O14" s="3">
        <f>main!AC15</f>
        <v>9.9174142958748206</v>
      </c>
      <c r="P14" s="3">
        <f t="shared" si="2"/>
        <v>3.2740304359113304</v>
      </c>
      <c r="Q14" s="3">
        <f t="shared" si="3"/>
        <v>0.39286965162568804</v>
      </c>
      <c r="R14" s="3">
        <f t="shared" si="4"/>
        <v>0.88852706543901583</v>
      </c>
      <c r="S14" s="3">
        <f t="shared" si="5"/>
        <v>7.1686187707827365E-2</v>
      </c>
      <c r="T14" s="3">
        <f t="shared" si="6"/>
        <v>0.49565741381332784</v>
      </c>
      <c r="U14" s="3">
        <f t="shared" si="7"/>
        <v>0.53044386277435984</v>
      </c>
      <c r="V14" s="30">
        <f>main!T15</f>
        <v>42589</v>
      </c>
      <c r="W14" s="30">
        <f>main!U15</f>
        <v>42606</v>
      </c>
      <c r="X14" s="30">
        <f>main!V15</f>
        <v>42597.5</v>
      </c>
      <c r="Y14" s="5">
        <f>main!G15</f>
        <v>17</v>
      </c>
      <c r="Z14">
        <f t="shared" si="8"/>
        <v>0.2479641888056543</v>
      </c>
      <c r="AA14">
        <f t="shared" si="9"/>
        <v>7.3982270228061267E-2</v>
      </c>
      <c r="AB14">
        <f t="shared" si="10"/>
        <v>5.1167871311796837E-3</v>
      </c>
      <c r="AC14">
        <f t="shared" si="11"/>
        <v>4.1270392490701739E-2</v>
      </c>
      <c r="AD14">
        <f t="shared" si="12"/>
        <v>3.2711877737359535E-2</v>
      </c>
      <c r="AE14">
        <f t="shared" si="13"/>
        <v>8.8274898115220466E-3</v>
      </c>
      <c r="AF14">
        <v>983.3</v>
      </c>
      <c r="AH14" s="3">
        <f t="shared" si="14"/>
        <v>73.982270228061267</v>
      </c>
      <c r="AI14" s="3">
        <f t="shared" si="15"/>
        <v>5.1167871311796835</v>
      </c>
      <c r="AJ14" s="3">
        <f t="shared" si="16"/>
        <v>41.270392490701738</v>
      </c>
      <c r="AK14" s="3">
        <f t="shared" si="17"/>
        <v>32.711877737359536</v>
      </c>
      <c r="AL14" s="3">
        <f t="shared" si="18"/>
        <v>8.8274898115220459</v>
      </c>
      <c r="AM14" s="3">
        <f t="shared" si="19"/>
        <v>8.0656848590038539</v>
      </c>
      <c r="AN14" s="3">
        <f t="shared" si="20"/>
        <v>6.3930503456018819</v>
      </c>
      <c r="AO14" s="3">
        <f>main!R15</f>
        <v>38.25</v>
      </c>
      <c r="AP14" s="3">
        <f>main!S15</f>
        <v>8.58</v>
      </c>
    </row>
    <row r="15" spans="1:42" x14ac:dyDescent="0.25">
      <c r="A15" s="241">
        <v>2016</v>
      </c>
      <c r="B15" s="255" t="s">
        <v>111</v>
      </c>
      <c r="C15" s="219">
        <v>10</v>
      </c>
      <c r="D15" t="str">
        <f>main!$B$6</f>
        <v>McLane-PARFLUX-Mark78H-21 ; 12419-01, S250x21</v>
      </c>
      <c r="E15">
        <v>1000</v>
      </c>
      <c r="F15" s="3">
        <f>main!E16</f>
        <v>60.557142857142843</v>
      </c>
      <c r="G15" s="3">
        <f>main!H16</f>
        <v>7.1243697478991583</v>
      </c>
      <c r="H15" s="3">
        <f>main!I16</f>
        <v>2.6021760504201676</v>
      </c>
      <c r="I15">
        <f>main!AF16</f>
        <v>58.196963020415659</v>
      </c>
      <c r="J15" s="3">
        <f>main!AG16</f>
        <v>6.9833866957133459</v>
      </c>
      <c r="K15" s="3">
        <f>main!L16</f>
        <v>17.559654235839844</v>
      </c>
      <c r="L15" s="3">
        <f>main!N16</f>
        <v>1.5248348712921143</v>
      </c>
      <c r="M15" s="3">
        <f>main!AH16</f>
        <v>10.576267540126498</v>
      </c>
      <c r="N15" s="3">
        <f>main!AB16</f>
        <v>4.2417019784438219</v>
      </c>
      <c r="O15" s="3">
        <f>main!AC16</f>
        <v>9.0738295437767622</v>
      </c>
      <c r="P15" s="3">
        <f t="shared" si="2"/>
        <v>1.5143874337891376</v>
      </c>
      <c r="Q15" s="3">
        <f t="shared" si="3"/>
        <v>0.18172001610408101</v>
      </c>
      <c r="R15" s="3">
        <f t="shared" si="4"/>
        <v>0.45693311706161494</v>
      </c>
      <c r="S15" s="3">
        <f t="shared" si="5"/>
        <v>3.9678887829218586E-2</v>
      </c>
      <c r="T15" s="3">
        <f t="shared" si="6"/>
        <v>0.27521310095753393</v>
      </c>
      <c r="U15" s="3">
        <f t="shared" si="7"/>
        <v>0.23611701924410847</v>
      </c>
      <c r="V15" s="30">
        <f>main!T16</f>
        <v>42606</v>
      </c>
      <c r="W15" s="30">
        <f>main!U16</f>
        <v>42623</v>
      </c>
      <c r="X15" s="30">
        <f>main!V16</f>
        <v>42614.5</v>
      </c>
      <c r="Y15" s="5">
        <f>main!G16</f>
        <v>17</v>
      </c>
      <c r="Z15">
        <f t="shared" si="8"/>
        <v>0.11037655301326355</v>
      </c>
      <c r="AA15">
        <f t="shared" si="9"/>
        <v>3.8046054709543295E-2</v>
      </c>
      <c r="AB15">
        <f t="shared" si="10"/>
        <v>2.8321832854545743E-3</v>
      </c>
      <c r="AC15">
        <f t="shared" si="11"/>
        <v>2.2915328972317562E-2</v>
      </c>
      <c r="AD15">
        <f t="shared" si="12"/>
        <v>1.5130725737225729E-2</v>
      </c>
      <c r="AE15">
        <f t="shared" si="13"/>
        <v>3.9293895697139038E-3</v>
      </c>
      <c r="AF15">
        <v>983.3</v>
      </c>
      <c r="AH15" s="3">
        <f t="shared" si="14"/>
        <v>38.046054709543291</v>
      </c>
      <c r="AI15" s="3">
        <f t="shared" si="15"/>
        <v>2.8321832854545743</v>
      </c>
      <c r="AJ15" s="3">
        <f t="shared" si="16"/>
        <v>22.91532897231756</v>
      </c>
      <c r="AK15" s="3">
        <f t="shared" si="17"/>
        <v>15.130725737225729</v>
      </c>
      <c r="AL15" s="3">
        <f t="shared" si="18"/>
        <v>3.9293895697139036</v>
      </c>
      <c r="AM15" s="3">
        <f t="shared" si="19"/>
        <v>8.0910473167486323</v>
      </c>
      <c r="AN15" s="3">
        <f t="shared" si="20"/>
        <v>5.3424246287073194</v>
      </c>
      <c r="AO15" s="3">
        <f>main!R16</f>
        <v>37.880000000000003</v>
      </c>
      <c r="AP15" s="3">
        <f>main!S16</f>
        <v>8.59</v>
      </c>
    </row>
    <row r="16" spans="1:42" x14ac:dyDescent="0.25">
      <c r="A16" s="241">
        <v>2016</v>
      </c>
      <c r="B16" s="255" t="s">
        <v>111</v>
      </c>
      <c r="C16" s="219">
        <v>11</v>
      </c>
      <c r="D16" t="str">
        <f>main!$B$6</f>
        <v>McLane-PARFLUX-Mark78H-21 ; 12419-01, S250x21</v>
      </c>
      <c r="E16">
        <v>1000</v>
      </c>
      <c r="F16" s="3">
        <f>main!E17</f>
        <v>147.34285714285713</v>
      </c>
      <c r="G16" s="3">
        <f>main!H17</f>
        <v>17.334453781512604</v>
      </c>
      <c r="H16" s="3">
        <f>main!I17</f>
        <v>6.3314092436974789</v>
      </c>
      <c r="I16">
        <f>main!AF17</f>
        <v>59.510515679078843</v>
      </c>
      <c r="J16" s="3">
        <f>main!AG17</f>
        <v>7.1410073976288295</v>
      </c>
      <c r="K16" s="3">
        <f>main!L17</f>
        <v>17.148048400878906</v>
      </c>
      <c r="L16" s="3">
        <f>main!N17</f>
        <v>1.5179711580276489</v>
      </c>
      <c r="M16" s="3">
        <f>main!AH17</f>
        <v>10.007041003250077</v>
      </c>
      <c r="N16" s="3">
        <f>main!AB17</f>
        <v>4.1981018125844249</v>
      </c>
      <c r="O16" s="3">
        <f>main!AC17</f>
        <v>8.9805602676467817</v>
      </c>
      <c r="P16" s="3">
        <f t="shared" si="2"/>
        <v>3.7678542906772354</v>
      </c>
      <c r="Q16" s="3">
        <f t="shared" si="3"/>
        <v>0.45212640246659247</v>
      </c>
      <c r="R16" s="3">
        <f t="shared" si="4"/>
        <v>1.0857131215669649</v>
      </c>
      <c r="S16" s="3">
        <f t="shared" si="5"/>
        <v>9.610896621602423E-2</v>
      </c>
      <c r="T16" s="3">
        <f t="shared" si="6"/>
        <v>0.63358671910037223</v>
      </c>
      <c r="U16" s="3">
        <f t="shared" si="7"/>
        <v>0.56859602292161138</v>
      </c>
      <c r="V16" s="30">
        <f>main!T17</f>
        <v>42623</v>
      </c>
      <c r="W16" s="30">
        <f>main!U17</f>
        <v>42640</v>
      </c>
      <c r="X16" s="30">
        <f>main!V17</f>
        <v>42631.5</v>
      </c>
      <c r="Y16" s="5">
        <f>main!G17</f>
        <v>17</v>
      </c>
      <c r="Z16">
        <f t="shared" si="8"/>
        <v>0.26579900622180169</v>
      </c>
      <c r="AA16">
        <f t="shared" si="9"/>
        <v>9.0400759497665684E-2</v>
      </c>
      <c r="AB16">
        <f t="shared" si="10"/>
        <v>6.8600261396162907E-3</v>
      </c>
      <c r="AC16">
        <f t="shared" si="11"/>
        <v>5.2754930816017676E-2</v>
      </c>
      <c r="AD16">
        <f t="shared" si="12"/>
        <v>3.7645828681648001E-2</v>
      </c>
      <c r="AE16">
        <f t="shared" si="13"/>
        <v>9.4624067718690526E-3</v>
      </c>
      <c r="AF16">
        <v>983.3</v>
      </c>
      <c r="AH16" s="3">
        <f t="shared" si="14"/>
        <v>90.400759497665689</v>
      </c>
      <c r="AI16" s="3">
        <f t="shared" si="15"/>
        <v>6.8600261396162905</v>
      </c>
      <c r="AJ16" s="3">
        <f t="shared" si="16"/>
        <v>52.754930816017676</v>
      </c>
      <c r="AK16" s="3">
        <f t="shared" si="17"/>
        <v>37.645828681647998</v>
      </c>
      <c r="AL16" s="3">
        <f t="shared" si="18"/>
        <v>9.4624067718690519</v>
      </c>
      <c r="AM16" s="3">
        <f t="shared" si="19"/>
        <v>7.6901938480031031</v>
      </c>
      <c r="AN16" s="3">
        <f t="shared" si="20"/>
        <v>5.4877092179350919</v>
      </c>
      <c r="AO16" s="3">
        <f>main!R17</f>
        <v>38.200000000000003</v>
      </c>
      <c r="AP16" s="3">
        <f>main!S17</f>
        <v>8.6</v>
      </c>
    </row>
    <row r="17" spans="1:42" x14ac:dyDescent="0.25">
      <c r="A17" s="241">
        <v>2016</v>
      </c>
      <c r="B17" s="255" t="s">
        <v>111</v>
      </c>
      <c r="C17" s="219">
        <v>12</v>
      </c>
      <c r="D17" t="str">
        <f>main!$B$6</f>
        <v>McLane-PARFLUX-Mark78H-21 ; 12419-01, S250x21</v>
      </c>
      <c r="E17">
        <v>1000</v>
      </c>
      <c r="F17" s="3">
        <f>main!E18</f>
        <v>17.842857142857156</v>
      </c>
      <c r="G17" s="3">
        <f>main!H18</f>
        <v>2.0991596638655476</v>
      </c>
      <c r="H17" s="3">
        <f>main!I18</f>
        <v>0.76671806722689129</v>
      </c>
      <c r="I17">
        <f>main!AF18</f>
        <v>64.532317190825353</v>
      </c>
      <c r="J17" s="3">
        <f>main!AG18</f>
        <v>7.7436021043894101</v>
      </c>
      <c r="K17" s="3">
        <f>main!L18</f>
        <v>15.905805587768555</v>
      </c>
      <c r="L17" s="3">
        <f>main!N18</f>
        <v>1.2897419929504395</v>
      </c>
      <c r="M17" s="3">
        <f>main!AH18</f>
        <v>8.1622034833791446</v>
      </c>
      <c r="N17" s="3">
        <f>main!AB18</f>
        <v>4.2072196112429276</v>
      </c>
      <c r="O17" s="3">
        <f>main!AC18</f>
        <v>9.000065020989231</v>
      </c>
      <c r="P17" s="3">
        <f t="shared" si="2"/>
        <v>0.49478093510222304</v>
      </c>
      <c r="Q17" s="3">
        <f t="shared" si="3"/>
        <v>5.9371596388515371E-2</v>
      </c>
      <c r="R17" s="3">
        <f t="shared" si="4"/>
        <v>0.12195268517940593</v>
      </c>
      <c r="S17" s="3">
        <f t="shared" si="5"/>
        <v>9.888684880563197E-3</v>
      </c>
      <c r="T17" s="3">
        <f t="shared" si="6"/>
        <v>6.2581088790890568E-2</v>
      </c>
      <c r="U17" s="3">
        <f t="shared" si="7"/>
        <v>6.9005124578092145E-2</v>
      </c>
      <c r="V17" s="30">
        <f>main!T18</f>
        <v>42640</v>
      </c>
      <c r="W17" s="30">
        <f>main!U18</f>
        <v>42657</v>
      </c>
      <c r="X17" s="30">
        <f>main!V18</f>
        <v>42648.5</v>
      </c>
      <c r="Y17" s="5">
        <f>main!G18</f>
        <v>17</v>
      </c>
      <c r="Z17">
        <f t="shared" si="8"/>
        <v>3.2257512887312503E-2</v>
      </c>
      <c r="AA17">
        <f t="shared" si="9"/>
        <v>1.0154261880050452E-2</v>
      </c>
      <c r="AB17">
        <f t="shared" si="10"/>
        <v>7.0583046970472505E-4</v>
      </c>
      <c r="AC17">
        <f t="shared" si="11"/>
        <v>5.210748442205709E-3</v>
      </c>
      <c r="AD17">
        <f t="shared" si="12"/>
        <v>4.943513437844744E-3</v>
      </c>
      <c r="AE17">
        <f t="shared" si="13"/>
        <v>1.1483628653368638E-3</v>
      </c>
      <c r="AF17">
        <v>983.3</v>
      </c>
      <c r="AH17" s="3">
        <f t="shared" si="14"/>
        <v>10.154261880050452</v>
      </c>
      <c r="AI17" s="3">
        <f t="shared" si="15"/>
        <v>0.70583046970472507</v>
      </c>
      <c r="AJ17" s="3">
        <f t="shared" si="16"/>
        <v>5.2107484422057091</v>
      </c>
      <c r="AK17" s="3">
        <f t="shared" si="17"/>
        <v>4.9435134378447438</v>
      </c>
      <c r="AL17" s="3">
        <f t="shared" si="18"/>
        <v>1.1483628653368638</v>
      </c>
      <c r="AM17" s="3">
        <f t="shared" si="19"/>
        <v>7.3824362447622267</v>
      </c>
      <c r="AN17" s="3">
        <f t="shared" si="20"/>
        <v>7.0038254935534274</v>
      </c>
      <c r="AO17" s="3">
        <f>main!R18</f>
        <v>38.299999999999997</v>
      </c>
      <c r="AP17" s="3">
        <f>main!S18</f>
        <v>8.65</v>
      </c>
    </row>
    <row r="18" spans="1:42" x14ac:dyDescent="0.25">
      <c r="A18" s="241">
        <v>2016</v>
      </c>
      <c r="B18" s="255" t="s">
        <v>111</v>
      </c>
      <c r="C18" s="219">
        <v>13</v>
      </c>
      <c r="D18" t="str">
        <f>main!$B$6</f>
        <v>McLane-PARFLUX-Mark78H-21 ; 12419-01, S250x21</v>
      </c>
      <c r="E18">
        <v>1000</v>
      </c>
      <c r="F18" s="3">
        <f>main!E19</f>
        <v>14.399999999999997</v>
      </c>
      <c r="G18" s="3">
        <f>main!H19</f>
        <v>1.6941176470588231</v>
      </c>
      <c r="H18" s="3">
        <f>main!I19</f>
        <v>0.61877647058823515</v>
      </c>
      <c r="I18" t="str">
        <f>main!AF19</f>
        <v>NaN</v>
      </c>
      <c r="J18" s="3" t="str">
        <f>main!AG19</f>
        <v>NaN</v>
      </c>
      <c r="K18" s="3">
        <f>main!L19</f>
        <v>16.917732238769531</v>
      </c>
      <c r="L18" s="3">
        <f>main!N19</f>
        <v>1.5639532804489136</v>
      </c>
      <c r="M18" s="3" t="str">
        <f>main!AH19</f>
        <v>NaN</v>
      </c>
      <c r="N18" s="3">
        <f>main!AB19</f>
        <v>3.889708083832335</v>
      </c>
      <c r="O18" s="3">
        <f>main!AC19</f>
        <v>8.3208458083832326</v>
      </c>
      <c r="P18" s="18" t="s">
        <v>900</v>
      </c>
      <c r="Q18" s="18" t="s">
        <v>900</v>
      </c>
      <c r="R18" s="3">
        <f t="shared" si="4"/>
        <v>0.10468294645062612</v>
      </c>
      <c r="S18" s="3">
        <f t="shared" si="5"/>
        <v>9.6773749104107111E-3</v>
      </c>
      <c r="T18" s="18" t="s">
        <v>900</v>
      </c>
      <c r="U18" s="3">
        <f t="shared" si="7"/>
        <v>5.148743601620287E-2</v>
      </c>
      <c r="V18" s="30">
        <f>main!T19</f>
        <v>42657</v>
      </c>
      <c r="W18" s="30">
        <f>main!U19</f>
        <v>42674</v>
      </c>
      <c r="X18" s="30">
        <f>main!V19</f>
        <v>42665.5</v>
      </c>
      <c r="Y18" s="5">
        <f>main!G19</f>
        <v>17</v>
      </c>
      <c r="Z18">
        <f t="shared" si="8"/>
        <v>2.4068598397322994E-2</v>
      </c>
      <c r="AA18">
        <f t="shared" si="9"/>
        <v>8.7163152748231578E-3</v>
      </c>
      <c r="AB18">
        <f t="shared" si="10"/>
        <v>6.9074767383374099E-4</v>
      </c>
      <c r="AC18" s="17" t="s">
        <v>900</v>
      </c>
      <c r="AD18" s="17" t="s">
        <v>900</v>
      </c>
      <c r="AE18">
        <f t="shared" si="13"/>
        <v>8.5683867558999623E-4</v>
      </c>
      <c r="AF18">
        <v>983.3</v>
      </c>
      <c r="AH18" s="3">
        <f t="shared" si="14"/>
        <v>8.7163152748231578</v>
      </c>
      <c r="AI18" s="3">
        <f t="shared" si="15"/>
        <v>0.69074767383374103</v>
      </c>
      <c r="AJ18" s="3" t="s">
        <v>900</v>
      </c>
      <c r="AK18" s="3" t="s">
        <v>900</v>
      </c>
      <c r="AL18" s="3">
        <f t="shared" si="18"/>
        <v>0.85683867558999627</v>
      </c>
      <c r="AM18" s="3" t="s">
        <v>900</v>
      </c>
      <c r="AN18" s="3" t="s">
        <v>900</v>
      </c>
      <c r="AO18" s="3">
        <f>main!R19</f>
        <v>38.24</v>
      </c>
      <c r="AP18" s="3">
        <f>main!S19</f>
        <v>8.6</v>
      </c>
    </row>
    <row r="19" spans="1:42" x14ac:dyDescent="0.25">
      <c r="A19" s="241">
        <v>2016</v>
      </c>
      <c r="B19" s="255" t="s">
        <v>111</v>
      </c>
      <c r="C19" s="219">
        <v>14</v>
      </c>
      <c r="D19" t="str">
        <f>main!$B$6</f>
        <v>McLane-PARFLUX-Mark78H-21 ; 12419-01, S250x21</v>
      </c>
      <c r="E19">
        <v>1000</v>
      </c>
      <c r="F19" s="3">
        <f>main!E20</f>
        <v>30.885714285714283</v>
      </c>
      <c r="G19" s="3">
        <f>main!H20</f>
        <v>3.6336134453781508</v>
      </c>
      <c r="H19" s="3">
        <f>main!I20</f>
        <v>1.3271773109243696</v>
      </c>
      <c r="I19">
        <f>main!AF20</f>
        <v>39.286833962453755</v>
      </c>
      <c r="J19" s="3">
        <f>main!AG20</f>
        <v>4.714252073838531</v>
      </c>
      <c r="K19" s="3">
        <f>main!L20</f>
        <v>10.444699287414551</v>
      </c>
      <c r="L19" s="3">
        <f>main!N20</f>
        <v>0.79616892337799072</v>
      </c>
      <c r="M19" s="3">
        <f>main!AH20</f>
        <v>5.7304472135760198</v>
      </c>
      <c r="N19" s="3">
        <f>main!AB20</f>
        <v>2.5490511049723756</v>
      </c>
      <c r="O19" s="3">
        <f>main!AC20</f>
        <v>5.4529185082872935</v>
      </c>
      <c r="P19" s="3">
        <f t="shared" si="2"/>
        <v>0.52140594653021566</v>
      </c>
      <c r="Q19" s="3">
        <f t="shared" si="3"/>
        <v>6.256648390376654E-2</v>
      </c>
      <c r="R19" s="3">
        <f t="shared" si="4"/>
        <v>0.13861967913684523</v>
      </c>
      <c r="S19" s="3">
        <f t="shared" si="5"/>
        <v>1.0566573307703523E-2</v>
      </c>
      <c r="T19" s="3">
        <f t="shared" si="6"/>
        <v>7.6053195233078685E-2</v>
      </c>
      <c r="U19" s="3">
        <f t="shared" si="7"/>
        <v>7.2369897225184554E-2</v>
      </c>
      <c r="V19" s="30">
        <f>main!T20</f>
        <v>42674</v>
      </c>
      <c r="W19" s="30">
        <f>main!U20</f>
        <v>42691</v>
      </c>
      <c r="X19" s="30">
        <f>main!V20</f>
        <v>42682.5</v>
      </c>
      <c r="Y19" s="5">
        <f>main!G20</f>
        <v>17</v>
      </c>
      <c r="Z19">
        <f t="shared" si="8"/>
        <v>3.3830427909060309E-2</v>
      </c>
      <c r="AA19">
        <f t="shared" si="9"/>
        <v>1.1542021576756472E-2</v>
      </c>
      <c r="AB19">
        <f t="shared" si="10"/>
        <v>7.5421651018583319E-4</v>
      </c>
      <c r="AC19">
        <f t="shared" si="11"/>
        <v>6.3324891950939793E-3</v>
      </c>
      <c r="AD19">
        <f t="shared" si="12"/>
        <v>5.2095323816624926E-3</v>
      </c>
      <c r="AE19">
        <f t="shared" si="13"/>
        <v>1.2043584161288824E-3</v>
      </c>
      <c r="AF19">
        <v>983.3</v>
      </c>
      <c r="AH19" s="3">
        <f t="shared" si="14"/>
        <v>11.542021576756472</v>
      </c>
      <c r="AI19" s="3">
        <f t="shared" si="15"/>
        <v>0.75421651018583313</v>
      </c>
      <c r="AJ19" s="3">
        <f t="shared" si="16"/>
        <v>6.332489195093979</v>
      </c>
      <c r="AK19" s="3">
        <f t="shared" si="17"/>
        <v>5.209532381662493</v>
      </c>
      <c r="AL19" s="3">
        <f t="shared" si="18"/>
        <v>1.2043584161288825</v>
      </c>
      <c r="AM19" s="3">
        <f t="shared" si="19"/>
        <v>8.3961158494577397</v>
      </c>
      <c r="AN19" s="3">
        <f t="shared" si="20"/>
        <v>6.9072107429455558</v>
      </c>
      <c r="AO19" s="3">
        <f>main!R20</f>
        <v>38.33</v>
      </c>
      <c r="AP19" s="3">
        <f>main!S20</f>
        <v>8.4700000000000006</v>
      </c>
    </row>
    <row r="20" spans="1:42" x14ac:dyDescent="0.25">
      <c r="A20" s="241">
        <v>2016</v>
      </c>
      <c r="B20" s="255" t="s">
        <v>111</v>
      </c>
      <c r="C20" s="219">
        <v>15</v>
      </c>
      <c r="D20" t="str">
        <f>main!$B$6</f>
        <v>McLane-PARFLUX-Mark78H-21 ; 12419-01, S250x21</v>
      </c>
      <c r="E20">
        <v>1000</v>
      </c>
      <c r="F20" s="3">
        <f>main!E21</f>
        <v>13.671428571428573</v>
      </c>
      <c r="G20" s="3">
        <f>main!H21</f>
        <v>1.6084033613445379</v>
      </c>
      <c r="H20" s="3">
        <f>main!I21</f>
        <v>0.58746932773109251</v>
      </c>
      <c r="I20" t="str">
        <f>main!AF21</f>
        <v>NaN</v>
      </c>
      <c r="J20" s="3" t="str">
        <f>main!AG21</f>
        <v>NaN</v>
      </c>
      <c r="K20" s="3">
        <f>main!L21</f>
        <v>14.620884895324707</v>
      </c>
      <c r="L20" s="3">
        <f>main!N21</f>
        <v>1.1134974956512451</v>
      </c>
      <c r="M20" s="3" t="str">
        <f>main!AH21</f>
        <v>NaN</v>
      </c>
      <c r="N20" s="3">
        <f>main!AB21</f>
        <v>3.4687657891237857</v>
      </c>
      <c r="O20" s="3">
        <f>main!AC21</f>
        <v>7.4203679696848805</v>
      </c>
      <c r="P20" s="18" t="s">
        <v>900</v>
      </c>
      <c r="Q20" s="18" t="s">
        <v>900</v>
      </c>
      <c r="R20" s="3">
        <f t="shared" si="4"/>
        <v>8.58932142029009E-2</v>
      </c>
      <c r="S20" s="3">
        <f t="shared" si="5"/>
        <v>6.5414562520049206E-3</v>
      </c>
      <c r="T20" s="18" t="s">
        <v>900</v>
      </c>
      <c r="U20" s="3">
        <f t="shared" si="7"/>
        <v>4.3592385826681089E-2</v>
      </c>
      <c r="V20" s="30">
        <f>main!T21</f>
        <v>42691</v>
      </c>
      <c r="W20" s="30">
        <f>main!U21</f>
        <v>42708</v>
      </c>
      <c r="X20" s="30">
        <f>main!V21</f>
        <v>42699.5</v>
      </c>
      <c r="Y20" s="5">
        <f>main!G21</f>
        <v>17</v>
      </c>
      <c r="Z20">
        <f t="shared" si="8"/>
        <v>2.037793506193163E-2</v>
      </c>
      <c r="AA20">
        <f t="shared" si="9"/>
        <v>7.1518080102332144E-3</v>
      </c>
      <c r="AB20">
        <f t="shared" si="10"/>
        <v>4.6691336559635409E-4</v>
      </c>
      <c r="AC20" s="17" t="s">
        <v>900</v>
      </c>
      <c r="AD20" s="17" t="s">
        <v>900</v>
      </c>
      <c r="AE20">
        <f t="shared" si="13"/>
        <v>7.2545158639842039E-4</v>
      </c>
      <c r="AF20">
        <v>983.3</v>
      </c>
      <c r="AH20" s="3">
        <f t="shared" si="14"/>
        <v>7.1518080102332142</v>
      </c>
      <c r="AI20" s="3">
        <f t="shared" si="15"/>
        <v>0.4669133655963541</v>
      </c>
      <c r="AJ20" s="3" t="s">
        <v>900</v>
      </c>
      <c r="AK20" s="3" t="s">
        <v>900</v>
      </c>
      <c r="AL20" s="3">
        <f t="shared" si="18"/>
        <v>0.72545158639842033</v>
      </c>
      <c r="AM20" s="3" t="s">
        <v>900</v>
      </c>
      <c r="AN20" s="3" t="s">
        <v>900</v>
      </c>
      <c r="AO20" s="3">
        <f>main!R21</f>
        <v>38.090000000000003</v>
      </c>
      <c r="AP20" s="3">
        <f>main!S21</f>
        <v>8.5399999999999991</v>
      </c>
    </row>
    <row r="21" spans="1:42" x14ac:dyDescent="0.25">
      <c r="A21" s="241">
        <v>2016</v>
      </c>
      <c r="B21" s="255" t="s">
        <v>111</v>
      </c>
      <c r="C21" s="219">
        <v>16</v>
      </c>
      <c r="D21" t="str">
        <f>main!$B$6</f>
        <v>McLane-PARFLUX-Mark78H-21 ; 12419-01, S250x21</v>
      </c>
      <c r="E21">
        <v>1000</v>
      </c>
      <c r="F21" s="3">
        <f>main!E22</f>
        <v>7.1857142857142877</v>
      </c>
      <c r="G21" s="3">
        <f>main!H22</f>
        <v>0.84537815126050442</v>
      </c>
      <c r="H21" s="3">
        <f>main!I22</f>
        <v>0.30877436974789924</v>
      </c>
      <c r="I21" t="str">
        <f>main!AF22</f>
        <v>NaN</v>
      </c>
      <c r="J21" s="3" t="str">
        <f>main!AG22</f>
        <v>NaN</v>
      </c>
      <c r="K21" s="3" t="str">
        <f>main!L22</f>
        <v>NaN</v>
      </c>
      <c r="L21" s="3" t="str">
        <f>main!N22</f>
        <v>NaN</v>
      </c>
      <c r="M21" s="3" t="str">
        <f>main!AH22</f>
        <v>NaN</v>
      </c>
      <c r="N21" s="3" t="str">
        <f>main!AB22</f>
        <v>NaN</v>
      </c>
      <c r="O21" s="3" t="str">
        <f>main!AC22</f>
        <v>NaN</v>
      </c>
      <c r="P21" s="18" t="s">
        <v>900</v>
      </c>
      <c r="Q21" s="18" t="s">
        <v>900</v>
      </c>
      <c r="R21" s="18" t="s">
        <v>900</v>
      </c>
      <c r="S21" s="18" t="s">
        <v>900</v>
      </c>
      <c r="T21" s="18" t="s">
        <v>900</v>
      </c>
      <c r="U21" s="18" t="s">
        <v>900</v>
      </c>
      <c r="V21" s="30">
        <f>main!T22</f>
        <v>42708</v>
      </c>
      <c r="W21" s="30">
        <f>main!U22</f>
        <v>42725</v>
      </c>
      <c r="X21" s="30">
        <f>main!V22</f>
        <v>42716.5</v>
      </c>
      <c r="Y21" s="5">
        <f>main!G22</f>
        <v>17</v>
      </c>
      <c r="Z21" s="18" t="s">
        <v>900</v>
      </c>
      <c r="AA21" s="17" t="s">
        <v>900</v>
      </c>
      <c r="AB21" s="17" t="s">
        <v>900</v>
      </c>
      <c r="AC21" s="17" t="s">
        <v>900</v>
      </c>
      <c r="AD21" s="17" t="s">
        <v>900</v>
      </c>
      <c r="AE21" s="17" t="s">
        <v>900</v>
      </c>
      <c r="AF21">
        <v>983.3</v>
      </c>
      <c r="AH21" s="3" t="s">
        <v>900</v>
      </c>
      <c r="AI21" s="3" t="s">
        <v>900</v>
      </c>
      <c r="AJ21" s="3" t="s">
        <v>900</v>
      </c>
      <c r="AK21" s="3" t="s">
        <v>900</v>
      </c>
      <c r="AL21" s="3" t="s">
        <v>900</v>
      </c>
      <c r="AM21" s="3" t="s">
        <v>900</v>
      </c>
      <c r="AN21" s="3" t="s">
        <v>900</v>
      </c>
      <c r="AO21" s="3">
        <f>main!R22</f>
        <v>38.130000000000003</v>
      </c>
      <c r="AP21" s="3">
        <f>main!S22</f>
        <v>8.57</v>
      </c>
    </row>
    <row r="22" spans="1:42" x14ac:dyDescent="0.25">
      <c r="A22" s="241">
        <v>2016</v>
      </c>
      <c r="B22" s="255" t="s">
        <v>111</v>
      </c>
      <c r="C22" s="219">
        <v>17</v>
      </c>
      <c r="D22" t="str">
        <f>main!$B$6</f>
        <v>McLane-PARFLUX-Mark78H-21 ; 12419-01, S250x21</v>
      </c>
      <c r="E22">
        <v>1000</v>
      </c>
      <c r="F22" s="3">
        <f>main!E23</f>
        <v>5.3857142857142906</v>
      </c>
      <c r="G22" s="3">
        <f>main!H23</f>
        <v>0.63361344537815179</v>
      </c>
      <c r="H22" s="3">
        <f>main!I23</f>
        <v>0.23142731092436997</v>
      </c>
      <c r="I22" t="str">
        <f>main!AF23</f>
        <v>NaN</v>
      </c>
      <c r="J22" s="3" t="str">
        <f>main!AG23</f>
        <v>NaN</v>
      </c>
      <c r="K22" s="3" t="str">
        <f>main!L23</f>
        <v>NaN</v>
      </c>
      <c r="L22" s="3" t="str">
        <f>main!N23</f>
        <v>NaN</v>
      </c>
      <c r="M22" s="3" t="str">
        <f>main!AH23</f>
        <v>NaN</v>
      </c>
      <c r="N22" s="3" t="str">
        <f>main!AB23</f>
        <v>NaN</v>
      </c>
      <c r="O22" s="3" t="str">
        <f>main!AC23</f>
        <v>NaN</v>
      </c>
      <c r="P22" s="18" t="s">
        <v>900</v>
      </c>
      <c r="Q22" s="18" t="s">
        <v>900</v>
      </c>
      <c r="R22" s="18" t="s">
        <v>900</v>
      </c>
      <c r="S22" s="18" t="s">
        <v>900</v>
      </c>
      <c r="T22" s="18" t="s">
        <v>900</v>
      </c>
      <c r="U22" s="18" t="s">
        <v>900</v>
      </c>
      <c r="V22" s="30">
        <f>main!T23</f>
        <v>42725</v>
      </c>
      <c r="W22" s="30">
        <f>main!U23</f>
        <v>42742</v>
      </c>
      <c r="X22" s="30">
        <f>main!V23</f>
        <v>42733.5</v>
      </c>
      <c r="Y22" s="5">
        <f>main!G23</f>
        <v>17</v>
      </c>
      <c r="Z22" s="18" t="s">
        <v>900</v>
      </c>
      <c r="AA22" s="17" t="s">
        <v>900</v>
      </c>
      <c r="AB22" s="17" t="s">
        <v>900</v>
      </c>
      <c r="AC22" s="17" t="s">
        <v>900</v>
      </c>
      <c r="AD22" s="17" t="s">
        <v>900</v>
      </c>
      <c r="AE22" s="17" t="s">
        <v>900</v>
      </c>
      <c r="AF22">
        <v>983.3</v>
      </c>
      <c r="AH22" s="3" t="s">
        <v>900</v>
      </c>
      <c r="AI22" s="3" t="s">
        <v>900</v>
      </c>
      <c r="AJ22" s="3" t="s">
        <v>900</v>
      </c>
      <c r="AK22" s="3" t="s">
        <v>900</v>
      </c>
      <c r="AL22" s="3" t="s">
        <v>900</v>
      </c>
      <c r="AM22" s="3" t="s">
        <v>900</v>
      </c>
      <c r="AN22" s="3" t="s">
        <v>900</v>
      </c>
      <c r="AO22" s="3">
        <f>main!R23</f>
        <v>38.270000000000003</v>
      </c>
      <c r="AP22" s="3">
        <f>main!S23</f>
        <v>8.6300000000000008</v>
      </c>
    </row>
    <row r="23" spans="1:42" x14ac:dyDescent="0.25">
      <c r="A23" s="241">
        <v>2016</v>
      </c>
      <c r="B23" s="255" t="s">
        <v>111</v>
      </c>
      <c r="C23" s="219">
        <v>18</v>
      </c>
      <c r="D23" t="str">
        <f>main!$B$6</f>
        <v>McLane-PARFLUX-Mark78H-21 ; 12419-01, S250x21</v>
      </c>
      <c r="E23">
        <v>1000</v>
      </c>
      <c r="F23" s="3">
        <f>main!E24</f>
        <v>2.9285714285714346</v>
      </c>
      <c r="G23" s="3">
        <f>main!H24</f>
        <v>0.34453781512605114</v>
      </c>
      <c r="H23" s="3">
        <f>main!I24</f>
        <v>0.12584243697479019</v>
      </c>
      <c r="I23" t="str">
        <f>main!AF24</f>
        <v>NaN</v>
      </c>
      <c r="J23" s="3" t="str">
        <f>main!AG24</f>
        <v>NaN</v>
      </c>
      <c r="K23" s="3" t="str">
        <f>main!L24</f>
        <v>NaN</v>
      </c>
      <c r="L23" s="3" t="str">
        <f>main!N24</f>
        <v>NaN</v>
      </c>
      <c r="M23" s="3" t="str">
        <f>main!AH24</f>
        <v>NaN</v>
      </c>
      <c r="N23" s="3" t="str">
        <f>main!AB24</f>
        <v>NaN</v>
      </c>
      <c r="O23" s="3" t="str">
        <f>main!AC24</f>
        <v>NaN</v>
      </c>
      <c r="P23" s="18" t="s">
        <v>900</v>
      </c>
      <c r="Q23" s="18" t="s">
        <v>900</v>
      </c>
      <c r="R23" s="18" t="s">
        <v>900</v>
      </c>
      <c r="S23" s="18" t="s">
        <v>900</v>
      </c>
      <c r="T23" s="18" t="s">
        <v>900</v>
      </c>
      <c r="U23" s="18" t="s">
        <v>900</v>
      </c>
      <c r="V23" s="30">
        <f>main!T24</f>
        <v>42742</v>
      </c>
      <c r="W23" s="30">
        <f>main!U24</f>
        <v>42759</v>
      </c>
      <c r="X23" s="30">
        <f>main!V24</f>
        <v>42750.5</v>
      </c>
      <c r="Y23" s="5">
        <f>main!G24</f>
        <v>17</v>
      </c>
      <c r="Z23" s="18" t="s">
        <v>900</v>
      </c>
      <c r="AA23" s="17" t="s">
        <v>900</v>
      </c>
      <c r="AB23" s="17" t="s">
        <v>900</v>
      </c>
      <c r="AC23" s="17" t="s">
        <v>900</v>
      </c>
      <c r="AD23" s="17" t="s">
        <v>900</v>
      </c>
      <c r="AE23" s="17" t="s">
        <v>900</v>
      </c>
      <c r="AF23">
        <v>983.3</v>
      </c>
      <c r="AH23" s="3" t="s">
        <v>900</v>
      </c>
      <c r="AI23" s="3" t="s">
        <v>900</v>
      </c>
      <c r="AJ23" s="3" t="s">
        <v>900</v>
      </c>
      <c r="AK23" s="3" t="s">
        <v>900</v>
      </c>
      <c r="AL23" s="3" t="s">
        <v>900</v>
      </c>
      <c r="AM23" s="3" t="s">
        <v>900</v>
      </c>
      <c r="AN23" s="3" t="s">
        <v>900</v>
      </c>
      <c r="AO23" s="3">
        <f>main!R24</f>
        <v>38.18</v>
      </c>
      <c r="AP23" s="3">
        <f>main!S24</f>
        <v>8.66</v>
      </c>
    </row>
    <row r="24" spans="1:42" x14ac:dyDescent="0.25">
      <c r="A24" s="241">
        <v>2016</v>
      </c>
      <c r="B24" s="255" t="s">
        <v>111</v>
      </c>
      <c r="C24" s="219">
        <v>19</v>
      </c>
      <c r="D24" t="str">
        <f>main!$B$6</f>
        <v>McLane-PARFLUX-Mark78H-21 ; 12419-01, S250x21</v>
      </c>
      <c r="E24">
        <v>1000</v>
      </c>
      <c r="F24" s="3">
        <f>main!E25</f>
        <v>3.8285714285714385</v>
      </c>
      <c r="G24" s="3">
        <f>main!H25</f>
        <v>0.45042016806722807</v>
      </c>
      <c r="H24" s="3">
        <f>main!I25</f>
        <v>0.16451596638655505</v>
      </c>
      <c r="I24" t="str">
        <f>main!AF25</f>
        <v>NaN</v>
      </c>
      <c r="J24" s="3" t="str">
        <f>main!AG25</f>
        <v>NaN</v>
      </c>
      <c r="K24" s="3" t="str">
        <f>main!L25</f>
        <v>NaN</v>
      </c>
      <c r="L24" s="3" t="str">
        <f>main!N25</f>
        <v>NaN</v>
      </c>
      <c r="M24" s="3" t="str">
        <f>main!AH25</f>
        <v>NaN</v>
      </c>
      <c r="N24" s="3" t="str">
        <f>main!AB25</f>
        <v>NaN</v>
      </c>
      <c r="O24" s="3" t="str">
        <f>main!AC25</f>
        <v>NaN</v>
      </c>
      <c r="P24" s="18" t="s">
        <v>900</v>
      </c>
      <c r="Q24" s="18" t="s">
        <v>900</v>
      </c>
      <c r="R24" s="18" t="s">
        <v>900</v>
      </c>
      <c r="S24" s="18" t="s">
        <v>900</v>
      </c>
      <c r="T24" s="18" t="s">
        <v>900</v>
      </c>
      <c r="U24" s="18" t="s">
        <v>900</v>
      </c>
      <c r="V24" s="30">
        <f>main!T25</f>
        <v>42759</v>
      </c>
      <c r="W24" s="30">
        <f>main!U25</f>
        <v>42776</v>
      </c>
      <c r="X24" s="30">
        <f>main!V25</f>
        <v>42767.5</v>
      </c>
      <c r="Y24" s="5">
        <f>main!G25</f>
        <v>17</v>
      </c>
      <c r="Z24" s="18" t="s">
        <v>900</v>
      </c>
      <c r="AA24" s="17" t="s">
        <v>900</v>
      </c>
      <c r="AB24" s="17" t="s">
        <v>900</v>
      </c>
      <c r="AC24" s="17" t="s">
        <v>900</v>
      </c>
      <c r="AD24" s="17" t="s">
        <v>900</v>
      </c>
      <c r="AE24" s="17" t="s">
        <v>900</v>
      </c>
      <c r="AF24">
        <v>983.3</v>
      </c>
      <c r="AH24" s="3" t="s">
        <v>900</v>
      </c>
      <c r="AI24" s="3" t="s">
        <v>900</v>
      </c>
      <c r="AJ24" s="3" t="s">
        <v>900</v>
      </c>
      <c r="AK24" s="3" t="s">
        <v>900</v>
      </c>
      <c r="AL24" s="3" t="s">
        <v>900</v>
      </c>
      <c r="AM24" s="3" t="s">
        <v>900</v>
      </c>
      <c r="AN24" s="3" t="s">
        <v>900</v>
      </c>
      <c r="AO24" s="3">
        <f>main!R25</f>
        <v>37.950000000000003</v>
      </c>
      <c r="AP24" s="3">
        <f>main!S25</f>
        <v>8.6300000000000008</v>
      </c>
    </row>
    <row r="25" spans="1:42" x14ac:dyDescent="0.25">
      <c r="A25" s="241">
        <v>2016</v>
      </c>
      <c r="B25" s="255" t="s">
        <v>111</v>
      </c>
      <c r="C25" s="219">
        <v>20</v>
      </c>
      <c r="D25" t="str">
        <f>main!$B$6</f>
        <v>McLane-PARFLUX-Mark78H-21 ; 12419-01, S250x21</v>
      </c>
      <c r="E25">
        <v>1000</v>
      </c>
      <c r="F25" s="3">
        <f>main!E26</f>
        <v>2.2142857142857104</v>
      </c>
      <c r="G25" s="3">
        <f>main!H26</f>
        <v>0.26050420168067179</v>
      </c>
      <c r="H25" s="3">
        <f>main!I26</f>
        <v>9.514915966386539E-2</v>
      </c>
      <c r="I25" t="str">
        <f>main!AF26</f>
        <v>NaN</v>
      </c>
      <c r="J25" s="3" t="str">
        <f>main!AG26</f>
        <v>NaN</v>
      </c>
      <c r="K25" s="3" t="str">
        <f>main!L26</f>
        <v>NaN</v>
      </c>
      <c r="L25" s="3" t="str">
        <f>main!N26</f>
        <v>NaN</v>
      </c>
      <c r="M25" s="3" t="str">
        <f>main!AH26</f>
        <v>NaN</v>
      </c>
      <c r="N25" s="3" t="str">
        <f>main!AB26</f>
        <v>NaN</v>
      </c>
      <c r="O25" s="3" t="str">
        <f>main!AC26</f>
        <v>NaN</v>
      </c>
      <c r="P25" s="18" t="s">
        <v>900</v>
      </c>
      <c r="Q25" s="18" t="s">
        <v>900</v>
      </c>
      <c r="R25" s="18" t="s">
        <v>900</v>
      </c>
      <c r="S25" s="18" t="s">
        <v>900</v>
      </c>
      <c r="T25" s="18" t="s">
        <v>900</v>
      </c>
      <c r="U25" s="18" t="s">
        <v>900</v>
      </c>
      <c r="V25" s="30">
        <f>main!T26</f>
        <v>42776</v>
      </c>
      <c r="W25" s="30">
        <f>main!U26</f>
        <v>42793</v>
      </c>
      <c r="X25" s="30">
        <f>main!V26</f>
        <v>42784.5</v>
      </c>
      <c r="Y25" s="5">
        <f>main!G26</f>
        <v>17</v>
      </c>
      <c r="Z25" s="18" t="s">
        <v>900</v>
      </c>
      <c r="AA25" s="17" t="s">
        <v>900</v>
      </c>
      <c r="AB25" s="17" t="s">
        <v>900</v>
      </c>
      <c r="AC25" s="17" t="s">
        <v>900</v>
      </c>
      <c r="AD25" s="17" t="s">
        <v>900</v>
      </c>
      <c r="AE25" s="17" t="s">
        <v>900</v>
      </c>
      <c r="AF25">
        <v>983.3</v>
      </c>
      <c r="AH25" s="3" t="s">
        <v>900</v>
      </c>
      <c r="AI25" s="3" t="s">
        <v>900</v>
      </c>
      <c r="AJ25" s="3" t="s">
        <v>900</v>
      </c>
      <c r="AK25" s="3" t="s">
        <v>900</v>
      </c>
      <c r="AL25" s="3" t="s">
        <v>900</v>
      </c>
      <c r="AM25" s="3" t="s">
        <v>900</v>
      </c>
      <c r="AN25" s="3" t="s">
        <v>900</v>
      </c>
      <c r="AO25" s="3">
        <f>main!R26</f>
        <v>38.11</v>
      </c>
      <c r="AP25" s="3">
        <f>main!S26</f>
        <v>8.65</v>
      </c>
    </row>
    <row r="26" spans="1:42" x14ac:dyDescent="0.25">
      <c r="A26" s="241">
        <v>2016</v>
      </c>
      <c r="B26" s="255" t="s">
        <v>111</v>
      </c>
      <c r="C26" s="219">
        <v>21</v>
      </c>
      <c r="D26" t="str">
        <f>main!$B$6</f>
        <v>McLane-PARFLUX-Mark78H-21 ; 12419-01, S250x21</v>
      </c>
      <c r="E26">
        <v>1000</v>
      </c>
      <c r="F26" s="3">
        <f>main!E27</f>
        <v>1.5285714285714289</v>
      </c>
      <c r="G26" s="3">
        <f>main!H27</f>
        <v>0.17983193277310927</v>
      </c>
      <c r="H26" s="3">
        <f>main!I27</f>
        <v>6.5683613445378167E-2</v>
      </c>
      <c r="I26" t="str">
        <f>main!AF27</f>
        <v>NaN</v>
      </c>
      <c r="J26" s="3" t="str">
        <f>main!AG27</f>
        <v>NaN</v>
      </c>
      <c r="K26" s="3" t="str">
        <f>main!L27</f>
        <v>NaN</v>
      </c>
      <c r="L26" s="3" t="str">
        <f>main!N27</f>
        <v>NaN</v>
      </c>
      <c r="M26" s="3" t="str">
        <f>main!AH27</f>
        <v>NaN</v>
      </c>
      <c r="N26" s="3" t="str">
        <f>main!AB27</f>
        <v>NaN</v>
      </c>
      <c r="O26" s="3" t="str">
        <f>main!AC27</f>
        <v>NaN</v>
      </c>
      <c r="P26" s="18" t="s">
        <v>900</v>
      </c>
      <c r="Q26" s="18" t="s">
        <v>900</v>
      </c>
      <c r="R26" s="18" t="s">
        <v>900</v>
      </c>
      <c r="S26" s="18" t="s">
        <v>900</v>
      </c>
      <c r="T26" s="18" t="s">
        <v>900</v>
      </c>
      <c r="U26" s="18" t="s">
        <v>900</v>
      </c>
      <c r="V26" s="30">
        <f>main!T27</f>
        <v>42793</v>
      </c>
      <c r="W26" s="30">
        <f>main!U27</f>
        <v>42810</v>
      </c>
      <c r="X26" s="30">
        <f>main!V27</f>
        <v>42801.5</v>
      </c>
      <c r="Y26" s="5">
        <f>main!G27</f>
        <v>17</v>
      </c>
      <c r="Z26" s="18" t="s">
        <v>900</v>
      </c>
      <c r="AA26" s="17" t="s">
        <v>900</v>
      </c>
      <c r="AB26" s="17" t="s">
        <v>900</v>
      </c>
      <c r="AC26" s="17" t="s">
        <v>900</v>
      </c>
      <c r="AD26" s="17" t="s">
        <v>900</v>
      </c>
      <c r="AE26" s="17" t="s">
        <v>900</v>
      </c>
      <c r="AF26">
        <v>983.3</v>
      </c>
      <c r="AH26" s="3" t="s">
        <v>900</v>
      </c>
      <c r="AI26" s="3" t="s">
        <v>900</v>
      </c>
      <c r="AJ26" s="3" t="s">
        <v>900</v>
      </c>
      <c r="AK26" s="3" t="s">
        <v>900</v>
      </c>
      <c r="AL26" s="3" t="s">
        <v>900</v>
      </c>
      <c r="AM26" s="3" t="s">
        <v>900</v>
      </c>
      <c r="AN26" s="3" t="s">
        <v>900</v>
      </c>
      <c r="AO26" s="3">
        <f>main!R27</f>
        <v>38.35</v>
      </c>
      <c r="AP26" s="3">
        <f>main!S27</f>
        <v>8.6199999999999992</v>
      </c>
    </row>
    <row r="27" spans="1:42" x14ac:dyDescent="0.25">
      <c r="A27" s="241">
        <v>2016</v>
      </c>
      <c r="B27" s="238" t="s">
        <v>109</v>
      </c>
      <c r="C27" s="268">
        <v>1</v>
      </c>
      <c r="D27" t="str">
        <f>main!$B$30</f>
        <v>McLane-PARFLUX-Mark78H-21 ; 12419-02, O250x21</v>
      </c>
      <c r="E27">
        <v>2000</v>
      </c>
      <c r="F27" s="3">
        <f>main!E31</f>
        <v>260.89999999999998</v>
      </c>
      <c r="G27" s="3">
        <f>main!H31</f>
        <v>30.694117647058821</v>
      </c>
      <c r="H27" s="3">
        <f>main!I31</f>
        <v>11.211026470588235</v>
      </c>
      <c r="I27">
        <f>main!AF31</f>
        <v>67.435070394701427</v>
      </c>
      <c r="J27" s="3">
        <f>main!AG31</f>
        <v>8.0919200758577201</v>
      </c>
      <c r="K27" s="3">
        <f>main!L31</f>
        <v>14.302079200744629</v>
      </c>
      <c r="L27" s="3">
        <f>main!N31</f>
        <v>0.94686996936798096</v>
      </c>
      <c r="M27" s="3">
        <f>main!AH31</f>
        <v>6.2101591248869088</v>
      </c>
      <c r="N27" s="3">
        <f>main!AB31</f>
        <v>1.6202174824972513</v>
      </c>
      <c r="O27" s="3">
        <f>main!AC31</f>
        <v>3.4659618555806286</v>
      </c>
      <c r="P27" s="3">
        <f t="shared" si="2"/>
        <v>7.5601635924097872</v>
      </c>
      <c r="Q27" s="3">
        <f t="shared" si="3"/>
        <v>0.90718730168325257</v>
      </c>
      <c r="R27" s="3">
        <f t="shared" si="4"/>
        <v>1.6034098850399747</v>
      </c>
      <c r="S27" s="3">
        <f t="shared" si="5"/>
        <v>0.10615384290789508</v>
      </c>
      <c r="T27" s="3">
        <f t="shared" si="6"/>
        <v>0.69622258335672205</v>
      </c>
      <c r="U27" s="3">
        <f t="shared" si="7"/>
        <v>0.38856990108963546</v>
      </c>
      <c r="V27" s="30">
        <f>main!T31</f>
        <v>42453</v>
      </c>
      <c r="W27" s="30">
        <f>main!U31</f>
        <v>42470</v>
      </c>
      <c r="X27" s="30">
        <f>main!V31</f>
        <v>42461.5</v>
      </c>
      <c r="Y27" s="5">
        <f>main!G31</f>
        <v>17</v>
      </c>
      <c r="Z27">
        <f t="shared" si="8"/>
        <v>0.18164301084386517</v>
      </c>
      <c r="AA27">
        <f t="shared" si="9"/>
        <v>0.13350623522397792</v>
      </c>
      <c r="AB27">
        <f t="shared" si="10"/>
        <v>7.5770052039896563E-3</v>
      </c>
      <c r="AC27">
        <f t="shared" si="11"/>
        <v>5.7970240079660451E-2</v>
      </c>
      <c r="AD27">
        <f t="shared" si="12"/>
        <v>7.5535995144317455E-2</v>
      </c>
      <c r="AE27">
        <f t="shared" si="13"/>
        <v>6.4664653201803191E-3</v>
      </c>
      <c r="AF27" s="2">
        <v>2010.7</v>
      </c>
      <c r="AH27" s="3">
        <f t="shared" si="14"/>
        <v>133.50623522397791</v>
      </c>
      <c r="AI27" s="3">
        <f t="shared" si="15"/>
        <v>7.577005203989656</v>
      </c>
      <c r="AJ27" s="3">
        <f t="shared" si="16"/>
        <v>57.970240079660449</v>
      </c>
      <c r="AK27" s="3">
        <f t="shared" si="17"/>
        <v>75.535995144317454</v>
      </c>
      <c r="AL27" s="3">
        <f t="shared" si="18"/>
        <v>6.4664653201803191</v>
      </c>
      <c r="AM27" s="3">
        <f t="shared" si="19"/>
        <v>7.6508117018497419</v>
      </c>
      <c r="AN27" s="3">
        <f t="shared" si="20"/>
        <v>9.9691095770323788</v>
      </c>
      <c r="AO27" s="3">
        <f>main!R31</f>
        <v>38.04</v>
      </c>
      <c r="AP27" s="3">
        <f>main!S31</f>
        <v>8.5500000000000007</v>
      </c>
    </row>
    <row r="28" spans="1:42" x14ac:dyDescent="0.25">
      <c r="A28" s="241">
        <v>2016</v>
      </c>
      <c r="B28" s="238" t="s">
        <v>109</v>
      </c>
      <c r="C28" s="269">
        <v>2</v>
      </c>
      <c r="D28" t="str">
        <f>main!$B$30</f>
        <v>McLane-PARFLUX-Mark78H-21 ; 12419-02, O250x21</v>
      </c>
      <c r="E28">
        <v>2000</v>
      </c>
      <c r="F28" s="3">
        <f>main!E32</f>
        <v>261.28571428571428</v>
      </c>
      <c r="G28" s="3">
        <f>main!H32</f>
        <v>30.739495798319325</v>
      </c>
      <c r="H28" s="3">
        <f>main!I32</f>
        <v>11.227600840336136</v>
      </c>
      <c r="I28">
        <f>main!AF32</f>
        <v>74.531460296199441</v>
      </c>
      <c r="J28" s="3">
        <f>main!AG32</f>
        <v>8.9434565178595324</v>
      </c>
      <c r="K28" s="3">
        <f>main!L32</f>
        <v>13.531609535217285</v>
      </c>
      <c r="L28" s="3">
        <f>main!N32</f>
        <v>0.72954195737838745</v>
      </c>
      <c r="M28" s="3">
        <f>main!AH32</f>
        <v>4.5881530173577527</v>
      </c>
      <c r="N28" s="3">
        <f>main!AB32</f>
        <v>4.0355532687258933</v>
      </c>
      <c r="O28" s="3">
        <f>main!AC32</f>
        <v>8.6328371633228524</v>
      </c>
      <c r="P28" s="3">
        <f t="shared" si="2"/>
        <v>8.3680948625308815</v>
      </c>
      <c r="Q28" s="3">
        <f t="shared" si="3"/>
        <v>1.0041355991542937</v>
      </c>
      <c r="R28" s="3">
        <f t="shared" si="4"/>
        <v>1.5192751058870604</v>
      </c>
      <c r="S28" s="3">
        <f t="shared" si="5"/>
        <v>8.1910058937220517E-2</v>
      </c>
      <c r="T28" s="3">
        <f t="shared" si="6"/>
        <v>0.51513950673276676</v>
      </c>
      <c r="U28" s="3">
        <f t="shared" si="7"/>
        <v>0.96926049789408686</v>
      </c>
      <c r="V28" s="30">
        <f>main!T32</f>
        <v>42470</v>
      </c>
      <c r="W28" s="30">
        <f>main!U32</f>
        <v>42487</v>
      </c>
      <c r="X28" s="30">
        <f>main!V32</f>
        <v>42478.5</v>
      </c>
      <c r="Y28" s="5">
        <f>main!G32</f>
        <v>17</v>
      </c>
      <c r="Z28">
        <f t="shared" si="8"/>
        <v>0.45309581271168076</v>
      </c>
      <c r="AA28">
        <f t="shared" si="9"/>
        <v>0.12650084145604168</v>
      </c>
      <c r="AB28">
        <f t="shared" si="10"/>
        <v>5.8465423938058904E-3</v>
      </c>
      <c r="AC28">
        <f t="shared" si="11"/>
        <v>4.289254843736609E-2</v>
      </c>
      <c r="AD28">
        <f t="shared" si="12"/>
        <v>8.3608293018675589E-2</v>
      </c>
      <c r="AE28">
        <f t="shared" si="13"/>
        <v>1.6130146411950187E-2</v>
      </c>
      <c r="AF28" s="2">
        <v>2010.7</v>
      </c>
      <c r="AH28" s="3">
        <f t="shared" si="14"/>
        <v>126.50084145604168</v>
      </c>
      <c r="AI28" s="3">
        <f t="shared" si="15"/>
        <v>5.8465423938058905</v>
      </c>
      <c r="AJ28" s="3">
        <f t="shared" si="16"/>
        <v>42.892548437366088</v>
      </c>
      <c r="AK28" s="3">
        <f t="shared" si="17"/>
        <v>83.608293018675596</v>
      </c>
      <c r="AL28" s="3">
        <f t="shared" si="18"/>
        <v>16.130146411950186</v>
      </c>
      <c r="AM28" s="3">
        <f t="shared" si="19"/>
        <v>7.336395693086657</v>
      </c>
      <c r="AN28" s="3">
        <f t="shared" si="20"/>
        <v>14.300468103550273</v>
      </c>
      <c r="AO28" s="3">
        <f>main!R32</f>
        <v>37.17</v>
      </c>
      <c r="AP28" s="3">
        <f>main!S32</f>
        <v>8.51</v>
      </c>
    </row>
    <row r="29" spans="1:42" x14ac:dyDescent="0.25">
      <c r="A29" s="241">
        <v>2016</v>
      </c>
      <c r="B29" s="238" t="s">
        <v>109</v>
      </c>
      <c r="C29" s="269">
        <v>3</v>
      </c>
      <c r="D29" t="str">
        <f>main!$B$30</f>
        <v>McLane-PARFLUX-Mark78H-21 ; 12419-02, O250x21</v>
      </c>
      <c r="E29">
        <v>2000</v>
      </c>
      <c r="F29" s="3">
        <f>main!E33</f>
        <v>327.95714285714286</v>
      </c>
      <c r="G29" s="3">
        <f>main!H33</f>
        <v>38.583193277310926</v>
      </c>
      <c r="H29" s="3">
        <f>main!I33</f>
        <v>14.092511344537815</v>
      </c>
      <c r="I29">
        <f>main!AF33</f>
        <v>75.636119052799245</v>
      </c>
      <c r="J29" s="3">
        <f>main!AG33</f>
        <v>9.0760108448170431</v>
      </c>
      <c r="K29" s="3">
        <f>main!L33</f>
        <v>14.735773086547852</v>
      </c>
      <c r="L29" s="3">
        <f>main!N33</f>
        <v>1.0680783987045288</v>
      </c>
      <c r="M29" s="3">
        <f>main!AH33</f>
        <v>5.6597622417308084</v>
      </c>
      <c r="N29" s="3">
        <f>main!AB33</f>
        <v>3.173122252162814</v>
      </c>
      <c r="O29" s="3">
        <f>main!AC33</f>
        <v>6.7879286626010504</v>
      </c>
      <c r="P29" s="3">
        <f t="shared" si="2"/>
        <v>10.659028658083862</v>
      </c>
      <c r="Q29" s="3">
        <f t="shared" si="3"/>
        <v>1.2790378579373243</v>
      </c>
      <c r="R29" s="3">
        <f t="shared" si="4"/>
        <v>2.0766404939271061</v>
      </c>
      <c r="S29" s="3">
        <f t="shared" si="5"/>
        <v>0.15051906950599356</v>
      </c>
      <c r="T29" s="3">
        <f t="shared" si="6"/>
        <v>0.79760263598978198</v>
      </c>
      <c r="U29" s="3">
        <f t="shared" si="7"/>
        <v>0.95658961683618704</v>
      </c>
      <c r="V29" s="30">
        <f>main!T33</f>
        <v>42487</v>
      </c>
      <c r="W29" s="30">
        <f>main!U33</f>
        <v>42504</v>
      </c>
      <c r="X29" s="30">
        <f>main!V33</f>
        <v>42495.5</v>
      </c>
      <c r="Y29" s="5">
        <f>main!G33</f>
        <v>17</v>
      </c>
      <c r="Z29">
        <f t="shared" si="8"/>
        <v>0.4471726133620984</v>
      </c>
      <c r="AA29">
        <f t="shared" si="9"/>
        <v>0.17290928342440517</v>
      </c>
      <c r="AB29">
        <f t="shared" si="10"/>
        <v>1.074368804468191E-2</v>
      </c>
      <c r="AC29">
        <f t="shared" si="11"/>
        <v>6.6411543379665441E-2</v>
      </c>
      <c r="AD29">
        <f t="shared" si="12"/>
        <v>0.10649774004473975</v>
      </c>
      <c r="AE29">
        <f t="shared" si="13"/>
        <v>1.5919281358565268E-2</v>
      </c>
      <c r="AF29" s="2">
        <v>2010.7</v>
      </c>
      <c r="AH29" s="3">
        <f t="shared" si="14"/>
        <v>172.90928342440517</v>
      </c>
      <c r="AI29" s="3">
        <f t="shared" si="15"/>
        <v>10.74368804468191</v>
      </c>
      <c r="AJ29" s="3">
        <f t="shared" si="16"/>
        <v>66.411543379665446</v>
      </c>
      <c r="AK29" s="3">
        <f t="shared" si="17"/>
        <v>106.49774004473974</v>
      </c>
      <c r="AL29" s="3">
        <f t="shared" si="18"/>
        <v>15.919281358565268</v>
      </c>
      <c r="AM29" s="3">
        <f t="shared" si="19"/>
        <v>6.1814474790655281</v>
      </c>
      <c r="AN29" s="3">
        <f t="shared" si="20"/>
        <v>9.9125867767033462</v>
      </c>
      <c r="AO29" s="3">
        <f>main!R33</f>
        <v>36.270000000000003</v>
      </c>
      <c r="AP29" s="3">
        <f>main!S33</f>
        <v>8.4499999999999993</v>
      </c>
    </row>
    <row r="30" spans="1:42" x14ac:dyDescent="0.25">
      <c r="A30" s="241">
        <v>2016</v>
      </c>
      <c r="B30" s="238" t="s">
        <v>109</v>
      </c>
      <c r="C30" s="269">
        <v>4</v>
      </c>
      <c r="D30" t="str">
        <f>main!$B$30</f>
        <v>McLane-PARFLUX-Mark78H-21 ; 12419-02, O250x21</v>
      </c>
      <c r="E30">
        <v>2000</v>
      </c>
      <c r="F30" s="3">
        <f>main!E34</f>
        <v>393.98571428571432</v>
      </c>
      <c r="G30" s="3">
        <f>main!H34</f>
        <v>46.351260504201683</v>
      </c>
      <c r="H30" s="3">
        <f>main!I34</f>
        <v>16.929797899159666</v>
      </c>
      <c r="I30">
        <f>main!AF34</f>
        <v>77.46318843664055</v>
      </c>
      <c r="J30" s="3">
        <f>main!AG34</f>
        <v>9.2952513578105922</v>
      </c>
      <c r="K30" s="3">
        <f>main!L34</f>
        <v>13.06618595123291</v>
      </c>
      <c r="L30" s="3">
        <f>main!N34</f>
        <v>0.59522348642349243</v>
      </c>
      <c r="M30" s="3">
        <f>main!AH34</f>
        <v>3.770934593422318</v>
      </c>
      <c r="N30" s="3">
        <f>main!AB34</f>
        <v>4.7190671992481201</v>
      </c>
      <c r="O30" s="3">
        <f>main!AC34</f>
        <v>10.095007048872183</v>
      </c>
      <c r="P30" s="3">
        <f t="shared" si="2"/>
        <v>13.114361248568466</v>
      </c>
      <c r="Q30" s="3">
        <f t="shared" si="3"/>
        <v>1.5736672690962281</v>
      </c>
      <c r="R30" s="3">
        <f t="shared" si="4"/>
        <v>2.2120788746721249</v>
      </c>
      <c r="S30" s="3">
        <f t="shared" si="5"/>
        <v>0.10077013329982934</v>
      </c>
      <c r="T30" s="3">
        <f t="shared" si="6"/>
        <v>0.6384116055758966</v>
      </c>
      <c r="U30" s="3">
        <f t="shared" si="7"/>
        <v>1.7090642912799832</v>
      </c>
      <c r="V30" s="30">
        <f>main!T34</f>
        <v>42504</v>
      </c>
      <c r="W30" s="30">
        <f>main!U34</f>
        <v>42521</v>
      </c>
      <c r="X30" s="30">
        <f>main!V34</f>
        <v>42512.5</v>
      </c>
      <c r="Y30" s="5">
        <f>main!G34</f>
        <v>17</v>
      </c>
      <c r="Z30">
        <f t="shared" si="8"/>
        <v>0.79892853955824106</v>
      </c>
      <c r="AA30">
        <f t="shared" si="9"/>
        <v>0.18418641754139259</v>
      </c>
      <c r="AB30">
        <f t="shared" si="10"/>
        <v>7.1927290007015943E-3</v>
      </c>
      <c r="AC30">
        <f t="shared" si="11"/>
        <v>5.3156669906402713E-2</v>
      </c>
      <c r="AD30">
        <f t="shared" si="12"/>
        <v>0.13102974763498984</v>
      </c>
      <c r="AE30">
        <f t="shared" si="13"/>
        <v>2.8441742241304416E-2</v>
      </c>
      <c r="AF30" s="2">
        <v>2010.7</v>
      </c>
      <c r="AH30" s="3">
        <f t="shared" si="14"/>
        <v>184.18641754139259</v>
      </c>
      <c r="AI30" s="3">
        <f t="shared" si="15"/>
        <v>7.1927290007015943</v>
      </c>
      <c r="AJ30" s="3">
        <f t="shared" si="16"/>
        <v>53.156669906402712</v>
      </c>
      <c r="AK30" s="3">
        <f t="shared" si="17"/>
        <v>131.02974763498983</v>
      </c>
      <c r="AL30" s="3">
        <f t="shared" si="18"/>
        <v>28.441742241304418</v>
      </c>
      <c r="AM30" s="3">
        <f t="shared" si="19"/>
        <v>7.3903340305491412</v>
      </c>
      <c r="AN30" s="3">
        <f t="shared" si="20"/>
        <v>18.216972670902646</v>
      </c>
      <c r="AO30" s="3">
        <f>main!R34</f>
        <v>37.07</v>
      </c>
      <c r="AP30" s="3">
        <f>main!S34</f>
        <v>8.5299999999999994</v>
      </c>
    </row>
    <row r="31" spans="1:42" x14ac:dyDescent="0.25">
      <c r="A31" s="241">
        <v>2016</v>
      </c>
      <c r="B31" s="238" t="s">
        <v>109</v>
      </c>
      <c r="C31" s="269">
        <v>5</v>
      </c>
      <c r="D31" t="str">
        <f>main!$B$30</f>
        <v>McLane-PARFLUX-Mark78H-21 ; 12419-02, O250x21</v>
      </c>
      <c r="E31">
        <v>2000</v>
      </c>
      <c r="F31" s="3">
        <f>main!E35</f>
        <v>535.21428571428567</v>
      </c>
      <c r="G31" s="3">
        <f>main!H35</f>
        <v>62.966386554621842</v>
      </c>
      <c r="H31" s="3">
        <f>main!I35</f>
        <v>22.99847268907563</v>
      </c>
      <c r="I31">
        <f>main!AF35</f>
        <v>72.616080797736615</v>
      </c>
      <c r="J31" s="3">
        <f>main!AG35</f>
        <v>8.7136191687505224</v>
      </c>
      <c r="K31" s="3">
        <f>main!L35</f>
        <v>12.637329578399658</v>
      </c>
      <c r="L31" s="3">
        <f>main!N35</f>
        <v>0.58599114418029785</v>
      </c>
      <c r="M31" s="3">
        <f>main!AH35</f>
        <v>3.9237104096491358</v>
      </c>
      <c r="N31" s="3">
        <f>main!AB35</f>
        <v>5.5425373840690799</v>
      </c>
      <c r="O31" s="3">
        <f>main!AC35</f>
        <v>11.85657071586725</v>
      </c>
      <c r="P31" s="3">
        <f t="shared" si="2"/>
        <v>16.70058951014455</v>
      </c>
      <c r="Q31" s="3">
        <f t="shared" si="3"/>
        <v>2.003999324755148</v>
      </c>
      <c r="R31" s="3">
        <f t="shared" si="4"/>
        <v>2.9063927917167218</v>
      </c>
      <c r="S31" s="3">
        <f t="shared" si="5"/>
        <v>0.13476901325470761</v>
      </c>
      <c r="T31" s="3">
        <f t="shared" si="6"/>
        <v>0.90239346696157408</v>
      </c>
      <c r="U31" s="3">
        <f t="shared" si="7"/>
        <v>2.7268301779496684</v>
      </c>
      <c r="V31" s="30">
        <f>main!T35</f>
        <v>42521</v>
      </c>
      <c r="W31" s="30">
        <f>main!U35</f>
        <v>42538</v>
      </c>
      <c r="X31" s="30">
        <f>main!V35</f>
        <v>42529.5</v>
      </c>
      <c r="Y31" s="5">
        <f>main!G35</f>
        <v>17</v>
      </c>
      <c r="Z31">
        <f t="shared" si="8"/>
        <v>1.2746989465569343</v>
      </c>
      <c r="AA31">
        <f t="shared" si="9"/>
        <v>0.24199773453095103</v>
      </c>
      <c r="AB31">
        <f t="shared" si="10"/>
        <v>9.6194870274595012E-3</v>
      </c>
      <c r="AC31">
        <f t="shared" si="11"/>
        <v>7.5136841545509911E-2</v>
      </c>
      <c r="AD31">
        <f t="shared" si="12"/>
        <v>0.16686089298544113</v>
      </c>
      <c r="AE31">
        <f t="shared" si="13"/>
        <v>4.5379100981022935E-2</v>
      </c>
      <c r="AF31" s="2">
        <v>2010.7</v>
      </c>
      <c r="AH31" s="3">
        <f t="shared" si="14"/>
        <v>241.99773453095102</v>
      </c>
      <c r="AI31" s="3">
        <f t="shared" si="15"/>
        <v>9.6194870274595008</v>
      </c>
      <c r="AJ31" s="3">
        <f t="shared" si="16"/>
        <v>75.13684154550991</v>
      </c>
      <c r="AK31" s="3">
        <f t="shared" si="17"/>
        <v>166.86089298544113</v>
      </c>
      <c r="AL31" s="3">
        <f t="shared" si="18"/>
        <v>45.379100981022937</v>
      </c>
      <c r="AM31" s="3">
        <f t="shared" si="19"/>
        <v>7.8108989939927689</v>
      </c>
      <c r="AN31" s="3">
        <f t="shared" si="20"/>
        <v>17.346132128368694</v>
      </c>
      <c r="AO31" s="3">
        <f>main!R35</f>
        <v>37.82</v>
      </c>
      <c r="AP31" s="3">
        <f>main!S35</f>
        <v>8.5399999999999991</v>
      </c>
    </row>
    <row r="32" spans="1:42" x14ac:dyDescent="0.25">
      <c r="A32" s="241">
        <v>2016</v>
      </c>
      <c r="B32" s="238" t="s">
        <v>109</v>
      </c>
      <c r="C32" s="269">
        <v>6</v>
      </c>
      <c r="D32" t="str">
        <f>main!$B$30</f>
        <v>McLane-PARFLUX-Mark78H-21 ; 12419-02, O250x21</v>
      </c>
      <c r="E32">
        <v>2000</v>
      </c>
      <c r="F32" s="3">
        <f>main!E36</f>
        <v>385.25714285714287</v>
      </c>
      <c r="G32" s="3">
        <f>main!H36</f>
        <v>45.324369747899162</v>
      </c>
      <c r="H32" s="3">
        <f>main!I36</f>
        <v>16.554726050420168</v>
      </c>
      <c r="I32">
        <f>main!AF36</f>
        <v>67.129541325547407</v>
      </c>
      <c r="J32" s="3">
        <f>main!AG36</f>
        <v>8.05525789408828</v>
      </c>
      <c r="K32" s="3">
        <f>main!L36</f>
        <v>12.680932998657227</v>
      </c>
      <c r="L32" s="3">
        <f>main!N36</f>
        <v>0.72053265571594238</v>
      </c>
      <c r="M32" s="3">
        <f>main!AH36</f>
        <v>4.6256751045689466</v>
      </c>
      <c r="N32" s="3">
        <f>main!AB36</f>
        <v>6.7522031505424298</v>
      </c>
      <c r="O32" s="3">
        <f>main!AC36</f>
        <v>14.444282211324122</v>
      </c>
      <c r="P32" s="3">
        <f t="shared" si="2"/>
        <v>11.113111665347969</v>
      </c>
      <c r="Q32" s="3">
        <f t="shared" si="3"/>
        <v>1.3335258770211595</v>
      </c>
      <c r="R32" s="3">
        <f t="shared" si="4"/>
        <v>2.0992937185650353</v>
      </c>
      <c r="S32" s="3">
        <f t="shared" si="5"/>
        <v>0.11928220725759138</v>
      </c>
      <c r="T32" s="3">
        <f t="shared" si="6"/>
        <v>0.76576784154387578</v>
      </c>
      <c r="U32" s="3">
        <f t="shared" si="7"/>
        <v>2.3912113500342809</v>
      </c>
      <c r="V32" s="30">
        <f>main!T36</f>
        <v>42538</v>
      </c>
      <c r="W32" s="30">
        <f>main!U36</f>
        <v>42555</v>
      </c>
      <c r="X32" s="30">
        <f>main!V36</f>
        <v>42546.5</v>
      </c>
      <c r="Y32" s="5">
        <f>main!G36</f>
        <v>17</v>
      </c>
      <c r="Z32">
        <f t="shared" si="8"/>
        <v>1.117808733940139</v>
      </c>
      <c r="AA32">
        <f t="shared" si="9"/>
        <v>0.17479548031349171</v>
      </c>
      <c r="AB32">
        <f t="shared" si="10"/>
        <v>8.5140761782720471E-3</v>
      </c>
      <c r="AC32">
        <f t="shared" si="11"/>
        <v>6.376085275136352E-2</v>
      </c>
      <c r="AD32">
        <f t="shared" si="12"/>
        <v>0.11103462756212819</v>
      </c>
      <c r="AE32">
        <f t="shared" si="13"/>
        <v>3.979383175294194E-2</v>
      </c>
      <c r="AF32" s="2">
        <v>2010.7</v>
      </c>
      <c r="AH32" s="3">
        <f t="shared" si="14"/>
        <v>174.79548031349171</v>
      </c>
      <c r="AI32" s="3">
        <f t="shared" si="15"/>
        <v>8.5140761782720471</v>
      </c>
      <c r="AJ32" s="3">
        <f t="shared" si="16"/>
        <v>63.760852751363522</v>
      </c>
      <c r="AK32" s="3">
        <f t="shared" si="17"/>
        <v>111.03462756212819</v>
      </c>
      <c r="AL32" s="3">
        <f t="shared" si="18"/>
        <v>39.793831752941941</v>
      </c>
      <c r="AM32" s="3">
        <f t="shared" si="19"/>
        <v>7.4888750601129743</v>
      </c>
      <c r="AN32" s="3">
        <f t="shared" si="20"/>
        <v>13.041300692785549</v>
      </c>
      <c r="AO32" s="3">
        <f>main!R36</f>
        <v>38.28</v>
      </c>
      <c r="AP32" s="3">
        <f>main!S36</f>
        <v>8.5500000000000007</v>
      </c>
    </row>
    <row r="33" spans="1:42" x14ac:dyDescent="0.25">
      <c r="A33" s="241">
        <v>2016</v>
      </c>
      <c r="B33" s="238" t="s">
        <v>109</v>
      </c>
      <c r="C33" s="269">
        <v>7</v>
      </c>
      <c r="D33" t="str">
        <f>main!$B$30</f>
        <v>McLane-PARFLUX-Mark78H-21 ; 12419-02, O250x21</v>
      </c>
      <c r="E33">
        <v>2000</v>
      </c>
      <c r="F33" s="3">
        <f>main!E37</f>
        <v>266.32857142857137</v>
      </c>
      <c r="G33" s="3">
        <f>main!H37</f>
        <v>31.332773109243689</v>
      </c>
      <c r="H33" s="3">
        <f>main!I37</f>
        <v>11.444295378151258</v>
      </c>
      <c r="I33">
        <f>main!AF37</f>
        <v>66.516592817359253</v>
      </c>
      <c r="J33" s="3">
        <f>main!AG37</f>
        <v>7.9817066942475448</v>
      </c>
      <c r="K33" s="3">
        <f>main!L37</f>
        <v>13.081178665161133</v>
      </c>
      <c r="L33" s="3">
        <f>main!N37</f>
        <v>0.7311137318611145</v>
      </c>
      <c r="M33" s="3">
        <f>main!AH37</f>
        <v>5.0994719709135881</v>
      </c>
      <c r="N33" s="3">
        <f>main!AB37</f>
        <v>5.6432789776817858</v>
      </c>
      <c r="O33" s="3">
        <f>main!AC37</f>
        <v>12.072076673866091</v>
      </c>
      <c r="P33" s="3">
        <f t="shared" si="2"/>
        <v>7.6123553575007366</v>
      </c>
      <c r="Q33" s="3">
        <f t="shared" si="3"/>
        <v>0.91345009030736135</v>
      </c>
      <c r="R33" s="3">
        <f t="shared" si="4"/>
        <v>1.497048725384744</v>
      </c>
      <c r="S33" s="3">
        <f t="shared" si="5"/>
        <v>8.3670815024410705E-2</v>
      </c>
      <c r="T33" s="3">
        <f t="shared" si="6"/>
        <v>0.58359863507738263</v>
      </c>
      <c r="U33" s="3">
        <f t="shared" si="7"/>
        <v>1.3815641128341332</v>
      </c>
      <c r="V33" s="30">
        <f>main!T37</f>
        <v>42555</v>
      </c>
      <c r="W33" s="30">
        <f>main!U37</f>
        <v>42572</v>
      </c>
      <c r="X33" s="30">
        <f>main!V37</f>
        <v>42563.5</v>
      </c>
      <c r="Y33" s="5">
        <f>main!G37</f>
        <v>17</v>
      </c>
      <c r="Z33">
        <f t="shared" si="8"/>
        <v>0.64583351521901822</v>
      </c>
      <c r="AA33">
        <f t="shared" si="9"/>
        <v>0.12465018529431673</v>
      </c>
      <c r="AB33">
        <f t="shared" si="10"/>
        <v>5.9722209153754962E-3</v>
      </c>
      <c r="AC33">
        <f t="shared" si="11"/>
        <v>4.859272565173877E-2</v>
      </c>
      <c r="AD33">
        <f t="shared" si="12"/>
        <v>7.6057459642577971E-2</v>
      </c>
      <c r="AE33">
        <f t="shared" si="13"/>
        <v>2.2991581175472346E-2</v>
      </c>
      <c r="AF33" s="2">
        <v>2010.7</v>
      </c>
      <c r="AH33" s="3">
        <f t="shared" si="14"/>
        <v>124.65018529431673</v>
      </c>
      <c r="AI33" s="3">
        <f t="shared" si="15"/>
        <v>5.9722209153754964</v>
      </c>
      <c r="AJ33" s="3">
        <f t="shared" si="16"/>
        <v>48.592725651738768</v>
      </c>
      <c r="AK33" s="3">
        <f t="shared" si="17"/>
        <v>76.057459642577967</v>
      </c>
      <c r="AL33" s="3">
        <f t="shared" si="18"/>
        <v>22.991581175472344</v>
      </c>
      <c r="AM33" s="3">
        <f t="shared" si="19"/>
        <v>8.1364581686247881</v>
      </c>
      <c r="AN33" s="3">
        <f t="shared" si="20"/>
        <v>12.735205331532171</v>
      </c>
      <c r="AO33" s="3">
        <f>main!R37</f>
        <v>38.21</v>
      </c>
      <c r="AP33" s="3">
        <f>main!S37</f>
        <v>8.48</v>
      </c>
    </row>
    <row r="34" spans="1:42" x14ac:dyDescent="0.25">
      <c r="A34" s="241">
        <v>2016</v>
      </c>
      <c r="B34" s="238" t="s">
        <v>109</v>
      </c>
      <c r="C34" s="269">
        <v>8</v>
      </c>
      <c r="D34" t="str">
        <f>main!$B$30</f>
        <v>McLane-PARFLUX-Mark78H-21 ; 12419-02, O250x21</v>
      </c>
      <c r="E34">
        <v>2000</v>
      </c>
      <c r="F34" s="3">
        <f>main!E38</f>
        <v>354.48571428571432</v>
      </c>
      <c r="G34" s="3">
        <f>main!H38</f>
        <v>41.70420168067227</v>
      </c>
      <c r="H34" s="3">
        <f>main!I38</f>
        <v>15.232459663865548</v>
      </c>
      <c r="I34">
        <f>main!AF38</f>
        <v>63.980839053770922</v>
      </c>
      <c r="J34" s="3">
        <f>main!AG38</f>
        <v>7.6774270862199625</v>
      </c>
      <c r="K34" s="3">
        <f>main!L38</f>
        <v>14.204557418823242</v>
      </c>
      <c r="L34" s="3">
        <f>main!N38</f>
        <v>1.0817877054214478</v>
      </c>
      <c r="M34" s="3">
        <f>main!AH38</f>
        <v>6.5271303326032797</v>
      </c>
      <c r="N34" s="3">
        <f>main!AB38</f>
        <v>5.3411537441763572</v>
      </c>
      <c r="O34" s="3">
        <f>main!AC38</f>
        <v>11.425771751070036</v>
      </c>
      <c r="P34" s="3">
        <f t="shared" si="2"/>
        <v>9.745855501468391</v>
      </c>
      <c r="Q34" s="3">
        <f t="shared" si="3"/>
        <v>1.1694609841311439</v>
      </c>
      <c r="R34" s="3">
        <f t="shared" si="4"/>
        <v>2.1637034792528715</v>
      </c>
      <c r="S34" s="3">
        <f t="shared" si="5"/>
        <v>0.16478287587697868</v>
      </c>
      <c r="T34" s="3">
        <f t="shared" si="6"/>
        <v>0.9942424951217278</v>
      </c>
      <c r="U34" s="3">
        <f t="shared" si="7"/>
        <v>1.7404260732670873</v>
      </c>
      <c r="V34" s="30">
        <f>main!T38</f>
        <v>42572</v>
      </c>
      <c r="W34" s="30">
        <f>main!U38</f>
        <v>42589</v>
      </c>
      <c r="X34" s="30">
        <f>main!V38</f>
        <v>42580.5</v>
      </c>
      <c r="Y34" s="5">
        <f>main!G38</f>
        <v>17</v>
      </c>
      <c r="Z34">
        <f t="shared" si="8"/>
        <v>0.81358908966670807</v>
      </c>
      <c r="AA34">
        <f t="shared" si="9"/>
        <v>0.18015849119507674</v>
      </c>
      <c r="AB34">
        <f t="shared" si="10"/>
        <v>1.1761804131119106E-2</v>
      </c>
      <c r="AC34">
        <f t="shared" si="11"/>
        <v>8.2784554131700896E-2</v>
      </c>
      <c r="AD34">
        <f t="shared" si="12"/>
        <v>9.737393706337584E-2</v>
      </c>
      <c r="AE34">
        <f t="shared" si="13"/>
        <v>2.8963655737511858E-2</v>
      </c>
      <c r="AF34" s="2">
        <v>2010.7</v>
      </c>
      <c r="AH34" s="3">
        <f t="shared" si="14"/>
        <v>180.15849119507675</v>
      </c>
      <c r="AI34" s="3">
        <f t="shared" si="15"/>
        <v>11.761804131119106</v>
      </c>
      <c r="AJ34" s="3">
        <f t="shared" si="16"/>
        <v>82.784554131700901</v>
      </c>
      <c r="AK34" s="3">
        <f t="shared" si="17"/>
        <v>97.373937063375834</v>
      </c>
      <c r="AL34" s="3">
        <f t="shared" si="18"/>
        <v>28.963655737511857</v>
      </c>
      <c r="AM34" s="3">
        <f t="shared" si="19"/>
        <v>7.0384231201973053</v>
      </c>
      <c r="AN34" s="3">
        <f t="shared" si="20"/>
        <v>8.2788266134908799</v>
      </c>
      <c r="AO34" s="3">
        <f>main!R38</f>
        <v>38.18</v>
      </c>
      <c r="AP34" s="3">
        <f>main!S38</f>
        <v>8.52</v>
      </c>
    </row>
    <row r="35" spans="1:42" x14ac:dyDescent="0.25">
      <c r="A35" s="241">
        <v>2016</v>
      </c>
      <c r="B35" s="238" t="s">
        <v>109</v>
      </c>
      <c r="C35" s="269">
        <v>9</v>
      </c>
      <c r="D35" t="str">
        <f>main!$B$30</f>
        <v>McLane-PARFLUX-Mark78H-21 ; 12419-02, O250x21</v>
      </c>
      <c r="E35">
        <v>2000</v>
      </c>
      <c r="F35" s="3">
        <f>main!E39</f>
        <v>238.10000000000005</v>
      </c>
      <c r="G35" s="3">
        <f>main!H39</f>
        <v>28.01176470588236</v>
      </c>
      <c r="H35" s="3">
        <f>main!I39</f>
        <v>10.231297058823532</v>
      </c>
      <c r="I35">
        <f>main!AF39</f>
        <v>66.26752157070365</v>
      </c>
      <c r="J35" s="3">
        <f>main!AG39</f>
        <v>7.951819209748237</v>
      </c>
      <c r="K35" s="3">
        <f>main!L39</f>
        <v>13.625788688659668</v>
      </c>
      <c r="L35" s="3">
        <f>main!N39</f>
        <v>0.84581220149993896</v>
      </c>
      <c r="M35" s="3">
        <f>main!AH39</f>
        <v>5.673969478911431</v>
      </c>
      <c r="N35" s="3">
        <f>main!AB39</f>
        <v>5.5311882387134288</v>
      </c>
      <c r="O35" s="3">
        <f>main!AC39</f>
        <v>11.832292675838021</v>
      </c>
      <c r="P35" s="3">
        <f t="shared" si="2"/>
        <v>6.7800269854186519</v>
      </c>
      <c r="Q35" s="3">
        <f t="shared" si="3"/>
        <v>0.81357424492993602</v>
      </c>
      <c r="R35" s="3">
        <f t="shared" si="4"/>
        <v>1.3940949173443462</v>
      </c>
      <c r="S35" s="3">
        <f t="shared" si="5"/>
        <v>8.6537558895233818E-2</v>
      </c>
      <c r="T35" s="3">
        <f t="shared" si="6"/>
        <v>0.58052067241441019</v>
      </c>
      <c r="U35" s="3">
        <f t="shared" si="7"/>
        <v>1.2105970125344077</v>
      </c>
      <c r="V35" s="30">
        <f>main!T39</f>
        <v>42589</v>
      </c>
      <c r="W35" s="30">
        <f>main!U39</f>
        <v>42606</v>
      </c>
      <c r="X35" s="30">
        <f>main!V39</f>
        <v>42597.5</v>
      </c>
      <c r="Y35" s="5">
        <f>main!G39</f>
        <v>17</v>
      </c>
      <c r="Z35">
        <f t="shared" si="8"/>
        <v>0.56591229958548017</v>
      </c>
      <c r="AA35">
        <f t="shared" si="9"/>
        <v>0.1160778449079389</v>
      </c>
      <c r="AB35">
        <f t="shared" si="10"/>
        <v>6.176842176676218E-3</v>
      </c>
      <c r="AC35">
        <f t="shared" si="11"/>
        <v>4.8336442332590358E-2</v>
      </c>
      <c r="AD35">
        <f t="shared" si="12"/>
        <v>6.7741402575348539E-2</v>
      </c>
      <c r="AE35">
        <f t="shared" si="13"/>
        <v>2.0146397279653977E-2</v>
      </c>
      <c r="AF35" s="2">
        <v>2010.7</v>
      </c>
      <c r="AH35" s="3">
        <f t="shared" si="14"/>
        <v>116.07784490793891</v>
      </c>
      <c r="AI35" s="3">
        <f t="shared" si="15"/>
        <v>6.1768421766762183</v>
      </c>
      <c r="AJ35" s="3">
        <f t="shared" si="16"/>
        <v>48.336442332590359</v>
      </c>
      <c r="AK35" s="3">
        <f t="shared" si="17"/>
        <v>67.741402575348545</v>
      </c>
      <c r="AL35" s="3">
        <f t="shared" si="18"/>
        <v>20.146397279653979</v>
      </c>
      <c r="AM35" s="3">
        <f t="shared" si="19"/>
        <v>7.8254293941828346</v>
      </c>
      <c r="AN35" s="3">
        <f t="shared" si="20"/>
        <v>10.966995859330899</v>
      </c>
      <c r="AO35" s="3">
        <f>main!R39</f>
        <v>38.25</v>
      </c>
      <c r="AP35" s="3">
        <f>main!S39</f>
        <v>8.6</v>
      </c>
    </row>
    <row r="36" spans="1:42" x14ac:dyDescent="0.25">
      <c r="A36" s="241">
        <v>2016</v>
      </c>
      <c r="B36" s="238" t="s">
        <v>109</v>
      </c>
      <c r="C36" s="269">
        <v>10</v>
      </c>
      <c r="D36" t="str">
        <f>main!$B$30</f>
        <v>McLane-PARFLUX-Mark78H-21 ; 12419-02, O250x21</v>
      </c>
      <c r="E36">
        <v>2000</v>
      </c>
      <c r="F36" s="3">
        <f>main!E40</f>
        <v>347.98571428571421</v>
      </c>
      <c r="G36" s="3">
        <f>main!H40</f>
        <v>40.939495798319321</v>
      </c>
      <c r="H36" s="3">
        <f>main!I40</f>
        <v>14.953150840336132</v>
      </c>
      <c r="I36">
        <f>main!AF40</f>
        <v>63.699475945192432</v>
      </c>
      <c r="J36" s="3">
        <f>main!AG40</f>
        <v>7.6436647163790772</v>
      </c>
      <c r="K36" s="3">
        <f>main!L40</f>
        <v>14.010750770568848</v>
      </c>
      <c r="L36" s="3">
        <f>main!N40</f>
        <v>0.97243547439575195</v>
      </c>
      <c r="M36" s="3">
        <f>main!AH40</f>
        <v>6.3670860541897705</v>
      </c>
      <c r="N36" s="3">
        <f>main!AB40</f>
        <v>5.9981946343945811</v>
      </c>
      <c r="O36" s="3">
        <f>main!AC40</f>
        <v>12.831310629432908</v>
      </c>
      <c r="P36" s="3">
        <f t="shared" si="2"/>
        <v>9.5250787225882547</v>
      </c>
      <c r="Q36" s="3">
        <f t="shared" si="3"/>
        <v>1.1429687147697143</v>
      </c>
      <c r="R36" s="3">
        <f t="shared" si="4"/>
        <v>2.0950486965867166</v>
      </c>
      <c r="S36" s="3">
        <f t="shared" si="5"/>
        <v>0.14540974331133505</v>
      </c>
      <c r="T36" s="3">
        <f t="shared" si="6"/>
        <v>0.95207998181700226</v>
      </c>
      <c r="U36" s="3">
        <f t="shared" si="7"/>
        <v>1.9186852332111861</v>
      </c>
      <c r="V36" s="30">
        <f>main!T40</f>
        <v>42606</v>
      </c>
      <c r="W36" s="30">
        <f>main!U40</f>
        <v>42623</v>
      </c>
      <c r="X36" s="30">
        <f>main!V40</f>
        <v>42614.5</v>
      </c>
      <c r="Y36" s="5">
        <f>main!G40</f>
        <v>17</v>
      </c>
      <c r="Z36">
        <f t="shared" si="8"/>
        <v>0.8969190913779701</v>
      </c>
      <c r="AA36">
        <f t="shared" si="9"/>
        <v>0.17444202302970163</v>
      </c>
      <c r="AB36">
        <f t="shared" si="10"/>
        <v>1.0378996667475736E-2</v>
      </c>
      <c r="AC36">
        <f t="shared" si="11"/>
        <v>7.9273936870691286E-2</v>
      </c>
      <c r="AD36">
        <f t="shared" si="12"/>
        <v>9.5168086159010346E-2</v>
      </c>
      <c r="AE36">
        <f t="shared" si="13"/>
        <v>3.1930191932288007E-2</v>
      </c>
      <c r="AF36" s="2">
        <v>2010.7</v>
      </c>
      <c r="AH36" s="3">
        <f t="shared" si="14"/>
        <v>174.44202302970163</v>
      </c>
      <c r="AI36" s="3">
        <f t="shared" si="15"/>
        <v>10.378996667475736</v>
      </c>
      <c r="AJ36" s="3">
        <f t="shared" si="16"/>
        <v>79.273936870691287</v>
      </c>
      <c r="AK36" s="3">
        <f t="shared" si="17"/>
        <v>95.168086159010343</v>
      </c>
      <c r="AL36" s="3">
        <f t="shared" si="18"/>
        <v>31.930191932288007</v>
      </c>
      <c r="AM36" s="3">
        <f t="shared" si="19"/>
        <v>7.6379190985877266</v>
      </c>
      <c r="AN36" s="3">
        <f t="shared" si="20"/>
        <v>9.1692953768098722</v>
      </c>
      <c r="AO36" s="3">
        <f>main!R40</f>
        <v>38.229999999999997</v>
      </c>
      <c r="AP36" s="3">
        <f>main!S40</f>
        <v>8.49</v>
      </c>
    </row>
    <row r="37" spans="1:42" x14ac:dyDescent="0.25">
      <c r="A37" s="241">
        <v>2016</v>
      </c>
      <c r="B37" s="238" t="s">
        <v>109</v>
      </c>
      <c r="C37" s="269">
        <v>11</v>
      </c>
      <c r="D37" t="str">
        <f>main!$B$30</f>
        <v>McLane-PARFLUX-Mark78H-21 ; 12419-02, O250x21</v>
      </c>
      <c r="E37">
        <v>2000</v>
      </c>
      <c r="F37" s="3">
        <f>main!E41</f>
        <v>309.05714285714294</v>
      </c>
      <c r="G37" s="3">
        <f>main!H41</f>
        <v>36.359663865546224</v>
      </c>
      <c r="H37" s="3">
        <f>main!I41</f>
        <v>13.28036722689076</v>
      </c>
      <c r="I37">
        <f>main!AF41</f>
        <v>60.370264743393101</v>
      </c>
      <c r="J37" s="3">
        <f>main!AG41</f>
        <v>7.2441736088154505</v>
      </c>
      <c r="K37" s="3">
        <f>main!L41</f>
        <v>14.762297630310059</v>
      </c>
      <c r="L37" s="3">
        <f>main!N41</f>
        <v>1.2336673736572266</v>
      </c>
      <c r="M37" s="3">
        <f>main!AH41</f>
        <v>7.5181240214946081</v>
      </c>
      <c r="N37" s="3">
        <f>main!AB41</f>
        <v>5.369221874188522</v>
      </c>
      <c r="O37" s="3">
        <f>main!AC41</f>
        <v>11.485814966891715</v>
      </c>
      <c r="P37" s="3">
        <f t="shared" si="2"/>
        <v>8.0173928537687651</v>
      </c>
      <c r="Q37" s="3">
        <f t="shared" si="3"/>
        <v>0.9620528578041968</v>
      </c>
      <c r="R37" s="3">
        <f t="shared" si="4"/>
        <v>1.9604873364317683</v>
      </c>
      <c r="S37" s="3">
        <f t="shared" si="5"/>
        <v>0.1638355575800183</v>
      </c>
      <c r="T37" s="3">
        <f t="shared" si="6"/>
        <v>0.99843447862757162</v>
      </c>
      <c r="U37" s="3">
        <f t="shared" si="7"/>
        <v>1.5253584066044013</v>
      </c>
      <c r="V37" s="30">
        <f>main!T41</f>
        <v>42623</v>
      </c>
      <c r="W37" s="30">
        <f>main!U41</f>
        <v>42640</v>
      </c>
      <c r="X37" s="30">
        <f>main!V41</f>
        <v>42631.5</v>
      </c>
      <c r="Y37" s="5">
        <f>main!G41</f>
        <v>17</v>
      </c>
      <c r="Z37">
        <f t="shared" si="8"/>
        <v>0.7130523821187823</v>
      </c>
      <c r="AA37">
        <f t="shared" si="9"/>
        <v>0.16323791310839036</v>
      </c>
      <c r="AB37">
        <f t="shared" si="10"/>
        <v>1.1694186836546631E-2</v>
      </c>
      <c r="AC37">
        <f t="shared" si="11"/>
        <v>8.3133595222945181E-2</v>
      </c>
      <c r="AD37">
        <f t="shared" si="12"/>
        <v>8.0104317885445198E-2</v>
      </c>
      <c r="AE37">
        <f t="shared" si="13"/>
        <v>2.5384563265175589E-2</v>
      </c>
      <c r="AF37" s="2">
        <v>2010.7</v>
      </c>
      <c r="AH37" s="3">
        <f t="shared" si="14"/>
        <v>163.23791310839036</v>
      </c>
      <c r="AI37" s="3">
        <f t="shared" si="15"/>
        <v>11.694186836546631</v>
      </c>
      <c r="AJ37" s="3">
        <f t="shared" si="16"/>
        <v>83.133595222945175</v>
      </c>
      <c r="AK37" s="3">
        <f t="shared" si="17"/>
        <v>80.104317885445198</v>
      </c>
      <c r="AL37" s="3">
        <f t="shared" si="18"/>
        <v>25.38456326517559</v>
      </c>
      <c r="AM37" s="3">
        <f t="shared" si="19"/>
        <v>7.1089675909004937</v>
      </c>
      <c r="AN37" s="3">
        <f t="shared" si="20"/>
        <v>6.849926292874291</v>
      </c>
      <c r="AO37" s="3">
        <f>main!R41</f>
        <v>38.049999999999997</v>
      </c>
      <c r="AP37" s="3">
        <f>main!S41</f>
        <v>8.36</v>
      </c>
    </row>
    <row r="38" spans="1:42" x14ac:dyDescent="0.25">
      <c r="A38" s="241">
        <v>2016</v>
      </c>
      <c r="B38" s="238" t="s">
        <v>109</v>
      </c>
      <c r="C38" s="269">
        <v>12</v>
      </c>
      <c r="D38" t="str">
        <f>main!$B$30</f>
        <v>McLane-PARFLUX-Mark78H-21 ; 12419-02, O250x21</v>
      </c>
      <c r="E38">
        <v>2000</v>
      </c>
      <c r="F38" s="3">
        <f>main!E42</f>
        <v>363.97142857142859</v>
      </c>
      <c r="G38" s="3">
        <f>main!H42</f>
        <v>42.820168067226895</v>
      </c>
      <c r="H38" s="3">
        <f>main!I42</f>
        <v>15.640066386554622</v>
      </c>
      <c r="I38">
        <f>main!AF42</f>
        <v>67.529827446221233</v>
      </c>
      <c r="J38" s="3">
        <f>main!AG42</f>
        <v>8.1032905168320433</v>
      </c>
      <c r="K38" s="3">
        <f>main!L42</f>
        <v>13.743739128112793</v>
      </c>
      <c r="L38" s="3">
        <f>main!N42</f>
        <v>0.87225109338760376</v>
      </c>
      <c r="M38" s="3">
        <f>main!AH42</f>
        <v>5.6404486112807497</v>
      </c>
      <c r="N38" s="3">
        <f>main!AB42</f>
        <v>5.1729584077233355</v>
      </c>
      <c r="O38" s="3">
        <f>main!AC42</f>
        <v>11.065969053759176</v>
      </c>
      <c r="P38" s="3">
        <f t="shared" si="2"/>
        <v>10.561709843314786</v>
      </c>
      <c r="Q38" s="3">
        <f t="shared" si="3"/>
        <v>1.2673600163279166</v>
      </c>
      <c r="R38" s="3">
        <f t="shared" si="4"/>
        <v>2.1495299236317242</v>
      </c>
      <c r="S38" s="3">
        <f t="shared" si="5"/>
        <v>0.13642065006326978</v>
      </c>
      <c r="T38" s="3">
        <f t="shared" si="6"/>
        <v>0.88216990730380751</v>
      </c>
      <c r="U38" s="3">
        <f t="shared" si="7"/>
        <v>1.7307249063235253</v>
      </c>
      <c r="V38" s="30">
        <f>main!T42</f>
        <v>42640</v>
      </c>
      <c r="W38" s="30">
        <f>main!U42</f>
        <v>42657</v>
      </c>
      <c r="X38" s="30">
        <f>main!V42</f>
        <v>42648.5</v>
      </c>
      <c r="Y38" s="5">
        <f>main!G42</f>
        <v>17</v>
      </c>
      <c r="Z38">
        <f t="shared" si="8"/>
        <v>0.80905412911678853</v>
      </c>
      <c r="AA38">
        <f t="shared" si="9"/>
        <v>0.17897834501513107</v>
      </c>
      <c r="AB38">
        <f t="shared" si="10"/>
        <v>9.7373768781777153E-3</v>
      </c>
      <c r="AC38">
        <f t="shared" si="11"/>
        <v>7.345294815185742E-2</v>
      </c>
      <c r="AD38">
        <f t="shared" si="12"/>
        <v>0.10552539686327365</v>
      </c>
      <c r="AE38">
        <f t="shared" si="13"/>
        <v>2.880221178771052E-2</v>
      </c>
      <c r="AF38" s="2">
        <v>2010.7</v>
      </c>
      <c r="AH38" s="3">
        <f t="shared" si="14"/>
        <v>178.97834501513108</v>
      </c>
      <c r="AI38" s="3">
        <f t="shared" si="15"/>
        <v>9.7373768781777148</v>
      </c>
      <c r="AJ38" s="3">
        <f t="shared" si="16"/>
        <v>73.452948151857413</v>
      </c>
      <c r="AK38" s="3">
        <f t="shared" si="17"/>
        <v>105.52539686327366</v>
      </c>
      <c r="AL38" s="3">
        <f t="shared" si="18"/>
        <v>28.802211787710519</v>
      </c>
      <c r="AM38" s="3">
        <f t="shared" si="19"/>
        <v>7.5434019932484775</v>
      </c>
      <c r="AN38" s="3">
        <f t="shared" si="20"/>
        <v>10.837148257018272</v>
      </c>
      <c r="AO38" s="3">
        <f>main!R42</f>
        <v>38</v>
      </c>
      <c r="AP38" s="3">
        <f>main!S42</f>
        <v>8.57</v>
      </c>
    </row>
    <row r="39" spans="1:42" x14ac:dyDescent="0.25">
      <c r="A39" s="241">
        <v>2016</v>
      </c>
      <c r="B39" s="238" t="s">
        <v>109</v>
      </c>
      <c r="C39" s="269">
        <v>13</v>
      </c>
      <c r="D39" t="str">
        <f>main!$B$30</f>
        <v>McLane-PARFLUX-Mark78H-21 ; 12419-02, O250x21</v>
      </c>
      <c r="E39">
        <v>2000</v>
      </c>
      <c r="F39" s="3">
        <f>main!E43</f>
        <v>517.97142857142853</v>
      </c>
      <c r="G39" s="3">
        <f>main!H43</f>
        <v>60.937815126050417</v>
      </c>
      <c r="H39" s="3">
        <f>main!I43</f>
        <v>22.257536974789918</v>
      </c>
      <c r="I39">
        <f>main!AF43</f>
        <v>70.302414428743546</v>
      </c>
      <c r="J39" s="3">
        <f>main!AG43</f>
        <v>8.4359890983656207</v>
      </c>
      <c r="K39" s="3">
        <f>main!L43</f>
        <v>13.271342277526855</v>
      </c>
      <c r="L39" s="3">
        <f>main!N43</f>
        <v>0.72510433197021484</v>
      </c>
      <c r="M39" s="3">
        <f>main!AH43</f>
        <v>4.8353531791612347</v>
      </c>
      <c r="N39" s="3">
        <f>main!AB43</f>
        <v>5.0736257992051152</v>
      </c>
      <c r="O39" s="3">
        <f>main!AC43</f>
        <v>10.853477190254019</v>
      </c>
      <c r="P39" s="3">
        <f t="shared" si="2"/>
        <v>15.647585885647636</v>
      </c>
      <c r="Q39" s="3">
        <f t="shared" si="3"/>
        <v>1.8776433927579745</v>
      </c>
      <c r="R39" s="3">
        <f t="shared" si="4"/>
        <v>2.9538739144714659</v>
      </c>
      <c r="S39" s="3">
        <f t="shared" si="5"/>
        <v>0.16139036479407401</v>
      </c>
      <c r="T39" s="3">
        <f t="shared" si="6"/>
        <v>1.0762305217134918</v>
      </c>
      <c r="U39" s="3">
        <f t="shared" si="7"/>
        <v>2.415716698671178</v>
      </c>
      <c r="V39" s="30">
        <f>main!T43</f>
        <v>42657</v>
      </c>
      <c r="W39" s="30">
        <f>main!U43</f>
        <v>42674</v>
      </c>
      <c r="X39" s="30">
        <f>main!V43</f>
        <v>42665.5</v>
      </c>
      <c r="Y39" s="5">
        <f>main!G43</f>
        <v>17</v>
      </c>
      <c r="Z39">
        <f t="shared" si="8"/>
        <v>1.129264138220559</v>
      </c>
      <c r="AA39">
        <f t="shared" si="9"/>
        <v>0.24595120020578401</v>
      </c>
      <c r="AB39">
        <f t="shared" si="10"/>
        <v>1.1519654874666239E-2</v>
      </c>
      <c r="AC39">
        <f t="shared" si="11"/>
        <v>8.9611200808783667E-2</v>
      </c>
      <c r="AD39">
        <f t="shared" si="12"/>
        <v>0.15633999939700038</v>
      </c>
      <c r="AE39">
        <f t="shared" si="13"/>
        <v>4.0201642514081849E-2</v>
      </c>
      <c r="AF39" s="2">
        <v>2010.7</v>
      </c>
      <c r="AH39" s="3">
        <f t="shared" si="14"/>
        <v>245.951200205784</v>
      </c>
      <c r="AI39" s="3">
        <f t="shared" si="15"/>
        <v>11.519654874666239</v>
      </c>
      <c r="AJ39" s="3">
        <f t="shared" si="16"/>
        <v>89.611200808783664</v>
      </c>
      <c r="AK39" s="3">
        <f t="shared" si="17"/>
        <v>156.33999939700038</v>
      </c>
      <c r="AL39" s="3">
        <f t="shared" si="18"/>
        <v>40.201642514081847</v>
      </c>
      <c r="AM39" s="3">
        <f t="shared" si="19"/>
        <v>7.7789831191778642</v>
      </c>
      <c r="AN39" s="3">
        <f t="shared" si="20"/>
        <v>13.571587091625439</v>
      </c>
      <c r="AO39" s="3">
        <f>main!R43</f>
        <v>38.08</v>
      </c>
      <c r="AP39" s="3">
        <f>main!S43</f>
        <v>8.52</v>
      </c>
    </row>
    <row r="40" spans="1:42" x14ac:dyDescent="0.25">
      <c r="A40" s="241">
        <v>2016</v>
      </c>
      <c r="B40" s="238" t="s">
        <v>109</v>
      </c>
      <c r="C40" s="269">
        <v>14</v>
      </c>
      <c r="D40" t="str">
        <f>main!$B$30</f>
        <v>McLane-PARFLUX-Mark78H-21 ; 12419-02, O250x21</v>
      </c>
      <c r="E40">
        <v>2000</v>
      </c>
      <c r="F40" s="3">
        <f>main!E44</f>
        <v>724.85714285714289</v>
      </c>
      <c r="G40" s="3">
        <f>main!H44</f>
        <v>85.277310924369758</v>
      </c>
      <c r="H40" s="3">
        <f>main!I44</f>
        <v>31.147537815126057</v>
      </c>
      <c r="I40">
        <f>main!AF44</f>
        <v>67.950138217984005</v>
      </c>
      <c r="J40" s="3">
        <f>main!AG44</f>
        <v>8.1537260120753849</v>
      </c>
      <c r="K40" s="3">
        <f>main!L44</f>
        <v>13.242328643798828</v>
      </c>
      <c r="L40" s="3">
        <f>main!N44</f>
        <v>0.72930639982223511</v>
      </c>
      <c r="M40" s="3">
        <f>main!AH44</f>
        <v>5.0886026317234432</v>
      </c>
      <c r="N40" s="3">
        <f>main!AB44</f>
        <v>5.5341526452030418</v>
      </c>
      <c r="O40" s="3">
        <f>main!AC44</f>
        <v>11.838634120692447</v>
      </c>
      <c r="P40" s="3">
        <f t="shared" si="2"/>
        <v>21.164794996876989</v>
      </c>
      <c r="Q40" s="3">
        <f t="shared" si="3"/>
        <v>2.5396848929529505</v>
      </c>
      <c r="R40" s="3">
        <f t="shared" si="4"/>
        <v>4.1246593219305101</v>
      </c>
      <c r="S40" s="3">
        <f t="shared" si="5"/>
        <v>0.2271609866727651</v>
      </c>
      <c r="T40" s="3">
        <f t="shared" si="6"/>
        <v>1.5849744289775594</v>
      </c>
      <c r="U40" s="3">
        <f t="shared" si="7"/>
        <v>3.6874430395370963</v>
      </c>
      <c r="V40" s="30">
        <f>main!T44</f>
        <v>42674</v>
      </c>
      <c r="W40" s="30">
        <f>main!U44</f>
        <v>42691</v>
      </c>
      <c r="X40" s="30">
        <f>main!V44</f>
        <v>42682.5</v>
      </c>
      <c r="Y40" s="5">
        <f>main!G44</f>
        <v>17</v>
      </c>
      <c r="Z40">
        <f t="shared" si="8"/>
        <v>1.7237522879114164</v>
      </c>
      <c r="AA40">
        <f t="shared" si="9"/>
        <v>0.34343541398255706</v>
      </c>
      <c r="AB40">
        <f t="shared" si="10"/>
        <v>1.6214203188634198E-2</v>
      </c>
      <c r="AC40">
        <f t="shared" si="11"/>
        <v>0.13197122639280262</v>
      </c>
      <c r="AD40">
        <f t="shared" si="12"/>
        <v>0.21146418758975441</v>
      </c>
      <c r="AE40">
        <f t="shared" si="13"/>
        <v>6.1365335988302475E-2</v>
      </c>
      <c r="AF40" s="2">
        <v>2010.7</v>
      </c>
      <c r="AH40" s="3">
        <f t="shared" si="14"/>
        <v>343.43541398255707</v>
      </c>
      <c r="AI40" s="3">
        <f t="shared" si="15"/>
        <v>16.214203188634198</v>
      </c>
      <c r="AJ40" s="3">
        <f t="shared" si="16"/>
        <v>131.97122639280263</v>
      </c>
      <c r="AK40" s="3">
        <f t="shared" si="17"/>
        <v>211.4641875897544</v>
      </c>
      <c r="AL40" s="3">
        <f t="shared" si="18"/>
        <v>61.365335988302476</v>
      </c>
      <c r="AM40" s="3">
        <f t="shared" si="19"/>
        <v>8.1392360054616546</v>
      </c>
      <c r="AN40" s="3">
        <f t="shared" si="20"/>
        <v>13.041910547783575</v>
      </c>
      <c r="AO40" s="3">
        <f>main!R44</f>
        <v>38.28</v>
      </c>
      <c r="AP40" s="3">
        <f>main!S44</f>
        <v>8.5</v>
      </c>
    </row>
    <row r="41" spans="1:42" x14ac:dyDescent="0.25">
      <c r="A41" s="241">
        <v>2016</v>
      </c>
      <c r="B41" s="238" t="s">
        <v>109</v>
      </c>
      <c r="C41" s="269">
        <v>15</v>
      </c>
      <c r="D41" t="str">
        <f>main!$B$30</f>
        <v>McLane-PARFLUX-Mark78H-21 ; 12419-02, O250x21</v>
      </c>
      <c r="E41">
        <v>2000</v>
      </c>
      <c r="F41" s="3">
        <f>main!E45</f>
        <v>1210.6571428571428</v>
      </c>
      <c r="G41" s="3">
        <f>main!H45</f>
        <v>142.43025210084033</v>
      </c>
      <c r="H41" s="3">
        <f>main!I45</f>
        <v>52.022649579831935</v>
      </c>
      <c r="I41">
        <f>main!AF45</f>
        <v>67.596772424485593</v>
      </c>
      <c r="J41" s="3">
        <f>main!AG45</f>
        <v>8.1113236279480319</v>
      </c>
      <c r="K41" s="3">
        <f>main!L45</f>
        <v>12.697575569152832</v>
      </c>
      <c r="L41" s="3">
        <f>main!N45</f>
        <v>0.6531527042388916</v>
      </c>
      <c r="M41" s="3">
        <f>main!AH45</f>
        <v>4.5862519412048002</v>
      </c>
      <c r="N41" s="3">
        <f>main!AB45</f>
        <v>7.093779127948534</v>
      </c>
      <c r="O41" s="3">
        <f>main!AC45</f>
        <v>15.174979985704073</v>
      </c>
      <c r="P41" s="3">
        <f t="shared" si="2"/>
        <v>35.165632045666605</v>
      </c>
      <c r="Q41" s="3">
        <f t="shared" si="3"/>
        <v>4.2197254672535154</v>
      </c>
      <c r="R41" s="3">
        <f t="shared" si="4"/>
        <v>6.6056152434747286</v>
      </c>
      <c r="S41" s="3">
        <f t="shared" si="5"/>
        <v>0.33978734254739468</v>
      </c>
      <c r="T41" s="3">
        <f t="shared" si="6"/>
        <v>2.3858897762212132</v>
      </c>
      <c r="U41" s="3">
        <f t="shared" si="7"/>
        <v>7.8944266617724601</v>
      </c>
      <c r="V41" s="30">
        <f>main!T45</f>
        <v>42691</v>
      </c>
      <c r="W41" s="30">
        <f>main!U45</f>
        <v>42708</v>
      </c>
      <c r="X41" s="30">
        <f>main!V45</f>
        <v>42699.5</v>
      </c>
      <c r="Y41" s="5">
        <f>main!G45</f>
        <v>17</v>
      </c>
      <c r="Z41">
        <f t="shared" si="8"/>
        <v>3.6903718576999234</v>
      </c>
      <c r="AA41">
        <f t="shared" si="9"/>
        <v>0.55000959562653862</v>
      </c>
      <c r="AB41">
        <f t="shared" si="10"/>
        <v>2.4253200752847585E-2</v>
      </c>
      <c r="AC41">
        <f t="shared" si="11"/>
        <v>0.19865859918577963</v>
      </c>
      <c r="AD41">
        <f t="shared" si="12"/>
        <v>0.35135099644075901</v>
      </c>
      <c r="AE41">
        <f t="shared" si="13"/>
        <v>0.13137671262726677</v>
      </c>
      <c r="AF41" s="2">
        <v>2010.7</v>
      </c>
      <c r="AH41" s="3">
        <f t="shared" si="14"/>
        <v>550.00959562653861</v>
      </c>
      <c r="AI41" s="3">
        <f t="shared" si="15"/>
        <v>24.253200752847587</v>
      </c>
      <c r="AJ41" s="3">
        <f t="shared" si="16"/>
        <v>198.65859918577962</v>
      </c>
      <c r="AK41" s="3">
        <f t="shared" si="17"/>
        <v>351.35099644075899</v>
      </c>
      <c r="AL41" s="3">
        <f t="shared" si="18"/>
        <v>131.37671262726678</v>
      </c>
      <c r="AM41" s="3">
        <f t="shared" si="19"/>
        <v>8.1910260509617459</v>
      </c>
      <c r="AN41" s="3">
        <f t="shared" si="20"/>
        <v>14.486788775683829</v>
      </c>
      <c r="AO41" s="3">
        <f>main!R45</f>
        <v>37.79</v>
      </c>
      <c r="AP41" s="3">
        <f>main!S45</f>
        <v>8.51</v>
      </c>
    </row>
    <row r="42" spans="1:42" x14ac:dyDescent="0.25">
      <c r="A42" s="241">
        <v>2016</v>
      </c>
      <c r="B42" s="238" t="s">
        <v>109</v>
      </c>
      <c r="C42" s="269">
        <v>16</v>
      </c>
      <c r="D42" t="str">
        <f>main!$B$30</f>
        <v>McLane-PARFLUX-Mark78H-21 ; 12419-02, O250x21</v>
      </c>
      <c r="E42">
        <v>2000</v>
      </c>
      <c r="F42" s="3">
        <f>main!E46</f>
        <v>1365.542857142857</v>
      </c>
      <c r="G42" s="3">
        <f>main!H46</f>
        <v>160.65210084033612</v>
      </c>
      <c r="H42" s="3">
        <f>main!I46</f>
        <v>58.678179831932766</v>
      </c>
      <c r="I42">
        <f>main!AF46</f>
        <v>63.025721943428337</v>
      </c>
      <c r="J42" s="3">
        <f>main!AG46</f>
        <v>7.5628171173307823</v>
      </c>
      <c r="K42" s="3">
        <f>main!L46</f>
        <v>12.254880428314209</v>
      </c>
      <c r="L42" s="3">
        <f>main!N46</f>
        <v>0.81864586472511292</v>
      </c>
      <c r="M42" s="3">
        <f>main!AH46</f>
        <v>4.6920633109834267</v>
      </c>
      <c r="N42" s="3">
        <f>main!AB46</f>
        <v>9.0522385974647506</v>
      </c>
      <c r="O42" s="3">
        <f>main!AC46</f>
        <v>19.364507558620755</v>
      </c>
      <c r="P42" s="3">
        <f t="shared" si="2"/>
        <v>36.982346462338789</v>
      </c>
      <c r="Q42" s="3">
        <f t="shared" si="3"/>
        <v>4.4377234284675495</v>
      </c>
      <c r="R42" s="3">
        <f t="shared" si="4"/>
        <v>7.1909407759145436</v>
      </c>
      <c r="S42" s="3">
        <f t="shared" si="5"/>
        <v>0.48036649269008275</v>
      </c>
      <c r="T42" s="3">
        <f t="shared" si="6"/>
        <v>2.7532173474469941</v>
      </c>
      <c r="U42" s="3">
        <f t="shared" si="7"/>
        <v>11.362740568815701</v>
      </c>
      <c r="V42" s="30">
        <f>main!T46</f>
        <v>42708</v>
      </c>
      <c r="W42" s="30">
        <f>main!U46</f>
        <v>42725</v>
      </c>
      <c r="X42" s="30">
        <f>main!V46</f>
        <v>42716.5</v>
      </c>
      <c r="Y42" s="5">
        <f>main!G46</f>
        <v>17</v>
      </c>
      <c r="Z42">
        <f t="shared" si="8"/>
        <v>5.311688843035995</v>
      </c>
      <c r="AA42">
        <f t="shared" si="9"/>
        <v>0.59874610956823848</v>
      </c>
      <c r="AB42">
        <f t="shared" si="10"/>
        <v>3.4287401334053016E-2</v>
      </c>
      <c r="AC42">
        <f t="shared" si="11"/>
        <v>0.22924374250183133</v>
      </c>
      <c r="AD42">
        <f t="shared" si="12"/>
        <v>0.3695023670664071</v>
      </c>
      <c r="AE42">
        <f t="shared" si="13"/>
        <v>0.1890953664306157</v>
      </c>
      <c r="AF42" s="2">
        <v>2010.7</v>
      </c>
      <c r="AH42" s="3">
        <f t="shared" si="14"/>
        <v>598.74610956823847</v>
      </c>
      <c r="AI42" s="3">
        <f t="shared" si="15"/>
        <v>34.287401334053015</v>
      </c>
      <c r="AJ42" s="3">
        <f t="shared" si="16"/>
        <v>229.24374250183132</v>
      </c>
      <c r="AK42" s="3">
        <f t="shared" si="17"/>
        <v>369.50236706640709</v>
      </c>
      <c r="AL42" s="3">
        <f t="shared" si="18"/>
        <v>189.09536643061568</v>
      </c>
      <c r="AM42" s="3">
        <f t="shared" si="19"/>
        <v>6.685946837101203</v>
      </c>
      <c r="AN42" s="3">
        <f t="shared" si="20"/>
        <v>10.776622102866414</v>
      </c>
      <c r="AO42" s="3">
        <f>main!R46</f>
        <v>37.36</v>
      </c>
      <c r="AP42" s="3">
        <f>main!S46</f>
        <v>8.42</v>
      </c>
    </row>
    <row r="43" spans="1:42" x14ac:dyDescent="0.25">
      <c r="A43" s="241">
        <v>2016</v>
      </c>
      <c r="B43" s="238" t="s">
        <v>109</v>
      </c>
      <c r="C43" s="270">
        <v>17</v>
      </c>
      <c r="D43" t="str">
        <f>main!$B$30</f>
        <v>McLane-PARFLUX-Mark78H-21 ; 12419-02, O250x21</v>
      </c>
      <c r="E43">
        <v>2000</v>
      </c>
      <c r="F43" s="3">
        <f>main!E47</f>
        <v>1584.0571428571427</v>
      </c>
      <c r="G43" s="3">
        <f>main!H47</f>
        <v>186.3596638655462</v>
      </c>
      <c r="H43" s="3">
        <f>main!I47</f>
        <v>68.067867226890755</v>
      </c>
      <c r="I43">
        <f>main!AF47</f>
        <v>50.195517680001636</v>
      </c>
      <c r="J43" s="3">
        <f>main!AG47</f>
        <v>6.0232474713156234</v>
      </c>
      <c r="K43" s="3">
        <f>main!L47</f>
        <v>12.420710563659668</v>
      </c>
      <c r="L43" s="3">
        <f>main!N47</f>
        <v>0.86473464965820313</v>
      </c>
      <c r="M43" s="3">
        <f>main!AH47</f>
        <v>6.3974630923440445</v>
      </c>
      <c r="N43" s="3">
        <f>main!AB47</f>
        <v>12.526804529392866</v>
      </c>
      <c r="O43" s="3">
        <f>main!AC47</f>
        <v>26.797283167362668</v>
      </c>
      <c r="P43" s="3">
        <f t="shared" si="2"/>
        <v>34.167018328273983</v>
      </c>
      <c r="Q43" s="3">
        <f t="shared" si="3"/>
        <v>4.0998960915221732</v>
      </c>
      <c r="R43" s="3">
        <f t="shared" si="4"/>
        <v>8.4545127751082561</v>
      </c>
      <c r="S43" s="3">
        <f t="shared" si="5"/>
        <v>0.58860643319426464</v>
      </c>
      <c r="T43" s="3">
        <f t="shared" si="6"/>
        <v>4.3546166835860829</v>
      </c>
      <c r="U43" s="3">
        <f t="shared" si="7"/>
        <v>18.240339126774366</v>
      </c>
      <c r="V43" s="30">
        <f>main!T47</f>
        <v>42725</v>
      </c>
      <c r="W43" s="30">
        <f>main!U47</f>
        <v>42742</v>
      </c>
      <c r="X43" s="30">
        <f>main!V47</f>
        <v>42733.5</v>
      </c>
      <c r="Y43" s="5">
        <f>main!G47</f>
        <v>17</v>
      </c>
      <c r="Z43">
        <f t="shared" si="8"/>
        <v>8.5267286748392728</v>
      </c>
      <c r="AA43">
        <f t="shared" si="9"/>
        <v>0.70395610117470908</v>
      </c>
      <c r="AB43">
        <f t="shared" si="10"/>
        <v>4.2013307151624886E-2</v>
      </c>
      <c r="AC43">
        <f t="shared" si="11"/>
        <v>0.36258257148926587</v>
      </c>
      <c r="AD43">
        <f t="shared" si="12"/>
        <v>0.34137352968544321</v>
      </c>
      <c r="AE43">
        <f t="shared" si="13"/>
        <v>0.3035503266229716</v>
      </c>
      <c r="AF43" s="2">
        <v>2010.7</v>
      </c>
      <c r="AH43" s="3">
        <f t="shared" si="14"/>
        <v>703.95610117470903</v>
      </c>
      <c r="AI43" s="3">
        <f t="shared" si="15"/>
        <v>42.013307151624886</v>
      </c>
      <c r="AJ43" s="3">
        <f t="shared" si="16"/>
        <v>362.58257148926589</v>
      </c>
      <c r="AK43" s="3">
        <f t="shared" si="17"/>
        <v>341.3735296854432</v>
      </c>
      <c r="AL43" s="3">
        <f t="shared" si="18"/>
        <v>303.55032662297162</v>
      </c>
      <c r="AM43" s="3">
        <f t="shared" si="19"/>
        <v>8.6301840076696461</v>
      </c>
      <c r="AN43" s="3">
        <f t="shared" si="20"/>
        <v>8.1253667666160005</v>
      </c>
      <c r="AO43" s="3">
        <f>main!R47</f>
        <v>37.35</v>
      </c>
      <c r="AP43" s="3">
        <f>main!S47</f>
        <v>8.42</v>
      </c>
    </row>
    <row r="44" spans="1:42" x14ac:dyDescent="0.25">
      <c r="A44" s="241">
        <v>2016</v>
      </c>
      <c r="B44" s="238" t="s">
        <v>109</v>
      </c>
      <c r="C44" s="270">
        <v>18</v>
      </c>
      <c r="D44" t="str">
        <f>main!$B$30</f>
        <v>McLane-PARFLUX-Mark78H-21 ; 12419-02, O250x21</v>
      </c>
      <c r="E44">
        <v>2000</v>
      </c>
      <c r="F44" s="3">
        <f>main!E48</f>
        <v>713.67142857142846</v>
      </c>
      <c r="G44" s="3">
        <f>main!H48</f>
        <v>83.961344537815108</v>
      </c>
      <c r="H44" s="3">
        <f>main!I48</f>
        <v>30.66688109243697</v>
      </c>
      <c r="I44">
        <f>main!AF48</f>
        <v>43.142146829754992</v>
      </c>
      <c r="J44" s="3">
        <f>main!AG48</f>
        <v>5.1768731315022984</v>
      </c>
      <c r="K44" s="3">
        <f>main!L48</f>
        <v>16.616935729980469</v>
      </c>
      <c r="L44" s="3">
        <f>main!N48</f>
        <v>1.5863571166992188</v>
      </c>
      <c r="M44" s="3">
        <f>main!AH48</f>
        <v>11.440062598478171</v>
      </c>
      <c r="N44" s="3">
        <f>main!AB48</f>
        <v>9.9699347465570725</v>
      </c>
      <c r="O44" s="3">
        <f>main!AC48</f>
        <v>21.327638979017959</v>
      </c>
      <c r="P44" s="3">
        <f t="shared" si="2"/>
        <v>13.230350869005528</v>
      </c>
      <c r="Q44" s="3">
        <f t="shared" si="3"/>
        <v>1.587585527544128</v>
      </c>
      <c r="R44" s="3">
        <f t="shared" si="4"/>
        <v>5.0958959215197837</v>
      </c>
      <c r="S44" s="3">
        <f t="shared" si="5"/>
        <v>0.48648625067956097</v>
      </c>
      <c r="T44" s="3">
        <f t="shared" si="6"/>
        <v>3.5083103939756555</v>
      </c>
      <c r="U44" s="3">
        <f t="shared" si="7"/>
        <v>6.5405216855196757</v>
      </c>
      <c r="V44" s="30">
        <f>main!T48</f>
        <v>42742</v>
      </c>
      <c r="W44" s="30">
        <f>main!U48</f>
        <v>42759</v>
      </c>
      <c r="X44" s="30">
        <f>main!V48</f>
        <v>42750.5</v>
      </c>
      <c r="Y44" s="5">
        <f>main!G48</f>
        <v>17</v>
      </c>
      <c r="Z44">
        <f t="shared" si="8"/>
        <v>3.0574680337202147</v>
      </c>
      <c r="AA44">
        <f t="shared" si="9"/>
        <v>0.42430440645460316</v>
      </c>
      <c r="AB44">
        <f t="shared" si="10"/>
        <v>3.4724214895043612E-2</v>
      </c>
      <c r="AC44">
        <f t="shared" si="11"/>
        <v>0.29211576968989639</v>
      </c>
      <c r="AD44">
        <f t="shared" si="12"/>
        <v>0.13218863676470674</v>
      </c>
      <c r="AE44">
        <f t="shared" si="13"/>
        <v>0.10884542661873317</v>
      </c>
      <c r="AF44" s="2">
        <v>2010.7</v>
      </c>
      <c r="AH44" s="3">
        <f t="shared" si="14"/>
        <v>424.30440645460317</v>
      </c>
      <c r="AI44" s="3">
        <f t="shared" si="15"/>
        <v>34.724214895043609</v>
      </c>
      <c r="AJ44" s="3">
        <f t="shared" si="16"/>
        <v>292.11576968989641</v>
      </c>
      <c r="AK44" s="3">
        <f t="shared" si="17"/>
        <v>132.18863676470673</v>
      </c>
      <c r="AL44" s="3">
        <f t="shared" si="18"/>
        <v>108.84542661873317</v>
      </c>
      <c r="AM44" s="3">
        <f t="shared" si="19"/>
        <v>8.4124513850878113</v>
      </c>
      <c r="AN44" s="3">
        <f t="shared" si="20"/>
        <v>3.8068142696460154</v>
      </c>
      <c r="AO44" s="3">
        <f>main!R48</f>
        <v>38.1</v>
      </c>
      <c r="AP44" s="3">
        <f>main!S48</f>
        <v>8.49</v>
      </c>
    </row>
    <row r="45" spans="1:42" x14ac:dyDescent="0.25">
      <c r="A45" s="241">
        <v>2016</v>
      </c>
      <c r="B45" s="238" t="s">
        <v>109</v>
      </c>
      <c r="C45" s="270">
        <v>19</v>
      </c>
      <c r="D45" t="str">
        <f>main!$B$30</f>
        <v>McLane-PARFLUX-Mark78H-21 ; 12419-02, O250x21</v>
      </c>
      <c r="E45">
        <v>2000</v>
      </c>
      <c r="F45" s="3">
        <f>main!E49</f>
        <v>6.5142857142857178</v>
      </c>
      <c r="G45" s="3">
        <f>main!H49</f>
        <v>0.76638655462184913</v>
      </c>
      <c r="H45" s="3">
        <f>main!I49</f>
        <v>0.27992268907563045</v>
      </c>
      <c r="I45" t="str">
        <f>main!AF49</f>
        <v>NaN</v>
      </c>
      <c r="J45" s="3" t="str">
        <f>main!AG49</f>
        <v>NaN</v>
      </c>
      <c r="K45" s="3" t="str">
        <f>main!L49</f>
        <v>NaN</v>
      </c>
      <c r="L45" s="3" t="str">
        <f>main!N49</f>
        <v>NaN</v>
      </c>
      <c r="M45" s="3" t="str">
        <f>main!AH49</f>
        <v>NaN</v>
      </c>
      <c r="N45" s="3" t="str">
        <f>main!AB49</f>
        <v>NaN</v>
      </c>
      <c r="O45" s="3" t="str">
        <f>main!AC49</f>
        <v>NaN</v>
      </c>
      <c r="P45" s="18" t="s">
        <v>900</v>
      </c>
      <c r="Q45" s="18" t="s">
        <v>900</v>
      </c>
      <c r="R45" s="18" t="s">
        <v>900</v>
      </c>
      <c r="S45" s="18" t="s">
        <v>900</v>
      </c>
      <c r="T45" s="18" t="s">
        <v>900</v>
      </c>
      <c r="U45" s="18" t="s">
        <v>900</v>
      </c>
      <c r="V45" s="30">
        <f>main!T49</f>
        <v>42759</v>
      </c>
      <c r="W45" s="30">
        <f>main!U49</f>
        <v>42776</v>
      </c>
      <c r="X45" s="30">
        <f>main!V49</f>
        <v>42767.5</v>
      </c>
      <c r="Y45" s="5">
        <f>main!G49</f>
        <v>17</v>
      </c>
      <c r="Z45" s="18" t="s">
        <v>900</v>
      </c>
      <c r="AA45" s="17" t="s">
        <v>900</v>
      </c>
      <c r="AB45" s="17" t="s">
        <v>900</v>
      </c>
      <c r="AC45" s="17" t="s">
        <v>900</v>
      </c>
      <c r="AD45" s="17" t="s">
        <v>900</v>
      </c>
      <c r="AE45" s="17" t="s">
        <v>900</v>
      </c>
      <c r="AF45" s="2">
        <v>2010.7</v>
      </c>
      <c r="AH45" s="3" t="s">
        <v>900</v>
      </c>
      <c r="AI45" s="3" t="s">
        <v>900</v>
      </c>
      <c r="AJ45" s="3" t="s">
        <v>900</v>
      </c>
      <c r="AK45" s="3" t="s">
        <v>900</v>
      </c>
      <c r="AL45" s="3" t="s">
        <v>900</v>
      </c>
      <c r="AM45" s="3" t="s">
        <v>900</v>
      </c>
      <c r="AN45" s="3" t="s">
        <v>900</v>
      </c>
      <c r="AO45" s="3">
        <f>main!R49</f>
        <v>38.67</v>
      </c>
      <c r="AP45" s="3">
        <f>main!S49</f>
        <v>8.65</v>
      </c>
    </row>
    <row r="46" spans="1:42" x14ac:dyDescent="0.25">
      <c r="A46" s="241">
        <v>2016</v>
      </c>
      <c r="B46" s="238" t="s">
        <v>109</v>
      </c>
      <c r="C46" s="270">
        <v>20</v>
      </c>
      <c r="D46" t="str">
        <f>main!$B$30</f>
        <v>McLane-PARFLUX-Mark78H-21 ; 12419-02, O250x21</v>
      </c>
      <c r="E46">
        <v>2000</v>
      </c>
      <c r="F46" s="3">
        <f>main!E50</f>
        <v>2.2428571428571433</v>
      </c>
      <c r="G46" s="3">
        <f>main!H50</f>
        <v>0.26386554621848746</v>
      </c>
      <c r="H46" s="3">
        <f>main!I50</f>
        <v>9.6376890756302555E-2</v>
      </c>
      <c r="I46" t="str">
        <f>main!AF50</f>
        <v>NaN</v>
      </c>
      <c r="J46" s="3" t="str">
        <f>main!AG50</f>
        <v>NaN</v>
      </c>
      <c r="K46" s="3" t="str">
        <f>main!L50</f>
        <v>NaN</v>
      </c>
      <c r="L46" s="3" t="str">
        <f>main!N50</f>
        <v>NaN</v>
      </c>
      <c r="M46" s="3" t="str">
        <f>main!AH50</f>
        <v>NaN</v>
      </c>
      <c r="N46" s="3" t="str">
        <f>main!AB50</f>
        <v>NaN</v>
      </c>
      <c r="O46" s="3" t="str">
        <f>main!AC50</f>
        <v>NaN</v>
      </c>
      <c r="P46" s="18" t="s">
        <v>900</v>
      </c>
      <c r="Q46" s="18" t="s">
        <v>900</v>
      </c>
      <c r="R46" s="18" t="s">
        <v>900</v>
      </c>
      <c r="S46" s="18" t="s">
        <v>900</v>
      </c>
      <c r="T46" s="18" t="s">
        <v>900</v>
      </c>
      <c r="U46" s="18" t="s">
        <v>900</v>
      </c>
      <c r="V46" s="30">
        <f>main!T50</f>
        <v>42776</v>
      </c>
      <c r="W46" s="30">
        <f>main!U50</f>
        <v>42793</v>
      </c>
      <c r="X46" s="30">
        <f>main!V50</f>
        <v>42784.5</v>
      </c>
      <c r="Y46" s="5">
        <f>main!G50</f>
        <v>17</v>
      </c>
      <c r="Z46" s="18" t="s">
        <v>900</v>
      </c>
      <c r="AA46" s="17" t="s">
        <v>900</v>
      </c>
      <c r="AB46" s="17" t="s">
        <v>900</v>
      </c>
      <c r="AC46" s="17" t="s">
        <v>900</v>
      </c>
      <c r="AD46" s="17" t="s">
        <v>900</v>
      </c>
      <c r="AE46" s="17" t="s">
        <v>900</v>
      </c>
      <c r="AF46" s="2">
        <v>2010.7</v>
      </c>
      <c r="AH46" s="3" t="s">
        <v>900</v>
      </c>
      <c r="AI46" s="3" t="s">
        <v>900</v>
      </c>
      <c r="AJ46" s="3" t="s">
        <v>900</v>
      </c>
      <c r="AK46" s="3" t="s">
        <v>900</v>
      </c>
      <c r="AL46" s="3" t="s">
        <v>900</v>
      </c>
      <c r="AM46" s="3" t="s">
        <v>900</v>
      </c>
      <c r="AN46" s="3" t="s">
        <v>900</v>
      </c>
      <c r="AO46" s="3">
        <f>main!R50</f>
        <v>38.72</v>
      </c>
      <c r="AP46" s="3">
        <f>main!S50</f>
        <v>8.6</v>
      </c>
    </row>
    <row r="47" spans="1:42" x14ac:dyDescent="0.25">
      <c r="A47" s="241">
        <v>2016</v>
      </c>
      <c r="B47" s="238" t="s">
        <v>109</v>
      </c>
      <c r="C47" s="270">
        <v>21</v>
      </c>
      <c r="D47" t="str">
        <f>main!$B$30</f>
        <v>McLane-PARFLUX-Mark78H-21 ; 12419-02, O250x21</v>
      </c>
      <c r="E47">
        <v>2000</v>
      </c>
      <c r="F47" s="3">
        <f>main!E51</f>
        <v>1.5142857142857176</v>
      </c>
      <c r="G47" s="3">
        <f>main!H51</f>
        <v>0.17815126050420207</v>
      </c>
      <c r="H47" s="3">
        <f>main!I51</f>
        <v>6.5069747899159813E-2</v>
      </c>
      <c r="I47" t="str">
        <f>main!AF51</f>
        <v>NaN</v>
      </c>
      <c r="J47" s="3" t="str">
        <f>main!AG51</f>
        <v>NaN</v>
      </c>
      <c r="K47" s="3" t="str">
        <f>main!L51</f>
        <v>NaN</v>
      </c>
      <c r="L47" s="3" t="str">
        <f>main!N51</f>
        <v>NaN</v>
      </c>
      <c r="M47" s="3" t="str">
        <f>main!AH51</f>
        <v>NaN</v>
      </c>
      <c r="N47" s="3" t="str">
        <f>main!AB51</f>
        <v>NaN</v>
      </c>
      <c r="O47" s="3" t="str">
        <f>main!AC51</f>
        <v>NaN</v>
      </c>
      <c r="P47" s="18" t="s">
        <v>900</v>
      </c>
      <c r="Q47" s="18" t="s">
        <v>900</v>
      </c>
      <c r="R47" s="18" t="s">
        <v>900</v>
      </c>
      <c r="S47" s="18" t="s">
        <v>900</v>
      </c>
      <c r="T47" s="18" t="s">
        <v>900</v>
      </c>
      <c r="U47" s="18" t="s">
        <v>900</v>
      </c>
      <c r="V47" s="30">
        <f>main!T51</f>
        <v>42793</v>
      </c>
      <c r="W47" s="30">
        <f>main!U51</f>
        <v>42810</v>
      </c>
      <c r="X47" s="30">
        <f>main!V51</f>
        <v>42801.5</v>
      </c>
      <c r="Y47" s="5">
        <f>main!G51</f>
        <v>17</v>
      </c>
      <c r="Z47" s="18" t="s">
        <v>900</v>
      </c>
      <c r="AA47" s="17" t="s">
        <v>900</v>
      </c>
      <c r="AB47" s="17" t="s">
        <v>900</v>
      </c>
      <c r="AC47" s="17" t="s">
        <v>900</v>
      </c>
      <c r="AD47" s="17" t="s">
        <v>900</v>
      </c>
      <c r="AE47" s="17" t="s">
        <v>900</v>
      </c>
      <c r="AF47" s="2">
        <v>2010.7</v>
      </c>
      <c r="AH47" s="3" t="s">
        <v>900</v>
      </c>
      <c r="AI47" s="3" t="s">
        <v>900</v>
      </c>
      <c r="AJ47" s="3" t="s">
        <v>900</v>
      </c>
      <c r="AK47" s="3" t="s">
        <v>900</v>
      </c>
      <c r="AL47" s="3" t="s">
        <v>900</v>
      </c>
      <c r="AM47" s="3" t="s">
        <v>900</v>
      </c>
      <c r="AN47" s="3" t="s">
        <v>900</v>
      </c>
      <c r="AO47" s="3">
        <f>main!R51</f>
        <v>38.67</v>
      </c>
      <c r="AP47" s="3">
        <f>main!S51</f>
        <v>8.57</v>
      </c>
    </row>
    <row r="48" spans="1:42" x14ac:dyDescent="0.25">
      <c r="A48" s="241">
        <v>2016</v>
      </c>
      <c r="B48" s="238" t="s">
        <v>110</v>
      </c>
      <c r="C48" s="268">
        <v>1</v>
      </c>
      <c r="D48" t="str">
        <f>main!$B$54</f>
        <v>McLane-PARFLUX-Mark78H-13 ; 12419-03, X500x13</v>
      </c>
      <c r="E48">
        <v>3800</v>
      </c>
      <c r="F48" s="3">
        <f>main!E55</f>
        <v>451.30000000000007</v>
      </c>
      <c r="G48" s="3">
        <f>main!H55</f>
        <v>33.429629629629638</v>
      </c>
      <c r="H48" s="3">
        <f>main!I55</f>
        <v>12.210172222222225</v>
      </c>
      <c r="I48">
        <f>main!AF55</f>
        <v>73.71494258911909</v>
      </c>
      <c r="J48" s="3">
        <f>main!AG55</f>
        <v>8.845477884671423</v>
      </c>
      <c r="K48" s="3">
        <f>main!L55</f>
        <v>12.980376243591309</v>
      </c>
      <c r="L48" s="3">
        <f>main!N55</f>
        <v>0.60060226917266846</v>
      </c>
      <c r="M48" s="3">
        <f>main!AH55</f>
        <v>4.1348983589198856</v>
      </c>
      <c r="N48" s="3">
        <f>main!AB55</f>
        <v>4.0644737090086709</v>
      </c>
      <c r="O48" s="3">
        <f>main!AC55</f>
        <v>8.6947036373916351</v>
      </c>
      <c r="P48" s="3">
        <f t="shared" si="2"/>
        <v>9.0007214436436804</v>
      </c>
      <c r="Q48" s="3">
        <f t="shared" si="3"/>
        <v>1.0800480835969601</v>
      </c>
      <c r="R48" s="3">
        <f t="shared" si="4"/>
        <v>1.5849262944349185</v>
      </c>
      <c r="S48" s="3">
        <f t="shared" si="5"/>
        <v>7.3334571436557514E-2</v>
      </c>
      <c r="T48" s="3">
        <f t="shared" si="6"/>
        <v>0.50487821083795847</v>
      </c>
      <c r="U48" s="3">
        <f t="shared" si="7"/>
        <v>1.0616382883373388</v>
      </c>
      <c r="V48" s="30">
        <f>main!T55</f>
        <v>42453</v>
      </c>
      <c r="W48" s="30">
        <f>main!U55</f>
        <v>42480</v>
      </c>
      <c r="X48" s="30">
        <f>main!V55</f>
        <v>42466.5</v>
      </c>
      <c r="Y48" s="5">
        <f>main!G55</f>
        <v>27</v>
      </c>
      <c r="Z48">
        <f t="shared" si="8"/>
        <v>0.49627923979690208</v>
      </c>
      <c r="AA48">
        <f t="shared" si="9"/>
        <v>0.1319672185208092</v>
      </c>
      <c r="AB48">
        <f t="shared" si="10"/>
        <v>5.2344447849077451E-3</v>
      </c>
      <c r="AC48">
        <f t="shared" si="11"/>
        <v>4.2038152442794213E-2</v>
      </c>
      <c r="AD48">
        <f t="shared" si="12"/>
        <v>8.9929066078014999E-2</v>
      </c>
      <c r="AE48">
        <f t="shared" si="13"/>
        <v>1.7667470266888648E-2</v>
      </c>
      <c r="AF48">
        <v>3851.6</v>
      </c>
      <c r="AH48" s="3">
        <f t="shared" si="14"/>
        <v>131.96721852080921</v>
      </c>
      <c r="AI48" s="3">
        <f t="shared" si="15"/>
        <v>5.2344447849077449</v>
      </c>
      <c r="AJ48" s="3">
        <f t="shared" si="16"/>
        <v>42.038152442794214</v>
      </c>
      <c r="AK48" s="3">
        <f t="shared" si="17"/>
        <v>89.929066078014998</v>
      </c>
      <c r="AL48" s="3">
        <f t="shared" si="18"/>
        <v>17.667470266888646</v>
      </c>
      <c r="AM48" s="3">
        <f t="shared" si="19"/>
        <v>8.0310623514457653</v>
      </c>
      <c r="AN48" s="3">
        <f t="shared" si="20"/>
        <v>17.180249247695514</v>
      </c>
      <c r="AO48" s="3">
        <f>main!R55</f>
        <v>36.65</v>
      </c>
      <c r="AP48" s="3">
        <f>main!S55</f>
        <v>8.5299999999999994</v>
      </c>
    </row>
    <row r="49" spans="1:42" x14ac:dyDescent="0.25">
      <c r="A49" s="241">
        <v>2016</v>
      </c>
      <c r="B49" s="238" t="s">
        <v>110</v>
      </c>
      <c r="C49" s="269">
        <v>2</v>
      </c>
      <c r="D49" t="str">
        <f>main!$B$54</f>
        <v>McLane-PARFLUX-Mark78H-13 ; 12419-03, X500x13</v>
      </c>
      <c r="E49">
        <v>3800</v>
      </c>
      <c r="F49" s="3">
        <f>main!E56</f>
        <v>554.51428571428562</v>
      </c>
      <c r="G49" s="3">
        <f>main!H56</f>
        <v>41.075132275132269</v>
      </c>
      <c r="H49" s="3">
        <f>main!I56</f>
        <v>15.002692063492063</v>
      </c>
      <c r="I49">
        <f>main!AF56</f>
        <v>77.892691128720358</v>
      </c>
      <c r="J49" s="3">
        <f>main!AG56</f>
        <v>9.3467898441847179</v>
      </c>
      <c r="K49" s="3">
        <f>main!L56</f>
        <v>13.032732009887695</v>
      </c>
      <c r="L49" s="3">
        <f>main!N56</f>
        <v>0.52493429183959961</v>
      </c>
      <c r="M49" s="3">
        <f>main!AH56</f>
        <v>3.6859421657029774</v>
      </c>
      <c r="N49" s="3">
        <f>main!AB56</f>
        <v>3.4585493265941376</v>
      </c>
      <c r="O49" s="3">
        <f>main!AC56</f>
        <v>7.3985129595956494</v>
      </c>
      <c r="P49" s="3">
        <f t="shared" si="2"/>
        <v>11.686000590008916</v>
      </c>
      <c r="Q49" s="3">
        <f t="shared" si="3"/>
        <v>1.4022700981447829</v>
      </c>
      <c r="R49" s="3">
        <f t="shared" si="4"/>
        <v>1.955260650903611</v>
      </c>
      <c r="S49" s="3">
        <f t="shared" si="5"/>
        <v>7.8754275340367871E-2</v>
      </c>
      <c r="T49" s="3">
        <f t="shared" si="6"/>
        <v>0.55299055275882802</v>
      </c>
      <c r="U49" s="3">
        <f t="shared" si="7"/>
        <v>1.1099761166056881</v>
      </c>
      <c r="V49" s="30">
        <f>main!T56</f>
        <v>42480</v>
      </c>
      <c r="W49" s="30">
        <f>main!U56</f>
        <v>42507</v>
      </c>
      <c r="X49" s="30">
        <f>main!V56</f>
        <v>42493.5</v>
      </c>
      <c r="Y49" s="5">
        <f>main!G56</f>
        <v>27</v>
      </c>
      <c r="Z49">
        <f t="shared" si="8"/>
        <v>0.51887550533289684</v>
      </c>
      <c r="AA49">
        <f t="shared" si="9"/>
        <v>0.16280271864309834</v>
      </c>
      <c r="AB49">
        <f t="shared" si="10"/>
        <v>5.6212901741875716E-3</v>
      </c>
      <c r="AC49">
        <f t="shared" si="11"/>
        <v>4.6044175916638473E-2</v>
      </c>
      <c r="AD49">
        <f t="shared" si="12"/>
        <v>0.11675854272645986</v>
      </c>
      <c r="AE49">
        <f t="shared" si="13"/>
        <v>1.8471894102274719E-2</v>
      </c>
      <c r="AF49">
        <v>3851.6</v>
      </c>
      <c r="AH49" s="3">
        <f t="shared" si="14"/>
        <v>162.80271864309833</v>
      </c>
      <c r="AI49" s="3">
        <f t="shared" si="15"/>
        <v>5.621290174187572</v>
      </c>
      <c r="AJ49" s="3">
        <f t="shared" si="16"/>
        <v>46.044175916638473</v>
      </c>
      <c r="AK49" s="3">
        <f t="shared" si="17"/>
        <v>116.75854272645985</v>
      </c>
      <c r="AL49" s="3">
        <f t="shared" si="18"/>
        <v>18.471894102274717</v>
      </c>
      <c r="AM49" s="3">
        <f t="shared" si="19"/>
        <v>8.1910334620455885</v>
      </c>
      <c r="AN49" s="3">
        <f t="shared" si="20"/>
        <v>20.770773098069895</v>
      </c>
      <c r="AO49" s="3">
        <f>main!R56</f>
        <v>35.68</v>
      </c>
      <c r="AP49" s="3">
        <f>main!S56</f>
        <v>8.3699999999999992</v>
      </c>
    </row>
    <row r="50" spans="1:42" x14ac:dyDescent="0.25">
      <c r="A50" s="241">
        <v>2016</v>
      </c>
      <c r="B50" s="238" t="s">
        <v>110</v>
      </c>
      <c r="C50" s="269">
        <v>3</v>
      </c>
      <c r="D50" t="str">
        <f>main!$B$54</f>
        <v>McLane-PARFLUX-Mark78H-13 ; 12419-03, X500x13</v>
      </c>
      <c r="E50">
        <v>3800</v>
      </c>
      <c r="F50" s="3">
        <f>main!E57</f>
        <v>710.14285714285711</v>
      </c>
      <c r="G50" s="3">
        <f>main!H57</f>
        <v>52.603174603174601</v>
      </c>
      <c r="H50" s="3">
        <f>main!I57</f>
        <v>19.213309523809524</v>
      </c>
      <c r="I50">
        <f>main!AF57</f>
        <v>76.429761824769699</v>
      </c>
      <c r="J50" s="3">
        <f>main!AG57</f>
        <v>9.1712445836116814</v>
      </c>
      <c r="K50" s="3">
        <f>main!L57</f>
        <v>12.301823616027832</v>
      </c>
      <c r="L50" s="3">
        <f>main!N57</f>
        <v>0.49015811085700989</v>
      </c>
      <c r="M50" s="3">
        <f>main!AH57</f>
        <v>3.1305790324161507</v>
      </c>
      <c r="N50" s="3">
        <f>main!AB57</f>
        <v>4.6425417148172148</v>
      </c>
      <c r="O50" s="3">
        <f>main!AC57</f>
        <v>9.9313040812875215</v>
      </c>
      <c r="P50" s="3">
        <f t="shared" si="2"/>
        <v>14.684686707703413</v>
      </c>
      <c r="Q50" s="3">
        <f t="shared" si="3"/>
        <v>1.7620996090349283</v>
      </c>
      <c r="R50" s="3">
        <f t="shared" si="4"/>
        <v>2.3635874484205246</v>
      </c>
      <c r="S50" s="3">
        <f t="shared" si="5"/>
        <v>9.4175594995014725E-2</v>
      </c>
      <c r="T50" s="3">
        <f t="shared" si="6"/>
        <v>0.60148783938559625</v>
      </c>
      <c r="U50" s="3">
        <f t="shared" si="7"/>
        <v>1.9081321928884993</v>
      </c>
      <c r="V50" s="30">
        <f>main!T57</f>
        <v>42507</v>
      </c>
      <c r="W50" s="30">
        <f>main!U57</f>
        <v>42534</v>
      </c>
      <c r="X50" s="30">
        <f>main!V57</f>
        <v>42520.5</v>
      </c>
      <c r="Y50" s="5">
        <f>main!G57</f>
        <v>27</v>
      </c>
      <c r="Z50">
        <f t="shared" si="8"/>
        <v>0.89198590943980582</v>
      </c>
      <c r="AA50">
        <f t="shared" si="9"/>
        <v>0.19680161935225018</v>
      </c>
      <c r="AB50">
        <f t="shared" si="10"/>
        <v>6.722026766239452E-3</v>
      </c>
      <c r="AC50">
        <f t="shared" si="11"/>
        <v>5.0082251405961384E-2</v>
      </c>
      <c r="AD50">
        <f t="shared" si="12"/>
        <v>0.14671936794628879</v>
      </c>
      <c r="AE50">
        <f t="shared" si="13"/>
        <v>3.1754571357771655E-2</v>
      </c>
      <c r="AF50">
        <v>3851.6</v>
      </c>
      <c r="AH50" s="3">
        <f t="shared" si="14"/>
        <v>196.80161935225019</v>
      </c>
      <c r="AI50" s="3">
        <f t="shared" si="15"/>
        <v>6.7220267662394519</v>
      </c>
      <c r="AJ50" s="3">
        <f t="shared" si="16"/>
        <v>50.082251405961387</v>
      </c>
      <c r="AK50" s="3">
        <f t="shared" si="17"/>
        <v>146.7193679462888</v>
      </c>
      <c r="AL50" s="3">
        <f t="shared" si="18"/>
        <v>31.754571357771656</v>
      </c>
      <c r="AM50" s="3">
        <f t="shared" si="19"/>
        <v>7.4504689058206823</v>
      </c>
      <c r="AN50" s="3">
        <f t="shared" si="20"/>
        <v>21.826656311927927</v>
      </c>
      <c r="AO50" s="3">
        <f>main!R57</f>
        <v>37.44</v>
      </c>
      <c r="AP50" s="3">
        <f>main!S57</f>
        <v>8.4600000000000009</v>
      </c>
    </row>
    <row r="51" spans="1:42" x14ac:dyDescent="0.25">
      <c r="A51" s="241">
        <v>2016</v>
      </c>
      <c r="B51" s="238" t="s">
        <v>110</v>
      </c>
      <c r="C51" s="269">
        <v>4</v>
      </c>
      <c r="D51" t="str">
        <f>main!$B$54</f>
        <v>McLane-PARFLUX-Mark78H-13 ; 12419-03, X500x13</v>
      </c>
      <c r="E51">
        <v>3800</v>
      </c>
      <c r="F51" s="3">
        <f>main!E58</f>
        <v>641.98571428571427</v>
      </c>
      <c r="G51" s="3">
        <f>main!H58</f>
        <v>47.55449735449735</v>
      </c>
      <c r="H51" s="3">
        <f>main!I58</f>
        <v>17.36928015873016</v>
      </c>
      <c r="I51">
        <f>main!AF58</f>
        <v>71.511560979873593</v>
      </c>
      <c r="J51" s="3">
        <f>main!AG58</f>
        <v>8.5810815138472858</v>
      </c>
      <c r="K51" s="3">
        <f>main!L58</f>
        <v>12.628866195678711</v>
      </c>
      <c r="L51" s="3">
        <f>main!N58</f>
        <v>0.61628139019012451</v>
      </c>
      <c r="M51" s="3">
        <f>main!AH58</f>
        <v>4.0477846818314251</v>
      </c>
      <c r="N51" s="3">
        <f>main!AB58</f>
        <v>5.4876691351917604</v>
      </c>
      <c r="O51" s="3">
        <f>main!AC58</f>
        <v>11.739196807891522</v>
      </c>
      <c r="P51" s="3">
        <f t="shared" si="2"/>
        <v>12.421043372475403</v>
      </c>
      <c r="Q51" s="3">
        <f t="shared" si="3"/>
        <v>1.4904720887891383</v>
      </c>
      <c r="R51" s="3">
        <f t="shared" si="4"/>
        <v>2.1935431503986029</v>
      </c>
      <c r="S51" s="3">
        <f t="shared" si="5"/>
        <v>0.1070436412282397</v>
      </c>
      <c r="T51" s="3">
        <f t="shared" si="6"/>
        <v>0.70307106160946453</v>
      </c>
      <c r="U51" s="3">
        <f t="shared" si="7"/>
        <v>2.0390139819473863</v>
      </c>
      <c r="V51" s="30">
        <f>main!T58</f>
        <v>42534</v>
      </c>
      <c r="W51" s="30">
        <f>main!U58</f>
        <v>42561</v>
      </c>
      <c r="X51" s="30">
        <f>main!V58</f>
        <v>42547.5</v>
      </c>
      <c r="Y51" s="5">
        <f>main!G58</f>
        <v>27</v>
      </c>
      <c r="Z51">
        <f t="shared" si="8"/>
        <v>0.95316862627562138</v>
      </c>
      <c r="AA51">
        <f t="shared" si="9"/>
        <v>0.18264305998323088</v>
      </c>
      <c r="AB51">
        <f t="shared" si="10"/>
        <v>7.6405168614018344E-3</v>
      </c>
      <c r="AC51">
        <f t="shared" si="11"/>
        <v>5.8540471407948755E-2</v>
      </c>
      <c r="AD51">
        <f t="shared" si="12"/>
        <v>0.12410258857528213</v>
      </c>
      <c r="AE51">
        <f t="shared" si="13"/>
        <v>3.3932667364742659E-2</v>
      </c>
      <c r="AF51">
        <v>3851.6</v>
      </c>
      <c r="AH51" s="3">
        <f t="shared" si="14"/>
        <v>182.64305998323087</v>
      </c>
      <c r="AI51" s="3">
        <f t="shared" si="15"/>
        <v>7.6405168614018342</v>
      </c>
      <c r="AJ51" s="3">
        <f t="shared" si="16"/>
        <v>58.540471407948758</v>
      </c>
      <c r="AK51" s="3">
        <f t="shared" si="17"/>
        <v>124.10258857528213</v>
      </c>
      <c r="AL51" s="3">
        <f t="shared" si="18"/>
        <v>33.932667364742656</v>
      </c>
      <c r="AM51" s="3">
        <f t="shared" si="19"/>
        <v>7.66184702813523</v>
      </c>
      <c r="AN51" s="3">
        <f t="shared" si="20"/>
        <v>16.242695465043784</v>
      </c>
      <c r="AO51" s="3">
        <f>main!R58</f>
        <v>38.06</v>
      </c>
      <c r="AP51" s="3">
        <f>main!S58</f>
        <v>8.5500000000000007</v>
      </c>
    </row>
    <row r="52" spans="1:42" x14ac:dyDescent="0.25">
      <c r="A52" s="241">
        <v>2016</v>
      </c>
      <c r="B52" s="238" t="s">
        <v>110</v>
      </c>
      <c r="C52" s="269">
        <v>5</v>
      </c>
      <c r="D52" t="str">
        <f>main!$B$54</f>
        <v>McLane-PARFLUX-Mark78H-13 ; 12419-03, X500x13</v>
      </c>
      <c r="E52">
        <v>3800</v>
      </c>
      <c r="F52" s="3">
        <f>main!E59</f>
        <v>540.52857142857135</v>
      </c>
      <c r="G52" s="3">
        <f>main!H59</f>
        <v>40.039153439153431</v>
      </c>
      <c r="H52" s="3">
        <f>main!I59</f>
        <v>14.624300793650791</v>
      </c>
      <c r="I52">
        <f>main!AF59</f>
        <v>71.694744932853411</v>
      </c>
      <c r="J52" s="3">
        <f>main!AG59</f>
        <v>8.603062804858272</v>
      </c>
      <c r="K52" s="3">
        <f>main!L59</f>
        <v>13.008883476257324</v>
      </c>
      <c r="L52" s="3">
        <f>main!N59</f>
        <v>0.67587047815322876</v>
      </c>
      <c r="M52" s="3">
        <f>main!AH59</f>
        <v>4.4058206713990522</v>
      </c>
      <c r="N52" s="3">
        <f>main!AB59</f>
        <v>4.8761123826192323</v>
      </c>
      <c r="O52" s="3">
        <f>main!AC59</f>
        <v>10.430957389519035</v>
      </c>
      <c r="P52" s="3">
        <f t="shared" si="2"/>
        <v>10.484855152221192</v>
      </c>
      <c r="Q52" s="3">
        <f t="shared" si="3"/>
        <v>1.2581377820491644</v>
      </c>
      <c r="R52" s="3">
        <f t="shared" si="4"/>
        <v>1.9024582494634066</v>
      </c>
      <c r="S52" s="3">
        <f t="shared" si="5"/>
        <v>9.884133170061403E-2</v>
      </c>
      <c r="T52" s="3">
        <f t="shared" si="6"/>
        <v>0.6443204674142422</v>
      </c>
      <c r="U52" s="3">
        <f t="shared" si="7"/>
        <v>1.525454584300808</v>
      </c>
      <c r="V52" s="30">
        <f>main!T59</f>
        <v>42561</v>
      </c>
      <c r="W52" s="30">
        <f>main!U59</f>
        <v>42588</v>
      </c>
      <c r="X52" s="30">
        <f>main!V59</f>
        <v>42574.5</v>
      </c>
      <c r="Y52" s="5">
        <f>main!G59</f>
        <v>27</v>
      </c>
      <c r="Z52">
        <f t="shared" si="8"/>
        <v>0.71309734187068896</v>
      </c>
      <c r="AA52">
        <f t="shared" si="9"/>
        <v>0.15840618230336442</v>
      </c>
      <c r="AB52">
        <f t="shared" si="10"/>
        <v>7.055055795903928E-3</v>
      </c>
      <c r="AC52">
        <f t="shared" si="11"/>
        <v>5.3648665063633826E-2</v>
      </c>
      <c r="AD52">
        <f t="shared" si="12"/>
        <v>0.10475751723973059</v>
      </c>
      <c r="AE52">
        <f t="shared" si="13"/>
        <v>2.5386163825941225E-2</v>
      </c>
      <c r="AF52">
        <v>3851.6</v>
      </c>
      <c r="AH52" s="3">
        <f t="shared" si="14"/>
        <v>158.40618230336443</v>
      </c>
      <c r="AI52" s="3">
        <f t="shared" si="15"/>
        <v>7.055055795903928</v>
      </c>
      <c r="AJ52" s="3">
        <f t="shared" si="16"/>
        <v>53.648665063633828</v>
      </c>
      <c r="AK52" s="3">
        <f t="shared" si="17"/>
        <v>104.75751723973059</v>
      </c>
      <c r="AL52" s="3">
        <f t="shared" si="18"/>
        <v>25.386163825941225</v>
      </c>
      <c r="AM52" s="3">
        <f t="shared" si="19"/>
        <v>7.6042864316936418</v>
      </c>
      <c r="AN52" s="3">
        <f t="shared" si="20"/>
        <v>14.848573883788619</v>
      </c>
      <c r="AO52" s="3">
        <f>main!R59</f>
        <v>38.03</v>
      </c>
      <c r="AP52" s="3">
        <f>main!S59</f>
        <v>8.57</v>
      </c>
    </row>
    <row r="53" spans="1:42" x14ac:dyDescent="0.25">
      <c r="A53" s="241">
        <v>2016</v>
      </c>
      <c r="B53" s="238" t="s">
        <v>110</v>
      </c>
      <c r="C53" s="269">
        <v>6</v>
      </c>
      <c r="D53" t="str">
        <f>main!$B$54</f>
        <v>McLane-PARFLUX-Mark78H-13 ; 12419-03, X500x13</v>
      </c>
      <c r="E53">
        <v>3800</v>
      </c>
      <c r="F53" s="3">
        <f>main!E60</f>
        <v>436.58571428571423</v>
      </c>
      <c r="G53" s="3">
        <f>main!H60</f>
        <v>32.339682539682535</v>
      </c>
      <c r="H53" s="3">
        <f>main!I60</f>
        <v>11.812069047619048</v>
      </c>
      <c r="I53">
        <f>main!AF60</f>
        <v>67.77404909635996</v>
      </c>
      <c r="J53" s="3">
        <f>main!AG60</f>
        <v>8.1325960704875779</v>
      </c>
      <c r="K53" s="3">
        <f>main!L60</f>
        <v>14.258779525756836</v>
      </c>
      <c r="L53" s="3">
        <f>main!N60</f>
        <v>0.96280694007873535</v>
      </c>
      <c r="M53" s="3">
        <f>main!AH60</f>
        <v>6.126183455269258</v>
      </c>
      <c r="N53" s="3">
        <f>main!AB60</f>
        <v>4.4863428943937418</v>
      </c>
      <c r="O53" s="3">
        <f>main!AC60</f>
        <v>9.5971642764015659</v>
      </c>
      <c r="P53" s="3">
        <f t="shared" si="2"/>
        <v>8.0055174756292704</v>
      </c>
      <c r="Q53" s="3">
        <f t="shared" si="3"/>
        <v>0.9606278632099462</v>
      </c>
      <c r="R53" s="3">
        <f t="shared" si="4"/>
        <v>1.6842568829301654</v>
      </c>
      <c r="S53" s="3">
        <f t="shared" si="5"/>
        <v>0.11372742055736838</v>
      </c>
      <c r="T53" s="3">
        <f t="shared" si="6"/>
        <v>0.72362901972021909</v>
      </c>
      <c r="U53" s="3">
        <f t="shared" si="7"/>
        <v>1.1336236709419818</v>
      </c>
      <c r="V53" s="30">
        <f>main!T60</f>
        <v>42588</v>
      </c>
      <c r="W53" s="30">
        <f>main!U60</f>
        <v>42615</v>
      </c>
      <c r="X53" s="30">
        <f>main!V60</f>
        <v>42601.5</v>
      </c>
      <c r="Y53" s="5">
        <f>main!G60</f>
        <v>27</v>
      </c>
      <c r="Z53">
        <f t="shared" si="8"/>
        <v>0.52992992039873965</v>
      </c>
      <c r="AA53">
        <f t="shared" si="9"/>
        <v>0.14023787534805707</v>
      </c>
      <c r="AB53">
        <f t="shared" si="10"/>
        <v>8.1175889048799698E-3</v>
      </c>
      <c r="AC53">
        <f t="shared" si="11"/>
        <v>6.0252208136571117E-2</v>
      </c>
      <c r="AD53">
        <f t="shared" si="12"/>
        <v>7.998566721148595E-2</v>
      </c>
      <c r="AE53">
        <f t="shared" si="13"/>
        <v>1.8865429704476314E-2</v>
      </c>
      <c r="AF53">
        <v>3851.6</v>
      </c>
      <c r="AH53" s="3">
        <f t="shared" si="14"/>
        <v>140.23787534805706</v>
      </c>
      <c r="AI53" s="3">
        <f t="shared" si="15"/>
        <v>8.1175889048799696</v>
      </c>
      <c r="AJ53" s="3">
        <f t="shared" si="16"/>
        <v>60.25220813657112</v>
      </c>
      <c r="AK53" s="3">
        <f t="shared" si="17"/>
        <v>79.985667211485946</v>
      </c>
      <c r="AL53" s="3">
        <f t="shared" si="18"/>
        <v>18.865429704476313</v>
      </c>
      <c r="AM53" s="3">
        <f t="shared" si="19"/>
        <v>7.4224266395591805</v>
      </c>
      <c r="AN53" s="3">
        <f t="shared" si="20"/>
        <v>9.8533774189281456</v>
      </c>
      <c r="AO53" s="3">
        <f>main!R60</f>
        <v>37.799999999999997</v>
      </c>
      <c r="AP53" s="3">
        <f>main!S60</f>
        <v>8.42</v>
      </c>
    </row>
    <row r="54" spans="1:42" x14ac:dyDescent="0.25">
      <c r="A54" s="241">
        <v>2016</v>
      </c>
      <c r="B54" s="238" t="s">
        <v>110</v>
      </c>
      <c r="C54" s="269">
        <v>7</v>
      </c>
      <c r="D54" t="str">
        <f>main!$B$54</f>
        <v>McLane-PARFLUX-Mark78H-13 ; 12419-03, X500x13</v>
      </c>
      <c r="E54">
        <v>3800</v>
      </c>
      <c r="F54" s="3">
        <f>main!E61</f>
        <v>431.51428571428562</v>
      </c>
      <c r="G54" s="3">
        <f>main!H61</f>
        <v>31.964021164021158</v>
      </c>
      <c r="H54" s="3">
        <f>main!I61</f>
        <v>11.674858730158727</v>
      </c>
      <c r="I54">
        <f>main!AF61</f>
        <v>71.132174589483256</v>
      </c>
      <c r="J54" s="3">
        <f>main!AG61</f>
        <v>8.5355567693643621</v>
      </c>
      <c r="K54" s="3">
        <f>main!L61</f>
        <v>13.006121635437012</v>
      </c>
      <c r="L54" s="3">
        <f>main!N61</f>
        <v>0.65928089618682861</v>
      </c>
      <c r="M54" s="3">
        <f>main!AH61</f>
        <v>4.4705648660726496</v>
      </c>
      <c r="N54" s="3">
        <f>main!AB61</f>
        <v>4.5666921783010936</v>
      </c>
      <c r="O54" s="3">
        <f>main!AC61</f>
        <v>9.7690470984020212</v>
      </c>
      <c r="P54" s="3">
        <f t="shared" si="2"/>
        <v>8.3045808950120339</v>
      </c>
      <c r="Q54" s="3">
        <f t="shared" si="3"/>
        <v>0.99651419465578939</v>
      </c>
      <c r="R54" s="3">
        <f t="shared" si="4"/>
        <v>1.5184463272098809</v>
      </c>
      <c r="S54" s="3">
        <f t="shared" si="5"/>
        <v>7.6970113264736656E-2</v>
      </c>
      <c r="T54" s="3">
        <f t="shared" si="6"/>
        <v>0.52193213255409154</v>
      </c>
      <c r="U54" s="3">
        <f t="shared" si="7"/>
        <v>1.1405224480211062</v>
      </c>
      <c r="V54" s="30">
        <f>main!T61</f>
        <v>42615</v>
      </c>
      <c r="W54" s="30">
        <f>main!U61</f>
        <v>42642</v>
      </c>
      <c r="X54" s="30">
        <f>main!V61</f>
        <v>42628.5</v>
      </c>
      <c r="Y54" s="5">
        <f>main!G61</f>
        <v>27</v>
      </c>
      <c r="Z54">
        <f t="shared" si="8"/>
        <v>0.53315486045786087</v>
      </c>
      <c r="AA54">
        <f t="shared" si="9"/>
        <v>0.12643183407242972</v>
      </c>
      <c r="AB54">
        <f t="shared" si="10"/>
        <v>5.4939409896314533E-3</v>
      </c>
      <c r="AC54">
        <f t="shared" si="11"/>
        <v>4.3458129271781144E-2</v>
      </c>
      <c r="AD54">
        <f t="shared" si="12"/>
        <v>8.2973704800648571E-2</v>
      </c>
      <c r="AE54">
        <f t="shared" si="13"/>
        <v>1.8980237111351401E-2</v>
      </c>
      <c r="AF54">
        <v>3851.6</v>
      </c>
      <c r="AH54" s="3">
        <f t="shared" si="14"/>
        <v>126.43183407242972</v>
      </c>
      <c r="AI54" s="3">
        <f t="shared" si="15"/>
        <v>5.4939409896314535</v>
      </c>
      <c r="AJ54" s="3">
        <f t="shared" si="16"/>
        <v>43.458129271781146</v>
      </c>
      <c r="AK54" s="3">
        <f t="shared" si="17"/>
        <v>82.973704800648576</v>
      </c>
      <c r="AL54" s="3">
        <f t="shared" si="18"/>
        <v>18.9802371113514</v>
      </c>
      <c r="AM54" s="3">
        <f t="shared" si="19"/>
        <v>7.9101922197195682</v>
      </c>
      <c r="AN54" s="3">
        <f t="shared" si="20"/>
        <v>15.102765930184235</v>
      </c>
      <c r="AO54" s="3">
        <f>main!R61</f>
        <v>36.659999999999997</v>
      </c>
      <c r="AP54" s="3">
        <f>main!S61</f>
        <v>8.5399999999999991</v>
      </c>
    </row>
    <row r="55" spans="1:42" x14ac:dyDescent="0.25">
      <c r="A55" s="241">
        <v>2016</v>
      </c>
      <c r="B55" s="238" t="s">
        <v>110</v>
      </c>
      <c r="C55" s="269">
        <v>8</v>
      </c>
      <c r="D55" t="str">
        <f>main!$B$54</f>
        <v>McLane-PARFLUX-Mark78H-13 ; 12419-03, X500x13</v>
      </c>
      <c r="E55">
        <v>3800</v>
      </c>
      <c r="F55" s="3">
        <f>main!E62</f>
        <v>492.55714285714282</v>
      </c>
      <c r="G55" s="3">
        <f>main!H62</f>
        <v>36.48571428571428</v>
      </c>
      <c r="H55" s="3">
        <f>main!I62</f>
        <v>13.326407142857143</v>
      </c>
      <c r="I55">
        <f>main!AF62</f>
        <v>72.945855241038089</v>
      </c>
      <c r="J55" s="3">
        <f>main!AG62</f>
        <v>8.7531906917375544</v>
      </c>
      <c r="K55" s="3">
        <f>main!L62</f>
        <v>13.050162315368652</v>
      </c>
      <c r="L55" s="3">
        <f>main!N62</f>
        <v>0.61065512895584106</v>
      </c>
      <c r="M55" s="3">
        <f>main!AH62</f>
        <v>4.296971623631098</v>
      </c>
      <c r="N55" s="3">
        <f>main!AB62</f>
        <v>4.2328067591536813</v>
      </c>
      <c r="O55" s="3">
        <f>main!AC62</f>
        <v>9.0548009312048681</v>
      </c>
      <c r="P55" s="3">
        <f t="shared" si="2"/>
        <v>9.7210616632599312</v>
      </c>
      <c r="Q55" s="3">
        <f t="shared" si="3"/>
        <v>1.1664858295716201</v>
      </c>
      <c r="R55" s="3">
        <f t="shared" si="4"/>
        <v>1.7391177629497392</v>
      </c>
      <c r="S55" s="3">
        <f t="shared" si="5"/>
        <v>8.1378388723394687E-2</v>
      </c>
      <c r="T55" s="3">
        <f t="shared" si="6"/>
        <v>0.57263193337811924</v>
      </c>
      <c r="U55" s="3">
        <f t="shared" si="7"/>
        <v>1.2066796380675806</v>
      </c>
      <c r="V55" s="30">
        <f>main!T62</f>
        <v>42642</v>
      </c>
      <c r="W55" s="30">
        <f>main!U62</f>
        <v>42669</v>
      </c>
      <c r="X55" s="30">
        <f>main!V62</f>
        <v>42655.5</v>
      </c>
      <c r="Y55" s="5">
        <f>main!G62</f>
        <v>27</v>
      </c>
      <c r="Z55">
        <f t="shared" si="8"/>
        <v>0.56408106229519617</v>
      </c>
      <c r="AA55">
        <f t="shared" si="9"/>
        <v>0.1448058087385295</v>
      </c>
      <c r="AB55">
        <f t="shared" si="10"/>
        <v>5.8085930566305986E-3</v>
      </c>
      <c r="AC55">
        <f t="shared" si="11"/>
        <v>4.767959478585506E-2</v>
      </c>
      <c r="AD55">
        <f t="shared" si="12"/>
        <v>9.7126213952674442E-2</v>
      </c>
      <c r="AE55">
        <f t="shared" si="13"/>
        <v>2.0081205492887014E-2</v>
      </c>
      <c r="AF55">
        <v>3851.6</v>
      </c>
      <c r="AH55" s="3">
        <f t="shared" si="14"/>
        <v>144.80580873852949</v>
      </c>
      <c r="AI55" s="3">
        <f t="shared" si="15"/>
        <v>5.808593056630599</v>
      </c>
      <c r="AJ55" s="3">
        <f t="shared" si="16"/>
        <v>47.679594785855059</v>
      </c>
      <c r="AK55" s="3">
        <f t="shared" si="17"/>
        <v>97.126213952674448</v>
      </c>
      <c r="AL55" s="3">
        <f t="shared" si="18"/>
        <v>20.081205492887015</v>
      </c>
      <c r="AM55" s="3">
        <f t="shared" si="19"/>
        <v>8.2084584547419901</v>
      </c>
      <c r="AN55" s="3">
        <f t="shared" si="20"/>
        <v>16.72112558165929</v>
      </c>
      <c r="AO55" s="3">
        <f>main!R62</f>
        <v>35.29</v>
      </c>
      <c r="AP55" s="3">
        <f>main!S62</f>
        <v>8.25</v>
      </c>
    </row>
    <row r="56" spans="1:42" x14ac:dyDescent="0.25">
      <c r="A56" s="241">
        <v>2016</v>
      </c>
      <c r="B56" s="238" t="s">
        <v>110</v>
      </c>
      <c r="C56" s="269">
        <v>9</v>
      </c>
      <c r="D56" t="str">
        <f>main!$B$54</f>
        <v>McLane-PARFLUX-Mark78H-13 ; 12419-03, X500x13</v>
      </c>
      <c r="E56">
        <v>3800</v>
      </c>
      <c r="F56" s="3">
        <f>main!E63</f>
        <v>561.61428571428576</v>
      </c>
      <c r="G56" s="3">
        <f>main!H63</f>
        <v>41.601058201058201</v>
      </c>
      <c r="H56" s="3">
        <f>main!I63</f>
        <v>15.194786507936509</v>
      </c>
      <c r="I56">
        <f>main!AF63</f>
        <v>70.479346669192395</v>
      </c>
      <c r="J56" s="3">
        <f>main!AG63</f>
        <v>8.4572202106069891</v>
      </c>
      <c r="K56" s="3">
        <f>main!L63</f>
        <v>13.106785774230957</v>
      </c>
      <c r="L56" s="3">
        <f>main!N63</f>
        <v>0.65892082452774048</v>
      </c>
      <c r="M56" s="3">
        <f>main!AH63</f>
        <v>4.6495655636239679</v>
      </c>
      <c r="N56" s="3">
        <f>main!AB63</f>
        <v>4.8063167090680476</v>
      </c>
      <c r="O56" s="3">
        <f>main!AC63</f>
        <v>10.281650802701993</v>
      </c>
      <c r="P56" s="3">
        <f t="shared" si="2"/>
        <v>10.709186258572247</v>
      </c>
      <c r="Q56" s="3">
        <f t="shared" si="3"/>
        <v>1.2850565555077904</v>
      </c>
      <c r="R56" s="3">
        <f t="shared" si="4"/>
        <v>1.991548116446987</v>
      </c>
      <c r="S56" s="3">
        <f t="shared" si="5"/>
        <v>0.10012161254332512</v>
      </c>
      <c r="T56" s="3">
        <f t="shared" si="6"/>
        <v>0.70649156093919674</v>
      </c>
      <c r="U56" s="3">
        <f t="shared" si="7"/>
        <v>1.5622748889621083</v>
      </c>
      <c r="V56" s="30">
        <f>main!T63</f>
        <v>42669</v>
      </c>
      <c r="W56" s="30">
        <f>main!U63</f>
        <v>42696</v>
      </c>
      <c r="X56" s="30">
        <f>main!V63</f>
        <v>42682.5</v>
      </c>
      <c r="Y56" s="5">
        <f>main!G63</f>
        <v>27</v>
      </c>
      <c r="Z56">
        <f t="shared" si="8"/>
        <v>0.73030956283816972</v>
      </c>
      <c r="AA56">
        <f t="shared" si="9"/>
        <v>0.16582415624038194</v>
      </c>
      <c r="AB56">
        <f t="shared" si="10"/>
        <v>7.1464391536991525E-3</v>
      </c>
      <c r="AC56">
        <f t="shared" si="11"/>
        <v>5.8825275681864839E-2</v>
      </c>
      <c r="AD56">
        <f t="shared" si="12"/>
        <v>0.1069988805585171</v>
      </c>
      <c r="AE56">
        <f t="shared" si="13"/>
        <v>2.5998916441373077E-2</v>
      </c>
      <c r="AF56">
        <v>3851.6</v>
      </c>
      <c r="AH56" s="3">
        <f t="shared" si="14"/>
        <v>165.82415624038194</v>
      </c>
      <c r="AI56" s="3">
        <f t="shared" si="15"/>
        <v>7.1464391536991521</v>
      </c>
      <c r="AJ56" s="3">
        <f t="shared" si="16"/>
        <v>58.825275681864838</v>
      </c>
      <c r="AK56" s="3">
        <f t="shared" si="17"/>
        <v>106.9988805585171</v>
      </c>
      <c r="AL56" s="3">
        <f t="shared" si="18"/>
        <v>25.998916441373076</v>
      </c>
      <c r="AM56" s="3">
        <f t="shared" si="19"/>
        <v>8.2314106951313786</v>
      </c>
      <c r="AN56" s="3">
        <f t="shared" si="20"/>
        <v>14.972334928945999</v>
      </c>
      <c r="AO56" s="3">
        <f>main!R63</f>
        <v>37.35</v>
      </c>
      <c r="AP56" s="3">
        <f>main!S63</f>
        <v>8.56</v>
      </c>
    </row>
    <row r="57" spans="1:42" x14ac:dyDescent="0.25">
      <c r="A57" s="241">
        <v>2016</v>
      </c>
      <c r="B57" s="238" t="s">
        <v>110</v>
      </c>
      <c r="C57" s="269">
        <v>10</v>
      </c>
      <c r="D57" t="str">
        <f>main!$B$54</f>
        <v>McLane-PARFLUX-Mark78H-13 ; 12419-03, X500x13</v>
      </c>
      <c r="E57">
        <v>3800</v>
      </c>
      <c r="F57" s="3">
        <f>main!E64</f>
        <v>1514.2857142857142</v>
      </c>
      <c r="G57" s="3">
        <f>main!H64</f>
        <v>112.16931216931216</v>
      </c>
      <c r="H57" s="3">
        <f>main!I64</f>
        <v>40.969841269841268</v>
      </c>
      <c r="I57">
        <f>main!AF64</f>
        <v>68.057700253064866</v>
      </c>
      <c r="J57" s="3">
        <f>main!AG64</f>
        <v>8.1666329963192883</v>
      </c>
      <c r="K57" s="3">
        <f>main!L64</f>
        <v>12.285015106201172</v>
      </c>
      <c r="L57" s="3">
        <f>main!N64</f>
        <v>0.62567657232284546</v>
      </c>
      <c r="M57" s="3">
        <f>main!AH64</f>
        <v>4.1183821098818836</v>
      </c>
      <c r="N57" s="3">
        <f>main!AB64</f>
        <v>6.8094656510835989</v>
      </c>
      <c r="O57" s="3">
        <f>main!AC64</f>
        <v>14.566777891549073</v>
      </c>
      <c r="P57" s="3">
        <f t="shared" si="2"/>
        <v>27.883131765585034</v>
      </c>
      <c r="Q57" s="3">
        <f t="shared" si="3"/>
        <v>3.3458565756824945</v>
      </c>
      <c r="R57" s="3">
        <f t="shared" si="4"/>
        <v>5.0331511889866416</v>
      </c>
      <c r="S57" s="3">
        <f t="shared" si="5"/>
        <v>0.25633869854325336</v>
      </c>
      <c r="T57" s="3">
        <f t="shared" si="6"/>
        <v>1.6872946133041475</v>
      </c>
      <c r="U57" s="3">
        <f t="shared" si="7"/>
        <v>5.9679857802979859</v>
      </c>
      <c r="V57" s="30">
        <f>main!T64</f>
        <v>42696</v>
      </c>
      <c r="W57" s="30">
        <f>main!U64</f>
        <v>42723</v>
      </c>
      <c r="X57" s="30">
        <f>main!V64</f>
        <v>42709.5</v>
      </c>
      <c r="Y57" s="5">
        <f>main!G64</f>
        <v>27</v>
      </c>
      <c r="Z57">
        <f t="shared" si="8"/>
        <v>2.7898272685733136</v>
      </c>
      <c r="AA57">
        <f t="shared" si="9"/>
        <v>0.41908003238856301</v>
      </c>
      <c r="AB57">
        <f t="shared" si="10"/>
        <v>1.8296837868897457E-2</v>
      </c>
      <c r="AC57">
        <f t="shared" si="11"/>
        <v>0.14049080876803893</v>
      </c>
      <c r="AD57">
        <f t="shared" si="12"/>
        <v>0.27858922362052413</v>
      </c>
      <c r="AE57">
        <f t="shared" si="13"/>
        <v>9.9317453491396007E-2</v>
      </c>
      <c r="AF57">
        <v>3851.6</v>
      </c>
      <c r="AH57" s="3">
        <f t="shared" si="14"/>
        <v>419.08003238856298</v>
      </c>
      <c r="AI57" s="3">
        <f t="shared" si="15"/>
        <v>18.296837868897459</v>
      </c>
      <c r="AJ57" s="3">
        <f t="shared" si="16"/>
        <v>140.49080876803893</v>
      </c>
      <c r="AK57" s="3">
        <f t="shared" si="17"/>
        <v>278.58922362052414</v>
      </c>
      <c r="AL57" s="3">
        <f t="shared" si="18"/>
        <v>99.317453491396009</v>
      </c>
      <c r="AM57" s="3">
        <f t="shared" si="19"/>
        <v>7.6784201606146008</v>
      </c>
      <c r="AN57" s="3">
        <f t="shared" si="20"/>
        <v>15.226085819675655</v>
      </c>
      <c r="AO57" s="3">
        <f>main!R64</f>
        <v>37.78</v>
      </c>
      <c r="AP57" s="3">
        <f>main!S64</f>
        <v>8.4600000000000009</v>
      </c>
    </row>
    <row r="58" spans="1:42" x14ac:dyDescent="0.25">
      <c r="A58" s="241">
        <v>2016</v>
      </c>
      <c r="B58" s="238" t="s">
        <v>110</v>
      </c>
      <c r="C58" s="269">
        <v>11</v>
      </c>
      <c r="D58" t="str">
        <f>main!$B$54</f>
        <v>McLane-PARFLUX-Mark78H-13 ; 12419-03, X500x13</v>
      </c>
      <c r="E58">
        <v>3800</v>
      </c>
      <c r="F58" s="3">
        <f>main!E65</f>
        <v>1724.3857142857141</v>
      </c>
      <c r="G58" s="3">
        <f>main!H65</f>
        <v>127.73227513227512</v>
      </c>
      <c r="H58" s="3">
        <f>main!I65</f>
        <v>46.654213492063491</v>
      </c>
      <c r="I58">
        <f>main!AF65</f>
        <v>54.23787099162233</v>
      </c>
      <c r="J58" s="3">
        <f>main!AG65</f>
        <v>6.508312582459685</v>
      </c>
      <c r="K58" s="3">
        <f>main!L65</f>
        <v>12.907769203186035</v>
      </c>
      <c r="L58" s="3">
        <f>main!N65</f>
        <v>0.88784945011138916</v>
      </c>
      <c r="M58" s="3">
        <f>main!AH65</f>
        <v>6.3994566207263501</v>
      </c>
      <c r="N58" s="3">
        <f>main!AB65</f>
        <v>10.657373406950796</v>
      </c>
      <c r="O58" s="3">
        <f>main!AC65</f>
        <v>22.798204628824259</v>
      </c>
      <c r="P58" s="3">
        <f t="shared" si="2"/>
        <v>25.304252125981453</v>
      </c>
      <c r="Q58" s="3">
        <f t="shared" si="3"/>
        <v>3.0364020469515722</v>
      </c>
      <c r="R58" s="3">
        <f t="shared" si="4"/>
        <v>6.022018201117235</v>
      </c>
      <c r="S58" s="3">
        <f t="shared" si="5"/>
        <v>0.41421917794307928</v>
      </c>
      <c r="T58" s="3">
        <f t="shared" si="6"/>
        <v>2.9856161541656632</v>
      </c>
      <c r="U58" s="3">
        <f t="shared" si="7"/>
        <v>10.63632305988917</v>
      </c>
      <c r="V58" s="30">
        <f>main!T65</f>
        <v>42723</v>
      </c>
      <c r="W58" s="30">
        <f>main!U65</f>
        <v>42750</v>
      </c>
      <c r="X58" s="30">
        <f>main!V65</f>
        <v>42736.5</v>
      </c>
      <c r="Y58" s="5">
        <f>main!G65</f>
        <v>27</v>
      </c>
      <c r="Z58">
        <f t="shared" si="8"/>
        <v>4.9721137419252246</v>
      </c>
      <c r="AA58">
        <f t="shared" si="9"/>
        <v>0.50141700259094379</v>
      </c>
      <c r="AB58">
        <f t="shared" si="10"/>
        <v>2.9565965591939993E-2</v>
      </c>
      <c r="AC58">
        <f t="shared" si="11"/>
        <v>0.2485941843601718</v>
      </c>
      <c r="AD58">
        <f t="shared" si="12"/>
        <v>0.25282281823077207</v>
      </c>
      <c r="AE58">
        <f t="shared" si="13"/>
        <v>0.17700654118637324</v>
      </c>
      <c r="AF58">
        <v>3851.6</v>
      </c>
      <c r="AH58" s="3">
        <f t="shared" si="14"/>
        <v>501.41700259094381</v>
      </c>
      <c r="AI58" s="3">
        <f t="shared" si="15"/>
        <v>29.565965591939992</v>
      </c>
      <c r="AJ58" s="3">
        <f t="shared" si="16"/>
        <v>248.59418436017179</v>
      </c>
      <c r="AK58" s="3">
        <f t="shared" si="17"/>
        <v>252.82281823077207</v>
      </c>
      <c r="AL58" s="3">
        <f t="shared" si="18"/>
        <v>177.00654118637323</v>
      </c>
      <c r="AM58" s="3">
        <f t="shared" si="19"/>
        <v>8.4081199238066251</v>
      </c>
      <c r="AN58" s="3">
        <f t="shared" si="20"/>
        <v>8.5511436264301928</v>
      </c>
      <c r="AO58" s="3">
        <f>main!R65</f>
        <v>37.75</v>
      </c>
      <c r="AP58" s="3">
        <f>main!S65</f>
        <v>8.51</v>
      </c>
    </row>
    <row r="59" spans="1:42" x14ac:dyDescent="0.25">
      <c r="A59" s="241">
        <v>2016</v>
      </c>
      <c r="B59" s="238" t="s">
        <v>110</v>
      </c>
      <c r="C59" s="269">
        <v>12</v>
      </c>
      <c r="D59" t="str">
        <f>main!$B$54</f>
        <v>McLane-PARFLUX-Mark78H-13 ; 12419-03, X500x13</v>
      </c>
      <c r="E59">
        <v>3800</v>
      </c>
      <c r="F59" s="3">
        <f>main!E66</f>
        <v>1376.1571428571426</v>
      </c>
      <c r="G59" s="3">
        <f>main!H66</f>
        <v>101.93756613756612</v>
      </c>
      <c r="H59" s="3">
        <f>main!I66</f>
        <v>37.232696031746023</v>
      </c>
      <c r="I59">
        <f>main!AF66</f>
        <v>53.736415093943798</v>
      </c>
      <c r="J59" s="3">
        <f>main!AG66</f>
        <v>6.4481400191060469</v>
      </c>
      <c r="K59" s="3">
        <f>main!L66</f>
        <v>13.821226596832275</v>
      </c>
      <c r="L59" s="3">
        <f>main!N66</f>
        <v>1.2125943303108215</v>
      </c>
      <c r="M59" s="3">
        <f>main!AH66</f>
        <v>7.3730865777262284</v>
      </c>
      <c r="N59" s="3">
        <f>main!AB66</f>
        <v>9.0173174623934376</v>
      </c>
      <c r="O59" s="3">
        <f>main!AC66</f>
        <v>19.289804425604192</v>
      </c>
      <c r="P59" s="3">
        <f t="shared" si="2"/>
        <v>20.007516090285385</v>
      </c>
      <c r="Q59" s="3">
        <f t="shared" si="3"/>
        <v>2.4008163730151244</v>
      </c>
      <c r="R59" s="3">
        <f t="shared" si="4"/>
        <v>5.1460152866573967</v>
      </c>
      <c r="S59" s="3">
        <f t="shared" si="5"/>
        <v>0.45148156110281451</v>
      </c>
      <c r="T59" s="3">
        <f t="shared" si="6"/>
        <v>2.7451989136422723</v>
      </c>
      <c r="U59" s="3">
        <f t="shared" si="7"/>
        <v>7.1821142469035015</v>
      </c>
      <c r="V59" s="30">
        <f>main!T66</f>
        <v>42750</v>
      </c>
      <c r="W59" s="30">
        <f>main!U66</f>
        <v>42777</v>
      </c>
      <c r="X59" s="30">
        <f>main!V66</f>
        <v>42763.5</v>
      </c>
      <c r="Y59" s="5">
        <f>main!G66</f>
        <v>27</v>
      </c>
      <c r="Z59">
        <f t="shared" si="8"/>
        <v>3.3573904009905027</v>
      </c>
      <c r="AA59">
        <f t="shared" si="9"/>
        <v>0.42847754260261423</v>
      </c>
      <c r="AB59">
        <f t="shared" si="10"/>
        <v>3.2225664604055286E-2</v>
      </c>
      <c r="AC59">
        <f t="shared" si="11"/>
        <v>0.2285760960568087</v>
      </c>
      <c r="AD59">
        <f t="shared" si="12"/>
        <v>0.19990144654580552</v>
      </c>
      <c r="AE59">
        <f t="shared" si="13"/>
        <v>0.11952262018478116</v>
      </c>
      <c r="AF59">
        <v>3851.6</v>
      </c>
      <c r="AH59" s="3">
        <f t="shared" si="14"/>
        <v>428.47754260261422</v>
      </c>
      <c r="AI59" s="3">
        <f t="shared" si="15"/>
        <v>32.225664604055289</v>
      </c>
      <c r="AJ59" s="3">
        <f t="shared" si="16"/>
        <v>228.57609605680869</v>
      </c>
      <c r="AK59" s="3">
        <f t="shared" si="17"/>
        <v>199.90144654580553</v>
      </c>
      <c r="AL59" s="3">
        <f t="shared" si="18"/>
        <v>119.52262018478116</v>
      </c>
      <c r="AM59" s="3">
        <f t="shared" si="19"/>
        <v>7.0929831507041934</v>
      </c>
      <c r="AN59" s="3">
        <f t="shared" si="20"/>
        <v>6.2031752952784673</v>
      </c>
      <c r="AO59" s="3">
        <f>main!R66</f>
        <v>37.979999999999997</v>
      </c>
      <c r="AP59" s="3">
        <f>main!S66</f>
        <v>8.5299999999999994</v>
      </c>
    </row>
    <row r="60" spans="1:42" x14ac:dyDescent="0.25">
      <c r="A60" s="241">
        <v>2016</v>
      </c>
      <c r="B60" s="238" t="s">
        <v>110</v>
      </c>
      <c r="C60" s="269">
        <v>13</v>
      </c>
      <c r="D60" t="str">
        <f>main!$B$54</f>
        <v>McLane-PARFLUX-Mark78H-13 ; 12419-03, X500x13</v>
      </c>
      <c r="E60">
        <v>3800</v>
      </c>
      <c r="F60" s="3">
        <f>main!E67</f>
        <v>930.34285714285704</v>
      </c>
      <c r="G60" s="3">
        <f>main!H67</f>
        <v>68.914285714285711</v>
      </c>
      <c r="H60" s="3">
        <f>main!I67</f>
        <v>25.170942857142855</v>
      </c>
      <c r="I60">
        <f>main!AF67</f>
        <v>63.09065403298699</v>
      </c>
      <c r="J60" s="3">
        <f>main!AG67</f>
        <v>7.5706086904097711</v>
      </c>
      <c r="K60" s="3">
        <f>main!L67</f>
        <v>13.673782348632813</v>
      </c>
      <c r="L60" s="3">
        <f>main!N67</f>
        <v>0.83917605876922607</v>
      </c>
      <c r="M60" s="3">
        <f>main!AH67</f>
        <v>6.1031736582230414</v>
      </c>
      <c r="N60" s="3">
        <f>main!AB67</f>
        <v>7.0630665910621264</v>
      </c>
      <c r="O60" s="3">
        <f>main!AC67</f>
        <v>15.109279866747</v>
      </c>
      <c r="P60" s="3">
        <f>(I60/100)*$H60</f>
        <v>15.880512474840851</v>
      </c>
      <c r="Q60" s="3">
        <f t="shared" si="3"/>
        <v>1.9055935874009344</v>
      </c>
      <c r="R60" s="3">
        <f t="shared" si="4"/>
        <v>3.4418199413844515</v>
      </c>
      <c r="S60" s="3">
        <f t="shared" si="5"/>
        <v>0.21122852622362545</v>
      </c>
      <c r="T60" s="3">
        <f>(M60/100)*$H60</f>
        <v>1.5362263539835168</v>
      </c>
      <c r="U60" s="3">
        <f t="shared" si="7"/>
        <v>3.8031482013846771</v>
      </c>
      <c r="V60" s="30">
        <f>main!T67</f>
        <v>42777</v>
      </c>
      <c r="W60" s="30">
        <f>main!U67</f>
        <v>42804</v>
      </c>
      <c r="X60" s="30">
        <f>main!V67</f>
        <v>42790.5</v>
      </c>
      <c r="Y60" s="5">
        <f>main!G67</f>
        <v>27</v>
      </c>
      <c r="Z60">
        <f t="shared" si="8"/>
        <v>1.7778404555981957</v>
      </c>
      <c r="AA60">
        <f t="shared" si="9"/>
        <v>0.28657951218854716</v>
      </c>
      <c r="AB60">
        <f t="shared" si="10"/>
        <v>1.5076982599830511E-2</v>
      </c>
      <c r="AC60">
        <f t="shared" si="11"/>
        <v>0.12791226927423122</v>
      </c>
      <c r="AD60">
        <f t="shared" si="12"/>
        <v>0.15866724291431594</v>
      </c>
      <c r="AE60">
        <f t="shared" si="13"/>
        <v>6.3290867055827538E-2</v>
      </c>
      <c r="AF60">
        <v>3851.6</v>
      </c>
      <c r="AH60" s="3">
        <f t="shared" si="14"/>
        <v>286.57951218854714</v>
      </c>
      <c r="AI60" s="3">
        <f t="shared" si="15"/>
        <v>15.076982599830512</v>
      </c>
      <c r="AJ60" s="3">
        <f t="shared" si="16"/>
        <v>127.91226927423122</v>
      </c>
      <c r="AK60" s="3">
        <f t="shared" si="17"/>
        <v>158.66724291431595</v>
      </c>
      <c r="AL60" s="3">
        <f t="shared" si="18"/>
        <v>63.29086705582754</v>
      </c>
      <c r="AM60" s="3">
        <f t="shared" si="19"/>
        <v>8.4839435495315332</v>
      </c>
      <c r="AN60" s="3">
        <f t="shared" si="20"/>
        <v>10.523806196877857</v>
      </c>
      <c r="AO60" s="3">
        <f>main!R67</f>
        <v>37.82</v>
      </c>
      <c r="AP60" s="3">
        <f>main!S67</f>
        <v>8.5299999999999994</v>
      </c>
    </row>
    <row r="61" spans="1:42" x14ac:dyDescent="0.25">
      <c r="AO61" s="3"/>
      <c r="AP61" s="3"/>
    </row>
    <row r="74" spans="15:15" x14ac:dyDescent="0.25">
      <c r="O74" t="s">
        <v>3203</v>
      </c>
    </row>
  </sheetData>
  <pageMargins left="0.75" right="0.75" top="1" bottom="1" header="0.5" footer="0.5"/>
  <pageSetup paperSize="9" orientation="portrait" horizontalDpi="4294967292" verticalDpi="4294967292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CE47-75D2-451D-87CD-453E49CEB9CC}">
  <dimension ref="A1:AP60"/>
  <sheetViews>
    <sheetView topLeftCell="S1" workbookViewId="0">
      <selection activeCell="AW13" sqref="AW13"/>
    </sheetView>
  </sheetViews>
  <sheetFormatPr defaultColWidth="9.1796875" defaultRowHeight="12.5" x14ac:dyDescent="0.25"/>
  <cols>
    <col min="7" max="7" width="12" bestFit="1" customWidth="1"/>
    <col min="22" max="23" width="10.1796875" style="30" bestFit="1" customWidth="1"/>
    <col min="24" max="24" width="24.54296875" style="30" bestFit="1" customWidth="1"/>
  </cols>
  <sheetData>
    <row r="1" spans="1:42" x14ac:dyDescent="0.25">
      <c r="A1" t="s">
        <v>50</v>
      </c>
      <c r="B1" t="s">
        <v>54</v>
      </c>
      <c r="C1" t="s">
        <v>55</v>
      </c>
      <c r="D1" t="s">
        <v>62</v>
      </c>
      <c r="E1" t="s">
        <v>303</v>
      </c>
      <c r="F1" t="s">
        <v>304</v>
      </c>
      <c r="G1" t="s">
        <v>305</v>
      </c>
      <c r="H1" t="s">
        <v>305</v>
      </c>
      <c r="I1" t="s">
        <v>306</v>
      </c>
      <c r="J1" t="s">
        <v>307</v>
      </c>
      <c r="K1" t="s">
        <v>283</v>
      </c>
      <c r="L1" t="s">
        <v>284</v>
      </c>
      <c r="M1" t="s">
        <v>308</v>
      </c>
      <c r="N1" t="s">
        <v>106</v>
      </c>
      <c r="O1" t="s">
        <v>158</v>
      </c>
      <c r="P1" t="s">
        <v>306</v>
      </c>
      <c r="Q1" t="s">
        <v>307</v>
      </c>
      <c r="R1" t="s">
        <v>283</v>
      </c>
      <c r="S1" t="s">
        <v>284</v>
      </c>
      <c r="T1" t="s">
        <v>308</v>
      </c>
      <c r="U1" t="s">
        <v>158</v>
      </c>
      <c r="V1" s="30" t="s">
        <v>32</v>
      </c>
      <c r="W1" s="30" t="s">
        <v>32</v>
      </c>
      <c r="X1" s="30" t="s">
        <v>32</v>
      </c>
      <c r="Y1" t="s">
        <v>32</v>
      </c>
      <c r="Z1" t="s">
        <v>106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  <c r="AF1" t="s">
        <v>287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1262</v>
      </c>
      <c r="AN1" t="s">
        <v>3199</v>
      </c>
      <c r="AO1" t="s">
        <v>3200</v>
      </c>
      <c r="AP1" t="s">
        <v>30</v>
      </c>
    </row>
    <row r="2" spans="1:42" x14ac:dyDescent="0.25">
      <c r="A2" t="s">
        <v>314</v>
      </c>
      <c r="E2" t="s">
        <v>315</v>
      </c>
      <c r="G2" t="s">
        <v>137</v>
      </c>
      <c r="H2" t="s">
        <v>137</v>
      </c>
      <c r="I2" t="s">
        <v>157</v>
      </c>
      <c r="J2" t="s">
        <v>157</v>
      </c>
      <c r="K2" t="s">
        <v>157</v>
      </c>
      <c r="L2" t="s">
        <v>157</v>
      </c>
      <c r="M2" t="s">
        <v>157</v>
      </c>
      <c r="N2" t="s">
        <v>157</v>
      </c>
      <c r="O2" t="s">
        <v>157</v>
      </c>
      <c r="P2" t="s">
        <v>137</v>
      </c>
      <c r="Q2" t="s">
        <v>137</v>
      </c>
      <c r="R2" t="s">
        <v>137</v>
      </c>
      <c r="S2" t="s">
        <v>137</v>
      </c>
      <c r="T2" t="s">
        <v>137</v>
      </c>
      <c r="U2" t="s">
        <v>137</v>
      </c>
      <c r="V2" s="30" t="s">
        <v>316</v>
      </c>
      <c r="W2" s="30" t="s">
        <v>317</v>
      </c>
      <c r="X2" s="30" t="s">
        <v>318</v>
      </c>
      <c r="Y2" t="s">
        <v>319</v>
      </c>
      <c r="Z2" t="s">
        <v>137</v>
      </c>
      <c r="AA2" t="s">
        <v>320</v>
      </c>
      <c r="AB2" t="s">
        <v>321</v>
      </c>
      <c r="AC2" t="s">
        <v>322</v>
      </c>
      <c r="AD2" t="s">
        <v>323</v>
      </c>
      <c r="AE2" t="s">
        <v>324</v>
      </c>
      <c r="AF2" t="s">
        <v>325</v>
      </c>
      <c r="AH2" t="s">
        <v>320</v>
      </c>
      <c r="AI2" t="s">
        <v>321</v>
      </c>
      <c r="AJ2" t="s">
        <v>322</v>
      </c>
      <c r="AK2" t="s">
        <v>323</v>
      </c>
      <c r="AL2" t="s">
        <v>324</v>
      </c>
    </row>
    <row r="3" spans="1:42" x14ac:dyDescent="0.25">
      <c r="F3" t="s">
        <v>22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22</v>
      </c>
      <c r="T3" t="s">
        <v>22</v>
      </c>
      <c r="U3" t="s">
        <v>22</v>
      </c>
      <c r="X3" s="30">
        <v>1</v>
      </c>
      <c r="Z3" t="s">
        <v>22</v>
      </c>
      <c r="AA3" t="s">
        <v>326</v>
      </c>
      <c r="AB3" t="s">
        <v>326</v>
      </c>
      <c r="AC3" t="s">
        <v>326</v>
      </c>
      <c r="AD3" t="s">
        <v>326</v>
      </c>
      <c r="AE3" t="s">
        <v>326</v>
      </c>
      <c r="AF3" t="s">
        <v>906</v>
      </c>
      <c r="AH3" t="s">
        <v>1294</v>
      </c>
      <c r="AI3" t="s">
        <v>1294</v>
      </c>
      <c r="AJ3" t="s">
        <v>1294</v>
      </c>
      <c r="AK3" t="s">
        <v>1294</v>
      </c>
      <c r="AL3" t="s">
        <v>1294</v>
      </c>
      <c r="AM3" t="s">
        <v>3201</v>
      </c>
    </row>
    <row r="4" spans="1:42" x14ac:dyDescent="0.25">
      <c r="E4" t="s">
        <v>327</v>
      </c>
      <c r="F4" t="s">
        <v>53</v>
      </c>
      <c r="G4" t="s">
        <v>43</v>
      </c>
      <c r="H4" t="s">
        <v>44</v>
      </c>
      <c r="I4" t="s">
        <v>45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45</v>
      </c>
      <c r="P4" t="s">
        <v>44</v>
      </c>
      <c r="Q4" t="s">
        <v>44</v>
      </c>
      <c r="R4" t="s">
        <v>44</v>
      </c>
      <c r="S4" t="s">
        <v>44</v>
      </c>
      <c r="T4" t="s">
        <v>44</v>
      </c>
      <c r="U4" t="s">
        <v>44</v>
      </c>
      <c r="V4" s="30" t="s">
        <v>14</v>
      </c>
      <c r="W4" s="30" t="s">
        <v>14</v>
      </c>
      <c r="X4" s="30" t="s">
        <v>328</v>
      </c>
      <c r="Y4" t="s">
        <v>49</v>
      </c>
      <c r="Z4" t="s">
        <v>44</v>
      </c>
      <c r="AA4" t="s">
        <v>22</v>
      </c>
      <c r="AB4" t="s">
        <v>22</v>
      </c>
      <c r="AC4" t="s">
        <v>22</v>
      </c>
      <c r="AD4" t="s">
        <v>22</v>
      </c>
      <c r="AE4" t="s">
        <v>22</v>
      </c>
      <c r="AH4" t="s">
        <v>22</v>
      </c>
      <c r="AI4" t="s">
        <v>22</v>
      </c>
      <c r="AJ4" t="s">
        <v>22</v>
      </c>
      <c r="AK4" t="s">
        <v>22</v>
      </c>
      <c r="AL4" t="s">
        <v>22</v>
      </c>
    </row>
    <row r="6" spans="1:42" x14ac:dyDescent="0.25">
      <c r="A6">
        <f>report!A6</f>
        <v>2016</v>
      </c>
      <c r="B6" t="str">
        <f>report!B6</f>
        <v>47_1000</v>
      </c>
      <c r="C6">
        <f>report!C6</f>
        <v>1</v>
      </c>
      <c r="D6" t="str">
        <f>report!D6</f>
        <v>McLane-PARFLUX-Mark78H-21 ; 12419-01, S250x21</v>
      </c>
      <c r="E6">
        <f>report!E6</f>
        <v>1000</v>
      </c>
      <c r="F6">
        <f>report!F6</f>
        <v>530.17142857142858</v>
      </c>
      <c r="G6">
        <f>report!G6</f>
        <v>62.373109243697478</v>
      </c>
      <c r="H6">
        <f>report!H6</f>
        <v>22.781778151260507</v>
      </c>
      <c r="I6">
        <f>report!I6</f>
        <v>51.619814824470502</v>
      </c>
      <c r="J6">
        <f>report!J6</f>
        <v>6.1941570379529267</v>
      </c>
      <c r="K6">
        <f>report!K6</f>
        <v>17.179433822631836</v>
      </c>
      <c r="L6">
        <f>report!L6</f>
        <v>1.8958081007003784</v>
      </c>
      <c r="M6">
        <f>report!M6</f>
        <v>10.985276784678909</v>
      </c>
      <c r="N6">
        <f>report!N6</f>
        <v>4.2735492084299702</v>
      </c>
      <c r="O6">
        <f>report!O6</f>
        <v>9.1419569930422533</v>
      </c>
      <c r="P6">
        <f>report!P6</f>
        <v>11.759911695402353</v>
      </c>
      <c r="Q6">
        <f>report!Q6</f>
        <v>1.4111391147271251</v>
      </c>
      <c r="R6">
        <f>report!R6</f>
        <v>3.9137805011145979</v>
      </c>
      <c r="S6">
        <f>report!S6</f>
        <v>0.43189879567518563</v>
      </c>
      <c r="T6">
        <f>report!T6</f>
        <v>2.5026413863874724</v>
      </c>
      <c r="U6">
        <f>report!U6</f>
        <v>2.0827003608385324</v>
      </c>
      <c r="V6" s="30">
        <f>report!V6</f>
        <v>42453</v>
      </c>
      <c r="W6" s="30">
        <f>report!W6</f>
        <v>42470</v>
      </c>
      <c r="X6" s="30">
        <f>report!X6</f>
        <v>42461.5</v>
      </c>
      <c r="Y6">
        <f>report!Y6</f>
        <v>17</v>
      </c>
      <c r="Z6">
        <f>report!Z6</f>
        <v>0.97359049984946522</v>
      </c>
      <c r="AA6">
        <f>report!AA6</f>
        <v>0.3258768110836468</v>
      </c>
      <c r="AB6">
        <f>report!AB6</f>
        <v>3.0827894052475779E-2</v>
      </c>
      <c r="AC6">
        <f>report!AC6</f>
        <v>0.20837979903309511</v>
      </c>
      <c r="AD6">
        <f>report!AD6</f>
        <v>0.11749701205055163</v>
      </c>
      <c r="AE6">
        <f>report!AE6</f>
        <v>3.4659683155908338E-2</v>
      </c>
      <c r="AF6">
        <f>report!AF6</f>
        <v>983.3</v>
      </c>
      <c r="AH6">
        <f>report!AH6</f>
        <v>325.87681108364683</v>
      </c>
      <c r="AI6">
        <f>report!AI6</f>
        <v>30.827894052475777</v>
      </c>
      <c r="AJ6">
        <f>report!AJ6</f>
        <v>208.37979903309511</v>
      </c>
      <c r="AK6">
        <f>report!AK6</f>
        <v>117.49701205055163</v>
      </c>
      <c r="AL6">
        <f>report!AL6</f>
        <v>34.65968315590834</v>
      </c>
      <c r="AM6">
        <f>report!AM6</f>
        <v>6.7594561820663905</v>
      </c>
      <c r="AN6">
        <f>report!AN6</f>
        <v>3.8113862675973316</v>
      </c>
      <c r="AO6">
        <f>report!AO6</f>
        <v>36.92</v>
      </c>
      <c r="AP6">
        <f>report!AP6</f>
        <v>8.33</v>
      </c>
    </row>
    <row r="7" spans="1:42" x14ac:dyDescent="0.25">
      <c r="A7">
        <f>report!A7</f>
        <v>2016</v>
      </c>
      <c r="B7" t="str">
        <f>report!B7</f>
        <v>47_1000</v>
      </c>
      <c r="C7">
        <f>report!C7</f>
        <v>2</v>
      </c>
      <c r="D7" t="str">
        <f>report!D7</f>
        <v>McLane-PARFLUX-Mark78H-21 ; 12419-01, S250x21</v>
      </c>
      <c r="E7">
        <f>report!E7</f>
        <v>1000</v>
      </c>
      <c r="F7">
        <f>report!F7</f>
        <v>211.89999999999995</v>
      </c>
      <c r="G7">
        <f>report!G7</f>
        <v>24.929411764705875</v>
      </c>
      <c r="H7">
        <f>report!H7</f>
        <v>9.1054676470588216</v>
      </c>
      <c r="I7">
        <f>report!I7</f>
        <v>62.503012838930125</v>
      </c>
      <c r="J7">
        <f>report!J7</f>
        <v>7.5000942600435305</v>
      </c>
      <c r="K7">
        <f>report!K7</f>
        <v>18.903266906738281</v>
      </c>
      <c r="L7">
        <f>report!L7</f>
        <v>1.5006539821624756</v>
      </c>
      <c r="M7">
        <f>report!M7</f>
        <v>11.403172646694751</v>
      </c>
      <c r="N7">
        <f>report!N7</f>
        <v>1.2346026068987441</v>
      </c>
      <c r="O7">
        <f>report!O7</f>
        <v>2.6410562708631375</v>
      </c>
      <c r="P7">
        <f>report!P7</f>
        <v>5.6911916124858042</v>
      </c>
      <c r="Q7">
        <f>report!Q7</f>
        <v>0.6829186563471793</v>
      </c>
      <c r="R7">
        <f>report!R7</f>
        <v>1.7212308524302311</v>
      </c>
      <c r="S7">
        <f>report!S7</f>
        <v>0.13664156284010406</v>
      </c>
      <c r="T7">
        <f>report!T7</f>
        <v>1.0383121960830517</v>
      </c>
      <c r="U7">
        <f>report!U7</f>
        <v>0.24048052428406119</v>
      </c>
      <c r="V7" s="30">
        <f>report!V7</f>
        <v>42470</v>
      </c>
      <c r="W7" s="30">
        <f>report!W7</f>
        <v>42487</v>
      </c>
      <c r="X7" s="30">
        <f>report!X7</f>
        <v>42478.5</v>
      </c>
      <c r="Y7">
        <f>report!Y7</f>
        <v>17</v>
      </c>
      <c r="Z7">
        <f>report!Z7</f>
        <v>0.11241634094090995</v>
      </c>
      <c r="AA7">
        <f>report!AA7</f>
        <v>0.14331647397420741</v>
      </c>
      <c r="AB7">
        <f>report!AB7</f>
        <v>9.753145099222274E-3</v>
      </c>
      <c r="AC7">
        <f>report!AC7</f>
        <v>8.6453971364117546E-2</v>
      </c>
      <c r="AD7">
        <f>report!AD7</f>
        <v>5.686250261008987E-2</v>
      </c>
      <c r="AE7">
        <f>report!AE7</f>
        <v>4.0020057294734767E-3</v>
      </c>
      <c r="AF7">
        <f>report!AF7</f>
        <v>983.3</v>
      </c>
      <c r="AH7">
        <f>report!AH7</f>
        <v>143.31647397420741</v>
      </c>
      <c r="AI7">
        <f>report!AI7</f>
        <v>9.7531450992222748</v>
      </c>
      <c r="AJ7">
        <f>report!AJ7</f>
        <v>86.45397136411755</v>
      </c>
      <c r="AK7">
        <f>report!AK7</f>
        <v>56.862502610089869</v>
      </c>
      <c r="AL7">
        <f>report!AL7</f>
        <v>4.0020057294734768</v>
      </c>
      <c r="AM7">
        <f>report!AM7</f>
        <v>8.8642146184220589</v>
      </c>
      <c r="AN7">
        <f>report!AN7</f>
        <v>5.8301708865814108</v>
      </c>
      <c r="AO7">
        <f>report!AO7</f>
        <v>36.15</v>
      </c>
      <c r="AP7">
        <f>report!AP7</f>
        <v>8.44</v>
      </c>
    </row>
    <row r="8" spans="1:42" x14ac:dyDescent="0.25">
      <c r="A8">
        <f>report!A8</f>
        <v>2016</v>
      </c>
      <c r="B8" t="str">
        <f>report!B8</f>
        <v>47_1000</v>
      </c>
      <c r="C8">
        <f>report!C8</f>
        <v>3</v>
      </c>
      <c r="D8" t="str">
        <f>report!D8</f>
        <v>McLane-PARFLUX-Mark78H-21 ; 12419-01, S250x21</v>
      </c>
      <c r="E8">
        <f>report!E8</f>
        <v>1000</v>
      </c>
      <c r="F8">
        <f>report!F8</f>
        <v>175.27142857142857</v>
      </c>
      <c r="G8">
        <f>report!G8</f>
        <v>20.620168067226892</v>
      </c>
      <c r="H8">
        <f>report!H8</f>
        <v>7.531516386554622</v>
      </c>
      <c r="I8">
        <f>report!I8</f>
        <v>84.946569207024396</v>
      </c>
      <c r="J8">
        <f>report!J8</f>
        <v>10.193225049195879</v>
      </c>
      <c r="K8">
        <f>report!K8</f>
        <v>15.506331443786621</v>
      </c>
      <c r="L8">
        <f>report!L8</f>
        <v>0.76707053184509277</v>
      </c>
      <c r="M8">
        <f>report!M8</f>
        <v>5.3131063945907417</v>
      </c>
      <c r="N8">
        <f>report!N8</f>
        <v>0.75642819466422351</v>
      </c>
      <c r="O8">
        <f>report!O8</f>
        <v>1.6181477471474974</v>
      </c>
      <c r="P8">
        <f>report!P8</f>
        <v>6.3977647796430048</v>
      </c>
      <c r="Q8">
        <f>report!Q8</f>
        <v>0.7677044148985781</v>
      </c>
      <c r="R8">
        <f>report!R8</f>
        <v>1.1678618936422613</v>
      </c>
      <c r="S8">
        <f>report!S8</f>
        <v>5.7772042802344853E-2</v>
      </c>
      <c r="T8">
        <f>report!T8</f>
        <v>0.40015747874368318</v>
      </c>
      <c r="U8">
        <f>report!U8</f>
        <v>0.12187106273507821</v>
      </c>
      <c r="V8" s="30">
        <f>report!V8</f>
        <v>42487</v>
      </c>
      <c r="W8" s="30">
        <f>report!W8</f>
        <v>42504</v>
      </c>
      <c r="X8" s="30">
        <f>report!X8</f>
        <v>42495.5</v>
      </c>
      <c r="Y8">
        <f>report!Y8</f>
        <v>17</v>
      </c>
      <c r="Z8">
        <f>report!Z8</f>
        <v>5.6970513433655286E-2</v>
      </c>
      <c r="AA8">
        <f>report!AA8</f>
        <v>9.724079047812334E-2</v>
      </c>
      <c r="AB8">
        <f>report!AB8</f>
        <v>4.12362903656994E-3</v>
      </c>
      <c r="AC8">
        <f>report!AC8</f>
        <v>3.3318690986151804E-2</v>
      </c>
      <c r="AD8">
        <f>report!AD8</f>
        <v>6.3922099491971529E-2</v>
      </c>
      <c r="AE8">
        <f>report!AE8</f>
        <v>2.0281421656694657E-3</v>
      </c>
      <c r="AF8">
        <f>report!AF8</f>
        <v>983.3</v>
      </c>
      <c r="AH8">
        <f>report!AH8</f>
        <v>97.240790478123344</v>
      </c>
      <c r="AI8">
        <f>report!AI8</f>
        <v>4.1236290365699402</v>
      </c>
      <c r="AJ8">
        <f>report!AJ8</f>
        <v>33.318690986151807</v>
      </c>
      <c r="AK8">
        <f>report!AK8</f>
        <v>63.92209949197153</v>
      </c>
      <c r="AL8">
        <f>report!AL8</f>
        <v>2.0281421656694656</v>
      </c>
      <c r="AM8">
        <f>report!AM8</f>
        <v>8.0799438287655718</v>
      </c>
      <c r="AN8">
        <f>report!AN8</f>
        <v>15.50141851390743</v>
      </c>
      <c r="AO8">
        <f>report!AO8</f>
        <v>34.619999999999997</v>
      </c>
      <c r="AP8">
        <f>report!AP8</f>
        <v>7.99</v>
      </c>
    </row>
    <row r="9" spans="1:42" x14ac:dyDescent="0.25">
      <c r="A9">
        <f>report!A9</f>
        <v>2016</v>
      </c>
      <c r="B9" t="str">
        <f>report!B9</f>
        <v>47_1000</v>
      </c>
      <c r="C9">
        <f>report!C9</f>
        <v>4</v>
      </c>
      <c r="D9" t="str">
        <f>report!D9</f>
        <v>McLane-PARFLUX-Mark78H-21 ; 12419-01, S250x21</v>
      </c>
      <c r="E9">
        <f>report!E9</f>
        <v>1000</v>
      </c>
      <c r="F9">
        <f>report!F9</f>
        <v>223.42857142857139</v>
      </c>
      <c r="G9">
        <f>report!G9</f>
        <v>26.285714285714281</v>
      </c>
      <c r="H9">
        <f>report!H9</f>
        <v>9.6008571428571425</v>
      </c>
      <c r="I9">
        <f>report!I9</f>
        <v>78.156285393439944</v>
      </c>
      <c r="J9">
        <f>report!J9</f>
        <v>9.378420028747156</v>
      </c>
      <c r="K9">
        <f>report!K9</f>
        <v>15.687155723571777</v>
      </c>
      <c r="L9">
        <f>report!L9</f>
        <v>1.3400105237960815</v>
      </c>
      <c r="M9">
        <f>report!M9</f>
        <v>6.3087356948246214</v>
      </c>
      <c r="N9">
        <f>report!N9</f>
        <v>1.7973557446373152</v>
      </c>
      <c r="O9">
        <f>report!O9</f>
        <v>3.8448952187702479</v>
      </c>
      <c r="P9">
        <f>report!P9</f>
        <v>7.5036733087878922</v>
      </c>
      <c r="Q9">
        <f>report!Q9</f>
        <v>0.90040870921711624</v>
      </c>
      <c r="R9">
        <f>report!R9</f>
        <v>1.506101410797664</v>
      </c>
      <c r="S9">
        <f>report!S9</f>
        <v>0.12865249608891349</v>
      </c>
      <c r="T9">
        <f>report!T9</f>
        <v>0.60569270158054789</v>
      </c>
      <c r="U9">
        <f>report!U9</f>
        <v>0.36914289724667609</v>
      </c>
      <c r="V9" s="30">
        <f>report!V9</f>
        <v>42504</v>
      </c>
      <c r="W9" s="30">
        <f>report!W9</f>
        <v>42521</v>
      </c>
      <c r="X9" s="30">
        <f>report!X9</f>
        <v>42512.5</v>
      </c>
      <c r="Y9">
        <f>report!Y9</f>
        <v>17</v>
      </c>
      <c r="Z9">
        <f>report!Z9</f>
        <v>0.17256155739156484</v>
      </c>
      <c r="AA9">
        <f>report!AA9</f>
        <v>0.12540394761013024</v>
      </c>
      <c r="AB9">
        <f>report!AB9</f>
        <v>9.1829047886447888E-3</v>
      </c>
      <c r="AC9">
        <f>report!AC9</f>
        <v>5.0432364827689251E-2</v>
      </c>
      <c r="AD9">
        <f>report!AD9</f>
        <v>7.4971582782440982E-2</v>
      </c>
      <c r="AE9">
        <f>report!AE9</f>
        <v>6.1431668704722267E-3</v>
      </c>
      <c r="AF9">
        <f>report!AF9</f>
        <v>983.3</v>
      </c>
      <c r="AH9">
        <f>report!AH9</f>
        <v>125.40394761013025</v>
      </c>
      <c r="AI9">
        <f>report!AI9</f>
        <v>9.1829047886447892</v>
      </c>
      <c r="AJ9">
        <f>report!AJ9</f>
        <v>50.432364827689248</v>
      </c>
      <c r="AK9">
        <f>report!AK9</f>
        <v>74.971582782440976</v>
      </c>
      <c r="AL9">
        <f>report!AL9</f>
        <v>6.1431668704722266</v>
      </c>
      <c r="AM9">
        <f>report!AM9</f>
        <v>5.4919838535244185</v>
      </c>
      <c r="AN9">
        <f>report!AN9</f>
        <v>8.1642557020898021</v>
      </c>
      <c r="AO9">
        <f>report!AO9</f>
        <v>35.79</v>
      </c>
      <c r="AP9">
        <f>report!AP9</f>
        <v>8.33</v>
      </c>
    </row>
    <row r="10" spans="1:42" x14ac:dyDescent="0.25">
      <c r="A10">
        <f>report!A10</f>
        <v>2016</v>
      </c>
      <c r="B10" t="str">
        <f>report!B10</f>
        <v>47_1000</v>
      </c>
      <c r="C10">
        <f>report!C10</f>
        <v>5</v>
      </c>
      <c r="D10" t="str">
        <f>report!D10</f>
        <v>McLane-PARFLUX-Mark78H-21 ; 12419-01, S250x21</v>
      </c>
      <c r="E10">
        <f>report!E10</f>
        <v>1000</v>
      </c>
      <c r="F10">
        <f>report!F10</f>
        <v>340.01428571428579</v>
      </c>
      <c r="G10">
        <f>report!G10</f>
        <v>40.001680672268918</v>
      </c>
      <c r="H10">
        <f>report!H10</f>
        <v>14.610613865546224</v>
      </c>
      <c r="I10">
        <f>report!I10</f>
        <v>67.580360963191339</v>
      </c>
      <c r="J10">
        <f>report!J10</f>
        <v>8.1093543227727896</v>
      </c>
      <c r="K10">
        <f>report!K10</f>
        <v>15.706814289093018</v>
      </c>
      <c r="L10">
        <f>report!L10</f>
        <v>1.1232302188873291</v>
      </c>
      <c r="M10">
        <f>report!M10</f>
        <v>7.597459966320228</v>
      </c>
      <c r="N10">
        <f>report!N10</f>
        <v>4.1786102977837167</v>
      </c>
      <c r="O10">
        <f>report!O10</f>
        <v>8.9388641080036884</v>
      </c>
      <c r="P10">
        <f>report!P10</f>
        <v>9.8739055892742229</v>
      </c>
      <c r="Q10">
        <f>report!Q10</f>
        <v>1.1848264470893133</v>
      </c>
      <c r="R10">
        <f>report!R10</f>
        <v>2.2948619863578199</v>
      </c>
      <c r="S10">
        <f>report!S10</f>
        <v>0.16411083010275732</v>
      </c>
      <c r="T10">
        <f>report!T10</f>
        <v>1.1100355392685066</v>
      </c>
      <c r="U10">
        <f>report!U10</f>
        <v>1.3060229187863217</v>
      </c>
      <c r="V10" s="30">
        <f>report!V10</f>
        <v>42521</v>
      </c>
      <c r="W10" s="30">
        <f>report!W10</f>
        <v>42538</v>
      </c>
      <c r="X10" s="30">
        <f>report!X10</f>
        <v>42529.5</v>
      </c>
      <c r="Y10">
        <f>report!Y10</f>
        <v>17</v>
      </c>
      <c r="Z10">
        <f>report!Z10</f>
        <v>0.61052061555513004</v>
      </c>
      <c r="AA10">
        <f>report!AA10</f>
        <v>0.19107926614136719</v>
      </c>
      <c r="AB10">
        <f>report!AB10</f>
        <v>1.1713835125107588E-2</v>
      </c>
      <c r="AC10">
        <f>report!AC10</f>
        <v>9.2425939989051339E-2</v>
      </c>
      <c r="AD10">
        <f>report!AD10</f>
        <v>9.865332615231584E-2</v>
      </c>
      <c r="AE10">
        <f>report!AE10</f>
        <v>2.1734446975974726E-2</v>
      </c>
      <c r="AF10">
        <f>report!AF10</f>
        <v>983.3</v>
      </c>
      <c r="AH10">
        <f>report!AH10</f>
        <v>191.07926614136719</v>
      </c>
      <c r="AI10">
        <f>report!AI10</f>
        <v>11.713835125107588</v>
      </c>
      <c r="AJ10">
        <f>report!AJ10</f>
        <v>92.425939989051344</v>
      </c>
      <c r="AK10">
        <f>report!AK10</f>
        <v>98.653326152315842</v>
      </c>
      <c r="AL10">
        <f>report!AL10</f>
        <v>21.734446975974727</v>
      </c>
      <c r="AM10">
        <f>report!AM10</f>
        <v>7.8903227680697308</v>
      </c>
      <c r="AN10">
        <f>report!AN10</f>
        <v>8.4219493529374514</v>
      </c>
      <c r="AO10">
        <f>report!AO10</f>
        <v>37.15</v>
      </c>
      <c r="AP10">
        <f>report!AP10</f>
        <v>8.39</v>
      </c>
    </row>
    <row r="11" spans="1:42" x14ac:dyDescent="0.25">
      <c r="A11">
        <f>report!A11</f>
        <v>2016</v>
      </c>
      <c r="B11" t="str">
        <f>report!B11</f>
        <v>47_1000</v>
      </c>
      <c r="C11">
        <f>report!C11</f>
        <v>6</v>
      </c>
      <c r="D11" t="str">
        <f>report!D11</f>
        <v>McLane-PARFLUX-Mark78H-21 ; 12419-01, S250x21</v>
      </c>
      <c r="E11">
        <f>report!E11</f>
        <v>1000</v>
      </c>
      <c r="F11">
        <f>report!F11</f>
        <v>66.357142857142861</v>
      </c>
      <c r="G11">
        <f>report!G11</f>
        <v>7.8067226890756309</v>
      </c>
      <c r="H11">
        <f>report!H11</f>
        <v>2.8514054621848746</v>
      </c>
      <c r="I11">
        <f>report!I11</f>
        <v>59.446226910085166</v>
      </c>
      <c r="J11">
        <f>report!J11</f>
        <v>7.1332930202666169</v>
      </c>
      <c r="K11">
        <f>report!K11</f>
        <v>17.796354293823242</v>
      </c>
      <c r="L11">
        <f>report!L11</f>
        <v>1.9629404544830322</v>
      </c>
      <c r="M11">
        <f>report!M11</f>
        <v>10.663061273556625</v>
      </c>
      <c r="N11">
        <f>report!N11</f>
        <v>3.4394797833128559</v>
      </c>
      <c r="O11">
        <f>report!O11</f>
        <v>7.3577194795040786</v>
      </c>
      <c r="P11">
        <f>report!P11</f>
        <v>1.6950529611769831</v>
      </c>
      <c r="Q11">
        <f>report!Q11</f>
        <v>0.20339910681353471</v>
      </c>
      <c r="R11">
        <f>report!R11</f>
        <v>0.5074462184038484</v>
      </c>
      <c r="S11">
        <f>report!S11</f>
        <v>5.5971391338565782E-2</v>
      </c>
      <c r="T11">
        <f>report!T11</f>
        <v>0.30404711159031367</v>
      </c>
      <c r="U11">
        <f>report!U11</f>
        <v>0.20979841513081982</v>
      </c>
      <c r="V11" s="30">
        <f>report!V11</f>
        <v>42538</v>
      </c>
      <c r="W11" s="30">
        <f>report!W11</f>
        <v>42555</v>
      </c>
      <c r="X11" s="30">
        <f>report!X11</f>
        <v>42546.5</v>
      </c>
      <c r="Y11">
        <f>report!Y11</f>
        <v>17</v>
      </c>
      <c r="Z11">
        <f>report!Z11</f>
        <v>9.807351441212725E-2</v>
      </c>
      <c r="AA11">
        <f>report!AA11</f>
        <v>4.2251974887914108E-2</v>
      </c>
      <c r="AB11">
        <f>report!AB11</f>
        <v>3.9951028792695065E-3</v>
      </c>
      <c r="AC11">
        <f>report!AC11</f>
        <v>2.5316162497111879E-2</v>
      </c>
      <c r="AD11">
        <f>report!AD11</f>
        <v>1.6935812390802225E-2</v>
      </c>
      <c r="AE11">
        <f>report!AE11</f>
        <v>3.4914031474591401E-3</v>
      </c>
      <c r="AF11">
        <f>report!AF11</f>
        <v>983.3</v>
      </c>
      <c r="AH11">
        <f>report!AH11</f>
        <v>42.251974887914109</v>
      </c>
      <c r="AI11">
        <f>report!AI11</f>
        <v>3.9951028792695067</v>
      </c>
      <c r="AJ11">
        <f>report!AJ11</f>
        <v>25.316162497111879</v>
      </c>
      <c r="AK11">
        <f>report!AK11</f>
        <v>16.935812390802226</v>
      </c>
      <c r="AL11">
        <f>report!AL11</f>
        <v>3.49140314745914</v>
      </c>
      <c r="AM11">
        <f>report!AM11</f>
        <v>6.3367986412757578</v>
      </c>
      <c r="AN11">
        <f>report!AN11</f>
        <v>4.2391429964624319</v>
      </c>
      <c r="AO11">
        <f>report!AO11</f>
        <v>37.35</v>
      </c>
      <c r="AP11">
        <f>report!AP11</f>
        <v>8.5</v>
      </c>
    </row>
    <row r="12" spans="1:42" x14ac:dyDescent="0.25">
      <c r="A12">
        <f>report!A12</f>
        <v>2016</v>
      </c>
      <c r="B12" t="str">
        <f>report!B12</f>
        <v>47_1000</v>
      </c>
      <c r="C12">
        <f>report!C12</f>
        <v>7</v>
      </c>
      <c r="D12" t="str">
        <f>report!D12</f>
        <v>McLane-PARFLUX-Mark78H-21 ; 12419-01, S250x21</v>
      </c>
      <c r="E12">
        <f>report!E12</f>
        <v>1000</v>
      </c>
      <c r="F12">
        <f>report!F12</f>
        <v>14.12857142857143</v>
      </c>
      <c r="G12">
        <f>report!G12</f>
        <v>1.6621848739495799</v>
      </c>
      <c r="H12">
        <f>report!H12</f>
        <v>0.60711302521008403</v>
      </c>
      <c r="I12" t="str">
        <f>report!I12</f>
        <v>NaN</v>
      </c>
      <c r="J12" t="str">
        <f>report!J12</f>
        <v>NaN</v>
      </c>
      <c r="K12">
        <f>report!K12</f>
        <v>16.213146209716797</v>
      </c>
      <c r="L12">
        <f>report!L12</f>
        <v>1.2208572626113892</v>
      </c>
      <c r="M12" t="str">
        <f>report!M12</f>
        <v>NaN</v>
      </c>
      <c r="N12">
        <f>report!N12</f>
        <v>1.7535571260306242</v>
      </c>
      <c r="O12">
        <f>report!O12</f>
        <v>3.751201413427562</v>
      </c>
      <c r="P12" t="str">
        <f>report!P12</f>
        <v>NaN</v>
      </c>
      <c r="Q12" t="str">
        <f>report!Q12</f>
        <v>NaN</v>
      </c>
      <c r="R12">
        <f>report!R12</f>
        <v>9.8432122435545721E-2</v>
      </c>
      <c r="S12">
        <f>report!S12</f>
        <v>7.4119834605370248E-3</v>
      </c>
      <c r="T12" t="str">
        <f>report!T12</f>
        <v>NaN</v>
      </c>
      <c r="U12">
        <f>report!U12</f>
        <v>2.2774032382783502E-2</v>
      </c>
      <c r="V12" s="30">
        <f>report!V12</f>
        <v>42555</v>
      </c>
      <c r="W12" s="30">
        <f>report!W12</f>
        <v>42572</v>
      </c>
      <c r="X12" s="30">
        <f>report!X12</f>
        <v>42563.5</v>
      </c>
      <c r="Y12">
        <f>report!Y12</f>
        <v>17</v>
      </c>
      <c r="Z12">
        <f>report!Z12</f>
        <v>1.0646073716631529E-2</v>
      </c>
      <c r="AA12">
        <f>report!AA12</f>
        <v>8.1958469971312002E-3</v>
      </c>
      <c r="AB12">
        <f>report!AB12</f>
        <v>5.2904949754011596E-4</v>
      </c>
      <c r="AC12" t="str">
        <f>report!AC12</f>
        <v>NaN</v>
      </c>
      <c r="AD12" t="str">
        <f>report!AD12</f>
        <v>NaN</v>
      </c>
      <c r="AE12">
        <f>report!AE12</f>
        <v>3.7899870831724917E-4</v>
      </c>
      <c r="AF12">
        <f>report!AF12</f>
        <v>983.3</v>
      </c>
      <c r="AH12">
        <f>report!AH12</f>
        <v>8.1958469971312002</v>
      </c>
      <c r="AI12">
        <f>report!AI12</f>
        <v>0.52904949754011599</v>
      </c>
      <c r="AJ12" t="str">
        <f>report!AJ12</f>
        <v>NaN</v>
      </c>
      <c r="AK12" t="str">
        <f>report!AK12</f>
        <v>NaN</v>
      </c>
      <c r="AL12">
        <f>report!AL12</f>
        <v>0.37899870831724919</v>
      </c>
      <c r="AM12" t="str">
        <f>report!AM12</f>
        <v>NaN</v>
      </c>
      <c r="AN12" t="str">
        <f>report!AN12</f>
        <v>NaN</v>
      </c>
      <c r="AO12">
        <f>report!AO12</f>
        <v>37.72</v>
      </c>
      <c r="AP12">
        <f>report!AP12</f>
        <v>8.61</v>
      </c>
    </row>
    <row r="13" spans="1:42" x14ac:dyDescent="0.25">
      <c r="A13">
        <f>report!A13</f>
        <v>2016</v>
      </c>
      <c r="B13" t="str">
        <f>report!B13</f>
        <v>47_1000</v>
      </c>
      <c r="C13">
        <f>report!C13</f>
        <v>8</v>
      </c>
      <c r="D13" t="str">
        <f>report!D13</f>
        <v>McLane-PARFLUX-Mark78H-21 ; 12419-01, S250x21</v>
      </c>
      <c r="E13">
        <f>report!E13</f>
        <v>1000</v>
      </c>
      <c r="F13">
        <f>report!F13</f>
        <v>179.90000000000003</v>
      </c>
      <c r="G13">
        <f>report!G13</f>
        <v>21.164705882352944</v>
      </c>
      <c r="H13">
        <f>report!H13</f>
        <v>7.7304088235294142</v>
      </c>
      <c r="I13">
        <f>report!I13</f>
        <v>61.61044446726104</v>
      </c>
      <c r="J13">
        <f>report!J13</f>
        <v>7.3929898723190055</v>
      </c>
      <c r="K13">
        <f>report!K13</f>
        <v>16.828649520874023</v>
      </c>
      <c r="L13">
        <f>report!L13</f>
        <v>1.3967040777206421</v>
      </c>
      <c r="M13">
        <f>report!M13</f>
        <v>9.435659648555017</v>
      </c>
      <c r="N13">
        <f>report!N13</f>
        <v>4.1045175470137716</v>
      </c>
      <c r="O13">
        <f>report!O13</f>
        <v>8.7803652331811151</v>
      </c>
      <c r="P13">
        <f>report!P13</f>
        <v>4.7627392353128375</v>
      </c>
      <c r="Q13">
        <f>report!Q13</f>
        <v>0.57150834141238438</v>
      </c>
      <c r="R13">
        <f>report!R13</f>
        <v>1.300923407442486</v>
      </c>
      <c r="S13">
        <f>report!S13</f>
        <v>0.10797093526271165</v>
      </c>
      <c r="T13">
        <f>report!T13</f>
        <v>0.72941506603010153</v>
      </c>
      <c r="U13">
        <f>report!U13</f>
        <v>0.67875812872394192</v>
      </c>
      <c r="V13" s="30">
        <f>report!V13</f>
        <v>42572</v>
      </c>
      <c r="W13" s="30">
        <f>report!W13</f>
        <v>42589</v>
      </c>
      <c r="X13" s="30">
        <f>report!X13</f>
        <v>42580.5</v>
      </c>
      <c r="Y13">
        <f>report!Y13</f>
        <v>17</v>
      </c>
      <c r="Z13">
        <f>report!Z13</f>
        <v>0.31729598661766567</v>
      </c>
      <c r="AA13">
        <f>report!AA13</f>
        <v>0.1083200172724801</v>
      </c>
      <c r="AB13">
        <f>report!AB13</f>
        <v>7.7067048724276692E-3</v>
      </c>
      <c r="AC13">
        <f>report!AC13</f>
        <v>6.0733977188184976E-2</v>
      </c>
      <c r="AD13">
        <f>report!AD13</f>
        <v>4.7586040084295123E-2</v>
      </c>
      <c r="AE13">
        <f>report!AE13</f>
        <v>1.1295691940821135E-2</v>
      </c>
      <c r="AF13">
        <f>report!AF13</f>
        <v>983.3</v>
      </c>
      <c r="AH13">
        <f>report!AH13</f>
        <v>108.3200172724801</v>
      </c>
      <c r="AI13">
        <f>report!AI13</f>
        <v>7.706704872427669</v>
      </c>
      <c r="AJ13">
        <f>report!AJ13</f>
        <v>60.733977188184973</v>
      </c>
      <c r="AK13">
        <f>report!AK13</f>
        <v>47.586040084295121</v>
      </c>
      <c r="AL13">
        <f>report!AL13</f>
        <v>11.295691940821134</v>
      </c>
      <c r="AM13">
        <f>report!AM13</f>
        <v>7.880667314181621</v>
      </c>
      <c r="AN13">
        <f>report!AN13</f>
        <v>6.1746285697982319</v>
      </c>
      <c r="AO13">
        <f>report!AO13</f>
        <v>37.97</v>
      </c>
      <c r="AP13">
        <f>report!AP13</f>
        <v>8.58</v>
      </c>
    </row>
    <row r="14" spans="1:42" x14ac:dyDescent="0.25">
      <c r="A14">
        <f>report!A14</f>
        <v>2016</v>
      </c>
      <c r="B14" t="str">
        <f>report!B14</f>
        <v>47_1000</v>
      </c>
      <c r="C14">
        <f>report!C14</f>
        <v>9</v>
      </c>
      <c r="D14" t="str">
        <f>report!D14</f>
        <v>McLane-PARFLUX-Mark78H-21 ; 12419-01, S250x21</v>
      </c>
      <c r="E14">
        <f>report!E14</f>
        <v>1000</v>
      </c>
      <c r="F14">
        <f>report!F14</f>
        <v>124.47142857142856</v>
      </c>
      <c r="G14">
        <f>report!G14</f>
        <v>14.643697478991596</v>
      </c>
      <c r="H14">
        <f>report!H14</f>
        <v>5.3486105042016803</v>
      </c>
      <c r="I14">
        <f>report!I14</f>
        <v>61.212728676716452</v>
      </c>
      <c r="J14">
        <f>report!J14</f>
        <v>7.34526567819929</v>
      </c>
      <c r="K14">
        <f>report!K14</f>
        <v>16.612297058105469</v>
      </c>
      <c r="L14">
        <f>report!L14</f>
        <v>1.340276837348938</v>
      </c>
      <c r="M14">
        <f>report!M14</f>
        <v>9.2670313799061788</v>
      </c>
      <c r="N14">
        <f>report!N14</f>
        <v>4.6360487197724041</v>
      </c>
      <c r="O14">
        <f>report!O14</f>
        <v>9.9174142958748206</v>
      </c>
      <c r="P14">
        <f>report!P14</f>
        <v>3.2740304359113304</v>
      </c>
      <c r="Q14">
        <f>report!Q14</f>
        <v>0.39286965162568804</v>
      </c>
      <c r="R14">
        <f>report!R14</f>
        <v>0.88852706543901583</v>
      </c>
      <c r="S14">
        <f>report!S14</f>
        <v>7.1686187707827365E-2</v>
      </c>
      <c r="T14">
        <f>report!T14</f>
        <v>0.49565741381332784</v>
      </c>
      <c r="U14">
        <f>report!U14</f>
        <v>0.53044386277435984</v>
      </c>
      <c r="V14" s="30">
        <f>report!V14</f>
        <v>42589</v>
      </c>
      <c r="W14" s="30">
        <f>report!W14</f>
        <v>42606</v>
      </c>
      <c r="X14" s="30">
        <f>report!X14</f>
        <v>42597.5</v>
      </c>
      <c r="Y14">
        <f>report!Y14</f>
        <v>17</v>
      </c>
      <c r="Z14">
        <f>report!Z14</f>
        <v>0.2479641888056543</v>
      </c>
      <c r="AA14">
        <f>report!AA14</f>
        <v>7.3982270228061267E-2</v>
      </c>
      <c r="AB14">
        <f>report!AB14</f>
        <v>5.1167871311796837E-3</v>
      </c>
      <c r="AC14">
        <f>report!AC14</f>
        <v>4.1270392490701739E-2</v>
      </c>
      <c r="AD14">
        <f>report!AD14</f>
        <v>3.2711877737359535E-2</v>
      </c>
      <c r="AE14">
        <f>report!AE14</f>
        <v>8.8274898115220466E-3</v>
      </c>
      <c r="AF14">
        <f>report!AF14</f>
        <v>983.3</v>
      </c>
      <c r="AH14">
        <f>report!AH14</f>
        <v>73.982270228061267</v>
      </c>
      <c r="AI14">
        <f>report!AI14</f>
        <v>5.1167871311796835</v>
      </c>
      <c r="AJ14">
        <f>report!AJ14</f>
        <v>41.270392490701738</v>
      </c>
      <c r="AK14">
        <f>report!AK14</f>
        <v>32.711877737359536</v>
      </c>
      <c r="AL14">
        <f>report!AL14</f>
        <v>8.8274898115220459</v>
      </c>
      <c r="AM14">
        <f>report!AM14</f>
        <v>8.0656848590038539</v>
      </c>
      <c r="AN14">
        <f>report!AN14</f>
        <v>6.3930503456018819</v>
      </c>
      <c r="AO14">
        <f>report!AO14</f>
        <v>38.25</v>
      </c>
      <c r="AP14">
        <f>report!AP14</f>
        <v>8.58</v>
      </c>
    </row>
    <row r="15" spans="1:42" x14ac:dyDescent="0.25">
      <c r="A15">
        <f>report!A15</f>
        <v>2016</v>
      </c>
      <c r="B15" t="str">
        <f>report!B15</f>
        <v>47_1000</v>
      </c>
      <c r="C15">
        <f>report!C15</f>
        <v>10</v>
      </c>
      <c r="D15" t="str">
        <f>report!D15</f>
        <v>McLane-PARFLUX-Mark78H-21 ; 12419-01, S250x21</v>
      </c>
      <c r="E15">
        <f>report!E15</f>
        <v>1000</v>
      </c>
      <c r="F15">
        <f>report!F15</f>
        <v>60.557142857142843</v>
      </c>
      <c r="G15">
        <f>report!G15</f>
        <v>7.1243697478991583</v>
      </c>
      <c r="H15">
        <f>report!H15</f>
        <v>2.6021760504201676</v>
      </c>
      <c r="I15">
        <f>report!I15</f>
        <v>58.196963020415659</v>
      </c>
      <c r="J15">
        <f>report!J15</f>
        <v>6.9833866957133459</v>
      </c>
      <c r="K15">
        <f>report!K15</f>
        <v>17.559654235839844</v>
      </c>
      <c r="L15">
        <f>report!L15</f>
        <v>1.5248348712921143</v>
      </c>
      <c r="M15">
        <f>report!M15</f>
        <v>10.576267540126498</v>
      </c>
      <c r="N15">
        <f>report!N15</f>
        <v>4.2417019784438219</v>
      </c>
      <c r="O15">
        <f>report!O15</f>
        <v>9.0738295437767622</v>
      </c>
      <c r="P15">
        <f>report!P15</f>
        <v>1.5143874337891376</v>
      </c>
      <c r="Q15">
        <f>report!Q15</f>
        <v>0.18172001610408101</v>
      </c>
      <c r="R15">
        <f>report!R15</f>
        <v>0.45693311706161494</v>
      </c>
      <c r="S15">
        <f>report!S15</f>
        <v>3.9678887829218586E-2</v>
      </c>
      <c r="T15">
        <f>report!T15</f>
        <v>0.27521310095753393</v>
      </c>
      <c r="U15">
        <f>report!U15</f>
        <v>0.23611701924410847</v>
      </c>
      <c r="V15" s="30">
        <f>report!V15</f>
        <v>42606</v>
      </c>
      <c r="W15" s="30">
        <f>report!W15</f>
        <v>42623</v>
      </c>
      <c r="X15" s="30">
        <f>report!X15</f>
        <v>42614.5</v>
      </c>
      <c r="Y15">
        <f>report!Y15</f>
        <v>17</v>
      </c>
      <c r="Z15">
        <f>report!Z15</f>
        <v>0.11037655301326355</v>
      </c>
      <c r="AA15">
        <f>report!AA15</f>
        <v>3.8046054709543295E-2</v>
      </c>
      <c r="AB15">
        <f>report!AB15</f>
        <v>2.8321832854545743E-3</v>
      </c>
      <c r="AC15">
        <f>report!AC15</f>
        <v>2.2915328972317562E-2</v>
      </c>
      <c r="AD15">
        <f>report!AD15</f>
        <v>1.5130725737225729E-2</v>
      </c>
      <c r="AE15">
        <f>report!AE15</f>
        <v>3.9293895697139038E-3</v>
      </c>
      <c r="AF15">
        <f>report!AF15</f>
        <v>983.3</v>
      </c>
      <c r="AH15">
        <f>report!AH15</f>
        <v>38.046054709543291</v>
      </c>
      <c r="AI15">
        <f>report!AI15</f>
        <v>2.8321832854545743</v>
      </c>
      <c r="AJ15">
        <f>report!AJ15</f>
        <v>22.91532897231756</v>
      </c>
      <c r="AK15">
        <f>report!AK15</f>
        <v>15.130725737225729</v>
      </c>
      <c r="AL15">
        <f>report!AL15</f>
        <v>3.9293895697139036</v>
      </c>
      <c r="AM15">
        <f>report!AM15</f>
        <v>8.0910473167486323</v>
      </c>
      <c r="AN15">
        <f>report!AN15</f>
        <v>5.3424246287073194</v>
      </c>
      <c r="AO15">
        <f>report!AO15</f>
        <v>37.880000000000003</v>
      </c>
      <c r="AP15">
        <f>report!AP15</f>
        <v>8.59</v>
      </c>
    </row>
    <row r="16" spans="1:42" ht="13.5" customHeight="1" x14ac:dyDescent="0.25">
      <c r="A16">
        <f>report!A16</f>
        <v>2016</v>
      </c>
      <c r="B16" t="str">
        <f>report!B16</f>
        <v>47_1000</v>
      </c>
      <c r="C16">
        <f>report!C16</f>
        <v>11</v>
      </c>
      <c r="D16" t="str">
        <f>report!D16</f>
        <v>McLane-PARFLUX-Mark78H-21 ; 12419-01, S250x21</v>
      </c>
      <c r="E16">
        <f>report!E16</f>
        <v>1000</v>
      </c>
      <c r="F16">
        <f>report!F16</f>
        <v>147.34285714285713</v>
      </c>
      <c r="G16">
        <f>report!G16</f>
        <v>17.334453781512604</v>
      </c>
      <c r="H16">
        <f>report!H16</f>
        <v>6.3314092436974789</v>
      </c>
      <c r="I16">
        <f>report!I16</f>
        <v>59.510515679078843</v>
      </c>
      <c r="J16">
        <f>report!J16</f>
        <v>7.1410073976288295</v>
      </c>
      <c r="K16">
        <f>report!K16</f>
        <v>17.148048400878906</v>
      </c>
      <c r="L16">
        <f>report!L16</f>
        <v>1.5179711580276489</v>
      </c>
      <c r="M16">
        <f>report!M16</f>
        <v>10.007041003250077</v>
      </c>
      <c r="N16">
        <f>report!N16</f>
        <v>4.1981018125844249</v>
      </c>
      <c r="O16">
        <f>report!O16</f>
        <v>8.9805602676467817</v>
      </c>
      <c r="P16">
        <f>report!P16</f>
        <v>3.7678542906772354</v>
      </c>
      <c r="Q16">
        <f>report!Q16</f>
        <v>0.45212640246659247</v>
      </c>
      <c r="R16">
        <f>report!R16</f>
        <v>1.0857131215669649</v>
      </c>
      <c r="S16">
        <f>report!S16</f>
        <v>9.610896621602423E-2</v>
      </c>
      <c r="T16">
        <f>report!T16</f>
        <v>0.63358671910037223</v>
      </c>
      <c r="U16">
        <f>report!U16</f>
        <v>0.56859602292161138</v>
      </c>
      <c r="V16" s="30">
        <f>report!V16</f>
        <v>42623</v>
      </c>
      <c r="W16" s="30">
        <f>report!W16</f>
        <v>42640</v>
      </c>
      <c r="X16" s="30">
        <f>report!X16</f>
        <v>42631.5</v>
      </c>
      <c r="Y16">
        <f>report!Y16</f>
        <v>17</v>
      </c>
      <c r="Z16">
        <f>report!Z16</f>
        <v>0.26579900622180169</v>
      </c>
      <c r="AA16">
        <f>report!AA16</f>
        <v>9.0400759497665684E-2</v>
      </c>
      <c r="AB16">
        <f>report!AB16</f>
        <v>6.8600261396162907E-3</v>
      </c>
      <c r="AC16">
        <f>report!AC16</f>
        <v>5.2754930816017676E-2</v>
      </c>
      <c r="AD16">
        <f>report!AD16</f>
        <v>3.7645828681648001E-2</v>
      </c>
      <c r="AE16">
        <f>report!AE16</f>
        <v>9.4624067718690526E-3</v>
      </c>
      <c r="AF16">
        <f>report!AF16</f>
        <v>983.3</v>
      </c>
      <c r="AH16">
        <f>report!AH16</f>
        <v>90.400759497665689</v>
      </c>
      <c r="AI16">
        <f>report!AI16</f>
        <v>6.8600261396162905</v>
      </c>
      <c r="AJ16">
        <f>report!AJ16</f>
        <v>52.754930816017676</v>
      </c>
      <c r="AK16">
        <f>report!AK16</f>
        <v>37.645828681647998</v>
      </c>
      <c r="AL16">
        <f>report!AL16</f>
        <v>9.4624067718690519</v>
      </c>
      <c r="AM16">
        <f>report!AM16</f>
        <v>7.6901938480031031</v>
      </c>
      <c r="AN16">
        <f>report!AN16</f>
        <v>5.4877092179350919</v>
      </c>
      <c r="AO16">
        <f>report!AO16</f>
        <v>38.200000000000003</v>
      </c>
      <c r="AP16">
        <f>report!AP16</f>
        <v>8.6</v>
      </c>
    </row>
    <row r="17" spans="1:42" x14ac:dyDescent="0.25">
      <c r="A17">
        <f>report!A17</f>
        <v>2016</v>
      </c>
      <c r="B17" t="str">
        <f>report!B17</f>
        <v>47_1000</v>
      </c>
      <c r="C17">
        <f>report!C17</f>
        <v>12</v>
      </c>
      <c r="D17" t="str">
        <f>report!D17</f>
        <v>McLane-PARFLUX-Mark78H-21 ; 12419-01, S250x21</v>
      </c>
      <c r="E17">
        <f>report!E17</f>
        <v>1000</v>
      </c>
      <c r="F17">
        <f>report!F17</f>
        <v>17.842857142857156</v>
      </c>
      <c r="G17">
        <f>report!G17</f>
        <v>2.0991596638655476</v>
      </c>
      <c r="H17">
        <f>report!H17</f>
        <v>0.76671806722689129</v>
      </c>
      <c r="I17">
        <f>report!I17</f>
        <v>64.532317190825353</v>
      </c>
      <c r="J17">
        <f>report!J17</f>
        <v>7.7436021043894101</v>
      </c>
      <c r="K17">
        <f>report!K17</f>
        <v>15.905805587768555</v>
      </c>
      <c r="L17">
        <f>report!L17</f>
        <v>1.2897419929504395</v>
      </c>
      <c r="M17">
        <f>report!M17</f>
        <v>8.1622034833791446</v>
      </c>
      <c r="N17">
        <f>report!N17</f>
        <v>4.2072196112429276</v>
      </c>
      <c r="O17">
        <f>report!O17</f>
        <v>9.000065020989231</v>
      </c>
      <c r="P17">
        <f>report!P17</f>
        <v>0.49478093510222304</v>
      </c>
      <c r="Q17">
        <f>report!Q17</f>
        <v>5.9371596388515371E-2</v>
      </c>
      <c r="R17">
        <f>report!R17</f>
        <v>0.12195268517940593</v>
      </c>
      <c r="S17">
        <f>report!S17</f>
        <v>9.888684880563197E-3</v>
      </c>
      <c r="T17">
        <f>report!T17</f>
        <v>6.2581088790890568E-2</v>
      </c>
      <c r="U17">
        <f>report!U17</f>
        <v>6.9005124578092145E-2</v>
      </c>
      <c r="V17" s="30">
        <f>report!V17</f>
        <v>42640</v>
      </c>
      <c r="W17" s="30">
        <f>report!W17</f>
        <v>42657</v>
      </c>
      <c r="X17" s="30">
        <f>report!X17</f>
        <v>42648.5</v>
      </c>
      <c r="Y17">
        <f>report!Y17</f>
        <v>17</v>
      </c>
      <c r="Z17">
        <f>report!Z17</f>
        <v>3.2257512887312503E-2</v>
      </c>
      <c r="AA17">
        <f>report!AA17</f>
        <v>1.0154261880050452E-2</v>
      </c>
      <c r="AB17">
        <f>report!AB17</f>
        <v>7.0583046970472505E-4</v>
      </c>
      <c r="AC17">
        <f>report!AC17</f>
        <v>5.210748442205709E-3</v>
      </c>
      <c r="AD17">
        <f>report!AD17</f>
        <v>4.943513437844744E-3</v>
      </c>
      <c r="AE17">
        <f>report!AE17</f>
        <v>1.1483628653368638E-3</v>
      </c>
      <c r="AF17">
        <f>report!AF17</f>
        <v>983.3</v>
      </c>
      <c r="AH17">
        <f>report!AH17</f>
        <v>10.154261880050452</v>
      </c>
      <c r="AI17">
        <f>report!AI17</f>
        <v>0.70583046970472507</v>
      </c>
      <c r="AJ17">
        <f>report!AJ17</f>
        <v>5.2107484422057091</v>
      </c>
      <c r="AK17">
        <f>report!AK17</f>
        <v>4.9435134378447438</v>
      </c>
      <c r="AL17">
        <f>report!AL17</f>
        <v>1.1483628653368638</v>
      </c>
      <c r="AM17">
        <f>report!AM17</f>
        <v>7.3824362447622267</v>
      </c>
      <c r="AN17">
        <f>report!AN17</f>
        <v>7.0038254935534274</v>
      </c>
      <c r="AO17">
        <f>report!AO17</f>
        <v>38.299999999999997</v>
      </c>
      <c r="AP17">
        <f>report!AP17</f>
        <v>8.65</v>
      </c>
    </row>
    <row r="18" spans="1:42" x14ac:dyDescent="0.25">
      <c r="A18">
        <f>report!A18</f>
        <v>2016</v>
      </c>
      <c r="B18" t="str">
        <f>report!B18</f>
        <v>47_1000</v>
      </c>
      <c r="C18">
        <f>report!C18</f>
        <v>13</v>
      </c>
      <c r="D18" t="str">
        <f>report!D18</f>
        <v>McLane-PARFLUX-Mark78H-21 ; 12419-01, S250x21</v>
      </c>
      <c r="E18">
        <f>report!E18</f>
        <v>1000</v>
      </c>
      <c r="F18">
        <f>report!F18</f>
        <v>14.399999999999997</v>
      </c>
      <c r="G18">
        <f>report!G18</f>
        <v>1.6941176470588231</v>
      </c>
      <c r="H18">
        <f>report!H18</f>
        <v>0.61877647058823515</v>
      </c>
      <c r="I18" t="str">
        <f>report!I18</f>
        <v>NaN</v>
      </c>
      <c r="J18" t="str">
        <f>report!J18</f>
        <v>NaN</v>
      </c>
      <c r="K18">
        <f>report!K18</f>
        <v>16.917732238769531</v>
      </c>
      <c r="L18">
        <f>report!L18</f>
        <v>1.5639532804489136</v>
      </c>
      <c r="M18" t="str">
        <f>report!M18</f>
        <v>NaN</v>
      </c>
      <c r="N18">
        <f>report!N18</f>
        <v>3.889708083832335</v>
      </c>
      <c r="O18">
        <f>report!O18</f>
        <v>8.3208458083832326</v>
      </c>
      <c r="P18" t="str">
        <f>report!P18</f>
        <v>NaN</v>
      </c>
      <c r="Q18" t="str">
        <f>report!Q18</f>
        <v>NaN</v>
      </c>
      <c r="R18">
        <f>report!R18</f>
        <v>0.10468294645062612</v>
      </c>
      <c r="S18">
        <f>report!S18</f>
        <v>9.6773749104107111E-3</v>
      </c>
      <c r="T18" t="str">
        <f>report!T18</f>
        <v>NaN</v>
      </c>
      <c r="U18">
        <f>report!U18</f>
        <v>5.148743601620287E-2</v>
      </c>
      <c r="V18" s="30">
        <f>report!V18</f>
        <v>42657</v>
      </c>
      <c r="W18" s="30">
        <f>report!W18</f>
        <v>42674</v>
      </c>
      <c r="X18" s="30">
        <f>report!X18</f>
        <v>42665.5</v>
      </c>
      <c r="Y18">
        <f>report!Y18</f>
        <v>17</v>
      </c>
      <c r="Z18">
        <f>report!Z18</f>
        <v>2.4068598397322994E-2</v>
      </c>
      <c r="AA18">
        <f>report!AA18</f>
        <v>8.7163152748231578E-3</v>
      </c>
      <c r="AB18">
        <f>report!AB18</f>
        <v>6.9074767383374099E-4</v>
      </c>
      <c r="AC18" t="str">
        <f>report!AC18</f>
        <v>NaN</v>
      </c>
      <c r="AD18" t="str">
        <f>report!AD18</f>
        <v>NaN</v>
      </c>
      <c r="AE18">
        <f>report!AE18</f>
        <v>8.5683867558999623E-4</v>
      </c>
      <c r="AF18">
        <f>report!AF18</f>
        <v>983.3</v>
      </c>
      <c r="AH18">
        <f>report!AH18</f>
        <v>8.7163152748231578</v>
      </c>
      <c r="AI18">
        <f>report!AI18</f>
        <v>0.69074767383374103</v>
      </c>
      <c r="AJ18" t="str">
        <f>report!AJ18</f>
        <v>NaN</v>
      </c>
      <c r="AK18" t="str">
        <f>report!AK18</f>
        <v>NaN</v>
      </c>
      <c r="AL18">
        <f>report!AL18</f>
        <v>0.85683867558999627</v>
      </c>
      <c r="AM18" t="str">
        <f>report!AM18</f>
        <v>NaN</v>
      </c>
      <c r="AN18" t="str">
        <f>report!AN18</f>
        <v>NaN</v>
      </c>
      <c r="AO18">
        <f>report!AO18</f>
        <v>38.24</v>
      </c>
      <c r="AP18">
        <f>report!AP18</f>
        <v>8.6</v>
      </c>
    </row>
    <row r="19" spans="1:42" x14ac:dyDescent="0.25">
      <c r="A19">
        <f>report!A19</f>
        <v>2016</v>
      </c>
      <c r="B19" t="str">
        <f>report!B19</f>
        <v>47_1000</v>
      </c>
      <c r="C19">
        <f>report!C19</f>
        <v>14</v>
      </c>
      <c r="D19" t="str">
        <f>report!D19</f>
        <v>McLane-PARFLUX-Mark78H-21 ; 12419-01, S250x21</v>
      </c>
      <c r="E19">
        <f>report!E19</f>
        <v>1000</v>
      </c>
      <c r="F19">
        <f>report!F19</f>
        <v>30.885714285714283</v>
      </c>
      <c r="G19">
        <f>report!G19</f>
        <v>3.6336134453781508</v>
      </c>
      <c r="H19">
        <f>report!H19</f>
        <v>1.3271773109243696</v>
      </c>
      <c r="I19">
        <f>report!I19</f>
        <v>39.286833962453755</v>
      </c>
      <c r="J19">
        <f>report!J19</f>
        <v>4.714252073838531</v>
      </c>
      <c r="K19">
        <f>report!K19</f>
        <v>10.444699287414551</v>
      </c>
      <c r="L19">
        <f>report!L19</f>
        <v>0.79616892337799072</v>
      </c>
      <c r="M19">
        <f>report!M19</f>
        <v>5.7304472135760198</v>
      </c>
      <c r="N19">
        <f>report!N19</f>
        <v>2.5490511049723756</v>
      </c>
      <c r="O19">
        <f>report!O19</f>
        <v>5.4529185082872935</v>
      </c>
      <c r="P19">
        <f>report!P19</f>
        <v>0.52140594653021566</v>
      </c>
      <c r="Q19">
        <f>report!Q19</f>
        <v>6.256648390376654E-2</v>
      </c>
      <c r="R19">
        <f>report!R19</f>
        <v>0.13861967913684523</v>
      </c>
      <c r="S19">
        <f>report!S19</f>
        <v>1.0566573307703523E-2</v>
      </c>
      <c r="T19">
        <f>report!T19</f>
        <v>7.6053195233078685E-2</v>
      </c>
      <c r="U19">
        <f>report!U19</f>
        <v>7.2369897225184554E-2</v>
      </c>
      <c r="V19" s="30">
        <f>report!V19</f>
        <v>42674</v>
      </c>
      <c r="W19" s="30">
        <f>report!W19</f>
        <v>42691</v>
      </c>
      <c r="X19" s="30">
        <f>report!X19</f>
        <v>42682.5</v>
      </c>
      <c r="Y19">
        <f>report!Y19</f>
        <v>17</v>
      </c>
      <c r="Z19">
        <f>report!Z19</f>
        <v>3.3830427909060309E-2</v>
      </c>
      <c r="AA19">
        <f>report!AA19</f>
        <v>1.1542021576756472E-2</v>
      </c>
      <c r="AB19">
        <f>report!AB19</f>
        <v>7.5421651018583319E-4</v>
      </c>
      <c r="AC19">
        <f>report!AC19</f>
        <v>6.3324891950939793E-3</v>
      </c>
      <c r="AD19">
        <f>report!AD19</f>
        <v>5.2095323816624926E-3</v>
      </c>
      <c r="AE19">
        <f>report!AE19</f>
        <v>1.2043584161288824E-3</v>
      </c>
      <c r="AF19">
        <f>report!AF19</f>
        <v>983.3</v>
      </c>
      <c r="AH19">
        <f>report!AH19</f>
        <v>11.542021576756472</v>
      </c>
      <c r="AI19">
        <f>report!AI19</f>
        <v>0.75421651018583313</v>
      </c>
      <c r="AJ19">
        <f>report!AJ19</f>
        <v>6.332489195093979</v>
      </c>
      <c r="AK19">
        <f>report!AK19</f>
        <v>5.209532381662493</v>
      </c>
      <c r="AL19">
        <f>report!AL19</f>
        <v>1.2043584161288825</v>
      </c>
      <c r="AM19">
        <f>report!AM19</f>
        <v>8.3961158494577397</v>
      </c>
      <c r="AN19">
        <f>report!AN19</f>
        <v>6.9072107429455558</v>
      </c>
      <c r="AO19">
        <f>report!AO19</f>
        <v>38.33</v>
      </c>
      <c r="AP19">
        <f>report!AP19</f>
        <v>8.4700000000000006</v>
      </c>
    </row>
    <row r="20" spans="1:42" x14ac:dyDescent="0.25">
      <c r="A20">
        <f>report!A20</f>
        <v>2016</v>
      </c>
      <c r="B20" t="str">
        <f>report!B20</f>
        <v>47_1000</v>
      </c>
      <c r="C20">
        <f>report!C20</f>
        <v>15</v>
      </c>
      <c r="D20" t="str">
        <f>report!D20</f>
        <v>McLane-PARFLUX-Mark78H-21 ; 12419-01, S250x21</v>
      </c>
      <c r="E20">
        <f>report!E20</f>
        <v>1000</v>
      </c>
      <c r="F20">
        <f>report!F20</f>
        <v>13.671428571428573</v>
      </c>
      <c r="G20">
        <f>report!G20</f>
        <v>1.6084033613445379</v>
      </c>
      <c r="H20">
        <f>report!H20</f>
        <v>0.58746932773109251</v>
      </c>
      <c r="I20" t="str">
        <f>report!I20</f>
        <v>NaN</v>
      </c>
      <c r="J20" t="str">
        <f>report!J20</f>
        <v>NaN</v>
      </c>
      <c r="K20">
        <f>report!K20</f>
        <v>14.620884895324707</v>
      </c>
      <c r="L20">
        <f>report!L20</f>
        <v>1.1134974956512451</v>
      </c>
      <c r="M20" t="str">
        <f>report!M20</f>
        <v>NaN</v>
      </c>
      <c r="N20">
        <f>report!N20</f>
        <v>3.4687657891237857</v>
      </c>
      <c r="O20">
        <f>report!O20</f>
        <v>7.4203679696848805</v>
      </c>
      <c r="P20" t="str">
        <f>report!P20</f>
        <v>NaN</v>
      </c>
      <c r="Q20" t="str">
        <f>report!Q20</f>
        <v>NaN</v>
      </c>
      <c r="R20">
        <f>report!R20</f>
        <v>8.58932142029009E-2</v>
      </c>
      <c r="S20">
        <f>report!S20</f>
        <v>6.5414562520049206E-3</v>
      </c>
      <c r="T20" t="str">
        <f>report!T20</f>
        <v>NaN</v>
      </c>
      <c r="U20">
        <f>report!U20</f>
        <v>4.3592385826681089E-2</v>
      </c>
      <c r="V20" s="30">
        <f>report!V20</f>
        <v>42691</v>
      </c>
      <c r="W20" s="30">
        <f>report!W20</f>
        <v>42708</v>
      </c>
      <c r="X20" s="30">
        <f>report!X20</f>
        <v>42699.5</v>
      </c>
      <c r="Y20">
        <f>report!Y20</f>
        <v>17</v>
      </c>
      <c r="Z20">
        <f>report!Z20</f>
        <v>2.037793506193163E-2</v>
      </c>
      <c r="AA20">
        <f>report!AA20</f>
        <v>7.1518080102332144E-3</v>
      </c>
      <c r="AB20">
        <f>report!AB20</f>
        <v>4.6691336559635409E-4</v>
      </c>
      <c r="AC20" t="str">
        <f>report!AC20</f>
        <v>NaN</v>
      </c>
      <c r="AD20" t="str">
        <f>report!AD20</f>
        <v>NaN</v>
      </c>
      <c r="AE20">
        <f>report!AE20</f>
        <v>7.2545158639842039E-4</v>
      </c>
      <c r="AF20">
        <f>report!AF20</f>
        <v>983.3</v>
      </c>
      <c r="AH20">
        <f>report!AH20</f>
        <v>7.1518080102332142</v>
      </c>
      <c r="AI20">
        <f>report!AI20</f>
        <v>0.4669133655963541</v>
      </c>
      <c r="AJ20" t="str">
        <f>report!AJ20</f>
        <v>NaN</v>
      </c>
      <c r="AK20" t="str">
        <f>report!AK20</f>
        <v>NaN</v>
      </c>
      <c r="AL20">
        <f>report!AL20</f>
        <v>0.72545158639842033</v>
      </c>
      <c r="AM20" t="str">
        <f>report!AM20</f>
        <v>NaN</v>
      </c>
      <c r="AN20" t="str">
        <f>report!AN20</f>
        <v>NaN</v>
      </c>
      <c r="AO20">
        <f>report!AO20</f>
        <v>38.090000000000003</v>
      </c>
      <c r="AP20">
        <f>report!AP20</f>
        <v>8.5399999999999991</v>
      </c>
    </row>
    <row r="21" spans="1:42" x14ac:dyDescent="0.25">
      <c r="A21">
        <f>report!A21</f>
        <v>2016</v>
      </c>
      <c r="B21" t="str">
        <f>report!B21</f>
        <v>47_1000</v>
      </c>
      <c r="C21">
        <f>report!C21</f>
        <v>16</v>
      </c>
      <c r="D21" t="str">
        <f>report!D21</f>
        <v>McLane-PARFLUX-Mark78H-21 ; 12419-01, S250x21</v>
      </c>
      <c r="E21">
        <f>report!E21</f>
        <v>1000</v>
      </c>
      <c r="F21">
        <f>report!F21</f>
        <v>7.1857142857142877</v>
      </c>
      <c r="G21">
        <f>report!G21</f>
        <v>0.84537815126050442</v>
      </c>
      <c r="H21">
        <f>report!H21</f>
        <v>0.30877436974789924</v>
      </c>
      <c r="I21" t="str">
        <f>report!I21</f>
        <v>NaN</v>
      </c>
      <c r="J21" t="str">
        <f>report!J21</f>
        <v>NaN</v>
      </c>
      <c r="K21" t="str">
        <f>report!K21</f>
        <v>NaN</v>
      </c>
      <c r="L21" t="str">
        <f>report!L21</f>
        <v>NaN</v>
      </c>
      <c r="M21" t="str">
        <f>report!M21</f>
        <v>NaN</v>
      </c>
      <c r="N21" t="str">
        <f>report!N21</f>
        <v>NaN</v>
      </c>
      <c r="O21" t="str">
        <f>report!O21</f>
        <v>NaN</v>
      </c>
      <c r="P21" t="str">
        <f>report!P21</f>
        <v>NaN</v>
      </c>
      <c r="Q21" t="str">
        <f>report!Q21</f>
        <v>NaN</v>
      </c>
      <c r="R21" t="str">
        <f>report!R21</f>
        <v>NaN</v>
      </c>
      <c r="S21" t="str">
        <f>report!S21</f>
        <v>NaN</v>
      </c>
      <c r="T21" t="str">
        <f>report!T21</f>
        <v>NaN</v>
      </c>
      <c r="U21" t="str">
        <f>report!U21</f>
        <v>NaN</v>
      </c>
      <c r="V21" s="30">
        <f>report!V21</f>
        <v>42708</v>
      </c>
      <c r="W21" s="30">
        <f>report!W21</f>
        <v>42725</v>
      </c>
      <c r="X21" s="30">
        <f>report!X21</f>
        <v>42716.5</v>
      </c>
      <c r="Y21">
        <f>report!Y21</f>
        <v>17</v>
      </c>
      <c r="Z21" t="str">
        <f>report!Z21</f>
        <v>NaN</v>
      </c>
      <c r="AA21" t="str">
        <f>report!AA21</f>
        <v>NaN</v>
      </c>
      <c r="AB21" t="str">
        <f>report!AB21</f>
        <v>NaN</v>
      </c>
      <c r="AC21" t="str">
        <f>report!AC21</f>
        <v>NaN</v>
      </c>
      <c r="AD21" t="str">
        <f>report!AD21</f>
        <v>NaN</v>
      </c>
      <c r="AE21" t="str">
        <f>report!AE21</f>
        <v>NaN</v>
      </c>
      <c r="AF21">
        <f>report!AF21</f>
        <v>983.3</v>
      </c>
      <c r="AH21" t="str">
        <f>report!AH21</f>
        <v>NaN</v>
      </c>
      <c r="AI21" t="str">
        <f>report!AI21</f>
        <v>NaN</v>
      </c>
      <c r="AJ21" t="str">
        <f>report!AJ21</f>
        <v>NaN</v>
      </c>
      <c r="AK21" t="str">
        <f>report!AK21</f>
        <v>NaN</v>
      </c>
      <c r="AL21" t="str">
        <f>report!AL21</f>
        <v>NaN</v>
      </c>
      <c r="AM21" t="str">
        <f>report!AM21</f>
        <v>NaN</v>
      </c>
      <c r="AN21" t="str">
        <f>report!AN21</f>
        <v>NaN</v>
      </c>
      <c r="AO21">
        <f>report!AO21</f>
        <v>38.130000000000003</v>
      </c>
      <c r="AP21">
        <f>report!AP21</f>
        <v>8.57</v>
      </c>
    </row>
    <row r="22" spans="1:42" x14ac:dyDescent="0.25">
      <c r="A22">
        <f>report!A22</f>
        <v>2016</v>
      </c>
      <c r="B22" t="str">
        <f>report!B22</f>
        <v>47_1000</v>
      </c>
      <c r="C22">
        <f>report!C22</f>
        <v>17</v>
      </c>
      <c r="D22" t="str">
        <f>report!D22</f>
        <v>McLane-PARFLUX-Mark78H-21 ; 12419-01, S250x21</v>
      </c>
      <c r="E22">
        <f>report!E22</f>
        <v>1000</v>
      </c>
      <c r="F22">
        <f>report!F22</f>
        <v>5.3857142857142906</v>
      </c>
      <c r="G22">
        <f>report!G22</f>
        <v>0.63361344537815179</v>
      </c>
      <c r="H22">
        <f>report!H22</f>
        <v>0.23142731092436997</v>
      </c>
      <c r="I22" t="str">
        <f>report!I22</f>
        <v>NaN</v>
      </c>
      <c r="J22" t="str">
        <f>report!J22</f>
        <v>NaN</v>
      </c>
      <c r="K22" t="str">
        <f>report!K22</f>
        <v>NaN</v>
      </c>
      <c r="L22" t="str">
        <f>report!L22</f>
        <v>NaN</v>
      </c>
      <c r="M22" t="str">
        <f>report!M22</f>
        <v>NaN</v>
      </c>
      <c r="N22" t="str">
        <f>report!N22</f>
        <v>NaN</v>
      </c>
      <c r="O22" t="str">
        <f>report!O22</f>
        <v>NaN</v>
      </c>
      <c r="P22" t="str">
        <f>report!P22</f>
        <v>NaN</v>
      </c>
      <c r="Q22" t="str">
        <f>report!Q22</f>
        <v>NaN</v>
      </c>
      <c r="R22" t="str">
        <f>report!R22</f>
        <v>NaN</v>
      </c>
      <c r="S22" t="str">
        <f>report!S22</f>
        <v>NaN</v>
      </c>
      <c r="T22" t="str">
        <f>report!T22</f>
        <v>NaN</v>
      </c>
      <c r="U22" t="str">
        <f>report!U22</f>
        <v>NaN</v>
      </c>
      <c r="V22" s="30">
        <f>report!V22</f>
        <v>42725</v>
      </c>
      <c r="W22" s="30">
        <f>report!W22</f>
        <v>42742</v>
      </c>
      <c r="X22" s="30">
        <f>report!X22</f>
        <v>42733.5</v>
      </c>
      <c r="Y22">
        <f>report!Y22</f>
        <v>17</v>
      </c>
      <c r="Z22" t="str">
        <f>report!Z22</f>
        <v>NaN</v>
      </c>
      <c r="AA22" t="str">
        <f>report!AA22</f>
        <v>NaN</v>
      </c>
      <c r="AB22" t="str">
        <f>report!AB22</f>
        <v>NaN</v>
      </c>
      <c r="AC22" t="str">
        <f>report!AC22</f>
        <v>NaN</v>
      </c>
      <c r="AD22" t="str">
        <f>report!AD22</f>
        <v>NaN</v>
      </c>
      <c r="AE22" t="str">
        <f>report!AE22</f>
        <v>NaN</v>
      </c>
      <c r="AF22">
        <f>report!AF22</f>
        <v>983.3</v>
      </c>
      <c r="AH22" t="str">
        <f>report!AH22</f>
        <v>NaN</v>
      </c>
      <c r="AI22" t="str">
        <f>report!AI22</f>
        <v>NaN</v>
      </c>
      <c r="AJ22" t="str">
        <f>report!AJ22</f>
        <v>NaN</v>
      </c>
      <c r="AK22" t="str">
        <f>report!AK22</f>
        <v>NaN</v>
      </c>
      <c r="AL22" t="str">
        <f>report!AL22</f>
        <v>NaN</v>
      </c>
      <c r="AM22" t="str">
        <f>report!AM22</f>
        <v>NaN</v>
      </c>
      <c r="AN22" t="str">
        <f>report!AN22</f>
        <v>NaN</v>
      </c>
      <c r="AO22">
        <f>report!AO22</f>
        <v>38.270000000000003</v>
      </c>
      <c r="AP22">
        <f>report!AP22</f>
        <v>8.6300000000000008</v>
      </c>
    </row>
    <row r="23" spans="1:42" x14ac:dyDescent="0.25">
      <c r="A23">
        <f>report!A23</f>
        <v>2016</v>
      </c>
      <c r="B23" t="str">
        <f>report!B23</f>
        <v>47_1000</v>
      </c>
      <c r="C23">
        <f>report!C23</f>
        <v>18</v>
      </c>
      <c r="D23" t="str">
        <f>report!D23</f>
        <v>McLane-PARFLUX-Mark78H-21 ; 12419-01, S250x21</v>
      </c>
      <c r="E23">
        <f>report!E23</f>
        <v>1000</v>
      </c>
      <c r="F23">
        <f>report!F23</f>
        <v>2.9285714285714346</v>
      </c>
      <c r="G23">
        <f>report!G23</f>
        <v>0.34453781512605114</v>
      </c>
      <c r="H23">
        <f>report!H23</f>
        <v>0.12584243697479019</v>
      </c>
      <c r="I23" t="str">
        <f>report!I23</f>
        <v>NaN</v>
      </c>
      <c r="J23" t="str">
        <f>report!J23</f>
        <v>NaN</v>
      </c>
      <c r="K23" t="str">
        <f>report!K23</f>
        <v>NaN</v>
      </c>
      <c r="L23" t="str">
        <f>report!L23</f>
        <v>NaN</v>
      </c>
      <c r="M23" t="str">
        <f>report!M23</f>
        <v>NaN</v>
      </c>
      <c r="N23" t="str">
        <f>report!N23</f>
        <v>NaN</v>
      </c>
      <c r="O23" t="str">
        <f>report!O23</f>
        <v>NaN</v>
      </c>
      <c r="P23" t="str">
        <f>report!P23</f>
        <v>NaN</v>
      </c>
      <c r="Q23" t="str">
        <f>report!Q23</f>
        <v>NaN</v>
      </c>
      <c r="R23" t="str">
        <f>report!R23</f>
        <v>NaN</v>
      </c>
      <c r="S23" t="str">
        <f>report!S23</f>
        <v>NaN</v>
      </c>
      <c r="T23" t="str">
        <f>report!T23</f>
        <v>NaN</v>
      </c>
      <c r="U23" t="str">
        <f>report!U23</f>
        <v>NaN</v>
      </c>
      <c r="V23" s="30">
        <f>report!V23</f>
        <v>42742</v>
      </c>
      <c r="W23" s="30">
        <f>report!W23</f>
        <v>42759</v>
      </c>
      <c r="X23" s="30">
        <f>report!X23</f>
        <v>42750.5</v>
      </c>
      <c r="Y23">
        <f>report!Y23</f>
        <v>17</v>
      </c>
      <c r="Z23" t="str">
        <f>report!Z23</f>
        <v>NaN</v>
      </c>
      <c r="AA23" t="str">
        <f>report!AA23</f>
        <v>NaN</v>
      </c>
      <c r="AB23" t="str">
        <f>report!AB23</f>
        <v>NaN</v>
      </c>
      <c r="AC23" t="str">
        <f>report!AC23</f>
        <v>NaN</v>
      </c>
      <c r="AD23" t="str">
        <f>report!AD23</f>
        <v>NaN</v>
      </c>
      <c r="AE23" t="str">
        <f>report!AE23</f>
        <v>NaN</v>
      </c>
      <c r="AF23">
        <f>report!AF23</f>
        <v>983.3</v>
      </c>
      <c r="AH23" t="str">
        <f>report!AH23</f>
        <v>NaN</v>
      </c>
      <c r="AI23" t="str">
        <f>report!AI23</f>
        <v>NaN</v>
      </c>
      <c r="AJ23" t="str">
        <f>report!AJ23</f>
        <v>NaN</v>
      </c>
      <c r="AK23" t="str">
        <f>report!AK23</f>
        <v>NaN</v>
      </c>
      <c r="AL23" t="str">
        <f>report!AL23</f>
        <v>NaN</v>
      </c>
      <c r="AM23" t="str">
        <f>report!AM23</f>
        <v>NaN</v>
      </c>
      <c r="AN23" t="str">
        <f>report!AN23</f>
        <v>NaN</v>
      </c>
      <c r="AO23">
        <f>report!AO23</f>
        <v>38.18</v>
      </c>
      <c r="AP23">
        <f>report!AP23</f>
        <v>8.66</v>
      </c>
    </row>
    <row r="24" spans="1:42" x14ac:dyDescent="0.25">
      <c r="A24">
        <f>report!A24</f>
        <v>2016</v>
      </c>
      <c r="B24" t="str">
        <f>report!B24</f>
        <v>47_1000</v>
      </c>
      <c r="C24">
        <f>report!C24</f>
        <v>19</v>
      </c>
      <c r="D24" t="str">
        <f>report!D24</f>
        <v>McLane-PARFLUX-Mark78H-21 ; 12419-01, S250x21</v>
      </c>
      <c r="E24">
        <f>report!E24</f>
        <v>1000</v>
      </c>
      <c r="F24">
        <f>report!F24</f>
        <v>3.8285714285714385</v>
      </c>
      <c r="G24">
        <f>report!G24</f>
        <v>0.45042016806722807</v>
      </c>
      <c r="H24">
        <f>report!H24</f>
        <v>0.16451596638655505</v>
      </c>
      <c r="I24" t="str">
        <f>report!I24</f>
        <v>NaN</v>
      </c>
      <c r="J24" t="str">
        <f>report!J24</f>
        <v>NaN</v>
      </c>
      <c r="K24" t="str">
        <f>report!K24</f>
        <v>NaN</v>
      </c>
      <c r="L24" t="str">
        <f>report!L24</f>
        <v>NaN</v>
      </c>
      <c r="M24" t="str">
        <f>report!M24</f>
        <v>NaN</v>
      </c>
      <c r="N24" t="str">
        <f>report!N24</f>
        <v>NaN</v>
      </c>
      <c r="O24" t="str">
        <f>report!O24</f>
        <v>NaN</v>
      </c>
      <c r="P24" t="str">
        <f>report!P24</f>
        <v>NaN</v>
      </c>
      <c r="Q24" t="str">
        <f>report!Q24</f>
        <v>NaN</v>
      </c>
      <c r="R24" t="str">
        <f>report!R24</f>
        <v>NaN</v>
      </c>
      <c r="S24" t="str">
        <f>report!S24</f>
        <v>NaN</v>
      </c>
      <c r="T24" t="str">
        <f>report!T24</f>
        <v>NaN</v>
      </c>
      <c r="U24" t="str">
        <f>report!U24</f>
        <v>NaN</v>
      </c>
      <c r="V24" s="30">
        <f>report!V24</f>
        <v>42759</v>
      </c>
      <c r="W24" s="30">
        <f>report!W24</f>
        <v>42776</v>
      </c>
      <c r="X24" s="30">
        <f>report!X24</f>
        <v>42767.5</v>
      </c>
      <c r="Y24">
        <f>report!Y24</f>
        <v>17</v>
      </c>
      <c r="Z24" t="str">
        <f>report!Z24</f>
        <v>NaN</v>
      </c>
      <c r="AA24" t="str">
        <f>report!AA24</f>
        <v>NaN</v>
      </c>
      <c r="AB24" t="str">
        <f>report!AB24</f>
        <v>NaN</v>
      </c>
      <c r="AC24" t="str">
        <f>report!AC24</f>
        <v>NaN</v>
      </c>
      <c r="AD24" t="str">
        <f>report!AD24</f>
        <v>NaN</v>
      </c>
      <c r="AE24" t="str">
        <f>report!AE24</f>
        <v>NaN</v>
      </c>
      <c r="AF24">
        <f>report!AF24</f>
        <v>983.3</v>
      </c>
      <c r="AH24" t="str">
        <f>report!AH24</f>
        <v>NaN</v>
      </c>
      <c r="AI24" t="str">
        <f>report!AI24</f>
        <v>NaN</v>
      </c>
      <c r="AJ24" t="str">
        <f>report!AJ24</f>
        <v>NaN</v>
      </c>
      <c r="AK24" t="str">
        <f>report!AK24</f>
        <v>NaN</v>
      </c>
      <c r="AL24" t="str">
        <f>report!AL24</f>
        <v>NaN</v>
      </c>
      <c r="AM24" t="str">
        <f>report!AM24</f>
        <v>NaN</v>
      </c>
      <c r="AN24" t="str">
        <f>report!AN24</f>
        <v>NaN</v>
      </c>
      <c r="AO24">
        <f>report!AO24</f>
        <v>37.950000000000003</v>
      </c>
      <c r="AP24">
        <f>report!AP24</f>
        <v>8.6300000000000008</v>
      </c>
    </row>
    <row r="25" spans="1:42" x14ac:dyDescent="0.25">
      <c r="A25">
        <f>report!A25</f>
        <v>2016</v>
      </c>
      <c r="B25" t="str">
        <f>report!B25</f>
        <v>47_1000</v>
      </c>
      <c r="C25">
        <f>report!C25</f>
        <v>20</v>
      </c>
      <c r="D25" t="str">
        <f>report!D25</f>
        <v>McLane-PARFLUX-Mark78H-21 ; 12419-01, S250x21</v>
      </c>
      <c r="E25">
        <f>report!E25</f>
        <v>1000</v>
      </c>
      <c r="F25">
        <f>report!F25</f>
        <v>2.2142857142857104</v>
      </c>
      <c r="G25">
        <f>report!G25</f>
        <v>0.26050420168067179</v>
      </c>
      <c r="H25">
        <f>report!H25</f>
        <v>9.514915966386539E-2</v>
      </c>
      <c r="I25" t="str">
        <f>report!I25</f>
        <v>NaN</v>
      </c>
      <c r="J25" t="str">
        <f>report!J25</f>
        <v>NaN</v>
      </c>
      <c r="K25" t="str">
        <f>report!K25</f>
        <v>NaN</v>
      </c>
      <c r="L25" t="str">
        <f>report!L25</f>
        <v>NaN</v>
      </c>
      <c r="M25" t="str">
        <f>report!M25</f>
        <v>NaN</v>
      </c>
      <c r="N25" t="str">
        <f>report!N25</f>
        <v>NaN</v>
      </c>
      <c r="O25" t="str">
        <f>report!O25</f>
        <v>NaN</v>
      </c>
      <c r="P25" t="str">
        <f>report!P25</f>
        <v>NaN</v>
      </c>
      <c r="Q25" t="str">
        <f>report!Q25</f>
        <v>NaN</v>
      </c>
      <c r="R25" t="str">
        <f>report!R25</f>
        <v>NaN</v>
      </c>
      <c r="S25" t="str">
        <f>report!S25</f>
        <v>NaN</v>
      </c>
      <c r="T25" t="str">
        <f>report!T25</f>
        <v>NaN</v>
      </c>
      <c r="U25" t="str">
        <f>report!U25</f>
        <v>NaN</v>
      </c>
      <c r="V25" s="30">
        <f>report!V25</f>
        <v>42776</v>
      </c>
      <c r="W25" s="30">
        <f>report!W25</f>
        <v>42793</v>
      </c>
      <c r="X25" s="30">
        <f>report!X25</f>
        <v>42784.5</v>
      </c>
      <c r="Y25">
        <f>report!Y25</f>
        <v>17</v>
      </c>
      <c r="Z25" t="str">
        <f>report!Z25</f>
        <v>NaN</v>
      </c>
      <c r="AA25" t="str">
        <f>report!AA25</f>
        <v>NaN</v>
      </c>
      <c r="AB25" t="str">
        <f>report!AB25</f>
        <v>NaN</v>
      </c>
      <c r="AC25" t="str">
        <f>report!AC25</f>
        <v>NaN</v>
      </c>
      <c r="AD25" t="str">
        <f>report!AD25</f>
        <v>NaN</v>
      </c>
      <c r="AE25" t="str">
        <f>report!AE25</f>
        <v>NaN</v>
      </c>
      <c r="AF25">
        <f>report!AF25</f>
        <v>983.3</v>
      </c>
      <c r="AH25" t="str">
        <f>report!AH25</f>
        <v>NaN</v>
      </c>
      <c r="AI25" t="str">
        <f>report!AI25</f>
        <v>NaN</v>
      </c>
      <c r="AJ25" t="str">
        <f>report!AJ25</f>
        <v>NaN</v>
      </c>
      <c r="AK25" t="str">
        <f>report!AK25</f>
        <v>NaN</v>
      </c>
      <c r="AL25" t="str">
        <f>report!AL25</f>
        <v>NaN</v>
      </c>
      <c r="AM25" t="str">
        <f>report!AM25</f>
        <v>NaN</v>
      </c>
      <c r="AN25" t="str">
        <f>report!AN25</f>
        <v>NaN</v>
      </c>
      <c r="AO25">
        <f>report!AO25</f>
        <v>38.11</v>
      </c>
      <c r="AP25">
        <f>report!AP25</f>
        <v>8.65</v>
      </c>
    </row>
    <row r="26" spans="1:42" s="84" customFormat="1" x14ac:dyDescent="0.25">
      <c r="A26" s="84">
        <f>report!A26</f>
        <v>2016</v>
      </c>
      <c r="B26" s="84" t="str">
        <f>report!B26</f>
        <v>47_1000</v>
      </c>
      <c r="C26" s="84">
        <f>report!C26</f>
        <v>21</v>
      </c>
      <c r="D26" s="84" t="str">
        <f>report!D26</f>
        <v>McLane-PARFLUX-Mark78H-21 ; 12419-01, S250x21</v>
      </c>
      <c r="E26" s="84">
        <f>report!E26</f>
        <v>1000</v>
      </c>
      <c r="F26" s="84">
        <f>report!F26</f>
        <v>1.5285714285714289</v>
      </c>
      <c r="G26" s="84">
        <f>report!G26</f>
        <v>0.17983193277310927</v>
      </c>
      <c r="H26" s="84">
        <f>report!H26</f>
        <v>6.5683613445378167E-2</v>
      </c>
      <c r="I26" s="84" t="str">
        <f>report!I26</f>
        <v>NaN</v>
      </c>
      <c r="J26" s="84" t="str">
        <f>report!J26</f>
        <v>NaN</v>
      </c>
      <c r="K26" s="84" t="str">
        <f>report!K26</f>
        <v>NaN</v>
      </c>
      <c r="L26" s="84" t="str">
        <f>report!L26</f>
        <v>NaN</v>
      </c>
      <c r="M26" s="84" t="str">
        <f>report!M26</f>
        <v>NaN</v>
      </c>
      <c r="N26" s="84" t="str">
        <f>report!N26</f>
        <v>NaN</v>
      </c>
      <c r="O26" s="84" t="str">
        <f>report!O26</f>
        <v>NaN</v>
      </c>
      <c r="P26" s="84" t="str">
        <f>report!P26</f>
        <v>NaN</v>
      </c>
      <c r="Q26" s="84" t="str">
        <f>report!Q26</f>
        <v>NaN</v>
      </c>
      <c r="R26" s="84" t="str">
        <f>report!R26</f>
        <v>NaN</v>
      </c>
      <c r="S26" s="84" t="str">
        <f>report!S26</f>
        <v>NaN</v>
      </c>
      <c r="T26" s="84" t="str">
        <f>report!T26</f>
        <v>NaN</v>
      </c>
      <c r="U26" s="84" t="str">
        <f>report!U26</f>
        <v>NaN</v>
      </c>
      <c r="V26" s="503">
        <f>report!V26</f>
        <v>42793</v>
      </c>
      <c r="W26" s="503">
        <f>report!W26</f>
        <v>42810</v>
      </c>
      <c r="X26" s="503">
        <f>report!X26</f>
        <v>42801.5</v>
      </c>
      <c r="Y26" s="84">
        <f>report!Y26</f>
        <v>17</v>
      </c>
      <c r="Z26" s="84" t="str">
        <f>report!Z26</f>
        <v>NaN</v>
      </c>
      <c r="AA26" s="84" t="str">
        <f>report!AA26</f>
        <v>NaN</v>
      </c>
      <c r="AB26" s="84" t="str">
        <f>report!AB26</f>
        <v>NaN</v>
      </c>
      <c r="AC26" s="84" t="str">
        <f>report!AC26</f>
        <v>NaN</v>
      </c>
      <c r="AD26" s="84" t="str">
        <f>report!AD26</f>
        <v>NaN</v>
      </c>
      <c r="AE26" s="84" t="str">
        <f>report!AE26</f>
        <v>NaN</v>
      </c>
      <c r="AF26" s="84">
        <f>report!AF26</f>
        <v>983.3</v>
      </c>
      <c r="AH26" s="84" t="str">
        <f>report!AH26</f>
        <v>NaN</v>
      </c>
      <c r="AI26" s="84" t="str">
        <f>report!AI26</f>
        <v>NaN</v>
      </c>
      <c r="AJ26" s="84" t="str">
        <f>report!AJ26</f>
        <v>NaN</v>
      </c>
      <c r="AK26" s="84" t="str">
        <f>report!AK26</f>
        <v>NaN</v>
      </c>
      <c r="AL26" s="84" t="str">
        <f>report!AL26</f>
        <v>NaN</v>
      </c>
      <c r="AM26" s="84" t="str">
        <f>report!AM26</f>
        <v>NaN</v>
      </c>
      <c r="AN26" s="84" t="str">
        <f>report!AN26</f>
        <v>NaN</v>
      </c>
      <c r="AO26" s="84">
        <f>report!AO26</f>
        <v>38.35</v>
      </c>
      <c r="AP26" s="84">
        <f>report!AP26</f>
        <v>8.6199999999999992</v>
      </c>
    </row>
    <row r="27" spans="1:42" x14ac:dyDescent="0.25">
      <c r="A27">
        <f>report!A27</f>
        <v>2016</v>
      </c>
      <c r="B27" t="str">
        <f>report!B27</f>
        <v>47_2000</v>
      </c>
      <c r="C27">
        <f>report!C27</f>
        <v>1</v>
      </c>
      <c r="D27" t="str">
        <f>report!D27</f>
        <v>McLane-PARFLUX-Mark78H-21 ; 12419-02, O250x21</v>
      </c>
      <c r="E27">
        <f>report!E27</f>
        <v>2000</v>
      </c>
      <c r="F27">
        <f>report!F27</f>
        <v>260.89999999999998</v>
      </c>
      <c r="G27">
        <f>report!G27</f>
        <v>30.694117647058821</v>
      </c>
      <c r="H27">
        <f>report!H27</f>
        <v>11.211026470588235</v>
      </c>
      <c r="I27">
        <f>report!I27</f>
        <v>67.435070394701427</v>
      </c>
      <c r="J27">
        <f>report!J27</f>
        <v>8.0919200758577201</v>
      </c>
      <c r="K27">
        <f>report!K27</f>
        <v>14.302079200744629</v>
      </c>
      <c r="L27">
        <f>report!L27</f>
        <v>0.94686996936798096</v>
      </c>
      <c r="M27">
        <f>report!M27</f>
        <v>6.2101591248869088</v>
      </c>
      <c r="N27">
        <f>report!N27</f>
        <v>1.6202174824972513</v>
      </c>
      <c r="O27">
        <f>report!O27</f>
        <v>3.4659618555806286</v>
      </c>
      <c r="P27">
        <f>report!P27</f>
        <v>7.5601635924097872</v>
      </c>
      <c r="Q27">
        <f>report!Q27</f>
        <v>0.90718730168325257</v>
      </c>
      <c r="R27">
        <f>report!R27</f>
        <v>1.6034098850399747</v>
      </c>
      <c r="S27">
        <f>report!S27</f>
        <v>0.10615384290789508</v>
      </c>
      <c r="T27">
        <f>report!T27</f>
        <v>0.69622258335672205</v>
      </c>
      <c r="U27">
        <f>report!U27</f>
        <v>0.38856990108963546</v>
      </c>
      <c r="V27" s="30">
        <f>report!V27</f>
        <v>42453</v>
      </c>
      <c r="W27" s="30">
        <f>report!W27</f>
        <v>42470</v>
      </c>
      <c r="X27" s="30">
        <f>report!X27</f>
        <v>42461.5</v>
      </c>
      <c r="Y27">
        <f>report!Y27</f>
        <v>17</v>
      </c>
      <c r="Z27">
        <f>report!Z27</f>
        <v>0.18164301084386517</v>
      </c>
      <c r="AA27">
        <f>report!AA27</f>
        <v>0.13350623522397792</v>
      </c>
      <c r="AB27">
        <f>report!AB27</f>
        <v>7.5770052039896563E-3</v>
      </c>
      <c r="AC27">
        <f>report!AC27</f>
        <v>5.7970240079660451E-2</v>
      </c>
      <c r="AD27">
        <f>report!AD27</f>
        <v>7.5535995144317455E-2</v>
      </c>
      <c r="AE27">
        <f>report!AE27</f>
        <v>6.4664653201803191E-3</v>
      </c>
      <c r="AF27">
        <f>report!AF27</f>
        <v>2010.7</v>
      </c>
      <c r="AH27">
        <f>report!AH27</f>
        <v>133.50623522397791</v>
      </c>
      <c r="AI27">
        <f>report!AI27</f>
        <v>7.577005203989656</v>
      </c>
      <c r="AJ27">
        <f>report!AJ27</f>
        <v>57.970240079660449</v>
      </c>
      <c r="AK27">
        <f>report!AK27</f>
        <v>75.535995144317454</v>
      </c>
      <c r="AL27">
        <f>report!AL27</f>
        <v>6.4664653201803191</v>
      </c>
      <c r="AM27">
        <f>report!AM27</f>
        <v>7.6508117018497419</v>
      </c>
      <c r="AN27">
        <f>report!AN27</f>
        <v>9.9691095770323788</v>
      </c>
      <c r="AO27">
        <f>report!AO27</f>
        <v>38.04</v>
      </c>
      <c r="AP27">
        <f>report!AP27</f>
        <v>8.5500000000000007</v>
      </c>
    </row>
    <row r="28" spans="1:42" x14ac:dyDescent="0.25">
      <c r="A28">
        <f>report!A28</f>
        <v>2016</v>
      </c>
      <c r="B28" t="str">
        <f>report!B28</f>
        <v>47_2000</v>
      </c>
      <c r="C28">
        <f>report!C28</f>
        <v>2</v>
      </c>
      <c r="D28" t="str">
        <f>report!D28</f>
        <v>McLane-PARFLUX-Mark78H-21 ; 12419-02, O250x21</v>
      </c>
      <c r="E28">
        <f>report!E28</f>
        <v>2000</v>
      </c>
      <c r="F28">
        <f>report!F28</f>
        <v>261.28571428571428</v>
      </c>
      <c r="G28">
        <f>report!G28</f>
        <v>30.739495798319325</v>
      </c>
      <c r="H28">
        <f>report!H28</f>
        <v>11.227600840336136</v>
      </c>
      <c r="I28">
        <f>report!I28</f>
        <v>74.531460296199441</v>
      </c>
      <c r="J28">
        <f>report!J28</f>
        <v>8.9434565178595324</v>
      </c>
      <c r="K28">
        <f>report!K28</f>
        <v>13.531609535217285</v>
      </c>
      <c r="L28">
        <f>report!L28</f>
        <v>0.72954195737838745</v>
      </c>
      <c r="M28">
        <f>report!M28</f>
        <v>4.5881530173577527</v>
      </c>
      <c r="N28">
        <f>report!N28</f>
        <v>4.0355532687258933</v>
      </c>
      <c r="O28">
        <f>report!O28</f>
        <v>8.6328371633228524</v>
      </c>
      <c r="P28">
        <f>report!P28</f>
        <v>8.3680948625308815</v>
      </c>
      <c r="Q28">
        <f>report!Q28</f>
        <v>1.0041355991542937</v>
      </c>
      <c r="R28">
        <f>report!R28</f>
        <v>1.5192751058870604</v>
      </c>
      <c r="S28">
        <f>report!S28</f>
        <v>8.1910058937220517E-2</v>
      </c>
      <c r="T28">
        <f>report!T28</f>
        <v>0.51513950673276676</v>
      </c>
      <c r="U28">
        <f>report!U28</f>
        <v>0.96926049789408686</v>
      </c>
      <c r="V28" s="30">
        <f>report!V28</f>
        <v>42470</v>
      </c>
      <c r="W28" s="30">
        <f>report!W28</f>
        <v>42487</v>
      </c>
      <c r="X28" s="30">
        <f>report!X28</f>
        <v>42478.5</v>
      </c>
      <c r="Y28">
        <f>report!Y28</f>
        <v>17</v>
      </c>
      <c r="Z28">
        <f>report!Z28</f>
        <v>0.45309581271168076</v>
      </c>
      <c r="AA28">
        <f>report!AA28</f>
        <v>0.12650084145604168</v>
      </c>
      <c r="AB28">
        <f>report!AB28</f>
        <v>5.8465423938058904E-3</v>
      </c>
      <c r="AC28">
        <f>report!AC28</f>
        <v>4.289254843736609E-2</v>
      </c>
      <c r="AD28">
        <f>report!AD28</f>
        <v>8.3608293018675589E-2</v>
      </c>
      <c r="AE28">
        <f>report!AE28</f>
        <v>1.6130146411950187E-2</v>
      </c>
      <c r="AF28">
        <f>report!AF28</f>
        <v>2010.7</v>
      </c>
      <c r="AH28">
        <f>report!AH28</f>
        <v>126.50084145604168</v>
      </c>
      <c r="AI28">
        <f>report!AI28</f>
        <v>5.8465423938058905</v>
      </c>
      <c r="AJ28">
        <f>report!AJ28</f>
        <v>42.892548437366088</v>
      </c>
      <c r="AK28">
        <f>report!AK28</f>
        <v>83.608293018675596</v>
      </c>
      <c r="AL28">
        <f>report!AL28</f>
        <v>16.130146411950186</v>
      </c>
      <c r="AM28">
        <f>report!AM28</f>
        <v>7.336395693086657</v>
      </c>
      <c r="AN28">
        <f>report!AN28</f>
        <v>14.300468103550273</v>
      </c>
      <c r="AO28">
        <f>report!AO28</f>
        <v>37.17</v>
      </c>
      <c r="AP28">
        <f>report!AP28</f>
        <v>8.51</v>
      </c>
    </row>
    <row r="29" spans="1:42" x14ac:dyDescent="0.25">
      <c r="A29">
        <f>report!A29</f>
        <v>2016</v>
      </c>
      <c r="B29" t="str">
        <f>report!B29</f>
        <v>47_2000</v>
      </c>
      <c r="C29">
        <f>report!C29</f>
        <v>3</v>
      </c>
      <c r="D29" t="str">
        <f>report!D29</f>
        <v>McLane-PARFLUX-Mark78H-21 ; 12419-02, O250x21</v>
      </c>
      <c r="E29">
        <f>report!E29</f>
        <v>2000</v>
      </c>
      <c r="F29">
        <f>report!F29</f>
        <v>327.95714285714286</v>
      </c>
      <c r="G29">
        <f>report!G29</f>
        <v>38.583193277310926</v>
      </c>
      <c r="H29">
        <f>report!H29</f>
        <v>14.092511344537815</v>
      </c>
      <c r="I29">
        <f>report!I29</f>
        <v>75.636119052799245</v>
      </c>
      <c r="J29">
        <f>report!J29</f>
        <v>9.0760108448170431</v>
      </c>
      <c r="K29">
        <f>report!K29</f>
        <v>14.735773086547852</v>
      </c>
      <c r="L29">
        <f>report!L29</f>
        <v>1.0680783987045288</v>
      </c>
      <c r="M29">
        <f>report!M29</f>
        <v>5.6597622417308084</v>
      </c>
      <c r="N29">
        <f>report!N29</f>
        <v>3.173122252162814</v>
      </c>
      <c r="O29">
        <f>report!O29</f>
        <v>6.7879286626010504</v>
      </c>
      <c r="P29">
        <f>report!P29</f>
        <v>10.659028658083862</v>
      </c>
      <c r="Q29">
        <f>report!Q29</f>
        <v>1.2790378579373243</v>
      </c>
      <c r="R29">
        <f>report!R29</f>
        <v>2.0766404939271061</v>
      </c>
      <c r="S29">
        <f>report!S29</f>
        <v>0.15051906950599356</v>
      </c>
      <c r="T29">
        <f>report!T29</f>
        <v>0.79760263598978198</v>
      </c>
      <c r="U29">
        <f>report!U29</f>
        <v>0.95658961683618704</v>
      </c>
      <c r="V29" s="30">
        <f>report!V29</f>
        <v>42487</v>
      </c>
      <c r="W29" s="30">
        <f>report!W29</f>
        <v>42504</v>
      </c>
      <c r="X29" s="30">
        <f>report!X29</f>
        <v>42495.5</v>
      </c>
      <c r="Y29">
        <f>report!Y29</f>
        <v>17</v>
      </c>
      <c r="Z29">
        <f>report!Z29</f>
        <v>0.4471726133620984</v>
      </c>
      <c r="AA29">
        <f>report!AA29</f>
        <v>0.17290928342440517</v>
      </c>
      <c r="AB29">
        <f>report!AB29</f>
        <v>1.074368804468191E-2</v>
      </c>
      <c r="AC29">
        <f>report!AC29</f>
        <v>6.6411543379665441E-2</v>
      </c>
      <c r="AD29">
        <f>report!AD29</f>
        <v>0.10649774004473975</v>
      </c>
      <c r="AE29">
        <f>report!AE29</f>
        <v>1.5919281358565268E-2</v>
      </c>
      <c r="AF29">
        <f>report!AF29</f>
        <v>2010.7</v>
      </c>
      <c r="AH29">
        <f>report!AH29</f>
        <v>172.90928342440517</v>
      </c>
      <c r="AI29">
        <f>report!AI29</f>
        <v>10.74368804468191</v>
      </c>
      <c r="AJ29">
        <f>report!AJ29</f>
        <v>66.411543379665446</v>
      </c>
      <c r="AK29">
        <f>report!AK29</f>
        <v>106.49774004473974</v>
      </c>
      <c r="AL29">
        <f>report!AL29</f>
        <v>15.919281358565268</v>
      </c>
      <c r="AM29">
        <f>report!AM29</f>
        <v>6.1814474790655281</v>
      </c>
      <c r="AN29">
        <f>report!AN29</f>
        <v>9.9125867767033462</v>
      </c>
      <c r="AO29">
        <f>report!AO29</f>
        <v>36.270000000000003</v>
      </c>
      <c r="AP29">
        <f>report!AP29</f>
        <v>8.4499999999999993</v>
      </c>
    </row>
    <row r="30" spans="1:42" x14ac:dyDescent="0.25">
      <c r="A30">
        <f>report!A30</f>
        <v>2016</v>
      </c>
      <c r="B30" t="str">
        <f>report!B30</f>
        <v>47_2000</v>
      </c>
      <c r="C30">
        <f>report!C30</f>
        <v>4</v>
      </c>
      <c r="D30" t="str">
        <f>report!D30</f>
        <v>McLane-PARFLUX-Mark78H-21 ; 12419-02, O250x21</v>
      </c>
      <c r="E30">
        <f>report!E30</f>
        <v>2000</v>
      </c>
      <c r="F30">
        <f>report!F30</f>
        <v>393.98571428571432</v>
      </c>
      <c r="G30">
        <f>report!G30</f>
        <v>46.351260504201683</v>
      </c>
      <c r="H30">
        <f>report!H30</f>
        <v>16.929797899159666</v>
      </c>
      <c r="I30">
        <f>report!I30</f>
        <v>77.46318843664055</v>
      </c>
      <c r="J30">
        <f>report!J30</f>
        <v>9.2952513578105922</v>
      </c>
      <c r="K30">
        <f>report!K30</f>
        <v>13.06618595123291</v>
      </c>
      <c r="L30">
        <f>report!L30</f>
        <v>0.59522348642349243</v>
      </c>
      <c r="M30">
        <f>report!M30</f>
        <v>3.770934593422318</v>
      </c>
      <c r="N30">
        <f>report!N30</f>
        <v>4.7190671992481201</v>
      </c>
      <c r="O30">
        <f>report!O30</f>
        <v>10.095007048872183</v>
      </c>
      <c r="P30">
        <f>report!P30</f>
        <v>13.114361248568466</v>
      </c>
      <c r="Q30">
        <f>report!Q30</f>
        <v>1.5736672690962281</v>
      </c>
      <c r="R30">
        <f>report!R30</f>
        <v>2.2120788746721249</v>
      </c>
      <c r="S30">
        <f>report!S30</f>
        <v>0.10077013329982934</v>
      </c>
      <c r="T30">
        <f>report!T30</f>
        <v>0.6384116055758966</v>
      </c>
      <c r="U30">
        <f>report!U30</f>
        <v>1.7090642912799832</v>
      </c>
      <c r="V30" s="30">
        <f>report!V30</f>
        <v>42504</v>
      </c>
      <c r="W30" s="30">
        <f>report!W30</f>
        <v>42521</v>
      </c>
      <c r="X30" s="30">
        <f>report!X30</f>
        <v>42512.5</v>
      </c>
      <c r="Y30">
        <f>report!Y30</f>
        <v>17</v>
      </c>
      <c r="Z30">
        <f>report!Z30</f>
        <v>0.79892853955824106</v>
      </c>
      <c r="AA30">
        <f>report!AA30</f>
        <v>0.18418641754139259</v>
      </c>
      <c r="AB30">
        <f>report!AB30</f>
        <v>7.1927290007015943E-3</v>
      </c>
      <c r="AC30">
        <f>report!AC30</f>
        <v>5.3156669906402713E-2</v>
      </c>
      <c r="AD30">
        <f>report!AD30</f>
        <v>0.13102974763498984</v>
      </c>
      <c r="AE30">
        <f>report!AE30</f>
        <v>2.8441742241304416E-2</v>
      </c>
      <c r="AF30">
        <f>report!AF30</f>
        <v>2010.7</v>
      </c>
      <c r="AH30">
        <f>report!AH30</f>
        <v>184.18641754139259</v>
      </c>
      <c r="AI30">
        <f>report!AI30</f>
        <v>7.1927290007015943</v>
      </c>
      <c r="AJ30">
        <f>report!AJ30</f>
        <v>53.156669906402712</v>
      </c>
      <c r="AK30">
        <f>report!AK30</f>
        <v>131.02974763498983</v>
      </c>
      <c r="AL30">
        <f>report!AL30</f>
        <v>28.441742241304418</v>
      </c>
      <c r="AM30">
        <f>report!AM30</f>
        <v>7.3903340305491412</v>
      </c>
      <c r="AN30">
        <f>report!AN30</f>
        <v>18.216972670902646</v>
      </c>
      <c r="AO30">
        <f>report!AO30</f>
        <v>37.07</v>
      </c>
      <c r="AP30">
        <f>report!AP30</f>
        <v>8.5299999999999994</v>
      </c>
    </row>
    <row r="31" spans="1:42" x14ac:dyDescent="0.25">
      <c r="A31">
        <f>report!A31</f>
        <v>2016</v>
      </c>
      <c r="B31" t="str">
        <f>report!B31</f>
        <v>47_2000</v>
      </c>
      <c r="C31">
        <f>report!C31</f>
        <v>5</v>
      </c>
      <c r="D31" t="str">
        <f>report!D31</f>
        <v>McLane-PARFLUX-Mark78H-21 ; 12419-02, O250x21</v>
      </c>
      <c r="E31">
        <f>report!E31</f>
        <v>2000</v>
      </c>
      <c r="F31">
        <f>report!F31</f>
        <v>535.21428571428567</v>
      </c>
      <c r="G31">
        <f>report!G31</f>
        <v>62.966386554621842</v>
      </c>
      <c r="H31">
        <f>report!H31</f>
        <v>22.99847268907563</v>
      </c>
      <c r="I31">
        <f>report!I31</f>
        <v>72.616080797736615</v>
      </c>
      <c r="J31">
        <f>report!J31</f>
        <v>8.7136191687505224</v>
      </c>
      <c r="K31">
        <f>report!K31</f>
        <v>12.637329578399658</v>
      </c>
      <c r="L31">
        <f>report!L31</f>
        <v>0.58599114418029785</v>
      </c>
      <c r="M31">
        <f>report!M31</f>
        <v>3.9237104096491358</v>
      </c>
      <c r="N31">
        <f>report!N31</f>
        <v>5.5425373840690799</v>
      </c>
      <c r="O31">
        <f>report!O31</f>
        <v>11.85657071586725</v>
      </c>
      <c r="P31">
        <f>report!P31</f>
        <v>16.70058951014455</v>
      </c>
      <c r="Q31">
        <f>report!Q31</f>
        <v>2.003999324755148</v>
      </c>
      <c r="R31">
        <f>report!R31</f>
        <v>2.9063927917167218</v>
      </c>
      <c r="S31">
        <f>report!S31</f>
        <v>0.13476901325470761</v>
      </c>
      <c r="T31">
        <f>report!T31</f>
        <v>0.90239346696157408</v>
      </c>
      <c r="U31">
        <f>report!U31</f>
        <v>2.7268301779496684</v>
      </c>
      <c r="V31" s="30">
        <f>report!V31</f>
        <v>42521</v>
      </c>
      <c r="W31" s="30">
        <f>report!W31</f>
        <v>42538</v>
      </c>
      <c r="X31" s="30">
        <f>report!X31</f>
        <v>42529.5</v>
      </c>
      <c r="Y31">
        <f>report!Y31</f>
        <v>17</v>
      </c>
      <c r="Z31">
        <f>report!Z31</f>
        <v>1.2746989465569343</v>
      </c>
      <c r="AA31">
        <f>report!AA31</f>
        <v>0.24199773453095103</v>
      </c>
      <c r="AB31">
        <f>report!AB31</f>
        <v>9.6194870274595012E-3</v>
      </c>
      <c r="AC31">
        <f>report!AC31</f>
        <v>7.5136841545509911E-2</v>
      </c>
      <c r="AD31">
        <f>report!AD31</f>
        <v>0.16686089298544113</v>
      </c>
      <c r="AE31">
        <f>report!AE31</f>
        <v>4.5379100981022935E-2</v>
      </c>
      <c r="AF31">
        <f>report!AF31</f>
        <v>2010.7</v>
      </c>
      <c r="AH31">
        <f>report!AH31</f>
        <v>241.99773453095102</v>
      </c>
      <c r="AI31">
        <f>report!AI31</f>
        <v>9.6194870274595008</v>
      </c>
      <c r="AJ31">
        <f>report!AJ31</f>
        <v>75.13684154550991</v>
      </c>
      <c r="AK31">
        <f>report!AK31</f>
        <v>166.86089298544113</v>
      </c>
      <c r="AL31">
        <f>report!AL31</f>
        <v>45.379100981022937</v>
      </c>
      <c r="AM31">
        <f>report!AM31</f>
        <v>7.8108989939927689</v>
      </c>
      <c r="AN31">
        <f>report!AN31</f>
        <v>17.346132128368694</v>
      </c>
      <c r="AO31">
        <f>report!AO31</f>
        <v>37.82</v>
      </c>
      <c r="AP31">
        <f>report!AP31</f>
        <v>8.5399999999999991</v>
      </c>
    </row>
    <row r="32" spans="1:42" x14ac:dyDescent="0.25">
      <c r="A32">
        <f>report!A32</f>
        <v>2016</v>
      </c>
      <c r="B32" t="str">
        <f>report!B32</f>
        <v>47_2000</v>
      </c>
      <c r="C32">
        <f>report!C32</f>
        <v>6</v>
      </c>
      <c r="D32" t="str">
        <f>report!D32</f>
        <v>McLane-PARFLUX-Mark78H-21 ; 12419-02, O250x21</v>
      </c>
      <c r="E32">
        <f>report!E32</f>
        <v>2000</v>
      </c>
      <c r="F32">
        <f>report!F32</f>
        <v>385.25714285714287</v>
      </c>
      <c r="G32">
        <f>report!G32</f>
        <v>45.324369747899162</v>
      </c>
      <c r="H32">
        <f>report!H32</f>
        <v>16.554726050420168</v>
      </c>
      <c r="I32">
        <f>report!I32</f>
        <v>67.129541325547407</v>
      </c>
      <c r="J32">
        <f>report!J32</f>
        <v>8.05525789408828</v>
      </c>
      <c r="K32">
        <f>report!K32</f>
        <v>12.680932998657227</v>
      </c>
      <c r="L32">
        <f>report!L32</f>
        <v>0.72053265571594238</v>
      </c>
      <c r="M32">
        <f>report!M32</f>
        <v>4.6256751045689466</v>
      </c>
      <c r="N32">
        <f>report!N32</f>
        <v>6.7522031505424298</v>
      </c>
      <c r="O32">
        <f>report!O32</f>
        <v>14.444282211324122</v>
      </c>
      <c r="P32">
        <f>report!P32</f>
        <v>11.113111665347969</v>
      </c>
      <c r="Q32">
        <f>report!Q32</f>
        <v>1.3335258770211595</v>
      </c>
      <c r="R32">
        <f>report!R32</f>
        <v>2.0992937185650353</v>
      </c>
      <c r="S32">
        <f>report!S32</f>
        <v>0.11928220725759138</v>
      </c>
      <c r="T32">
        <f>report!T32</f>
        <v>0.76576784154387578</v>
      </c>
      <c r="U32">
        <f>report!U32</f>
        <v>2.3912113500342809</v>
      </c>
      <c r="V32" s="30">
        <f>report!V32</f>
        <v>42538</v>
      </c>
      <c r="W32" s="30">
        <f>report!W32</f>
        <v>42555</v>
      </c>
      <c r="X32" s="30">
        <f>report!X32</f>
        <v>42546.5</v>
      </c>
      <c r="Y32">
        <f>report!Y32</f>
        <v>17</v>
      </c>
      <c r="Z32">
        <f>report!Z32</f>
        <v>1.117808733940139</v>
      </c>
      <c r="AA32">
        <f>report!AA32</f>
        <v>0.17479548031349171</v>
      </c>
      <c r="AB32">
        <f>report!AB32</f>
        <v>8.5140761782720471E-3</v>
      </c>
      <c r="AC32">
        <f>report!AC32</f>
        <v>6.376085275136352E-2</v>
      </c>
      <c r="AD32">
        <f>report!AD32</f>
        <v>0.11103462756212819</v>
      </c>
      <c r="AE32">
        <f>report!AE32</f>
        <v>3.979383175294194E-2</v>
      </c>
      <c r="AF32">
        <f>report!AF32</f>
        <v>2010.7</v>
      </c>
      <c r="AH32">
        <f>report!AH32</f>
        <v>174.79548031349171</v>
      </c>
      <c r="AI32">
        <f>report!AI32</f>
        <v>8.5140761782720471</v>
      </c>
      <c r="AJ32">
        <f>report!AJ32</f>
        <v>63.760852751363522</v>
      </c>
      <c r="AK32">
        <f>report!AK32</f>
        <v>111.03462756212819</v>
      </c>
      <c r="AL32">
        <f>report!AL32</f>
        <v>39.793831752941941</v>
      </c>
      <c r="AM32">
        <f>report!AM32</f>
        <v>7.4888750601129743</v>
      </c>
      <c r="AN32">
        <f>report!AN32</f>
        <v>13.041300692785549</v>
      </c>
      <c r="AO32">
        <f>report!AO32</f>
        <v>38.28</v>
      </c>
      <c r="AP32">
        <f>report!AP32</f>
        <v>8.5500000000000007</v>
      </c>
    </row>
    <row r="33" spans="1:42" x14ac:dyDescent="0.25">
      <c r="A33">
        <f>report!A33</f>
        <v>2016</v>
      </c>
      <c r="B33" t="str">
        <f>report!B33</f>
        <v>47_2000</v>
      </c>
      <c r="C33">
        <f>report!C33</f>
        <v>7</v>
      </c>
      <c r="D33" t="str">
        <f>report!D33</f>
        <v>McLane-PARFLUX-Mark78H-21 ; 12419-02, O250x21</v>
      </c>
      <c r="E33">
        <f>report!E33</f>
        <v>2000</v>
      </c>
      <c r="F33">
        <f>report!F33</f>
        <v>266.32857142857137</v>
      </c>
      <c r="G33">
        <f>report!G33</f>
        <v>31.332773109243689</v>
      </c>
      <c r="H33">
        <f>report!H33</f>
        <v>11.444295378151258</v>
      </c>
      <c r="I33">
        <f>report!I33</f>
        <v>66.516592817359253</v>
      </c>
      <c r="J33">
        <f>report!J33</f>
        <v>7.9817066942475448</v>
      </c>
      <c r="K33">
        <f>report!K33</f>
        <v>13.081178665161133</v>
      </c>
      <c r="L33">
        <f>report!L33</f>
        <v>0.7311137318611145</v>
      </c>
      <c r="M33">
        <f>report!M33</f>
        <v>5.0994719709135881</v>
      </c>
      <c r="N33">
        <f>report!N33</f>
        <v>5.6432789776817858</v>
      </c>
      <c r="O33">
        <f>report!O33</f>
        <v>12.072076673866091</v>
      </c>
      <c r="P33">
        <f>report!P33</f>
        <v>7.6123553575007366</v>
      </c>
      <c r="Q33">
        <f>report!Q33</f>
        <v>0.91345009030736135</v>
      </c>
      <c r="R33">
        <f>report!R33</f>
        <v>1.497048725384744</v>
      </c>
      <c r="S33">
        <f>report!S33</f>
        <v>8.3670815024410705E-2</v>
      </c>
      <c r="T33">
        <f>report!T33</f>
        <v>0.58359863507738263</v>
      </c>
      <c r="U33">
        <f>report!U33</f>
        <v>1.3815641128341332</v>
      </c>
      <c r="V33" s="30">
        <f>report!V33</f>
        <v>42555</v>
      </c>
      <c r="W33" s="30">
        <f>report!W33</f>
        <v>42572</v>
      </c>
      <c r="X33" s="30">
        <f>report!X33</f>
        <v>42563.5</v>
      </c>
      <c r="Y33">
        <f>report!Y33</f>
        <v>17</v>
      </c>
      <c r="Z33">
        <f>report!Z33</f>
        <v>0.64583351521901822</v>
      </c>
      <c r="AA33">
        <f>report!AA33</f>
        <v>0.12465018529431673</v>
      </c>
      <c r="AB33">
        <f>report!AB33</f>
        <v>5.9722209153754962E-3</v>
      </c>
      <c r="AC33">
        <f>report!AC33</f>
        <v>4.859272565173877E-2</v>
      </c>
      <c r="AD33">
        <f>report!AD33</f>
        <v>7.6057459642577971E-2</v>
      </c>
      <c r="AE33">
        <f>report!AE33</f>
        <v>2.2991581175472346E-2</v>
      </c>
      <c r="AF33">
        <f>report!AF33</f>
        <v>2010.7</v>
      </c>
      <c r="AH33">
        <f>report!AH33</f>
        <v>124.65018529431673</v>
      </c>
      <c r="AI33">
        <f>report!AI33</f>
        <v>5.9722209153754964</v>
      </c>
      <c r="AJ33">
        <f>report!AJ33</f>
        <v>48.592725651738768</v>
      </c>
      <c r="AK33">
        <f>report!AK33</f>
        <v>76.057459642577967</v>
      </c>
      <c r="AL33">
        <f>report!AL33</f>
        <v>22.991581175472344</v>
      </c>
      <c r="AM33">
        <f>report!AM33</f>
        <v>8.1364581686247881</v>
      </c>
      <c r="AN33">
        <f>report!AN33</f>
        <v>12.735205331532171</v>
      </c>
      <c r="AO33">
        <f>report!AO33</f>
        <v>38.21</v>
      </c>
      <c r="AP33">
        <f>report!AP33</f>
        <v>8.48</v>
      </c>
    </row>
    <row r="34" spans="1:42" x14ac:dyDescent="0.25">
      <c r="A34">
        <f>report!A34</f>
        <v>2016</v>
      </c>
      <c r="B34" t="str">
        <f>report!B34</f>
        <v>47_2000</v>
      </c>
      <c r="C34">
        <f>report!C34</f>
        <v>8</v>
      </c>
      <c r="D34" t="str">
        <f>report!D34</f>
        <v>McLane-PARFLUX-Mark78H-21 ; 12419-02, O250x21</v>
      </c>
      <c r="E34">
        <f>report!E34</f>
        <v>2000</v>
      </c>
      <c r="F34">
        <f>report!F34</f>
        <v>354.48571428571432</v>
      </c>
      <c r="G34">
        <f>report!G34</f>
        <v>41.70420168067227</v>
      </c>
      <c r="H34">
        <f>report!H34</f>
        <v>15.232459663865548</v>
      </c>
      <c r="I34">
        <f>report!I34</f>
        <v>63.980839053770922</v>
      </c>
      <c r="J34">
        <f>report!J34</f>
        <v>7.6774270862199625</v>
      </c>
      <c r="K34">
        <f>report!K34</f>
        <v>14.204557418823242</v>
      </c>
      <c r="L34">
        <f>report!L34</f>
        <v>1.0817877054214478</v>
      </c>
      <c r="M34">
        <f>report!M34</f>
        <v>6.5271303326032797</v>
      </c>
      <c r="N34">
        <f>report!N34</f>
        <v>5.3411537441763572</v>
      </c>
      <c r="O34">
        <f>report!O34</f>
        <v>11.425771751070036</v>
      </c>
      <c r="P34">
        <f>report!P34</f>
        <v>9.745855501468391</v>
      </c>
      <c r="Q34">
        <f>report!Q34</f>
        <v>1.1694609841311439</v>
      </c>
      <c r="R34">
        <f>report!R34</f>
        <v>2.1637034792528715</v>
      </c>
      <c r="S34">
        <f>report!S34</f>
        <v>0.16478287587697868</v>
      </c>
      <c r="T34">
        <f>report!T34</f>
        <v>0.9942424951217278</v>
      </c>
      <c r="U34">
        <f>report!U34</f>
        <v>1.7404260732670873</v>
      </c>
      <c r="V34" s="30">
        <f>report!V34</f>
        <v>42572</v>
      </c>
      <c r="W34" s="30">
        <f>report!W34</f>
        <v>42589</v>
      </c>
      <c r="X34" s="30">
        <f>report!X34</f>
        <v>42580.5</v>
      </c>
      <c r="Y34">
        <f>report!Y34</f>
        <v>17</v>
      </c>
      <c r="Z34">
        <f>report!Z34</f>
        <v>0.81358908966670807</v>
      </c>
      <c r="AA34">
        <f>report!AA34</f>
        <v>0.18015849119507674</v>
      </c>
      <c r="AB34">
        <f>report!AB34</f>
        <v>1.1761804131119106E-2</v>
      </c>
      <c r="AC34">
        <f>report!AC34</f>
        <v>8.2784554131700896E-2</v>
      </c>
      <c r="AD34">
        <f>report!AD34</f>
        <v>9.737393706337584E-2</v>
      </c>
      <c r="AE34">
        <f>report!AE34</f>
        <v>2.8963655737511858E-2</v>
      </c>
      <c r="AF34">
        <f>report!AF34</f>
        <v>2010.7</v>
      </c>
      <c r="AH34">
        <f>report!AH34</f>
        <v>180.15849119507675</v>
      </c>
      <c r="AI34">
        <f>report!AI34</f>
        <v>11.761804131119106</v>
      </c>
      <c r="AJ34">
        <f>report!AJ34</f>
        <v>82.784554131700901</v>
      </c>
      <c r="AK34">
        <f>report!AK34</f>
        <v>97.373937063375834</v>
      </c>
      <c r="AL34">
        <f>report!AL34</f>
        <v>28.963655737511857</v>
      </c>
      <c r="AM34">
        <f>report!AM34</f>
        <v>7.0384231201973053</v>
      </c>
      <c r="AN34">
        <f>report!AN34</f>
        <v>8.2788266134908799</v>
      </c>
      <c r="AO34">
        <f>report!AO34</f>
        <v>38.18</v>
      </c>
      <c r="AP34">
        <f>report!AP34</f>
        <v>8.52</v>
      </c>
    </row>
    <row r="35" spans="1:42" x14ac:dyDescent="0.25">
      <c r="A35">
        <f>report!A35</f>
        <v>2016</v>
      </c>
      <c r="B35" t="str">
        <f>report!B35</f>
        <v>47_2000</v>
      </c>
      <c r="C35">
        <f>report!C35</f>
        <v>9</v>
      </c>
      <c r="D35" t="str">
        <f>report!D35</f>
        <v>McLane-PARFLUX-Mark78H-21 ; 12419-02, O250x21</v>
      </c>
      <c r="E35">
        <f>report!E35</f>
        <v>2000</v>
      </c>
      <c r="F35">
        <f>report!F35</f>
        <v>238.10000000000005</v>
      </c>
      <c r="G35">
        <f>report!G35</f>
        <v>28.01176470588236</v>
      </c>
      <c r="H35">
        <f>report!H35</f>
        <v>10.231297058823532</v>
      </c>
      <c r="I35">
        <f>report!I35</f>
        <v>66.26752157070365</v>
      </c>
      <c r="J35">
        <f>report!J35</f>
        <v>7.951819209748237</v>
      </c>
      <c r="K35">
        <f>report!K35</f>
        <v>13.625788688659668</v>
      </c>
      <c r="L35">
        <f>report!L35</f>
        <v>0.84581220149993896</v>
      </c>
      <c r="M35">
        <f>report!M35</f>
        <v>5.673969478911431</v>
      </c>
      <c r="N35">
        <f>report!N35</f>
        <v>5.5311882387134288</v>
      </c>
      <c r="O35">
        <f>report!O35</f>
        <v>11.832292675838021</v>
      </c>
      <c r="P35">
        <f>report!P35</f>
        <v>6.7800269854186519</v>
      </c>
      <c r="Q35">
        <f>report!Q35</f>
        <v>0.81357424492993602</v>
      </c>
      <c r="R35">
        <f>report!R35</f>
        <v>1.3940949173443462</v>
      </c>
      <c r="S35">
        <f>report!S35</f>
        <v>8.6537558895233818E-2</v>
      </c>
      <c r="T35">
        <f>report!T35</f>
        <v>0.58052067241441019</v>
      </c>
      <c r="U35">
        <f>report!U35</f>
        <v>1.2105970125344077</v>
      </c>
      <c r="V35" s="30">
        <f>report!V35</f>
        <v>42589</v>
      </c>
      <c r="W35" s="30">
        <f>report!W35</f>
        <v>42606</v>
      </c>
      <c r="X35" s="30">
        <f>report!X35</f>
        <v>42597.5</v>
      </c>
      <c r="Y35">
        <f>report!Y35</f>
        <v>17</v>
      </c>
      <c r="Z35">
        <f>report!Z35</f>
        <v>0.56591229958548017</v>
      </c>
      <c r="AA35">
        <f>report!AA35</f>
        <v>0.1160778449079389</v>
      </c>
      <c r="AB35">
        <f>report!AB35</f>
        <v>6.176842176676218E-3</v>
      </c>
      <c r="AC35">
        <f>report!AC35</f>
        <v>4.8336442332590358E-2</v>
      </c>
      <c r="AD35">
        <f>report!AD35</f>
        <v>6.7741402575348539E-2</v>
      </c>
      <c r="AE35">
        <f>report!AE35</f>
        <v>2.0146397279653977E-2</v>
      </c>
      <c r="AF35">
        <f>report!AF35</f>
        <v>2010.7</v>
      </c>
      <c r="AH35">
        <f>report!AH35</f>
        <v>116.07784490793891</v>
      </c>
      <c r="AI35">
        <f>report!AI35</f>
        <v>6.1768421766762183</v>
      </c>
      <c r="AJ35">
        <f>report!AJ35</f>
        <v>48.336442332590359</v>
      </c>
      <c r="AK35">
        <f>report!AK35</f>
        <v>67.741402575348545</v>
      </c>
      <c r="AL35">
        <f>report!AL35</f>
        <v>20.146397279653979</v>
      </c>
      <c r="AM35">
        <f>report!AM35</f>
        <v>7.8254293941828346</v>
      </c>
      <c r="AN35">
        <f>report!AN35</f>
        <v>10.966995859330899</v>
      </c>
      <c r="AO35">
        <f>report!AO35</f>
        <v>38.25</v>
      </c>
      <c r="AP35">
        <f>report!AP35</f>
        <v>8.6</v>
      </c>
    </row>
    <row r="36" spans="1:42" x14ac:dyDescent="0.25">
      <c r="A36">
        <f>report!A36</f>
        <v>2016</v>
      </c>
      <c r="B36" t="str">
        <f>report!B36</f>
        <v>47_2000</v>
      </c>
      <c r="C36">
        <f>report!C36</f>
        <v>10</v>
      </c>
      <c r="D36" t="str">
        <f>report!D36</f>
        <v>McLane-PARFLUX-Mark78H-21 ; 12419-02, O250x21</v>
      </c>
      <c r="E36">
        <f>report!E36</f>
        <v>2000</v>
      </c>
      <c r="F36">
        <f>report!F36</f>
        <v>347.98571428571421</v>
      </c>
      <c r="G36">
        <f>report!G36</f>
        <v>40.939495798319321</v>
      </c>
      <c r="H36">
        <f>report!H36</f>
        <v>14.953150840336132</v>
      </c>
      <c r="I36">
        <f>report!I36</f>
        <v>63.699475945192432</v>
      </c>
      <c r="J36">
        <f>report!J36</f>
        <v>7.6436647163790772</v>
      </c>
      <c r="K36">
        <f>report!K36</f>
        <v>14.010750770568848</v>
      </c>
      <c r="L36">
        <f>report!L36</f>
        <v>0.97243547439575195</v>
      </c>
      <c r="M36">
        <f>report!M36</f>
        <v>6.3670860541897705</v>
      </c>
      <c r="N36">
        <f>report!N36</f>
        <v>5.9981946343945811</v>
      </c>
      <c r="O36">
        <f>report!O36</f>
        <v>12.831310629432908</v>
      </c>
      <c r="P36">
        <f>report!P36</f>
        <v>9.5250787225882547</v>
      </c>
      <c r="Q36">
        <f>report!Q36</f>
        <v>1.1429687147697143</v>
      </c>
      <c r="R36">
        <f>report!R36</f>
        <v>2.0950486965867166</v>
      </c>
      <c r="S36">
        <f>report!S36</f>
        <v>0.14540974331133505</v>
      </c>
      <c r="T36">
        <f>report!T36</f>
        <v>0.95207998181700226</v>
      </c>
      <c r="U36">
        <f>report!U36</f>
        <v>1.9186852332111861</v>
      </c>
      <c r="V36" s="30">
        <f>report!V36</f>
        <v>42606</v>
      </c>
      <c r="W36" s="30">
        <f>report!W36</f>
        <v>42623</v>
      </c>
      <c r="X36" s="30">
        <f>report!X36</f>
        <v>42614.5</v>
      </c>
      <c r="Y36">
        <f>report!Y36</f>
        <v>17</v>
      </c>
      <c r="Z36">
        <f>report!Z36</f>
        <v>0.8969190913779701</v>
      </c>
      <c r="AA36">
        <f>report!AA36</f>
        <v>0.17444202302970163</v>
      </c>
      <c r="AB36">
        <f>report!AB36</f>
        <v>1.0378996667475736E-2</v>
      </c>
      <c r="AC36">
        <f>report!AC36</f>
        <v>7.9273936870691286E-2</v>
      </c>
      <c r="AD36">
        <f>report!AD36</f>
        <v>9.5168086159010346E-2</v>
      </c>
      <c r="AE36">
        <f>report!AE36</f>
        <v>3.1930191932288007E-2</v>
      </c>
      <c r="AF36">
        <f>report!AF36</f>
        <v>2010.7</v>
      </c>
      <c r="AH36">
        <f>report!AH36</f>
        <v>174.44202302970163</v>
      </c>
      <c r="AI36">
        <f>report!AI36</f>
        <v>10.378996667475736</v>
      </c>
      <c r="AJ36">
        <f>report!AJ36</f>
        <v>79.273936870691287</v>
      </c>
      <c r="AK36">
        <f>report!AK36</f>
        <v>95.168086159010343</v>
      </c>
      <c r="AL36">
        <f>report!AL36</f>
        <v>31.930191932288007</v>
      </c>
      <c r="AM36">
        <f>report!AM36</f>
        <v>7.6379190985877266</v>
      </c>
      <c r="AN36">
        <f>report!AN36</f>
        <v>9.1692953768098722</v>
      </c>
      <c r="AO36">
        <f>report!AO36</f>
        <v>38.229999999999997</v>
      </c>
      <c r="AP36">
        <f>report!AP36</f>
        <v>8.49</v>
      </c>
    </row>
    <row r="37" spans="1:42" x14ac:dyDescent="0.25">
      <c r="A37">
        <f>report!A37</f>
        <v>2016</v>
      </c>
      <c r="B37" t="str">
        <f>report!B37</f>
        <v>47_2000</v>
      </c>
      <c r="C37">
        <f>report!C37</f>
        <v>11</v>
      </c>
      <c r="D37" t="str">
        <f>report!D37</f>
        <v>McLane-PARFLUX-Mark78H-21 ; 12419-02, O250x21</v>
      </c>
      <c r="E37">
        <f>report!E37</f>
        <v>2000</v>
      </c>
      <c r="F37">
        <f>report!F37</f>
        <v>309.05714285714294</v>
      </c>
      <c r="G37">
        <f>report!G37</f>
        <v>36.359663865546224</v>
      </c>
      <c r="H37">
        <f>report!H37</f>
        <v>13.28036722689076</v>
      </c>
      <c r="I37">
        <f>report!I37</f>
        <v>60.370264743393101</v>
      </c>
      <c r="J37">
        <f>report!J37</f>
        <v>7.2441736088154505</v>
      </c>
      <c r="K37">
        <f>report!K37</f>
        <v>14.762297630310059</v>
      </c>
      <c r="L37">
        <f>report!L37</f>
        <v>1.2336673736572266</v>
      </c>
      <c r="M37">
        <f>report!M37</f>
        <v>7.5181240214946081</v>
      </c>
      <c r="N37">
        <f>report!N37</f>
        <v>5.369221874188522</v>
      </c>
      <c r="O37">
        <f>report!O37</f>
        <v>11.485814966891715</v>
      </c>
      <c r="P37">
        <f>report!P37</f>
        <v>8.0173928537687651</v>
      </c>
      <c r="Q37">
        <f>report!Q37</f>
        <v>0.9620528578041968</v>
      </c>
      <c r="R37">
        <f>report!R37</f>
        <v>1.9604873364317683</v>
      </c>
      <c r="S37">
        <f>report!S37</f>
        <v>0.1638355575800183</v>
      </c>
      <c r="T37">
        <f>report!T37</f>
        <v>0.99843447862757162</v>
      </c>
      <c r="U37">
        <f>report!U37</f>
        <v>1.5253584066044013</v>
      </c>
      <c r="V37" s="30">
        <f>report!V37</f>
        <v>42623</v>
      </c>
      <c r="W37" s="30">
        <f>report!W37</f>
        <v>42640</v>
      </c>
      <c r="X37" s="30">
        <f>report!X37</f>
        <v>42631.5</v>
      </c>
      <c r="Y37">
        <f>report!Y37</f>
        <v>17</v>
      </c>
      <c r="Z37">
        <f>report!Z37</f>
        <v>0.7130523821187823</v>
      </c>
      <c r="AA37">
        <f>report!AA37</f>
        <v>0.16323791310839036</v>
      </c>
      <c r="AB37">
        <f>report!AB37</f>
        <v>1.1694186836546631E-2</v>
      </c>
      <c r="AC37">
        <f>report!AC37</f>
        <v>8.3133595222945181E-2</v>
      </c>
      <c r="AD37">
        <f>report!AD37</f>
        <v>8.0104317885445198E-2</v>
      </c>
      <c r="AE37">
        <f>report!AE37</f>
        <v>2.5384563265175589E-2</v>
      </c>
      <c r="AF37">
        <f>report!AF37</f>
        <v>2010.7</v>
      </c>
      <c r="AH37">
        <f>report!AH37</f>
        <v>163.23791310839036</v>
      </c>
      <c r="AI37">
        <f>report!AI37</f>
        <v>11.694186836546631</v>
      </c>
      <c r="AJ37">
        <f>report!AJ37</f>
        <v>83.133595222945175</v>
      </c>
      <c r="AK37">
        <f>report!AK37</f>
        <v>80.104317885445198</v>
      </c>
      <c r="AL37">
        <f>report!AL37</f>
        <v>25.38456326517559</v>
      </c>
      <c r="AM37">
        <f>report!AM37</f>
        <v>7.1089675909004937</v>
      </c>
      <c r="AN37">
        <f>report!AN37</f>
        <v>6.849926292874291</v>
      </c>
      <c r="AO37">
        <f>report!AO37</f>
        <v>38.049999999999997</v>
      </c>
      <c r="AP37">
        <f>report!AP37</f>
        <v>8.36</v>
      </c>
    </row>
    <row r="38" spans="1:42" x14ac:dyDescent="0.25">
      <c r="A38">
        <f>report!A38</f>
        <v>2016</v>
      </c>
      <c r="B38" t="str">
        <f>report!B38</f>
        <v>47_2000</v>
      </c>
      <c r="C38">
        <f>report!C38</f>
        <v>12</v>
      </c>
      <c r="D38" t="str">
        <f>report!D38</f>
        <v>McLane-PARFLUX-Mark78H-21 ; 12419-02, O250x21</v>
      </c>
      <c r="E38">
        <f>report!E38</f>
        <v>2000</v>
      </c>
      <c r="F38">
        <f>report!F38</f>
        <v>363.97142857142859</v>
      </c>
      <c r="G38">
        <f>report!G38</f>
        <v>42.820168067226895</v>
      </c>
      <c r="H38">
        <f>report!H38</f>
        <v>15.640066386554622</v>
      </c>
      <c r="I38">
        <f>report!I38</f>
        <v>67.529827446221233</v>
      </c>
      <c r="J38">
        <f>report!J38</f>
        <v>8.1032905168320433</v>
      </c>
      <c r="K38">
        <f>report!K38</f>
        <v>13.743739128112793</v>
      </c>
      <c r="L38">
        <f>report!L38</f>
        <v>0.87225109338760376</v>
      </c>
      <c r="M38">
        <f>report!M38</f>
        <v>5.6404486112807497</v>
      </c>
      <c r="N38">
        <f>report!N38</f>
        <v>5.1729584077233355</v>
      </c>
      <c r="O38">
        <f>report!O38</f>
        <v>11.065969053759176</v>
      </c>
      <c r="P38">
        <f>report!P38</f>
        <v>10.561709843314786</v>
      </c>
      <c r="Q38">
        <f>report!Q38</f>
        <v>1.2673600163279166</v>
      </c>
      <c r="R38">
        <f>report!R38</f>
        <v>2.1495299236317242</v>
      </c>
      <c r="S38">
        <f>report!S38</f>
        <v>0.13642065006326978</v>
      </c>
      <c r="T38">
        <f>report!T38</f>
        <v>0.88216990730380751</v>
      </c>
      <c r="U38">
        <f>report!U38</f>
        <v>1.7307249063235253</v>
      </c>
      <c r="V38" s="30">
        <f>report!V38</f>
        <v>42640</v>
      </c>
      <c r="W38" s="30">
        <f>report!W38</f>
        <v>42657</v>
      </c>
      <c r="X38" s="30">
        <f>report!X38</f>
        <v>42648.5</v>
      </c>
      <c r="Y38">
        <f>report!Y38</f>
        <v>17</v>
      </c>
      <c r="Z38">
        <f>report!Z38</f>
        <v>0.80905412911678853</v>
      </c>
      <c r="AA38">
        <f>report!AA38</f>
        <v>0.17897834501513107</v>
      </c>
      <c r="AB38">
        <f>report!AB38</f>
        <v>9.7373768781777153E-3</v>
      </c>
      <c r="AC38">
        <f>report!AC38</f>
        <v>7.345294815185742E-2</v>
      </c>
      <c r="AD38">
        <f>report!AD38</f>
        <v>0.10552539686327365</v>
      </c>
      <c r="AE38">
        <f>report!AE38</f>
        <v>2.880221178771052E-2</v>
      </c>
      <c r="AF38">
        <f>report!AF38</f>
        <v>2010.7</v>
      </c>
      <c r="AH38">
        <f>report!AH38</f>
        <v>178.97834501513108</v>
      </c>
      <c r="AI38">
        <f>report!AI38</f>
        <v>9.7373768781777148</v>
      </c>
      <c r="AJ38">
        <f>report!AJ38</f>
        <v>73.452948151857413</v>
      </c>
      <c r="AK38">
        <f>report!AK38</f>
        <v>105.52539686327366</v>
      </c>
      <c r="AL38">
        <f>report!AL38</f>
        <v>28.802211787710519</v>
      </c>
      <c r="AM38">
        <f>report!AM38</f>
        <v>7.5434019932484775</v>
      </c>
      <c r="AN38">
        <f>report!AN38</f>
        <v>10.837148257018272</v>
      </c>
      <c r="AO38">
        <f>report!AO38</f>
        <v>38</v>
      </c>
      <c r="AP38">
        <f>report!AP38</f>
        <v>8.57</v>
      </c>
    </row>
    <row r="39" spans="1:42" x14ac:dyDescent="0.25">
      <c r="A39">
        <f>report!A39</f>
        <v>2016</v>
      </c>
      <c r="B39" t="str">
        <f>report!B39</f>
        <v>47_2000</v>
      </c>
      <c r="C39">
        <f>report!C39</f>
        <v>13</v>
      </c>
      <c r="D39" t="str">
        <f>report!D39</f>
        <v>McLane-PARFLUX-Mark78H-21 ; 12419-02, O250x21</v>
      </c>
      <c r="E39">
        <f>report!E39</f>
        <v>2000</v>
      </c>
      <c r="F39">
        <f>report!F39</f>
        <v>517.97142857142853</v>
      </c>
      <c r="G39">
        <f>report!G39</f>
        <v>60.937815126050417</v>
      </c>
      <c r="H39">
        <f>report!H39</f>
        <v>22.257536974789918</v>
      </c>
      <c r="I39">
        <f>report!I39</f>
        <v>70.302414428743546</v>
      </c>
      <c r="J39">
        <f>report!J39</f>
        <v>8.4359890983656207</v>
      </c>
      <c r="K39">
        <f>report!K39</f>
        <v>13.271342277526855</v>
      </c>
      <c r="L39">
        <f>report!L39</f>
        <v>0.72510433197021484</v>
      </c>
      <c r="M39">
        <f>report!M39</f>
        <v>4.8353531791612347</v>
      </c>
      <c r="N39">
        <f>report!N39</f>
        <v>5.0736257992051152</v>
      </c>
      <c r="O39">
        <f>report!O39</f>
        <v>10.853477190254019</v>
      </c>
      <c r="P39">
        <f>report!P39</f>
        <v>15.647585885647636</v>
      </c>
      <c r="Q39">
        <f>report!Q39</f>
        <v>1.8776433927579745</v>
      </c>
      <c r="R39">
        <f>report!R39</f>
        <v>2.9538739144714659</v>
      </c>
      <c r="S39">
        <f>report!S39</f>
        <v>0.16139036479407401</v>
      </c>
      <c r="T39">
        <f>report!T39</f>
        <v>1.0762305217134918</v>
      </c>
      <c r="U39">
        <f>report!U39</f>
        <v>2.415716698671178</v>
      </c>
      <c r="V39" s="30">
        <f>report!V39</f>
        <v>42657</v>
      </c>
      <c r="W39" s="30">
        <f>report!W39</f>
        <v>42674</v>
      </c>
      <c r="X39" s="30">
        <f>report!X39</f>
        <v>42665.5</v>
      </c>
      <c r="Y39">
        <f>report!Y39</f>
        <v>17</v>
      </c>
      <c r="Z39">
        <f>report!Z39</f>
        <v>1.129264138220559</v>
      </c>
      <c r="AA39">
        <f>report!AA39</f>
        <v>0.24595120020578401</v>
      </c>
      <c r="AB39">
        <f>report!AB39</f>
        <v>1.1519654874666239E-2</v>
      </c>
      <c r="AC39">
        <f>report!AC39</f>
        <v>8.9611200808783667E-2</v>
      </c>
      <c r="AD39">
        <f>report!AD39</f>
        <v>0.15633999939700038</v>
      </c>
      <c r="AE39">
        <f>report!AE39</f>
        <v>4.0201642514081849E-2</v>
      </c>
      <c r="AF39">
        <f>report!AF39</f>
        <v>2010.7</v>
      </c>
      <c r="AH39">
        <f>report!AH39</f>
        <v>245.951200205784</v>
      </c>
      <c r="AI39">
        <f>report!AI39</f>
        <v>11.519654874666239</v>
      </c>
      <c r="AJ39">
        <f>report!AJ39</f>
        <v>89.611200808783664</v>
      </c>
      <c r="AK39">
        <f>report!AK39</f>
        <v>156.33999939700038</v>
      </c>
      <c r="AL39">
        <f>report!AL39</f>
        <v>40.201642514081847</v>
      </c>
      <c r="AM39">
        <f>report!AM39</f>
        <v>7.7789831191778642</v>
      </c>
      <c r="AN39">
        <f>report!AN39</f>
        <v>13.571587091625439</v>
      </c>
      <c r="AO39">
        <f>report!AO39</f>
        <v>38.08</v>
      </c>
      <c r="AP39">
        <f>report!AP39</f>
        <v>8.52</v>
      </c>
    </row>
    <row r="40" spans="1:42" x14ac:dyDescent="0.25">
      <c r="A40">
        <f>report!A40</f>
        <v>2016</v>
      </c>
      <c r="B40" t="str">
        <f>report!B40</f>
        <v>47_2000</v>
      </c>
      <c r="C40">
        <f>report!C40</f>
        <v>14</v>
      </c>
      <c r="D40" t="str">
        <f>report!D40</f>
        <v>McLane-PARFLUX-Mark78H-21 ; 12419-02, O250x21</v>
      </c>
      <c r="E40">
        <f>report!E40</f>
        <v>2000</v>
      </c>
      <c r="F40">
        <f>report!F40</f>
        <v>724.85714285714289</v>
      </c>
      <c r="G40">
        <f>report!G40</f>
        <v>85.277310924369758</v>
      </c>
      <c r="H40">
        <f>report!H40</f>
        <v>31.147537815126057</v>
      </c>
      <c r="I40">
        <f>report!I40</f>
        <v>67.950138217984005</v>
      </c>
      <c r="J40">
        <f>report!J40</f>
        <v>8.1537260120753849</v>
      </c>
      <c r="K40">
        <f>report!K40</f>
        <v>13.242328643798828</v>
      </c>
      <c r="L40">
        <f>report!L40</f>
        <v>0.72930639982223511</v>
      </c>
      <c r="M40">
        <f>report!M40</f>
        <v>5.0886026317234432</v>
      </c>
      <c r="N40">
        <f>report!N40</f>
        <v>5.5341526452030418</v>
      </c>
      <c r="O40">
        <f>report!O40</f>
        <v>11.838634120692447</v>
      </c>
      <c r="P40">
        <f>report!P40</f>
        <v>21.164794996876989</v>
      </c>
      <c r="Q40">
        <f>report!Q40</f>
        <v>2.5396848929529505</v>
      </c>
      <c r="R40">
        <f>report!R40</f>
        <v>4.1246593219305101</v>
      </c>
      <c r="S40">
        <f>report!S40</f>
        <v>0.2271609866727651</v>
      </c>
      <c r="T40">
        <f>report!T40</f>
        <v>1.5849744289775594</v>
      </c>
      <c r="U40">
        <f>report!U40</f>
        <v>3.6874430395370963</v>
      </c>
      <c r="V40" s="30">
        <f>report!V40</f>
        <v>42674</v>
      </c>
      <c r="W40" s="30">
        <f>report!W40</f>
        <v>42691</v>
      </c>
      <c r="X40" s="30">
        <f>report!X40</f>
        <v>42682.5</v>
      </c>
      <c r="Y40">
        <f>report!Y40</f>
        <v>17</v>
      </c>
      <c r="Z40">
        <f>report!Z40</f>
        <v>1.7237522879114164</v>
      </c>
      <c r="AA40">
        <f>report!AA40</f>
        <v>0.34343541398255706</v>
      </c>
      <c r="AB40">
        <f>report!AB40</f>
        <v>1.6214203188634198E-2</v>
      </c>
      <c r="AC40">
        <f>report!AC40</f>
        <v>0.13197122639280262</v>
      </c>
      <c r="AD40">
        <f>report!AD40</f>
        <v>0.21146418758975441</v>
      </c>
      <c r="AE40">
        <f>report!AE40</f>
        <v>6.1365335988302475E-2</v>
      </c>
      <c r="AF40">
        <f>report!AF40</f>
        <v>2010.7</v>
      </c>
      <c r="AH40">
        <f>report!AH40</f>
        <v>343.43541398255707</v>
      </c>
      <c r="AI40">
        <f>report!AI40</f>
        <v>16.214203188634198</v>
      </c>
      <c r="AJ40">
        <f>report!AJ40</f>
        <v>131.97122639280263</v>
      </c>
      <c r="AK40">
        <f>report!AK40</f>
        <v>211.4641875897544</v>
      </c>
      <c r="AL40">
        <f>report!AL40</f>
        <v>61.365335988302476</v>
      </c>
      <c r="AM40">
        <f>report!AM40</f>
        <v>8.1392360054616546</v>
      </c>
      <c r="AN40">
        <f>report!AN40</f>
        <v>13.041910547783575</v>
      </c>
      <c r="AO40">
        <f>report!AO40</f>
        <v>38.28</v>
      </c>
      <c r="AP40">
        <f>report!AP40</f>
        <v>8.5</v>
      </c>
    </row>
    <row r="41" spans="1:42" x14ac:dyDescent="0.25">
      <c r="A41">
        <f>report!A41</f>
        <v>2016</v>
      </c>
      <c r="B41" t="str">
        <f>report!B41</f>
        <v>47_2000</v>
      </c>
      <c r="C41">
        <f>report!C41</f>
        <v>15</v>
      </c>
      <c r="D41" t="str">
        <f>report!D41</f>
        <v>McLane-PARFLUX-Mark78H-21 ; 12419-02, O250x21</v>
      </c>
      <c r="E41">
        <f>report!E41</f>
        <v>2000</v>
      </c>
      <c r="F41">
        <f>report!F41</f>
        <v>1210.6571428571428</v>
      </c>
      <c r="G41">
        <f>report!G41</f>
        <v>142.43025210084033</v>
      </c>
      <c r="H41">
        <f>report!H41</f>
        <v>52.022649579831935</v>
      </c>
      <c r="I41">
        <f>report!I41</f>
        <v>67.596772424485593</v>
      </c>
      <c r="J41">
        <f>report!J41</f>
        <v>8.1113236279480319</v>
      </c>
      <c r="K41">
        <f>report!K41</f>
        <v>12.697575569152832</v>
      </c>
      <c r="L41">
        <f>report!L41</f>
        <v>0.6531527042388916</v>
      </c>
      <c r="M41">
        <f>report!M41</f>
        <v>4.5862519412048002</v>
      </c>
      <c r="N41">
        <f>report!N41</f>
        <v>7.093779127948534</v>
      </c>
      <c r="O41">
        <f>report!O41</f>
        <v>15.174979985704073</v>
      </c>
      <c r="P41">
        <f>report!P41</f>
        <v>35.165632045666605</v>
      </c>
      <c r="Q41">
        <f>report!Q41</f>
        <v>4.2197254672535154</v>
      </c>
      <c r="R41">
        <f>report!R41</f>
        <v>6.6056152434747286</v>
      </c>
      <c r="S41">
        <f>report!S41</f>
        <v>0.33978734254739468</v>
      </c>
      <c r="T41">
        <f>report!T41</f>
        <v>2.3858897762212132</v>
      </c>
      <c r="U41">
        <f>report!U41</f>
        <v>7.8944266617724601</v>
      </c>
      <c r="V41" s="30">
        <f>report!V41</f>
        <v>42691</v>
      </c>
      <c r="W41" s="30">
        <f>report!W41</f>
        <v>42708</v>
      </c>
      <c r="X41" s="30">
        <f>report!X41</f>
        <v>42699.5</v>
      </c>
      <c r="Y41">
        <f>report!Y41</f>
        <v>17</v>
      </c>
      <c r="Z41">
        <f>report!Z41</f>
        <v>3.6903718576999234</v>
      </c>
      <c r="AA41">
        <f>report!AA41</f>
        <v>0.55000959562653862</v>
      </c>
      <c r="AB41">
        <f>report!AB41</f>
        <v>2.4253200752847585E-2</v>
      </c>
      <c r="AC41">
        <f>report!AC41</f>
        <v>0.19865859918577963</v>
      </c>
      <c r="AD41">
        <f>report!AD41</f>
        <v>0.35135099644075901</v>
      </c>
      <c r="AE41">
        <f>report!AE41</f>
        <v>0.13137671262726677</v>
      </c>
      <c r="AF41">
        <f>report!AF41</f>
        <v>2010.7</v>
      </c>
      <c r="AH41">
        <f>report!AH41</f>
        <v>550.00959562653861</v>
      </c>
      <c r="AI41">
        <f>report!AI41</f>
        <v>24.253200752847587</v>
      </c>
      <c r="AJ41">
        <f>report!AJ41</f>
        <v>198.65859918577962</v>
      </c>
      <c r="AK41">
        <f>report!AK41</f>
        <v>351.35099644075899</v>
      </c>
      <c r="AL41">
        <f>report!AL41</f>
        <v>131.37671262726678</v>
      </c>
      <c r="AM41">
        <f>report!AM41</f>
        <v>8.1910260509617459</v>
      </c>
      <c r="AN41">
        <f>report!AN41</f>
        <v>14.486788775683829</v>
      </c>
      <c r="AO41">
        <f>report!AO41</f>
        <v>37.79</v>
      </c>
      <c r="AP41">
        <f>report!AP41</f>
        <v>8.51</v>
      </c>
    </row>
    <row r="42" spans="1:42" x14ac:dyDescent="0.25">
      <c r="A42">
        <f>report!A42</f>
        <v>2016</v>
      </c>
      <c r="B42" t="str">
        <f>report!B42</f>
        <v>47_2000</v>
      </c>
      <c r="C42">
        <f>report!C42</f>
        <v>16</v>
      </c>
      <c r="D42" t="str">
        <f>report!D42</f>
        <v>McLane-PARFLUX-Mark78H-21 ; 12419-02, O250x21</v>
      </c>
      <c r="E42">
        <f>report!E42</f>
        <v>2000</v>
      </c>
      <c r="F42">
        <f>report!F42</f>
        <v>1365.542857142857</v>
      </c>
      <c r="G42">
        <f>report!G42</f>
        <v>160.65210084033612</v>
      </c>
      <c r="H42">
        <f>report!H42</f>
        <v>58.678179831932766</v>
      </c>
      <c r="I42">
        <f>report!I42</f>
        <v>63.025721943428337</v>
      </c>
      <c r="J42">
        <f>report!J42</f>
        <v>7.5628171173307823</v>
      </c>
      <c r="K42">
        <f>report!K42</f>
        <v>12.254880428314209</v>
      </c>
      <c r="L42">
        <f>report!L42</f>
        <v>0.81864586472511292</v>
      </c>
      <c r="M42">
        <f>report!M42</f>
        <v>4.6920633109834267</v>
      </c>
      <c r="N42">
        <f>report!N42</f>
        <v>9.0522385974647506</v>
      </c>
      <c r="O42">
        <f>report!O42</f>
        <v>19.364507558620755</v>
      </c>
      <c r="P42">
        <f>report!P42</f>
        <v>36.982346462338789</v>
      </c>
      <c r="Q42">
        <f>report!Q42</f>
        <v>4.4377234284675495</v>
      </c>
      <c r="R42">
        <f>report!R42</f>
        <v>7.1909407759145436</v>
      </c>
      <c r="S42">
        <f>report!S42</f>
        <v>0.48036649269008275</v>
      </c>
      <c r="T42">
        <f>report!T42</f>
        <v>2.7532173474469941</v>
      </c>
      <c r="U42">
        <f>report!U42</f>
        <v>11.362740568815701</v>
      </c>
      <c r="V42" s="30">
        <f>report!V42</f>
        <v>42708</v>
      </c>
      <c r="W42" s="30">
        <f>report!W42</f>
        <v>42725</v>
      </c>
      <c r="X42" s="30">
        <f>report!X42</f>
        <v>42716.5</v>
      </c>
      <c r="Y42">
        <f>report!Y42</f>
        <v>17</v>
      </c>
      <c r="Z42">
        <f>report!Z42</f>
        <v>5.311688843035995</v>
      </c>
      <c r="AA42">
        <f>report!AA42</f>
        <v>0.59874610956823848</v>
      </c>
      <c r="AB42">
        <f>report!AB42</f>
        <v>3.4287401334053016E-2</v>
      </c>
      <c r="AC42">
        <f>report!AC42</f>
        <v>0.22924374250183133</v>
      </c>
      <c r="AD42">
        <f>report!AD42</f>
        <v>0.3695023670664071</v>
      </c>
      <c r="AE42">
        <f>report!AE42</f>
        <v>0.1890953664306157</v>
      </c>
      <c r="AF42">
        <f>report!AF42</f>
        <v>2010.7</v>
      </c>
      <c r="AH42">
        <f>report!AH42</f>
        <v>598.74610956823847</v>
      </c>
      <c r="AI42">
        <f>report!AI42</f>
        <v>34.287401334053015</v>
      </c>
      <c r="AJ42">
        <f>report!AJ42</f>
        <v>229.24374250183132</v>
      </c>
      <c r="AK42">
        <f>report!AK42</f>
        <v>369.50236706640709</v>
      </c>
      <c r="AL42">
        <f>report!AL42</f>
        <v>189.09536643061568</v>
      </c>
      <c r="AM42">
        <f>report!AM42</f>
        <v>6.685946837101203</v>
      </c>
      <c r="AN42">
        <f>report!AN42</f>
        <v>10.776622102866414</v>
      </c>
      <c r="AO42">
        <f>report!AO42</f>
        <v>37.36</v>
      </c>
      <c r="AP42">
        <f>report!AP42</f>
        <v>8.42</v>
      </c>
    </row>
    <row r="43" spans="1:42" x14ac:dyDescent="0.25">
      <c r="A43">
        <f>report!A43</f>
        <v>2016</v>
      </c>
      <c r="B43" t="str">
        <f>report!B43</f>
        <v>47_2000</v>
      </c>
      <c r="C43">
        <f>report!C43</f>
        <v>17</v>
      </c>
      <c r="D43" t="str">
        <f>report!D43</f>
        <v>McLane-PARFLUX-Mark78H-21 ; 12419-02, O250x21</v>
      </c>
      <c r="E43">
        <f>report!E43</f>
        <v>2000</v>
      </c>
      <c r="F43">
        <f>report!F43</f>
        <v>1584.0571428571427</v>
      </c>
      <c r="G43">
        <f>report!G43</f>
        <v>186.3596638655462</v>
      </c>
      <c r="H43">
        <f>report!H43</f>
        <v>68.067867226890755</v>
      </c>
      <c r="I43">
        <f>report!I43</f>
        <v>50.195517680001636</v>
      </c>
      <c r="J43">
        <f>report!J43</f>
        <v>6.0232474713156234</v>
      </c>
      <c r="K43">
        <f>report!K43</f>
        <v>12.420710563659668</v>
      </c>
      <c r="L43">
        <f>report!L43</f>
        <v>0.86473464965820313</v>
      </c>
      <c r="M43">
        <f>report!M43</f>
        <v>6.3974630923440445</v>
      </c>
      <c r="N43">
        <f>report!N43</f>
        <v>12.526804529392866</v>
      </c>
      <c r="O43">
        <f>report!O43</f>
        <v>26.797283167362668</v>
      </c>
      <c r="P43">
        <f>report!P43</f>
        <v>34.167018328273983</v>
      </c>
      <c r="Q43">
        <f>report!Q43</f>
        <v>4.0998960915221732</v>
      </c>
      <c r="R43">
        <f>report!R43</f>
        <v>8.4545127751082561</v>
      </c>
      <c r="S43">
        <f>report!S43</f>
        <v>0.58860643319426464</v>
      </c>
      <c r="T43">
        <f>report!T43</f>
        <v>4.3546166835860829</v>
      </c>
      <c r="U43">
        <f>report!U43</f>
        <v>18.240339126774366</v>
      </c>
      <c r="V43" s="30">
        <f>report!V43</f>
        <v>42725</v>
      </c>
      <c r="W43" s="30">
        <f>report!W43</f>
        <v>42742</v>
      </c>
      <c r="X43" s="30">
        <f>report!X43</f>
        <v>42733.5</v>
      </c>
      <c r="Y43">
        <f>report!Y43</f>
        <v>17</v>
      </c>
      <c r="Z43">
        <f>report!Z43</f>
        <v>8.5267286748392728</v>
      </c>
      <c r="AA43">
        <f>report!AA43</f>
        <v>0.70395610117470908</v>
      </c>
      <c r="AB43">
        <f>report!AB43</f>
        <v>4.2013307151624886E-2</v>
      </c>
      <c r="AC43">
        <f>report!AC43</f>
        <v>0.36258257148926587</v>
      </c>
      <c r="AD43">
        <f>report!AD43</f>
        <v>0.34137352968544321</v>
      </c>
      <c r="AE43">
        <f>report!AE43</f>
        <v>0.3035503266229716</v>
      </c>
      <c r="AF43">
        <f>report!AF43</f>
        <v>2010.7</v>
      </c>
      <c r="AH43">
        <f>report!AH43</f>
        <v>703.95610117470903</v>
      </c>
      <c r="AI43">
        <f>report!AI43</f>
        <v>42.013307151624886</v>
      </c>
      <c r="AJ43">
        <f>report!AJ43</f>
        <v>362.58257148926589</v>
      </c>
      <c r="AK43">
        <f>report!AK43</f>
        <v>341.3735296854432</v>
      </c>
      <c r="AL43">
        <f>report!AL43</f>
        <v>303.55032662297162</v>
      </c>
      <c r="AM43">
        <f>report!AM43</f>
        <v>8.6301840076696461</v>
      </c>
      <c r="AN43">
        <f>report!AN43</f>
        <v>8.1253667666160005</v>
      </c>
      <c r="AO43">
        <f>report!AO43</f>
        <v>37.35</v>
      </c>
      <c r="AP43">
        <f>report!AP43</f>
        <v>8.42</v>
      </c>
    </row>
    <row r="44" spans="1:42" x14ac:dyDescent="0.25">
      <c r="A44">
        <f>report!A44</f>
        <v>2016</v>
      </c>
      <c r="B44" t="str">
        <f>report!B44</f>
        <v>47_2000</v>
      </c>
      <c r="C44">
        <f>report!C44</f>
        <v>18</v>
      </c>
      <c r="D44" t="str">
        <f>report!D44</f>
        <v>McLane-PARFLUX-Mark78H-21 ; 12419-02, O250x21</v>
      </c>
      <c r="E44">
        <f>report!E44</f>
        <v>2000</v>
      </c>
      <c r="F44">
        <f>report!F44</f>
        <v>713.67142857142846</v>
      </c>
      <c r="G44">
        <f>report!G44</f>
        <v>83.961344537815108</v>
      </c>
      <c r="H44">
        <f>report!H44</f>
        <v>30.66688109243697</v>
      </c>
      <c r="I44">
        <f>report!I44</f>
        <v>43.142146829754992</v>
      </c>
      <c r="J44">
        <f>report!J44</f>
        <v>5.1768731315022984</v>
      </c>
      <c r="K44">
        <f>report!K44</f>
        <v>16.616935729980469</v>
      </c>
      <c r="L44">
        <f>report!L44</f>
        <v>1.5863571166992188</v>
      </c>
      <c r="M44">
        <f>report!M44</f>
        <v>11.440062598478171</v>
      </c>
      <c r="N44">
        <f>report!N44</f>
        <v>9.9699347465570725</v>
      </c>
      <c r="O44">
        <f>report!O44</f>
        <v>21.327638979017959</v>
      </c>
      <c r="P44">
        <f>report!P44</f>
        <v>13.230350869005528</v>
      </c>
      <c r="Q44">
        <f>report!Q44</f>
        <v>1.587585527544128</v>
      </c>
      <c r="R44">
        <f>report!R44</f>
        <v>5.0958959215197837</v>
      </c>
      <c r="S44">
        <f>report!S44</f>
        <v>0.48648625067956097</v>
      </c>
      <c r="T44">
        <f>report!T44</f>
        <v>3.5083103939756555</v>
      </c>
      <c r="U44">
        <f>report!U44</f>
        <v>6.5405216855196757</v>
      </c>
      <c r="V44" s="30">
        <f>report!V44</f>
        <v>42742</v>
      </c>
      <c r="W44" s="30">
        <f>report!W44</f>
        <v>42759</v>
      </c>
      <c r="X44" s="30">
        <f>report!X44</f>
        <v>42750.5</v>
      </c>
      <c r="Y44">
        <f>report!Y44</f>
        <v>17</v>
      </c>
      <c r="Z44">
        <f>report!Z44</f>
        <v>3.0574680337202147</v>
      </c>
      <c r="AA44">
        <f>report!AA44</f>
        <v>0.42430440645460316</v>
      </c>
      <c r="AB44">
        <f>report!AB44</f>
        <v>3.4724214895043612E-2</v>
      </c>
      <c r="AC44">
        <f>report!AC44</f>
        <v>0.29211576968989639</v>
      </c>
      <c r="AD44">
        <f>report!AD44</f>
        <v>0.13218863676470674</v>
      </c>
      <c r="AE44">
        <f>report!AE44</f>
        <v>0.10884542661873317</v>
      </c>
      <c r="AF44">
        <f>report!AF44</f>
        <v>2010.7</v>
      </c>
      <c r="AH44">
        <f>report!AH44</f>
        <v>424.30440645460317</v>
      </c>
      <c r="AI44">
        <f>report!AI44</f>
        <v>34.724214895043609</v>
      </c>
      <c r="AJ44">
        <f>report!AJ44</f>
        <v>292.11576968989641</v>
      </c>
      <c r="AK44">
        <f>report!AK44</f>
        <v>132.18863676470673</v>
      </c>
      <c r="AL44">
        <f>report!AL44</f>
        <v>108.84542661873317</v>
      </c>
      <c r="AM44">
        <f>report!AM44</f>
        <v>8.4124513850878113</v>
      </c>
      <c r="AN44">
        <f>report!AN44</f>
        <v>3.8068142696460154</v>
      </c>
      <c r="AO44">
        <f>report!AO44</f>
        <v>38.1</v>
      </c>
      <c r="AP44">
        <f>report!AP44</f>
        <v>8.49</v>
      </c>
    </row>
    <row r="45" spans="1:42" x14ac:dyDescent="0.25">
      <c r="A45">
        <f>report!A45</f>
        <v>2016</v>
      </c>
      <c r="B45" t="str">
        <f>report!B45</f>
        <v>47_2000</v>
      </c>
      <c r="C45">
        <f>report!C45</f>
        <v>19</v>
      </c>
      <c r="D45" t="str">
        <f>report!D45</f>
        <v>McLane-PARFLUX-Mark78H-21 ; 12419-02, O250x21</v>
      </c>
      <c r="E45">
        <f>report!E45</f>
        <v>2000</v>
      </c>
      <c r="F45">
        <f>report!F45</f>
        <v>6.5142857142857178</v>
      </c>
      <c r="G45">
        <f>report!G45</f>
        <v>0.76638655462184913</v>
      </c>
      <c r="H45">
        <f>report!H45</f>
        <v>0.27992268907563045</v>
      </c>
      <c r="I45" t="str">
        <f>report!I45</f>
        <v>NaN</v>
      </c>
      <c r="J45" t="str">
        <f>report!J45</f>
        <v>NaN</v>
      </c>
      <c r="K45" t="str">
        <f>report!K45</f>
        <v>NaN</v>
      </c>
      <c r="L45" t="str">
        <f>report!L45</f>
        <v>NaN</v>
      </c>
      <c r="M45" t="str">
        <f>report!M45</f>
        <v>NaN</v>
      </c>
      <c r="N45" t="str">
        <f>report!N45</f>
        <v>NaN</v>
      </c>
      <c r="O45" t="str">
        <f>report!O45</f>
        <v>NaN</v>
      </c>
      <c r="P45" t="str">
        <f>report!P45</f>
        <v>NaN</v>
      </c>
      <c r="Q45" t="str">
        <f>report!Q45</f>
        <v>NaN</v>
      </c>
      <c r="R45" t="str">
        <f>report!R45</f>
        <v>NaN</v>
      </c>
      <c r="S45" t="str">
        <f>report!S45</f>
        <v>NaN</v>
      </c>
      <c r="T45" t="str">
        <f>report!T45</f>
        <v>NaN</v>
      </c>
      <c r="U45" t="str">
        <f>report!U45</f>
        <v>NaN</v>
      </c>
      <c r="V45" s="30">
        <f>report!V45</f>
        <v>42759</v>
      </c>
      <c r="W45" s="30">
        <f>report!W45</f>
        <v>42776</v>
      </c>
      <c r="X45" s="30">
        <f>report!X45</f>
        <v>42767.5</v>
      </c>
      <c r="Y45">
        <f>report!Y45</f>
        <v>17</v>
      </c>
      <c r="Z45" t="str">
        <f>report!Z45</f>
        <v>NaN</v>
      </c>
      <c r="AA45" t="str">
        <f>report!AA45</f>
        <v>NaN</v>
      </c>
      <c r="AB45" t="str">
        <f>report!AB45</f>
        <v>NaN</v>
      </c>
      <c r="AC45" t="str">
        <f>report!AC45</f>
        <v>NaN</v>
      </c>
      <c r="AD45" t="str">
        <f>report!AD45</f>
        <v>NaN</v>
      </c>
      <c r="AE45" t="str">
        <f>report!AE45</f>
        <v>NaN</v>
      </c>
      <c r="AF45">
        <f>report!AF45</f>
        <v>2010.7</v>
      </c>
      <c r="AH45" t="str">
        <f>report!AH45</f>
        <v>NaN</v>
      </c>
      <c r="AI45" t="str">
        <f>report!AI45</f>
        <v>NaN</v>
      </c>
      <c r="AJ45" t="str">
        <f>report!AJ45</f>
        <v>NaN</v>
      </c>
      <c r="AK45" t="str">
        <f>report!AK45</f>
        <v>NaN</v>
      </c>
      <c r="AL45" t="str">
        <f>report!AL45</f>
        <v>NaN</v>
      </c>
      <c r="AM45" t="str">
        <f>report!AM45</f>
        <v>NaN</v>
      </c>
      <c r="AN45" t="str">
        <f>report!AN45</f>
        <v>NaN</v>
      </c>
      <c r="AO45">
        <f>report!AO45</f>
        <v>38.67</v>
      </c>
      <c r="AP45">
        <f>report!AP45</f>
        <v>8.65</v>
      </c>
    </row>
    <row r="46" spans="1:42" x14ac:dyDescent="0.25">
      <c r="A46">
        <f>report!A46</f>
        <v>2016</v>
      </c>
      <c r="B46" t="str">
        <f>report!B46</f>
        <v>47_2000</v>
      </c>
      <c r="C46">
        <f>report!C46</f>
        <v>20</v>
      </c>
      <c r="D46" t="str">
        <f>report!D46</f>
        <v>McLane-PARFLUX-Mark78H-21 ; 12419-02, O250x21</v>
      </c>
      <c r="E46">
        <f>report!E46</f>
        <v>2000</v>
      </c>
      <c r="F46">
        <f>report!F46</f>
        <v>2.2428571428571433</v>
      </c>
      <c r="G46">
        <f>report!G46</f>
        <v>0.26386554621848746</v>
      </c>
      <c r="H46">
        <f>report!H46</f>
        <v>9.6376890756302555E-2</v>
      </c>
      <c r="I46" t="str">
        <f>report!I46</f>
        <v>NaN</v>
      </c>
      <c r="J46" t="str">
        <f>report!J46</f>
        <v>NaN</v>
      </c>
      <c r="K46" t="str">
        <f>report!K46</f>
        <v>NaN</v>
      </c>
      <c r="L46" t="str">
        <f>report!L46</f>
        <v>NaN</v>
      </c>
      <c r="M46" t="str">
        <f>report!M46</f>
        <v>NaN</v>
      </c>
      <c r="N46" t="str">
        <f>report!N46</f>
        <v>NaN</v>
      </c>
      <c r="O46" t="str">
        <f>report!O46</f>
        <v>NaN</v>
      </c>
      <c r="P46" t="str">
        <f>report!P46</f>
        <v>NaN</v>
      </c>
      <c r="Q46" t="str">
        <f>report!Q46</f>
        <v>NaN</v>
      </c>
      <c r="R46" t="str">
        <f>report!R46</f>
        <v>NaN</v>
      </c>
      <c r="S46" t="str">
        <f>report!S46</f>
        <v>NaN</v>
      </c>
      <c r="T46" t="str">
        <f>report!T46</f>
        <v>NaN</v>
      </c>
      <c r="U46" t="str">
        <f>report!U46</f>
        <v>NaN</v>
      </c>
      <c r="V46" s="30">
        <f>report!V46</f>
        <v>42776</v>
      </c>
      <c r="W46" s="30">
        <f>report!W46</f>
        <v>42793</v>
      </c>
      <c r="X46" s="30">
        <f>report!X46</f>
        <v>42784.5</v>
      </c>
      <c r="Y46">
        <f>report!Y46</f>
        <v>17</v>
      </c>
      <c r="Z46" t="str">
        <f>report!Z46</f>
        <v>NaN</v>
      </c>
      <c r="AA46" t="str">
        <f>report!AA46</f>
        <v>NaN</v>
      </c>
      <c r="AB46" t="str">
        <f>report!AB46</f>
        <v>NaN</v>
      </c>
      <c r="AC46" t="str">
        <f>report!AC46</f>
        <v>NaN</v>
      </c>
      <c r="AD46" t="str">
        <f>report!AD46</f>
        <v>NaN</v>
      </c>
      <c r="AE46" t="str">
        <f>report!AE46</f>
        <v>NaN</v>
      </c>
      <c r="AF46">
        <f>report!AF46</f>
        <v>2010.7</v>
      </c>
      <c r="AH46" t="str">
        <f>report!AH46</f>
        <v>NaN</v>
      </c>
      <c r="AI46" t="str">
        <f>report!AI46</f>
        <v>NaN</v>
      </c>
      <c r="AJ46" t="str">
        <f>report!AJ46</f>
        <v>NaN</v>
      </c>
      <c r="AK46" t="str">
        <f>report!AK46</f>
        <v>NaN</v>
      </c>
      <c r="AL46" t="str">
        <f>report!AL46</f>
        <v>NaN</v>
      </c>
      <c r="AM46" t="str">
        <f>report!AM46</f>
        <v>NaN</v>
      </c>
      <c r="AN46" t="str">
        <f>report!AN46</f>
        <v>NaN</v>
      </c>
      <c r="AO46">
        <f>report!AO46</f>
        <v>38.72</v>
      </c>
      <c r="AP46">
        <f>report!AP46</f>
        <v>8.6</v>
      </c>
    </row>
    <row r="47" spans="1:42" s="84" customFormat="1" x14ac:dyDescent="0.25">
      <c r="A47" s="84">
        <f>report!A47</f>
        <v>2016</v>
      </c>
      <c r="B47" s="84" t="str">
        <f>report!B47</f>
        <v>47_2000</v>
      </c>
      <c r="C47" s="84">
        <f>report!C47</f>
        <v>21</v>
      </c>
      <c r="D47" s="84" t="str">
        <f>report!D47</f>
        <v>McLane-PARFLUX-Mark78H-21 ; 12419-02, O250x21</v>
      </c>
      <c r="E47" s="84">
        <f>report!E47</f>
        <v>2000</v>
      </c>
      <c r="F47" s="84">
        <f>report!F47</f>
        <v>1.5142857142857176</v>
      </c>
      <c r="G47" s="84">
        <f>report!G47</f>
        <v>0.17815126050420207</v>
      </c>
      <c r="H47" s="84">
        <f>report!H47</f>
        <v>6.5069747899159813E-2</v>
      </c>
      <c r="I47" s="84" t="str">
        <f>report!I47</f>
        <v>NaN</v>
      </c>
      <c r="J47" s="84" t="str">
        <f>report!J47</f>
        <v>NaN</v>
      </c>
      <c r="K47" s="84" t="str">
        <f>report!K47</f>
        <v>NaN</v>
      </c>
      <c r="L47" s="84" t="str">
        <f>report!L47</f>
        <v>NaN</v>
      </c>
      <c r="M47" s="84" t="str">
        <f>report!M47</f>
        <v>NaN</v>
      </c>
      <c r="N47" s="84" t="str">
        <f>report!N47</f>
        <v>NaN</v>
      </c>
      <c r="O47" s="84" t="str">
        <f>report!O47</f>
        <v>NaN</v>
      </c>
      <c r="P47" s="84" t="str">
        <f>report!P47</f>
        <v>NaN</v>
      </c>
      <c r="Q47" s="84" t="str">
        <f>report!Q47</f>
        <v>NaN</v>
      </c>
      <c r="R47" s="84" t="str">
        <f>report!R47</f>
        <v>NaN</v>
      </c>
      <c r="S47" s="84" t="str">
        <f>report!S47</f>
        <v>NaN</v>
      </c>
      <c r="T47" s="84" t="str">
        <f>report!T47</f>
        <v>NaN</v>
      </c>
      <c r="U47" s="84" t="str">
        <f>report!U47</f>
        <v>NaN</v>
      </c>
      <c r="V47" s="503">
        <f>report!V47</f>
        <v>42793</v>
      </c>
      <c r="W47" s="503">
        <f>report!W47</f>
        <v>42810</v>
      </c>
      <c r="X47" s="503">
        <f>report!X47</f>
        <v>42801.5</v>
      </c>
      <c r="Y47" s="84">
        <f>report!Y47</f>
        <v>17</v>
      </c>
      <c r="Z47" s="84" t="str">
        <f>report!Z47</f>
        <v>NaN</v>
      </c>
      <c r="AA47" s="84" t="str">
        <f>report!AA47</f>
        <v>NaN</v>
      </c>
      <c r="AB47" s="84" t="str">
        <f>report!AB47</f>
        <v>NaN</v>
      </c>
      <c r="AC47" s="84" t="str">
        <f>report!AC47</f>
        <v>NaN</v>
      </c>
      <c r="AD47" s="84" t="str">
        <f>report!AD47</f>
        <v>NaN</v>
      </c>
      <c r="AE47" s="84" t="str">
        <f>report!AE47</f>
        <v>NaN</v>
      </c>
      <c r="AF47" s="84">
        <f>report!AF47</f>
        <v>2010.7</v>
      </c>
      <c r="AH47" s="84" t="str">
        <f>report!AH47</f>
        <v>NaN</v>
      </c>
      <c r="AI47" s="84" t="str">
        <f>report!AI47</f>
        <v>NaN</v>
      </c>
      <c r="AJ47" s="84" t="str">
        <f>report!AJ47</f>
        <v>NaN</v>
      </c>
      <c r="AK47" s="84" t="str">
        <f>report!AK47</f>
        <v>NaN</v>
      </c>
      <c r="AL47" s="84" t="str">
        <f>report!AL47</f>
        <v>NaN</v>
      </c>
      <c r="AM47" s="84" t="str">
        <f>report!AM47</f>
        <v>NaN</v>
      </c>
      <c r="AN47" s="84" t="str">
        <f>report!AN47</f>
        <v>NaN</v>
      </c>
      <c r="AO47" s="84">
        <f>report!AO47</f>
        <v>38.67</v>
      </c>
      <c r="AP47" s="84">
        <f>report!AP47</f>
        <v>8.57</v>
      </c>
    </row>
    <row r="48" spans="1:42" x14ac:dyDescent="0.25">
      <c r="A48">
        <f>report!A48</f>
        <v>2016</v>
      </c>
      <c r="B48" t="str">
        <f>report!B48</f>
        <v>47_3800</v>
      </c>
      <c r="C48">
        <f>report!C48</f>
        <v>1</v>
      </c>
      <c r="D48" t="str">
        <f>report!D48</f>
        <v>McLane-PARFLUX-Mark78H-13 ; 12419-03, X500x13</v>
      </c>
      <c r="E48">
        <f>report!E48</f>
        <v>3800</v>
      </c>
      <c r="F48">
        <f>report!F48</f>
        <v>451.30000000000007</v>
      </c>
      <c r="G48">
        <f>report!G48</f>
        <v>33.429629629629638</v>
      </c>
      <c r="H48">
        <f>report!H48</f>
        <v>12.210172222222225</v>
      </c>
      <c r="I48">
        <f>report!I48</f>
        <v>73.71494258911909</v>
      </c>
      <c r="J48">
        <f>report!J48</f>
        <v>8.845477884671423</v>
      </c>
      <c r="K48">
        <f>report!K48</f>
        <v>12.980376243591309</v>
      </c>
      <c r="L48">
        <f>report!L48</f>
        <v>0.60060226917266846</v>
      </c>
      <c r="M48">
        <f>report!M48</f>
        <v>4.1348983589198856</v>
      </c>
      <c r="N48">
        <f>report!N48</f>
        <v>4.0644737090086709</v>
      </c>
      <c r="O48">
        <f>report!O48</f>
        <v>8.6947036373916351</v>
      </c>
      <c r="P48">
        <f>report!P48</f>
        <v>9.0007214436436804</v>
      </c>
      <c r="Q48">
        <f>report!Q48</f>
        <v>1.0800480835969601</v>
      </c>
      <c r="R48">
        <f>report!R48</f>
        <v>1.5849262944349185</v>
      </c>
      <c r="S48">
        <f>report!S48</f>
        <v>7.3334571436557514E-2</v>
      </c>
      <c r="T48">
        <f>report!T48</f>
        <v>0.50487821083795847</v>
      </c>
      <c r="U48">
        <f>report!U48</f>
        <v>1.0616382883373388</v>
      </c>
      <c r="V48" s="30">
        <f>report!V48</f>
        <v>42453</v>
      </c>
      <c r="W48" s="30">
        <f>report!W48</f>
        <v>42480</v>
      </c>
      <c r="X48" s="30">
        <f>report!X48</f>
        <v>42466.5</v>
      </c>
      <c r="Y48">
        <f>report!Y48</f>
        <v>27</v>
      </c>
      <c r="Z48">
        <f>report!Z48</f>
        <v>0.49627923979690208</v>
      </c>
      <c r="AA48">
        <f>report!AA48</f>
        <v>0.1319672185208092</v>
      </c>
      <c r="AB48">
        <f>report!AB48</f>
        <v>5.2344447849077451E-3</v>
      </c>
      <c r="AC48">
        <f>report!AC48</f>
        <v>4.2038152442794213E-2</v>
      </c>
      <c r="AD48">
        <f>report!AD48</f>
        <v>8.9929066078014999E-2</v>
      </c>
      <c r="AE48">
        <f>report!AE48</f>
        <v>1.7667470266888648E-2</v>
      </c>
      <c r="AF48">
        <f>report!AF48</f>
        <v>3851.6</v>
      </c>
      <c r="AH48">
        <f>report!AH48</f>
        <v>131.96721852080921</v>
      </c>
      <c r="AI48">
        <f>report!AI48</f>
        <v>5.2344447849077449</v>
      </c>
      <c r="AJ48">
        <f>report!AJ48</f>
        <v>42.038152442794214</v>
      </c>
      <c r="AK48">
        <f>report!AK48</f>
        <v>89.929066078014998</v>
      </c>
      <c r="AL48">
        <f>report!AL48</f>
        <v>17.667470266888646</v>
      </c>
      <c r="AM48">
        <f>report!AM48</f>
        <v>8.0310623514457653</v>
      </c>
      <c r="AN48">
        <f>report!AN48</f>
        <v>17.180249247695514</v>
      </c>
      <c r="AO48">
        <f>report!AO48</f>
        <v>36.65</v>
      </c>
      <c r="AP48">
        <f>report!AP48</f>
        <v>8.5299999999999994</v>
      </c>
    </row>
    <row r="49" spans="1:42" x14ac:dyDescent="0.25">
      <c r="A49">
        <f>report!A49</f>
        <v>2016</v>
      </c>
      <c r="B49" t="str">
        <f>report!B49</f>
        <v>47_3800</v>
      </c>
      <c r="C49">
        <f>report!C49</f>
        <v>2</v>
      </c>
      <c r="D49" t="str">
        <f>report!D49</f>
        <v>McLane-PARFLUX-Mark78H-13 ; 12419-03, X500x13</v>
      </c>
      <c r="E49">
        <f>report!E49</f>
        <v>3800</v>
      </c>
      <c r="F49">
        <f>report!F49</f>
        <v>554.51428571428562</v>
      </c>
      <c r="G49">
        <f>report!G49</f>
        <v>41.075132275132269</v>
      </c>
      <c r="H49">
        <f>report!H49</f>
        <v>15.002692063492063</v>
      </c>
      <c r="I49">
        <f>report!I49</f>
        <v>77.892691128720358</v>
      </c>
      <c r="J49">
        <f>report!J49</f>
        <v>9.3467898441847179</v>
      </c>
      <c r="K49">
        <f>report!K49</f>
        <v>13.032732009887695</v>
      </c>
      <c r="L49">
        <f>report!L49</f>
        <v>0.52493429183959961</v>
      </c>
      <c r="M49">
        <f>report!M49</f>
        <v>3.6859421657029774</v>
      </c>
      <c r="N49">
        <f>report!N49</f>
        <v>3.4585493265941376</v>
      </c>
      <c r="O49">
        <f>report!O49</f>
        <v>7.3985129595956494</v>
      </c>
      <c r="P49">
        <f>report!P49</f>
        <v>11.686000590008916</v>
      </c>
      <c r="Q49">
        <f>report!Q49</f>
        <v>1.4022700981447829</v>
      </c>
      <c r="R49">
        <f>report!R49</f>
        <v>1.955260650903611</v>
      </c>
      <c r="S49">
        <f>report!S49</f>
        <v>7.8754275340367871E-2</v>
      </c>
      <c r="T49">
        <f>report!T49</f>
        <v>0.55299055275882802</v>
      </c>
      <c r="U49">
        <f>report!U49</f>
        <v>1.1099761166056881</v>
      </c>
      <c r="V49" s="30">
        <f>report!V49</f>
        <v>42480</v>
      </c>
      <c r="W49" s="30">
        <f>report!W49</f>
        <v>42507</v>
      </c>
      <c r="X49" s="30">
        <f>report!X49</f>
        <v>42493.5</v>
      </c>
      <c r="Y49">
        <f>report!Y49</f>
        <v>27</v>
      </c>
      <c r="Z49">
        <f>report!Z49</f>
        <v>0.51887550533289684</v>
      </c>
      <c r="AA49">
        <f>report!AA49</f>
        <v>0.16280271864309834</v>
      </c>
      <c r="AB49">
        <f>report!AB49</f>
        <v>5.6212901741875716E-3</v>
      </c>
      <c r="AC49">
        <f>report!AC49</f>
        <v>4.6044175916638473E-2</v>
      </c>
      <c r="AD49">
        <f>report!AD49</f>
        <v>0.11675854272645986</v>
      </c>
      <c r="AE49">
        <f>report!AE49</f>
        <v>1.8471894102274719E-2</v>
      </c>
      <c r="AF49">
        <f>report!AF49</f>
        <v>3851.6</v>
      </c>
      <c r="AH49">
        <f>report!AH49</f>
        <v>162.80271864309833</v>
      </c>
      <c r="AI49">
        <f>report!AI49</f>
        <v>5.621290174187572</v>
      </c>
      <c r="AJ49">
        <f>report!AJ49</f>
        <v>46.044175916638473</v>
      </c>
      <c r="AK49">
        <f>report!AK49</f>
        <v>116.75854272645985</v>
      </c>
      <c r="AL49">
        <f>report!AL49</f>
        <v>18.471894102274717</v>
      </c>
      <c r="AM49">
        <f>report!AM49</f>
        <v>8.1910334620455885</v>
      </c>
      <c r="AN49">
        <f>report!AN49</f>
        <v>20.770773098069895</v>
      </c>
      <c r="AO49">
        <f>report!AO49</f>
        <v>35.68</v>
      </c>
      <c r="AP49">
        <f>report!AP49</f>
        <v>8.3699999999999992</v>
      </c>
    </row>
    <row r="50" spans="1:42" x14ac:dyDescent="0.25">
      <c r="A50">
        <f>report!A50</f>
        <v>2016</v>
      </c>
      <c r="B50" t="str">
        <f>report!B50</f>
        <v>47_3800</v>
      </c>
      <c r="C50">
        <f>report!C50</f>
        <v>3</v>
      </c>
      <c r="D50" t="str">
        <f>report!D50</f>
        <v>McLane-PARFLUX-Mark78H-13 ; 12419-03, X500x13</v>
      </c>
      <c r="E50">
        <f>report!E50</f>
        <v>3800</v>
      </c>
      <c r="F50">
        <f>report!F50</f>
        <v>710.14285714285711</v>
      </c>
      <c r="G50">
        <f>report!G50</f>
        <v>52.603174603174601</v>
      </c>
      <c r="H50">
        <f>report!H50</f>
        <v>19.213309523809524</v>
      </c>
      <c r="I50">
        <f>report!I50</f>
        <v>76.429761824769699</v>
      </c>
      <c r="J50">
        <f>report!J50</f>
        <v>9.1712445836116814</v>
      </c>
      <c r="K50">
        <f>report!K50</f>
        <v>12.301823616027832</v>
      </c>
      <c r="L50">
        <f>report!L50</f>
        <v>0.49015811085700989</v>
      </c>
      <c r="M50">
        <f>report!M50</f>
        <v>3.1305790324161507</v>
      </c>
      <c r="N50">
        <f>report!N50</f>
        <v>4.6425417148172148</v>
      </c>
      <c r="O50">
        <f>report!O50</f>
        <v>9.9313040812875215</v>
      </c>
      <c r="P50">
        <f>report!P50</f>
        <v>14.684686707703413</v>
      </c>
      <c r="Q50">
        <f>report!Q50</f>
        <v>1.7620996090349283</v>
      </c>
      <c r="R50">
        <f>report!R50</f>
        <v>2.3635874484205246</v>
      </c>
      <c r="S50">
        <f>report!S50</f>
        <v>9.4175594995014725E-2</v>
      </c>
      <c r="T50">
        <f>report!T50</f>
        <v>0.60148783938559625</v>
      </c>
      <c r="U50">
        <f>report!U50</f>
        <v>1.9081321928884993</v>
      </c>
      <c r="V50" s="30">
        <f>report!V50</f>
        <v>42507</v>
      </c>
      <c r="W50" s="30">
        <f>report!W50</f>
        <v>42534</v>
      </c>
      <c r="X50" s="30">
        <f>report!X50</f>
        <v>42520.5</v>
      </c>
      <c r="Y50">
        <f>report!Y50</f>
        <v>27</v>
      </c>
      <c r="Z50">
        <f>report!Z50</f>
        <v>0.89198590943980582</v>
      </c>
      <c r="AA50">
        <f>report!AA50</f>
        <v>0.19680161935225018</v>
      </c>
      <c r="AB50">
        <f>report!AB50</f>
        <v>6.722026766239452E-3</v>
      </c>
      <c r="AC50">
        <f>report!AC50</f>
        <v>5.0082251405961384E-2</v>
      </c>
      <c r="AD50">
        <f>report!AD50</f>
        <v>0.14671936794628879</v>
      </c>
      <c r="AE50">
        <f>report!AE50</f>
        <v>3.1754571357771655E-2</v>
      </c>
      <c r="AF50">
        <f>report!AF50</f>
        <v>3851.6</v>
      </c>
      <c r="AH50">
        <f>report!AH50</f>
        <v>196.80161935225019</v>
      </c>
      <c r="AI50">
        <f>report!AI50</f>
        <v>6.7220267662394519</v>
      </c>
      <c r="AJ50">
        <f>report!AJ50</f>
        <v>50.082251405961387</v>
      </c>
      <c r="AK50">
        <f>report!AK50</f>
        <v>146.7193679462888</v>
      </c>
      <c r="AL50">
        <f>report!AL50</f>
        <v>31.754571357771656</v>
      </c>
      <c r="AM50">
        <f>report!AM50</f>
        <v>7.4504689058206823</v>
      </c>
      <c r="AN50">
        <f>report!AN50</f>
        <v>21.826656311927927</v>
      </c>
      <c r="AO50">
        <f>report!AO50</f>
        <v>37.44</v>
      </c>
      <c r="AP50">
        <f>report!AP50</f>
        <v>8.4600000000000009</v>
      </c>
    </row>
    <row r="51" spans="1:42" x14ac:dyDescent="0.25">
      <c r="A51">
        <f>report!A51</f>
        <v>2016</v>
      </c>
      <c r="B51" t="str">
        <f>report!B51</f>
        <v>47_3800</v>
      </c>
      <c r="C51">
        <f>report!C51</f>
        <v>4</v>
      </c>
      <c r="D51" t="str">
        <f>report!D51</f>
        <v>McLane-PARFLUX-Mark78H-13 ; 12419-03, X500x13</v>
      </c>
      <c r="E51">
        <f>report!E51</f>
        <v>3800</v>
      </c>
      <c r="F51">
        <f>report!F51</f>
        <v>641.98571428571427</v>
      </c>
      <c r="G51">
        <f>report!G51</f>
        <v>47.55449735449735</v>
      </c>
      <c r="H51">
        <f>report!H51</f>
        <v>17.36928015873016</v>
      </c>
      <c r="I51">
        <f>report!I51</f>
        <v>71.511560979873593</v>
      </c>
      <c r="J51">
        <f>report!J51</f>
        <v>8.5810815138472858</v>
      </c>
      <c r="K51">
        <f>report!K51</f>
        <v>12.628866195678711</v>
      </c>
      <c r="L51">
        <f>report!L51</f>
        <v>0.61628139019012451</v>
      </c>
      <c r="M51">
        <f>report!M51</f>
        <v>4.0477846818314251</v>
      </c>
      <c r="N51">
        <f>report!N51</f>
        <v>5.4876691351917604</v>
      </c>
      <c r="O51">
        <f>report!O51</f>
        <v>11.739196807891522</v>
      </c>
      <c r="P51">
        <f>report!P51</f>
        <v>12.421043372475403</v>
      </c>
      <c r="Q51">
        <f>report!Q51</f>
        <v>1.4904720887891383</v>
      </c>
      <c r="R51">
        <f>report!R51</f>
        <v>2.1935431503986029</v>
      </c>
      <c r="S51">
        <f>report!S51</f>
        <v>0.1070436412282397</v>
      </c>
      <c r="T51">
        <f>report!T51</f>
        <v>0.70307106160946453</v>
      </c>
      <c r="U51">
        <f>report!U51</f>
        <v>2.0390139819473863</v>
      </c>
      <c r="V51" s="30">
        <f>report!V51</f>
        <v>42534</v>
      </c>
      <c r="W51" s="30">
        <f>report!W51</f>
        <v>42561</v>
      </c>
      <c r="X51" s="30">
        <f>report!X51</f>
        <v>42547.5</v>
      </c>
      <c r="Y51">
        <f>report!Y51</f>
        <v>27</v>
      </c>
      <c r="Z51">
        <f>report!Z51</f>
        <v>0.95316862627562138</v>
      </c>
      <c r="AA51">
        <f>report!AA51</f>
        <v>0.18264305998323088</v>
      </c>
      <c r="AB51">
        <f>report!AB51</f>
        <v>7.6405168614018344E-3</v>
      </c>
      <c r="AC51">
        <f>report!AC51</f>
        <v>5.8540471407948755E-2</v>
      </c>
      <c r="AD51">
        <f>report!AD51</f>
        <v>0.12410258857528213</v>
      </c>
      <c r="AE51">
        <f>report!AE51</f>
        <v>3.3932667364742659E-2</v>
      </c>
      <c r="AF51">
        <f>report!AF51</f>
        <v>3851.6</v>
      </c>
      <c r="AH51">
        <f>report!AH51</f>
        <v>182.64305998323087</v>
      </c>
      <c r="AI51">
        <f>report!AI51</f>
        <v>7.6405168614018342</v>
      </c>
      <c r="AJ51">
        <f>report!AJ51</f>
        <v>58.540471407948758</v>
      </c>
      <c r="AK51">
        <f>report!AK51</f>
        <v>124.10258857528213</v>
      </c>
      <c r="AL51">
        <f>report!AL51</f>
        <v>33.932667364742656</v>
      </c>
      <c r="AM51">
        <f>report!AM51</f>
        <v>7.66184702813523</v>
      </c>
      <c r="AN51">
        <f>report!AN51</f>
        <v>16.242695465043784</v>
      </c>
      <c r="AO51">
        <f>report!AO51</f>
        <v>38.06</v>
      </c>
      <c r="AP51">
        <f>report!AP51</f>
        <v>8.5500000000000007</v>
      </c>
    </row>
    <row r="52" spans="1:42" x14ac:dyDescent="0.25">
      <c r="A52">
        <f>report!A52</f>
        <v>2016</v>
      </c>
      <c r="B52" t="str">
        <f>report!B52</f>
        <v>47_3800</v>
      </c>
      <c r="C52">
        <f>report!C52</f>
        <v>5</v>
      </c>
      <c r="D52" t="str">
        <f>report!D52</f>
        <v>McLane-PARFLUX-Mark78H-13 ; 12419-03, X500x13</v>
      </c>
      <c r="E52">
        <f>report!E52</f>
        <v>3800</v>
      </c>
      <c r="F52">
        <f>report!F52</f>
        <v>540.52857142857135</v>
      </c>
      <c r="G52">
        <f>report!G52</f>
        <v>40.039153439153431</v>
      </c>
      <c r="H52">
        <f>report!H52</f>
        <v>14.624300793650791</v>
      </c>
      <c r="I52">
        <f>report!I52</f>
        <v>71.694744932853411</v>
      </c>
      <c r="J52">
        <f>report!J52</f>
        <v>8.603062804858272</v>
      </c>
      <c r="K52">
        <f>report!K52</f>
        <v>13.008883476257324</v>
      </c>
      <c r="L52">
        <f>report!L52</f>
        <v>0.67587047815322876</v>
      </c>
      <c r="M52">
        <f>report!M52</f>
        <v>4.4058206713990522</v>
      </c>
      <c r="N52">
        <f>report!N52</f>
        <v>4.8761123826192323</v>
      </c>
      <c r="O52">
        <f>report!O52</f>
        <v>10.430957389519035</v>
      </c>
      <c r="P52">
        <f>report!P52</f>
        <v>10.484855152221192</v>
      </c>
      <c r="Q52">
        <f>report!Q52</f>
        <v>1.2581377820491644</v>
      </c>
      <c r="R52">
        <f>report!R52</f>
        <v>1.9024582494634066</v>
      </c>
      <c r="S52">
        <f>report!S52</f>
        <v>9.884133170061403E-2</v>
      </c>
      <c r="T52">
        <f>report!T52</f>
        <v>0.6443204674142422</v>
      </c>
      <c r="U52">
        <f>report!U52</f>
        <v>1.525454584300808</v>
      </c>
      <c r="V52" s="30">
        <f>report!V52</f>
        <v>42561</v>
      </c>
      <c r="W52" s="30">
        <f>report!W52</f>
        <v>42588</v>
      </c>
      <c r="X52" s="30">
        <f>report!X52</f>
        <v>42574.5</v>
      </c>
      <c r="Y52">
        <f>report!Y52</f>
        <v>27</v>
      </c>
      <c r="Z52">
        <f>report!Z52</f>
        <v>0.71309734187068896</v>
      </c>
      <c r="AA52">
        <f>report!AA52</f>
        <v>0.15840618230336442</v>
      </c>
      <c r="AB52">
        <f>report!AB52</f>
        <v>7.055055795903928E-3</v>
      </c>
      <c r="AC52">
        <f>report!AC52</f>
        <v>5.3648665063633826E-2</v>
      </c>
      <c r="AD52">
        <f>report!AD52</f>
        <v>0.10475751723973059</v>
      </c>
      <c r="AE52">
        <f>report!AE52</f>
        <v>2.5386163825941225E-2</v>
      </c>
      <c r="AF52">
        <f>report!AF52</f>
        <v>3851.6</v>
      </c>
      <c r="AH52">
        <f>report!AH52</f>
        <v>158.40618230336443</v>
      </c>
      <c r="AI52">
        <f>report!AI52</f>
        <v>7.055055795903928</v>
      </c>
      <c r="AJ52">
        <f>report!AJ52</f>
        <v>53.648665063633828</v>
      </c>
      <c r="AK52">
        <f>report!AK52</f>
        <v>104.75751723973059</v>
      </c>
      <c r="AL52">
        <f>report!AL52</f>
        <v>25.386163825941225</v>
      </c>
      <c r="AM52">
        <f>report!AM52</f>
        <v>7.6042864316936418</v>
      </c>
      <c r="AN52">
        <f>report!AN52</f>
        <v>14.848573883788619</v>
      </c>
      <c r="AO52">
        <f>report!AO52</f>
        <v>38.03</v>
      </c>
      <c r="AP52">
        <f>report!AP52</f>
        <v>8.57</v>
      </c>
    </row>
    <row r="53" spans="1:42" x14ac:dyDescent="0.25">
      <c r="A53">
        <f>report!A53</f>
        <v>2016</v>
      </c>
      <c r="B53" t="str">
        <f>report!B53</f>
        <v>47_3800</v>
      </c>
      <c r="C53">
        <f>report!C53</f>
        <v>6</v>
      </c>
      <c r="D53" t="str">
        <f>report!D53</f>
        <v>McLane-PARFLUX-Mark78H-13 ; 12419-03, X500x13</v>
      </c>
      <c r="E53">
        <f>report!E53</f>
        <v>3800</v>
      </c>
      <c r="F53">
        <f>report!F53</f>
        <v>436.58571428571423</v>
      </c>
      <c r="G53">
        <f>report!G53</f>
        <v>32.339682539682535</v>
      </c>
      <c r="H53">
        <f>report!H53</f>
        <v>11.812069047619048</v>
      </c>
      <c r="I53">
        <f>report!I53</f>
        <v>67.77404909635996</v>
      </c>
      <c r="J53">
        <f>report!J53</f>
        <v>8.1325960704875779</v>
      </c>
      <c r="K53">
        <f>report!K53</f>
        <v>14.258779525756836</v>
      </c>
      <c r="L53">
        <f>report!L53</f>
        <v>0.96280694007873535</v>
      </c>
      <c r="M53">
        <f>report!M53</f>
        <v>6.126183455269258</v>
      </c>
      <c r="N53">
        <f>report!N53</f>
        <v>4.4863428943937418</v>
      </c>
      <c r="O53">
        <f>report!O53</f>
        <v>9.5971642764015659</v>
      </c>
      <c r="P53">
        <f>report!P53</f>
        <v>8.0055174756292704</v>
      </c>
      <c r="Q53">
        <f>report!Q53</f>
        <v>0.9606278632099462</v>
      </c>
      <c r="R53">
        <f>report!R53</f>
        <v>1.6842568829301654</v>
      </c>
      <c r="S53">
        <f>report!S53</f>
        <v>0.11372742055736838</v>
      </c>
      <c r="T53">
        <f>report!T53</f>
        <v>0.72362901972021909</v>
      </c>
      <c r="U53">
        <f>report!U53</f>
        <v>1.1336236709419818</v>
      </c>
      <c r="V53" s="30">
        <f>report!V53</f>
        <v>42588</v>
      </c>
      <c r="W53" s="30">
        <f>report!W53</f>
        <v>42615</v>
      </c>
      <c r="X53" s="30">
        <f>report!X53</f>
        <v>42601.5</v>
      </c>
      <c r="Y53">
        <f>report!Y53</f>
        <v>27</v>
      </c>
      <c r="Z53">
        <f>report!Z53</f>
        <v>0.52992992039873965</v>
      </c>
      <c r="AA53">
        <f>report!AA53</f>
        <v>0.14023787534805707</v>
      </c>
      <c r="AB53">
        <f>report!AB53</f>
        <v>8.1175889048799698E-3</v>
      </c>
      <c r="AC53">
        <f>report!AC53</f>
        <v>6.0252208136571117E-2</v>
      </c>
      <c r="AD53">
        <f>report!AD53</f>
        <v>7.998566721148595E-2</v>
      </c>
      <c r="AE53">
        <f>report!AE53</f>
        <v>1.8865429704476314E-2</v>
      </c>
      <c r="AF53">
        <f>report!AF53</f>
        <v>3851.6</v>
      </c>
      <c r="AH53">
        <f>report!AH53</f>
        <v>140.23787534805706</v>
      </c>
      <c r="AI53">
        <f>report!AI53</f>
        <v>8.1175889048799696</v>
      </c>
      <c r="AJ53">
        <f>report!AJ53</f>
        <v>60.25220813657112</v>
      </c>
      <c r="AK53">
        <f>report!AK53</f>
        <v>79.985667211485946</v>
      </c>
      <c r="AL53">
        <f>report!AL53</f>
        <v>18.865429704476313</v>
      </c>
      <c r="AM53">
        <f>report!AM53</f>
        <v>7.4224266395591805</v>
      </c>
      <c r="AN53">
        <f>report!AN53</f>
        <v>9.8533774189281456</v>
      </c>
      <c r="AO53">
        <f>report!AO53</f>
        <v>37.799999999999997</v>
      </c>
      <c r="AP53">
        <f>report!AP53</f>
        <v>8.42</v>
      </c>
    </row>
    <row r="54" spans="1:42" x14ac:dyDescent="0.25">
      <c r="A54">
        <f>report!A54</f>
        <v>2016</v>
      </c>
      <c r="B54" t="str">
        <f>report!B54</f>
        <v>47_3800</v>
      </c>
      <c r="C54">
        <f>report!C54</f>
        <v>7</v>
      </c>
      <c r="D54" t="str">
        <f>report!D54</f>
        <v>McLane-PARFLUX-Mark78H-13 ; 12419-03, X500x13</v>
      </c>
      <c r="E54">
        <f>report!E54</f>
        <v>3800</v>
      </c>
      <c r="F54">
        <f>report!F54</f>
        <v>431.51428571428562</v>
      </c>
      <c r="G54">
        <f>report!G54</f>
        <v>31.964021164021158</v>
      </c>
      <c r="H54">
        <f>report!H54</f>
        <v>11.674858730158727</v>
      </c>
      <c r="I54">
        <f>report!I54</f>
        <v>71.132174589483256</v>
      </c>
      <c r="J54">
        <f>report!J54</f>
        <v>8.5355567693643621</v>
      </c>
      <c r="K54">
        <f>report!K54</f>
        <v>13.006121635437012</v>
      </c>
      <c r="L54">
        <f>report!L54</f>
        <v>0.65928089618682861</v>
      </c>
      <c r="M54">
        <f>report!M54</f>
        <v>4.4705648660726496</v>
      </c>
      <c r="N54">
        <f>report!N54</f>
        <v>4.5666921783010936</v>
      </c>
      <c r="O54">
        <f>report!O54</f>
        <v>9.7690470984020212</v>
      </c>
      <c r="P54">
        <f>report!P54</f>
        <v>8.3045808950120339</v>
      </c>
      <c r="Q54">
        <f>report!Q54</f>
        <v>0.99651419465578939</v>
      </c>
      <c r="R54">
        <f>report!R54</f>
        <v>1.5184463272098809</v>
      </c>
      <c r="S54">
        <f>report!S54</f>
        <v>7.6970113264736656E-2</v>
      </c>
      <c r="T54">
        <f>report!T54</f>
        <v>0.52193213255409154</v>
      </c>
      <c r="U54">
        <f>report!U54</f>
        <v>1.1405224480211062</v>
      </c>
      <c r="V54" s="30">
        <f>report!V54</f>
        <v>42615</v>
      </c>
      <c r="W54" s="30">
        <f>report!W54</f>
        <v>42642</v>
      </c>
      <c r="X54" s="30">
        <f>report!X54</f>
        <v>42628.5</v>
      </c>
      <c r="Y54">
        <f>report!Y54</f>
        <v>27</v>
      </c>
      <c r="Z54">
        <f>report!Z54</f>
        <v>0.53315486045786087</v>
      </c>
      <c r="AA54">
        <f>report!AA54</f>
        <v>0.12643183407242972</v>
      </c>
      <c r="AB54">
        <f>report!AB54</f>
        <v>5.4939409896314533E-3</v>
      </c>
      <c r="AC54">
        <f>report!AC54</f>
        <v>4.3458129271781144E-2</v>
      </c>
      <c r="AD54">
        <f>report!AD54</f>
        <v>8.2973704800648571E-2</v>
      </c>
      <c r="AE54">
        <f>report!AE54</f>
        <v>1.8980237111351401E-2</v>
      </c>
      <c r="AF54">
        <f>report!AF54</f>
        <v>3851.6</v>
      </c>
      <c r="AH54">
        <f>report!AH54</f>
        <v>126.43183407242972</v>
      </c>
      <c r="AI54">
        <f>report!AI54</f>
        <v>5.4939409896314535</v>
      </c>
      <c r="AJ54">
        <f>report!AJ54</f>
        <v>43.458129271781146</v>
      </c>
      <c r="AK54">
        <f>report!AK54</f>
        <v>82.973704800648576</v>
      </c>
      <c r="AL54">
        <f>report!AL54</f>
        <v>18.9802371113514</v>
      </c>
      <c r="AM54">
        <f>report!AM54</f>
        <v>7.9101922197195682</v>
      </c>
      <c r="AN54">
        <f>report!AN54</f>
        <v>15.102765930184235</v>
      </c>
      <c r="AO54">
        <f>report!AO54</f>
        <v>36.659999999999997</v>
      </c>
      <c r="AP54">
        <f>report!AP54</f>
        <v>8.5399999999999991</v>
      </c>
    </row>
    <row r="55" spans="1:42" x14ac:dyDescent="0.25">
      <c r="A55">
        <f>report!A55</f>
        <v>2016</v>
      </c>
      <c r="B55" t="str">
        <f>report!B55</f>
        <v>47_3800</v>
      </c>
      <c r="C55">
        <f>report!C55</f>
        <v>8</v>
      </c>
      <c r="D55" t="str">
        <f>report!D55</f>
        <v>McLane-PARFLUX-Mark78H-13 ; 12419-03, X500x13</v>
      </c>
      <c r="E55">
        <f>report!E55</f>
        <v>3800</v>
      </c>
      <c r="F55">
        <f>report!F55</f>
        <v>492.55714285714282</v>
      </c>
      <c r="G55">
        <f>report!G55</f>
        <v>36.48571428571428</v>
      </c>
      <c r="H55">
        <f>report!H55</f>
        <v>13.326407142857143</v>
      </c>
      <c r="I55">
        <f>report!I55</f>
        <v>72.945855241038089</v>
      </c>
      <c r="J55">
        <f>report!J55</f>
        <v>8.7531906917375544</v>
      </c>
      <c r="K55">
        <f>report!K55</f>
        <v>13.050162315368652</v>
      </c>
      <c r="L55">
        <f>report!L55</f>
        <v>0.61065512895584106</v>
      </c>
      <c r="M55">
        <f>report!M55</f>
        <v>4.296971623631098</v>
      </c>
      <c r="N55">
        <f>report!N55</f>
        <v>4.2328067591536813</v>
      </c>
      <c r="O55">
        <f>report!O55</f>
        <v>9.0548009312048681</v>
      </c>
      <c r="P55">
        <f>report!P55</f>
        <v>9.7210616632599312</v>
      </c>
      <c r="Q55">
        <f>report!Q55</f>
        <v>1.1664858295716201</v>
      </c>
      <c r="R55">
        <f>report!R55</f>
        <v>1.7391177629497392</v>
      </c>
      <c r="S55">
        <f>report!S55</f>
        <v>8.1378388723394687E-2</v>
      </c>
      <c r="T55">
        <f>report!T55</f>
        <v>0.57263193337811924</v>
      </c>
      <c r="U55">
        <f>report!U55</f>
        <v>1.2066796380675806</v>
      </c>
      <c r="V55" s="30">
        <f>report!V55</f>
        <v>42642</v>
      </c>
      <c r="W55" s="30">
        <f>report!W55</f>
        <v>42669</v>
      </c>
      <c r="X55" s="30">
        <f>report!X55</f>
        <v>42655.5</v>
      </c>
      <c r="Y55">
        <f>report!Y55</f>
        <v>27</v>
      </c>
      <c r="Z55">
        <f>report!Z55</f>
        <v>0.56408106229519617</v>
      </c>
      <c r="AA55">
        <f>report!AA55</f>
        <v>0.1448058087385295</v>
      </c>
      <c r="AB55">
        <f>report!AB55</f>
        <v>5.8085930566305986E-3</v>
      </c>
      <c r="AC55">
        <f>report!AC55</f>
        <v>4.767959478585506E-2</v>
      </c>
      <c r="AD55">
        <f>report!AD55</f>
        <v>9.7126213952674442E-2</v>
      </c>
      <c r="AE55">
        <f>report!AE55</f>
        <v>2.0081205492887014E-2</v>
      </c>
      <c r="AF55">
        <f>report!AF55</f>
        <v>3851.6</v>
      </c>
      <c r="AH55">
        <f>report!AH55</f>
        <v>144.80580873852949</v>
      </c>
      <c r="AI55">
        <f>report!AI55</f>
        <v>5.808593056630599</v>
      </c>
      <c r="AJ55">
        <f>report!AJ55</f>
        <v>47.679594785855059</v>
      </c>
      <c r="AK55">
        <f>report!AK55</f>
        <v>97.126213952674448</v>
      </c>
      <c r="AL55">
        <f>report!AL55</f>
        <v>20.081205492887015</v>
      </c>
      <c r="AM55">
        <f>report!AM55</f>
        <v>8.2084584547419901</v>
      </c>
      <c r="AN55">
        <f>report!AN55</f>
        <v>16.72112558165929</v>
      </c>
      <c r="AO55">
        <f>report!AO55</f>
        <v>35.29</v>
      </c>
      <c r="AP55">
        <f>report!AP55</f>
        <v>8.25</v>
      </c>
    </row>
    <row r="56" spans="1:42" x14ac:dyDescent="0.25">
      <c r="A56">
        <f>report!A56</f>
        <v>2016</v>
      </c>
      <c r="B56" t="str">
        <f>report!B56</f>
        <v>47_3800</v>
      </c>
      <c r="C56">
        <f>report!C56</f>
        <v>9</v>
      </c>
      <c r="D56" t="str">
        <f>report!D56</f>
        <v>McLane-PARFLUX-Mark78H-13 ; 12419-03, X500x13</v>
      </c>
      <c r="E56">
        <f>report!E56</f>
        <v>3800</v>
      </c>
      <c r="F56">
        <f>report!F56</f>
        <v>561.61428571428576</v>
      </c>
      <c r="G56">
        <f>report!G56</f>
        <v>41.601058201058201</v>
      </c>
      <c r="H56">
        <f>report!H56</f>
        <v>15.194786507936509</v>
      </c>
      <c r="I56">
        <f>report!I56</f>
        <v>70.479346669192395</v>
      </c>
      <c r="J56">
        <f>report!J56</f>
        <v>8.4572202106069891</v>
      </c>
      <c r="K56">
        <f>report!K56</f>
        <v>13.106785774230957</v>
      </c>
      <c r="L56">
        <f>report!L56</f>
        <v>0.65892082452774048</v>
      </c>
      <c r="M56">
        <f>report!M56</f>
        <v>4.6495655636239679</v>
      </c>
      <c r="N56">
        <f>report!N56</f>
        <v>4.8063167090680476</v>
      </c>
      <c r="O56">
        <f>report!O56</f>
        <v>10.281650802701993</v>
      </c>
      <c r="P56">
        <f>report!P56</f>
        <v>10.709186258572247</v>
      </c>
      <c r="Q56">
        <f>report!Q56</f>
        <v>1.2850565555077904</v>
      </c>
      <c r="R56">
        <f>report!R56</f>
        <v>1.991548116446987</v>
      </c>
      <c r="S56">
        <f>report!S56</f>
        <v>0.10012161254332512</v>
      </c>
      <c r="T56">
        <f>report!T56</f>
        <v>0.70649156093919674</v>
      </c>
      <c r="U56">
        <f>report!U56</f>
        <v>1.5622748889621083</v>
      </c>
      <c r="V56" s="30">
        <f>report!V56</f>
        <v>42669</v>
      </c>
      <c r="W56" s="30">
        <f>report!W56</f>
        <v>42696</v>
      </c>
      <c r="X56" s="30">
        <f>report!X56</f>
        <v>42682.5</v>
      </c>
      <c r="Y56">
        <f>report!Y56</f>
        <v>27</v>
      </c>
      <c r="Z56">
        <f>report!Z56</f>
        <v>0.73030956283816972</v>
      </c>
      <c r="AA56">
        <f>report!AA56</f>
        <v>0.16582415624038194</v>
      </c>
      <c r="AB56">
        <f>report!AB56</f>
        <v>7.1464391536991525E-3</v>
      </c>
      <c r="AC56">
        <f>report!AC56</f>
        <v>5.8825275681864839E-2</v>
      </c>
      <c r="AD56">
        <f>report!AD56</f>
        <v>0.1069988805585171</v>
      </c>
      <c r="AE56">
        <f>report!AE56</f>
        <v>2.5998916441373077E-2</v>
      </c>
      <c r="AF56">
        <f>report!AF56</f>
        <v>3851.6</v>
      </c>
      <c r="AH56">
        <f>report!AH56</f>
        <v>165.82415624038194</v>
      </c>
      <c r="AI56">
        <f>report!AI56</f>
        <v>7.1464391536991521</v>
      </c>
      <c r="AJ56">
        <f>report!AJ56</f>
        <v>58.825275681864838</v>
      </c>
      <c r="AK56">
        <f>report!AK56</f>
        <v>106.9988805585171</v>
      </c>
      <c r="AL56">
        <f>report!AL56</f>
        <v>25.998916441373076</v>
      </c>
      <c r="AM56">
        <f>report!AM56</f>
        <v>8.2314106951313786</v>
      </c>
      <c r="AN56">
        <f>report!AN56</f>
        <v>14.972334928945999</v>
      </c>
      <c r="AO56">
        <f>report!AO56</f>
        <v>37.35</v>
      </c>
      <c r="AP56">
        <f>report!AP56</f>
        <v>8.56</v>
      </c>
    </row>
    <row r="57" spans="1:42" x14ac:dyDescent="0.25">
      <c r="A57">
        <f>report!A57</f>
        <v>2016</v>
      </c>
      <c r="B57" t="str">
        <f>report!B57</f>
        <v>47_3800</v>
      </c>
      <c r="C57">
        <f>report!C57</f>
        <v>10</v>
      </c>
      <c r="D57" t="str">
        <f>report!D57</f>
        <v>McLane-PARFLUX-Mark78H-13 ; 12419-03, X500x13</v>
      </c>
      <c r="E57">
        <f>report!E57</f>
        <v>3800</v>
      </c>
      <c r="F57">
        <f>report!F57</f>
        <v>1514.2857142857142</v>
      </c>
      <c r="G57">
        <f>report!G57</f>
        <v>112.16931216931216</v>
      </c>
      <c r="H57">
        <f>report!H57</f>
        <v>40.969841269841268</v>
      </c>
      <c r="I57">
        <f>report!I57</f>
        <v>68.057700253064866</v>
      </c>
      <c r="J57">
        <f>report!J57</f>
        <v>8.1666329963192883</v>
      </c>
      <c r="K57">
        <f>report!K57</f>
        <v>12.285015106201172</v>
      </c>
      <c r="L57">
        <f>report!L57</f>
        <v>0.62567657232284546</v>
      </c>
      <c r="M57">
        <f>report!M57</f>
        <v>4.1183821098818836</v>
      </c>
      <c r="N57">
        <f>report!N57</f>
        <v>6.8094656510835989</v>
      </c>
      <c r="O57">
        <f>report!O57</f>
        <v>14.566777891549073</v>
      </c>
      <c r="P57">
        <f>report!P57</f>
        <v>27.883131765585034</v>
      </c>
      <c r="Q57">
        <f>report!Q57</f>
        <v>3.3458565756824945</v>
      </c>
      <c r="R57">
        <f>report!R57</f>
        <v>5.0331511889866416</v>
      </c>
      <c r="S57">
        <f>report!S57</f>
        <v>0.25633869854325336</v>
      </c>
      <c r="T57">
        <f>report!T57</f>
        <v>1.6872946133041475</v>
      </c>
      <c r="U57">
        <f>report!U57</f>
        <v>5.9679857802979859</v>
      </c>
      <c r="V57" s="30">
        <f>report!V57</f>
        <v>42696</v>
      </c>
      <c r="W57" s="30">
        <f>report!W57</f>
        <v>42723</v>
      </c>
      <c r="X57" s="30">
        <f>report!X57</f>
        <v>42709.5</v>
      </c>
      <c r="Y57">
        <f>report!Y57</f>
        <v>27</v>
      </c>
      <c r="Z57">
        <f>report!Z57</f>
        <v>2.7898272685733136</v>
      </c>
      <c r="AA57">
        <f>report!AA57</f>
        <v>0.41908003238856301</v>
      </c>
      <c r="AB57">
        <f>report!AB57</f>
        <v>1.8296837868897457E-2</v>
      </c>
      <c r="AC57">
        <f>report!AC57</f>
        <v>0.14049080876803893</v>
      </c>
      <c r="AD57">
        <f>report!AD57</f>
        <v>0.27858922362052413</v>
      </c>
      <c r="AE57">
        <f>report!AE57</f>
        <v>9.9317453491396007E-2</v>
      </c>
      <c r="AF57">
        <f>report!AF57</f>
        <v>3851.6</v>
      </c>
      <c r="AH57">
        <f>report!AH57</f>
        <v>419.08003238856298</v>
      </c>
      <c r="AI57">
        <f>report!AI57</f>
        <v>18.296837868897459</v>
      </c>
      <c r="AJ57">
        <f>report!AJ57</f>
        <v>140.49080876803893</v>
      </c>
      <c r="AK57">
        <f>report!AK57</f>
        <v>278.58922362052414</v>
      </c>
      <c r="AL57">
        <f>report!AL57</f>
        <v>99.317453491396009</v>
      </c>
      <c r="AM57">
        <f>report!AM57</f>
        <v>7.6784201606146008</v>
      </c>
      <c r="AN57">
        <f>report!AN57</f>
        <v>15.226085819675655</v>
      </c>
      <c r="AO57">
        <f>report!AO57</f>
        <v>37.78</v>
      </c>
      <c r="AP57">
        <f>report!AP57</f>
        <v>8.4600000000000009</v>
      </c>
    </row>
    <row r="58" spans="1:42" x14ac:dyDescent="0.25">
      <c r="A58">
        <f>report!A58</f>
        <v>2016</v>
      </c>
      <c r="B58" t="str">
        <f>report!B58</f>
        <v>47_3800</v>
      </c>
      <c r="C58">
        <f>report!C58</f>
        <v>11</v>
      </c>
      <c r="D58" t="str">
        <f>report!D58</f>
        <v>McLane-PARFLUX-Mark78H-13 ; 12419-03, X500x13</v>
      </c>
      <c r="E58">
        <f>report!E58</f>
        <v>3800</v>
      </c>
      <c r="F58">
        <f>report!F58</f>
        <v>1724.3857142857141</v>
      </c>
      <c r="G58">
        <f>report!G58</f>
        <v>127.73227513227512</v>
      </c>
      <c r="H58">
        <f>report!H58</f>
        <v>46.654213492063491</v>
      </c>
      <c r="I58">
        <f>report!I58</f>
        <v>54.23787099162233</v>
      </c>
      <c r="J58">
        <f>report!J58</f>
        <v>6.508312582459685</v>
      </c>
      <c r="K58">
        <f>report!K58</f>
        <v>12.907769203186035</v>
      </c>
      <c r="L58">
        <f>report!L58</f>
        <v>0.88784945011138916</v>
      </c>
      <c r="M58">
        <f>report!M58</f>
        <v>6.3994566207263501</v>
      </c>
      <c r="N58">
        <f>report!N58</f>
        <v>10.657373406950796</v>
      </c>
      <c r="O58">
        <f>report!O58</f>
        <v>22.798204628824259</v>
      </c>
      <c r="P58">
        <f>report!P58</f>
        <v>25.304252125981453</v>
      </c>
      <c r="Q58">
        <f>report!Q58</f>
        <v>3.0364020469515722</v>
      </c>
      <c r="R58">
        <f>report!R58</f>
        <v>6.022018201117235</v>
      </c>
      <c r="S58">
        <f>report!S58</f>
        <v>0.41421917794307928</v>
      </c>
      <c r="T58">
        <f>report!T58</f>
        <v>2.9856161541656632</v>
      </c>
      <c r="U58">
        <f>report!U58</f>
        <v>10.63632305988917</v>
      </c>
      <c r="V58" s="30">
        <f>report!V58</f>
        <v>42723</v>
      </c>
      <c r="W58" s="30">
        <f>report!W58</f>
        <v>42750</v>
      </c>
      <c r="X58" s="30">
        <f>report!X58</f>
        <v>42736.5</v>
      </c>
      <c r="Y58">
        <f>report!Y58</f>
        <v>27</v>
      </c>
      <c r="Z58">
        <f>report!Z58</f>
        <v>4.9721137419252246</v>
      </c>
      <c r="AA58">
        <f>report!AA58</f>
        <v>0.50141700259094379</v>
      </c>
      <c r="AB58">
        <f>report!AB58</f>
        <v>2.9565965591939993E-2</v>
      </c>
      <c r="AC58">
        <f>report!AC58</f>
        <v>0.2485941843601718</v>
      </c>
      <c r="AD58">
        <f>report!AD58</f>
        <v>0.25282281823077207</v>
      </c>
      <c r="AE58">
        <f>report!AE58</f>
        <v>0.17700654118637324</v>
      </c>
      <c r="AF58">
        <f>report!AF58</f>
        <v>3851.6</v>
      </c>
      <c r="AH58">
        <f>report!AH58</f>
        <v>501.41700259094381</v>
      </c>
      <c r="AI58">
        <f>report!AI58</f>
        <v>29.565965591939992</v>
      </c>
      <c r="AJ58">
        <f>report!AJ58</f>
        <v>248.59418436017179</v>
      </c>
      <c r="AK58">
        <f>report!AK58</f>
        <v>252.82281823077207</v>
      </c>
      <c r="AL58">
        <f>report!AL58</f>
        <v>177.00654118637323</v>
      </c>
      <c r="AM58">
        <f>report!AM58</f>
        <v>8.4081199238066251</v>
      </c>
      <c r="AN58">
        <f>report!AN58</f>
        <v>8.5511436264301928</v>
      </c>
      <c r="AO58">
        <f>report!AO58</f>
        <v>37.75</v>
      </c>
      <c r="AP58">
        <f>report!AP58</f>
        <v>8.51</v>
      </c>
    </row>
    <row r="59" spans="1:42" x14ac:dyDescent="0.25">
      <c r="A59">
        <f>report!A59</f>
        <v>2016</v>
      </c>
      <c r="B59" t="str">
        <f>report!B59</f>
        <v>47_3800</v>
      </c>
      <c r="C59">
        <f>report!C59</f>
        <v>12</v>
      </c>
      <c r="D59" t="str">
        <f>report!D59</f>
        <v>McLane-PARFLUX-Mark78H-13 ; 12419-03, X500x13</v>
      </c>
      <c r="E59">
        <f>report!E59</f>
        <v>3800</v>
      </c>
      <c r="F59">
        <f>report!F59</f>
        <v>1376.1571428571426</v>
      </c>
      <c r="G59">
        <f>report!G59</f>
        <v>101.93756613756612</v>
      </c>
      <c r="H59">
        <f>report!H59</f>
        <v>37.232696031746023</v>
      </c>
      <c r="I59">
        <f>report!I59</f>
        <v>53.736415093943798</v>
      </c>
      <c r="J59">
        <f>report!J59</f>
        <v>6.4481400191060469</v>
      </c>
      <c r="K59">
        <f>report!K59</f>
        <v>13.821226596832275</v>
      </c>
      <c r="L59">
        <f>report!L59</f>
        <v>1.2125943303108215</v>
      </c>
      <c r="M59">
        <f>report!M59</f>
        <v>7.3730865777262284</v>
      </c>
      <c r="N59">
        <f>report!N59</f>
        <v>9.0173174623934376</v>
      </c>
      <c r="O59">
        <f>report!O59</f>
        <v>19.289804425604192</v>
      </c>
      <c r="P59">
        <f>report!P59</f>
        <v>20.007516090285385</v>
      </c>
      <c r="Q59">
        <f>report!Q59</f>
        <v>2.4008163730151244</v>
      </c>
      <c r="R59">
        <f>report!R59</f>
        <v>5.1460152866573967</v>
      </c>
      <c r="S59">
        <f>report!S59</f>
        <v>0.45148156110281451</v>
      </c>
      <c r="T59">
        <f>report!T59</f>
        <v>2.7451989136422723</v>
      </c>
      <c r="U59">
        <f>report!U59</f>
        <v>7.1821142469035015</v>
      </c>
      <c r="V59" s="30">
        <f>report!V59</f>
        <v>42750</v>
      </c>
      <c r="W59" s="30">
        <f>report!W59</f>
        <v>42777</v>
      </c>
      <c r="X59" s="30">
        <f>report!X59</f>
        <v>42763.5</v>
      </c>
      <c r="Y59">
        <f>report!Y59</f>
        <v>27</v>
      </c>
      <c r="Z59">
        <f>report!Z59</f>
        <v>3.3573904009905027</v>
      </c>
      <c r="AA59">
        <f>report!AA59</f>
        <v>0.42847754260261423</v>
      </c>
      <c r="AB59">
        <f>report!AB59</f>
        <v>3.2225664604055286E-2</v>
      </c>
      <c r="AC59">
        <f>report!AC59</f>
        <v>0.2285760960568087</v>
      </c>
      <c r="AD59">
        <f>report!AD59</f>
        <v>0.19990144654580552</v>
      </c>
      <c r="AE59">
        <f>report!AE59</f>
        <v>0.11952262018478116</v>
      </c>
      <c r="AF59">
        <f>report!AF59</f>
        <v>3851.6</v>
      </c>
      <c r="AH59">
        <f>report!AH59</f>
        <v>428.47754260261422</v>
      </c>
      <c r="AI59">
        <f>report!AI59</f>
        <v>32.225664604055289</v>
      </c>
      <c r="AJ59">
        <f>report!AJ59</f>
        <v>228.57609605680869</v>
      </c>
      <c r="AK59">
        <f>report!AK59</f>
        <v>199.90144654580553</v>
      </c>
      <c r="AL59">
        <f>report!AL59</f>
        <v>119.52262018478116</v>
      </c>
      <c r="AM59">
        <f>report!AM59</f>
        <v>7.0929831507041934</v>
      </c>
      <c r="AN59">
        <f>report!AN59</f>
        <v>6.2031752952784673</v>
      </c>
      <c r="AO59">
        <f>report!AO59</f>
        <v>37.979999999999997</v>
      </c>
      <c r="AP59">
        <f>report!AP59</f>
        <v>8.5299999999999994</v>
      </c>
    </row>
    <row r="60" spans="1:42" x14ac:dyDescent="0.25">
      <c r="A60">
        <f>report!A60</f>
        <v>2016</v>
      </c>
      <c r="B60" t="str">
        <f>report!B60</f>
        <v>47_3800</v>
      </c>
      <c r="C60">
        <f>report!C60</f>
        <v>13</v>
      </c>
      <c r="D60" t="str">
        <f>report!D60</f>
        <v>McLane-PARFLUX-Mark78H-13 ; 12419-03, X500x13</v>
      </c>
      <c r="E60">
        <f>report!E60</f>
        <v>3800</v>
      </c>
      <c r="F60">
        <f>report!F60</f>
        <v>930.34285714285704</v>
      </c>
      <c r="G60">
        <f>report!G60</f>
        <v>68.914285714285711</v>
      </c>
      <c r="H60">
        <f>report!H60</f>
        <v>25.170942857142855</v>
      </c>
      <c r="I60">
        <f>report!I60</f>
        <v>63.09065403298699</v>
      </c>
      <c r="J60">
        <f>report!J60</f>
        <v>7.5706086904097711</v>
      </c>
      <c r="K60">
        <f>report!K60</f>
        <v>13.673782348632813</v>
      </c>
      <c r="L60">
        <f>report!L60</f>
        <v>0.83917605876922607</v>
      </c>
      <c r="M60">
        <f>report!M60</f>
        <v>6.1031736582230414</v>
      </c>
      <c r="N60">
        <f>report!N60</f>
        <v>7.0630665910621264</v>
      </c>
      <c r="O60">
        <f>report!O60</f>
        <v>15.109279866747</v>
      </c>
      <c r="P60">
        <f>report!P60</f>
        <v>15.880512474840851</v>
      </c>
      <c r="Q60">
        <f>report!Q60</f>
        <v>1.9055935874009344</v>
      </c>
      <c r="R60">
        <f>report!R60</f>
        <v>3.4418199413844515</v>
      </c>
      <c r="S60">
        <f>report!S60</f>
        <v>0.21122852622362545</v>
      </c>
      <c r="T60">
        <f>report!T60</f>
        <v>1.5362263539835168</v>
      </c>
      <c r="U60">
        <f>report!U60</f>
        <v>3.8031482013846771</v>
      </c>
      <c r="V60" s="30">
        <f>report!V60</f>
        <v>42777</v>
      </c>
      <c r="W60" s="30">
        <f>report!W60</f>
        <v>42804</v>
      </c>
      <c r="X60" s="30">
        <f>report!X60</f>
        <v>42790.5</v>
      </c>
      <c r="Y60">
        <f>report!Y60</f>
        <v>27</v>
      </c>
      <c r="Z60">
        <f>report!Z60</f>
        <v>1.7778404555981957</v>
      </c>
      <c r="AA60">
        <f>report!AA60</f>
        <v>0.28657951218854716</v>
      </c>
      <c r="AB60">
        <f>report!AB60</f>
        <v>1.5076982599830511E-2</v>
      </c>
      <c r="AC60">
        <f>report!AC60</f>
        <v>0.12791226927423122</v>
      </c>
      <c r="AD60">
        <f>report!AD60</f>
        <v>0.15866724291431594</v>
      </c>
      <c r="AE60">
        <f>report!AE60</f>
        <v>6.3290867055827538E-2</v>
      </c>
      <c r="AF60">
        <f>report!AF60</f>
        <v>3851.6</v>
      </c>
      <c r="AH60">
        <f>report!AH60</f>
        <v>286.57951218854714</v>
      </c>
      <c r="AI60">
        <f>report!AI60</f>
        <v>15.076982599830512</v>
      </c>
      <c r="AJ60">
        <f>report!AJ60</f>
        <v>127.91226927423122</v>
      </c>
      <c r="AK60">
        <f>report!AK60</f>
        <v>158.66724291431595</v>
      </c>
      <c r="AL60">
        <f>report!AL60</f>
        <v>63.29086705582754</v>
      </c>
      <c r="AM60">
        <f>report!AM60</f>
        <v>8.4839435495315332</v>
      </c>
      <c r="AN60">
        <f>report!AN60</f>
        <v>10.523806196877857</v>
      </c>
      <c r="AO60">
        <f>report!AO60</f>
        <v>37.82</v>
      </c>
      <c r="AP60">
        <f>report!AP60</f>
        <v>8.5299999999999994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D274-9B89-4CDF-BFB9-062CAE36F656}">
  <dimension ref="A1:BD60"/>
  <sheetViews>
    <sheetView zoomScale="70" zoomScaleNormal="70" workbookViewId="0">
      <selection activeCell="AC6" sqref="AC6"/>
    </sheetView>
  </sheetViews>
  <sheetFormatPr defaultColWidth="9.1796875" defaultRowHeight="12.5" x14ac:dyDescent="0.25"/>
  <cols>
    <col min="1" max="1" width="10.81640625" bestFit="1" customWidth="1"/>
    <col min="2" max="2" width="8" bestFit="1" customWidth="1"/>
    <col min="3" max="3" width="4.26953125" bestFit="1" customWidth="1"/>
    <col min="4" max="4" width="41.54296875" customWidth="1"/>
    <col min="5" max="5" width="7.453125" bestFit="1" customWidth="1"/>
    <col min="6" max="6" width="7.453125" customWidth="1"/>
    <col min="7" max="9" width="12" bestFit="1" customWidth="1"/>
    <col min="10" max="11" width="7.81640625" customWidth="1"/>
    <col min="12" max="12" width="12" bestFit="1" customWidth="1"/>
    <col min="13" max="13" width="5.81640625" style="360" customWidth="1"/>
    <col min="14" max="14" width="12" bestFit="1" customWidth="1"/>
    <col min="15" max="15" width="7.81640625" style="360" customWidth="1"/>
    <col min="16" max="16" width="12" bestFit="1" customWidth="1"/>
    <col min="17" max="17" width="8" customWidth="1"/>
    <col min="18" max="18" width="12" bestFit="1" customWidth="1"/>
    <col min="19" max="19" width="4.453125" style="360" customWidth="1"/>
    <col min="20" max="20" width="12" bestFit="1" customWidth="1"/>
    <col min="21" max="21" width="2" bestFit="1" customWidth="1"/>
    <col min="22" max="28" width="12" bestFit="1" customWidth="1"/>
    <col min="29" max="30" width="10.1796875" style="30" bestFit="1" customWidth="1"/>
    <col min="31" max="31" width="24.54296875" style="30" bestFit="1" customWidth="1"/>
    <col min="32" max="32" width="11.1796875" bestFit="1" customWidth="1"/>
    <col min="33" max="33" width="12" bestFit="1" customWidth="1"/>
    <col min="34" max="34" width="74.453125" bestFit="1" customWidth="1"/>
    <col min="35" max="35" width="71.81640625" bestFit="1" customWidth="1"/>
    <col min="36" max="36" width="77" bestFit="1" customWidth="1"/>
    <col min="37" max="37" width="78.453125" bestFit="1" customWidth="1"/>
    <col min="38" max="38" width="76.26953125" bestFit="1" customWidth="1"/>
    <col min="39" max="39" width="7" bestFit="1" customWidth="1"/>
    <col min="41" max="41" width="74.453125" bestFit="1" customWidth="1"/>
    <col min="42" max="42" width="6.453125" customWidth="1"/>
    <col min="43" max="43" width="71.81640625" bestFit="1" customWidth="1"/>
    <col min="44" max="44" width="5.26953125" customWidth="1"/>
    <col min="45" max="45" width="77" bestFit="1" customWidth="1"/>
    <col min="46" max="46" width="2" bestFit="1" customWidth="1"/>
    <col min="47" max="47" width="78.453125" bestFit="1" customWidth="1"/>
    <col min="48" max="48" width="6.1796875" customWidth="1"/>
    <col min="49" max="49" width="76.26953125" bestFit="1" customWidth="1"/>
    <col min="50" max="50" width="3.54296875" customWidth="1"/>
    <col min="51" max="52" width="12" bestFit="1" customWidth="1"/>
    <col min="53" max="53" width="6" bestFit="1" customWidth="1"/>
    <col min="54" max="54" width="8.26953125" bestFit="1" customWidth="1"/>
    <col min="55" max="55" width="5" bestFit="1" customWidth="1"/>
    <col min="56" max="56" width="6.54296875" bestFit="1" customWidth="1"/>
  </cols>
  <sheetData>
    <row r="1" spans="1:56" x14ac:dyDescent="0.25">
      <c r="A1" t="s">
        <v>50</v>
      </c>
      <c r="B1" t="s">
        <v>54</v>
      </c>
      <c r="C1" t="s">
        <v>55</v>
      </c>
      <c r="D1" t="s">
        <v>62</v>
      </c>
      <c r="E1" t="s">
        <v>303</v>
      </c>
      <c r="F1" t="s">
        <v>3251</v>
      </c>
      <c r="G1" t="s">
        <v>304</v>
      </c>
      <c r="H1" t="s">
        <v>305</v>
      </c>
      <c r="I1" t="s">
        <v>305</v>
      </c>
      <c r="J1" t="s">
        <v>3237</v>
      </c>
      <c r="K1" t="s">
        <v>306</v>
      </c>
      <c r="L1" t="s">
        <v>307</v>
      </c>
      <c r="M1" s="360" t="s">
        <v>3238</v>
      </c>
      <c r="N1" t="s">
        <v>283</v>
      </c>
      <c r="O1" s="360" t="s">
        <v>3239</v>
      </c>
      <c r="P1" t="s">
        <v>284</v>
      </c>
      <c r="Q1" t="s">
        <v>3240</v>
      </c>
      <c r="R1" t="s">
        <v>308</v>
      </c>
      <c r="S1" s="360" t="s">
        <v>3241</v>
      </c>
      <c r="T1" t="s">
        <v>106</v>
      </c>
      <c r="U1" t="s">
        <v>3242</v>
      </c>
      <c r="V1" t="s">
        <v>158</v>
      </c>
      <c r="W1" t="s">
        <v>306</v>
      </c>
      <c r="X1" t="s">
        <v>307</v>
      </c>
      <c r="Y1" t="s">
        <v>283</v>
      </c>
      <c r="Z1" t="s">
        <v>284</v>
      </c>
      <c r="AA1" t="s">
        <v>308</v>
      </c>
      <c r="AB1" t="s">
        <v>158</v>
      </c>
      <c r="AC1" s="30" t="s">
        <v>32</v>
      </c>
      <c r="AD1" s="30" t="s">
        <v>32</v>
      </c>
      <c r="AE1" s="30" t="s">
        <v>32</v>
      </c>
      <c r="AF1" t="s">
        <v>32</v>
      </c>
      <c r="AG1" t="s">
        <v>106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287</v>
      </c>
      <c r="AO1" t="s">
        <v>309</v>
      </c>
      <c r="AP1" t="s">
        <v>3245</v>
      </c>
      <c r="AQ1" t="s">
        <v>310</v>
      </c>
      <c r="AR1" t="s">
        <v>3246</v>
      </c>
      <c r="AS1" t="s">
        <v>311</v>
      </c>
      <c r="AT1" t="s">
        <v>3247</v>
      </c>
      <c r="AU1" t="s">
        <v>312</v>
      </c>
      <c r="AV1" t="s">
        <v>3248</v>
      </c>
      <c r="AW1" t="s">
        <v>313</v>
      </c>
      <c r="AX1" t="s">
        <v>3249</v>
      </c>
      <c r="AY1" t="s">
        <v>1262</v>
      </c>
      <c r="AZ1" t="s">
        <v>3199</v>
      </c>
      <c r="BA1" t="s">
        <v>3200</v>
      </c>
      <c r="BB1" t="s">
        <v>3243</v>
      </c>
      <c r="BC1" t="s">
        <v>30</v>
      </c>
      <c r="BD1" t="s">
        <v>3244</v>
      </c>
    </row>
    <row r="2" spans="1:56" x14ac:dyDescent="0.25">
      <c r="A2" t="s">
        <v>314</v>
      </c>
      <c r="E2" t="s">
        <v>315</v>
      </c>
      <c r="H2" t="s">
        <v>137</v>
      </c>
      <c r="I2" t="s">
        <v>137</v>
      </c>
      <c r="K2" t="s">
        <v>157</v>
      </c>
      <c r="L2" t="s">
        <v>157</v>
      </c>
      <c r="N2" t="s">
        <v>157</v>
      </c>
      <c r="P2" t="s">
        <v>157</v>
      </c>
      <c r="R2" t="s">
        <v>157</v>
      </c>
      <c r="T2" t="s">
        <v>157</v>
      </c>
      <c r="V2" t="s">
        <v>157</v>
      </c>
      <c r="W2" t="s">
        <v>137</v>
      </c>
      <c r="X2" t="s">
        <v>137</v>
      </c>
      <c r="Y2" t="s">
        <v>137</v>
      </c>
      <c r="Z2" t="s">
        <v>137</v>
      </c>
      <c r="AA2" t="s">
        <v>137</v>
      </c>
      <c r="AB2" t="s">
        <v>137</v>
      </c>
      <c r="AC2" s="30" t="s">
        <v>316</v>
      </c>
      <c r="AD2" s="30" t="s">
        <v>317</v>
      </c>
      <c r="AE2" s="30" t="s">
        <v>318</v>
      </c>
      <c r="AF2" t="s">
        <v>319</v>
      </c>
      <c r="AG2" t="s">
        <v>137</v>
      </c>
      <c r="AH2" t="s">
        <v>320</v>
      </c>
      <c r="AI2" t="s">
        <v>321</v>
      </c>
      <c r="AJ2" t="s">
        <v>322</v>
      </c>
      <c r="AK2" t="s">
        <v>323</v>
      </c>
      <c r="AL2" t="s">
        <v>324</v>
      </c>
      <c r="AM2" t="s">
        <v>325</v>
      </c>
      <c r="AO2" t="s">
        <v>320</v>
      </c>
      <c r="AQ2" t="s">
        <v>321</v>
      </c>
      <c r="AS2" t="s">
        <v>322</v>
      </c>
      <c r="AU2" t="s">
        <v>323</v>
      </c>
      <c r="AW2" t="s">
        <v>324</v>
      </c>
    </row>
    <row r="3" spans="1:56" x14ac:dyDescent="0.25">
      <c r="G3" t="s">
        <v>22</v>
      </c>
      <c r="H3" t="s">
        <v>22</v>
      </c>
      <c r="I3" t="s">
        <v>22</v>
      </c>
      <c r="K3" t="s">
        <v>22</v>
      </c>
      <c r="L3" t="s">
        <v>22</v>
      </c>
      <c r="N3" t="s">
        <v>22</v>
      </c>
      <c r="P3" t="s">
        <v>22</v>
      </c>
      <c r="R3" t="s">
        <v>22</v>
      </c>
      <c r="T3" t="s">
        <v>22</v>
      </c>
      <c r="V3" t="s">
        <v>22</v>
      </c>
      <c r="W3" t="s">
        <v>22</v>
      </c>
      <c r="X3" t="s">
        <v>22</v>
      </c>
      <c r="Y3" t="s">
        <v>22</v>
      </c>
      <c r="Z3" t="s">
        <v>22</v>
      </c>
      <c r="AA3" t="s">
        <v>22</v>
      </c>
      <c r="AB3" t="s">
        <v>22</v>
      </c>
      <c r="AE3" s="30">
        <v>1</v>
      </c>
      <c r="AG3" t="s">
        <v>22</v>
      </c>
      <c r="AH3" t="s">
        <v>326</v>
      </c>
      <c r="AI3" t="s">
        <v>326</v>
      </c>
      <c r="AJ3" t="s">
        <v>326</v>
      </c>
      <c r="AK3" t="s">
        <v>326</v>
      </c>
      <c r="AL3" t="s">
        <v>326</v>
      </c>
      <c r="AM3" t="s">
        <v>906</v>
      </c>
      <c r="AO3" t="s">
        <v>1294</v>
      </c>
      <c r="AQ3" t="s">
        <v>1294</v>
      </c>
      <c r="AS3" t="s">
        <v>1294</v>
      </c>
      <c r="AU3" t="s">
        <v>1294</v>
      </c>
      <c r="AW3" t="s">
        <v>1294</v>
      </c>
      <c r="AY3" t="s">
        <v>3201</v>
      </c>
    </row>
    <row r="4" spans="1:56" x14ac:dyDescent="0.25">
      <c r="E4" t="s">
        <v>327</v>
      </c>
      <c r="G4" t="s">
        <v>53</v>
      </c>
      <c r="H4" t="s">
        <v>43</v>
      </c>
      <c r="I4" t="s">
        <v>44</v>
      </c>
      <c r="K4" t="s">
        <v>45</v>
      </c>
      <c r="L4" t="s">
        <v>45</v>
      </c>
      <c r="N4" t="s">
        <v>45</v>
      </c>
      <c r="P4" t="s">
        <v>45</v>
      </c>
      <c r="R4" t="s">
        <v>45</v>
      </c>
      <c r="T4" t="s">
        <v>45</v>
      </c>
      <c r="V4" t="s">
        <v>45</v>
      </c>
      <c r="W4" t="s">
        <v>44</v>
      </c>
      <c r="X4" t="s">
        <v>44</v>
      </c>
      <c r="Y4" t="s">
        <v>44</v>
      </c>
      <c r="Z4" t="s">
        <v>44</v>
      </c>
      <c r="AA4" t="s">
        <v>44</v>
      </c>
      <c r="AB4" t="s">
        <v>44</v>
      </c>
      <c r="AC4" s="30" t="s">
        <v>14</v>
      </c>
      <c r="AD4" s="30" t="s">
        <v>14</v>
      </c>
      <c r="AE4" s="30" t="s">
        <v>328</v>
      </c>
      <c r="AF4" t="s">
        <v>49</v>
      </c>
      <c r="AG4" t="s">
        <v>44</v>
      </c>
      <c r="AH4" t="s">
        <v>22</v>
      </c>
      <c r="AI4" t="s">
        <v>22</v>
      </c>
      <c r="AJ4" t="s">
        <v>22</v>
      </c>
      <c r="AK4" t="s">
        <v>22</v>
      </c>
      <c r="AL4" t="s">
        <v>22</v>
      </c>
      <c r="AO4" t="s">
        <v>22</v>
      </c>
      <c r="AQ4" t="s">
        <v>22</v>
      </c>
      <c r="AS4" t="s">
        <v>22</v>
      </c>
      <c r="AU4" t="s">
        <v>22</v>
      </c>
      <c r="AW4" t="s">
        <v>22</v>
      </c>
    </row>
    <row r="5" spans="1:56" x14ac:dyDescent="0.25">
      <c r="J5" s="507"/>
    </row>
    <row r="6" spans="1:56" x14ac:dyDescent="0.25">
      <c r="A6">
        <f>report!A6</f>
        <v>2016</v>
      </c>
      <c r="B6" t="str">
        <f>report!B6</f>
        <v>47_1000</v>
      </c>
      <c r="C6">
        <f>report!C6</f>
        <v>1</v>
      </c>
      <c r="D6" t="str">
        <f>report!D6</f>
        <v>McLane-PARFLUX-Mark78H-21 ; 12419-01, S250x21</v>
      </c>
      <c r="E6">
        <f>report!E6</f>
        <v>1000</v>
      </c>
      <c r="F6" s="399">
        <v>1</v>
      </c>
      <c r="G6">
        <f>report!F6</f>
        <v>530.17142857142858</v>
      </c>
      <c r="H6">
        <f>report!G6</f>
        <v>62.373109243697478</v>
      </c>
      <c r="I6">
        <f>report!H6</f>
        <v>22.781778151260507</v>
      </c>
      <c r="J6" s="508">
        <v>2</v>
      </c>
      <c r="K6">
        <f>report!I6</f>
        <v>51.619814824470502</v>
      </c>
      <c r="L6">
        <f>report!J6</f>
        <v>6.1941570379529267</v>
      </c>
      <c r="M6" s="360">
        <v>2</v>
      </c>
      <c r="N6">
        <f>report!K6</f>
        <v>17.179433822631836</v>
      </c>
      <c r="O6" s="360">
        <v>2</v>
      </c>
      <c r="P6">
        <f>report!L6</f>
        <v>1.8958081007003784</v>
      </c>
      <c r="Q6" s="505">
        <v>2</v>
      </c>
      <c r="R6">
        <f>report!M6</f>
        <v>10.985276784678909</v>
      </c>
      <c r="S6" s="360">
        <v>2</v>
      </c>
      <c r="T6">
        <f>report!N6</f>
        <v>4.2735492084299702</v>
      </c>
      <c r="U6" s="505">
        <v>2</v>
      </c>
      <c r="V6">
        <f>report!O6</f>
        <v>9.1419569930422533</v>
      </c>
      <c r="W6">
        <f>report!P6</f>
        <v>11.759911695402353</v>
      </c>
      <c r="X6">
        <f>report!Q6</f>
        <v>1.4111391147271251</v>
      </c>
      <c r="Y6">
        <f>report!R6</f>
        <v>3.9137805011145979</v>
      </c>
      <c r="Z6">
        <f>report!S6</f>
        <v>0.43189879567518563</v>
      </c>
      <c r="AA6">
        <f>report!T6</f>
        <v>2.5026413863874724</v>
      </c>
      <c r="AB6">
        <f>report!U6</f>
        <v>2.0827003608385324</v>
      </c>
      <c r="AC6" s="30">
        <f>report!V6</f>
        <v>42453</v>
      </c>
      <c r="AD6" s="30">
        <f>report!W6</f>
        <v>42470</v>
      </c>
      <c r="AE6" s="30">
        <f>report!X6</f>
        <v>42461.5</v>
      </c>
      <c r="AF6">
        <f>report!Y6</f>
        <v>17</v>
      </c>
      <c r="AG6">
        <f>report!Z6</f>
        <v>0.97359049984946522</v>
      </c>
      <c r="AH6">
        <f>report!AA6</f>
        <v>0.3258768110836468</v>
      </c>
      <c r="AI6">
        <f>report!AB6</f>
        <v>3.0827894052475779E-2</v>
      </c>
      <c r="AJ6">
        <f>report!AC6</f>
        <v>0.20837979903309511</v>
      </c>
      <c r="AK6">
        <f>report!AD6</f>
        <v>0.11749701205055163</v>
      </c>
      <c r="AL6">
        <f>report!AE6</f>
        <v>3.4659683155908338E-2</v>
      </c>
      <c r="AM6">
        <f>report!AF6</f>
        <v>983.3</v>
      </c>
      <c r="AO6">
        <f>report!AH6</f>
        <v>325.87681108364683</v>
      </c>
      <c r="AP6">
        <v>2</v>
      </c>
      <c r="AQ6">
        <f>report!AI6</f>
        <v>30.827894052475777</v>
      </c>
      <c r="AR6">
        <v>2</v>
      </c>
      <c r="AS6">
        <f>report!AJ6</f>
        <v>208.37979903309511</v>
      </c>
      <c r="AT6">
        <v>2</v>
      </c>
      <c r="AU6">
        <f>report!AK6</f>
        <v>117.49701205055163</v>
      </c>
      <c r="AV6">
        <v>2</v>
      </c>
      <c r="AW6">
        <f>report!AL6</f>
        <v>34.65968315590834</v>
      </c>
      <c r="AX6">
        <v>2</v>
      </c>
      <c r="AY6">
        <f>report!AM6</f>
        <v>6.7594561820663905</v>
      </c>
      <c r="AZ6">
        <f>report!AN6</f>
        <v>3.8113862675973316</v>
      </c>
      <c r="BA6">
        <f>report!AO6</f>
        <v>36.92</v>
      </c>
      <c r="BB6">
        <v>1</v>
      </c>
      <c r="BC6">
        <f>report!AP6</f>
        <v>8.33</v>
      </c>
      <c r="BD6">
        <v>1</v>
      </c>
    </row>
    <row r="7" spans="1:56" x14ac:dyDescent="0.25">
      <c r="A7">
        <f>report!A7</f>
        <v>2016</v>
      </c>
      <c r="B7" t="str">
        <f>report!B7</f>
        <v>47_1000</v>
      </c>
      <c r="C7">
        <f>report!C7</f>
        <v>2</v>
      </c>
      <c r="D7" t="str">
        <f>report!D7</f>
        <v>McLane-PARFLUX-Mark78H-21 ; 12419-01, S250x21</v>
      </c>
      <c r="E7">
        <f>report!E7</f>
        <v>1000</v>
      </c>
      <c r="F7" s="399">
        <v>1</v>
      </c>
      <c r="G7">
        <f>report!F7</f>
        <v>211.89999999999995</v>
      </c>
      <c r="H7">
        <f>report!G7</f>
        <v>24.929411764705875</v>
      </c>
      <c r="I7">
        <f>report!H7</f>
        <v>9.1054676470588216</v>
      </c>
      <c r="J7" s="505">
        <v>1</v>
      </c>
      <c r="K7">
        <f>report!I7</f>
        <v>62.503012838930125</v>
      </c>
      <c r="L7">
        <f>report!J7</f>
        <v>7.5000942600435305</v>
      </c>
      <c r="M7" s="360">
        <v>1</v>
      </c>
      <c r="N7">
        <f>report!K7</f>
        <v>18.903266906738281</v>
      </c>
      <c r="O7" s="360">
        <v>1</v>
      </c>
      <c r="P7">
        <f>report!L7</f>
        <v>1.5006539821624756</v>
      </c>
      <c r="Q7" s="505">
        <v>1</v>
      </c>
      <c r="R7">
        <f>report!M7</f>
        <v>11.403172646694751</v>
      </c>
      <c r="S7" s="360">
        <v>1</v>
      </c>
      <c r="T7">
        <f>report!N7</f>
        <v>1.2346026068987441</v>
      </c>
      <c r="U7" s="505">
        <v>1</v>
      </c>
      <c r="V7">
        <f>report!O7</f>
        <v>2.6410562708631375</v>
      </c>
      <c r="W7">
        <f>report!P7</f>
        <v>5.6911916124858042</v>
      </c>
      <c r="X7">
        <f>report!Q7</f>
        <v>0.6829186563471793</v>
      </c>
      <c r="Y7">
        <f>report!R7</f>
        <v>1.7212308524302311</v>
      </c>
      <c r="Z7">
        <f>report!S7</f>
        <v>0.13664156284010406</v>
      </c>
      <c r="AA7">
        <f>report!T7</f>
        <v>1.0383121960830517</v>
      </c>
      <c r="AB7">
        <f>report!U7</f>
        <v>0.24048052428406119</v>
      </c>
      <c r="AC7" s="30">
        <f>report!V7</f>
        <v>42470</v>
      </c>
      <c r="AD7" s="30">
        <f>report!W7</f>
        <v>42487</v>
      </c>
      <c r="AE7" s="30">
        <f>report!X7</f>
        <v>42478.5</v>
      </c>
      <c r="AF7">
        <f>report!Y7</f>
        <v>17</v>
      </c>
      <c r="AG7">
        <f>report!Z7</f>
        <v>0.11241634094090995</v>
      </c>
      <c r="AH7">
        <f>report!AA7</f>
        <v>0.14331647397420741</v>
      </c>
      <c r="AI7">
        <f>report!AB7</f>
        <v>9.753145099222274E-3</v>
      </c>
      <c r="AJ7">
        <f>report!AC7</f>
        <v>8.6453971364117546E-2</v>
      </c>
      <c r="AK7">
        <f>report!AD7</f>
        <v>5.686250261008987E-2</v>
      </c>
      <c r="AL7">
        <f>report!AE7</f>
        <v>4.0020057294734767E-3</v>
      </c>
      <c r="AM7">
        <f>report!AF7</f>
        <v>983.3</v>
      </c>
      <c r="AO7">
        <f>report!AH7</f>
        <v>143.31647397420741</v>
      </c>
      <c r="AP7">
        <v>1</v>
      </c>
      <c r="AQ7">
        <f>report!AI7</f>
        <v>9.7531450992222748</v>
      </c>
      <c r="AR7">
        <v>1</v>
      </c>
      <c r="AS7">
        <f>report!AJ7</f>
        <v>86.45397136411755</v>
      </c>
      <c r="AT7">
        <v>1</v>
      </c>
      <c r="AU7">
        <f>report!AK7</f>
        <v>56.862502610089869</v>
      </c>
      <c r="AV7">
        <v>1</v>
      </c>
      <c r="AW7">
        <f>report!AL7</f>
        <v>4.0020057294734768</v>
      </c>
      <c r="AX7">
        <v>1</v>
      </c>
      <c r="AY7">
        <f>report!AM7</f>
        <v>8.8642146184220589</v>
      </c>
      <c r="AZ7">
        <f>report!AN7</f>
        <v>5.8301708865814108</v>
      </c>
      <c r="BA7">
        <f>report!AO7</f>
        <v>36.15</v>
      </c>
      <c r="BB7">
        <v>1</v>
      </c>
      <c r="BC7">
        <f>report!AP7</f>
        <v>8.44</v>
      </c>
      <c r="BD7">
        <v>1</v>
      </c>
    </row>
    <row r="8" spans="1:56" x14ac:dyDescent="0.25">
      <c r="A8">
        <f>report!A8</f>
        <v>2016</v>
      </c>
      <c r="B8" t="str">
        <f>report!B8</f>
        <v>47_1000</v>
      </c>
      <c r="C8">
        <f>report!C8</f>
        <v>3</v>
      </c>
      <c r="D8" t="str">
        <f>report!D8</f>
        <v>McLane-PARFLUX-Mark78H-21 ; 12419-01, S250x21</v>
      </c>
      <c r="E8">
        <f>report!E8</f>
        <v>1000</v>
      </c>
      <c r="F8" s="399">
        <v>1</v>
      </c>
      <c r="G8">
        <f>report!F8</f>
        <v>175.27142857142857</v>
      </c>
      <c r="H8">
        <f>report!G8</f>
        <v>20.620168067226892</v>
      </c>
      <c r="I8">
        <f>report!H8</f>
        <v>7.531516386554622</v>
      </c>
      <c r="J8" s="505">
        <v>1</v>
      </c>
      <c r="K8">
        <f>report!I8</f>
        <v>84.946569207024396</v>
      </c>
      <c r="L8">
        <f>report!J8</f>
        <v>10.193225049195879</v>
      </c>
      <c r="M8" s="360">
        <v>1</v>
      </c>
      <c r="N8">
        <f>report!K8</f>
        <v>15.506331443786621</v>
      </c>
      <c r="O8" s="360">
        <v>1</v>
      </c>
      <c r="P8">
        <f>report!L8</f>
        <v>0.76707053184509277</v>
      </c>
      <c r="Q8" s="505">
        <v>1</v>
      </c>
      <c r="R8">
        <f>report!M8</f>
        <v>5.3131063945907417</v>
      </c>
      <c r="S8" s="360">
        <v>1</v>
      </c>
      <c r="T8">
        <f>report!N8</f>
        <v>0.75642819466422351</v>
      </c>
      <c r="U8" s="505">
        <v>1</v>
      </c>
      <c r="V8">
        <f>report!O8</f>
        <v>1.6181477471474974</v>
      </c>
      <c r="W8">
        <f>report!P8</f>
        <v>6.3977647796430048</v>
      </c>
      <c r="X8">
        <f>report!Q8</f>
        <v>0.7677044148985781</v>
      </c>
      <c r="Y8">
        <f>report!R8</f>
        <v>1.1678618936422613</v>
      </c>
      <c r="Z8">
        <f>report!S8</f>
        <v>5.7772042802344853E-2</v>
      </c>
      <c r="AA8">
        <f>report!T8</f>
        <v>0.40015747874368318</v>
      </c>
      <c r="AB8">
        <f>report!U8</f>
        <v>0.12187106273507821</v>
      </c>
      <c r="AC8" s="30">
        <f>report!V8</f>
        <v>42487</v>
      </c>
      <c r="AD8" s="30">
        <f>report!W8</f>
        <v>42504</v>
      </c>
      <c r="AE8" s="30">
        <f>report!X8</f>
        <v>42495.5</v>
      </c>
      <c r="AF8">
        <f>report!Y8</f>
        <v>17</v>
      </c>
      <c r="AG8">
        <f>report!Z8</f>
        <v>5.6970513433655286E-2</v>
      </c>
      <c r="AH8">
        <f>report!AA8</f>
        <v>9.724079047812334E-2</v>
      </c>
      <c r="AI8">
        <f>report!AB8</f>
        <v>4.12362903656994E-3</v>
      </c>
      <c r="AJ8">
        <f>report!AC8</f>
        <v>3.3318690986151804E-2</v>
      </c>
      <c r="AK8">
        <f>report!AD8</f>
        <v>6.3922099491971529E-2</v>
      </c>
      <c r="AL8">
        <f>report!AE8</f>
        <v>2.0281421656694657E-3</v>
      </c>
      <c r="AM8">
        <f>report!AF8</f>
        <v>983.3</v>
      </c>
      <c r="AO8">
        <f>report!AH8</f>
        <v>97.240790478123344</v>
      </c>
      <c r="AP8">
        <v>1</v>
      </c>
      <c r="AQ8">
        <f>report!AI8</f>
        <v>4.1236290365699402</v>
      </c>
      <c r="AR8">
        <v>1</v>
      </c>
      <c r="AS8">
        <f>report!AJ8</f>
        <v>33.318690986151807</v>
      </c>
      <c r="AT8">
        <v>1</v>
      </c>
      <c r="AU8">
        <f>report!AK8</f>
        <v>63.92209949197153</v>
      </c>
      <c r="AV8">
        <v>1</v>
      </c>
      <c r="AW8">
        <f>report!AL8</f>
        <v>2.0281421656694656</v>
      </c>
      <c r="AX8">
        <v>1</v>
      </c>
      <c r="AY8">
        <f>report!AM8</f>
        <v>8.0799438287655718</v>
      </c>
      <c r="AZ8">
        <f>report!AN8</f>
        <v>15.50141851390743</v>
      </c>
      <c r="BA8">
        <f>report!AO8</f>
        <v>34.619999999999997</v>
      </c>
      <c r="BB8">
        <v>1</v>
      </c>
      <c r="BC8">
        <f>report!AP8</f>
        <v>7.99</v>
      </c>
      <c r="BD8">
        <v>1</v>
      </c>
    </row>
    <row r="9" spans="1:56" x14ac:dyDescent="0.25">
      <c r="A9">
        <f>report!A9</f>
        <v>2016</v>
      </c>
      <c r="B9" t="str">
        <f>report!B9</f>
        <v>47_1000</v>
      </c>
      <c r="C9">
        <f>report!C9</f>
        <v>4</v>
      </c>
      <c r="D9" t="str">
        <f>report!D9</f>
        <v>McLane-PARFLUX-Mark78H-21 ; 12419-01, S250x21</v>
      </c>
      <c r="E9">
        <f>report!E9</f>
        <v>1000</v>
      </c>
      <c r="F9" s="399">
        <v>1</v>
      </c>
      <c r="G9">
        <f>report!F9</f>
        <v>223.42857142857139</v>
      </c>
      <c r="H9">
        <f>report!G9</f>
        <v>26.285714285714281</v>
      </c>
      <c r="I9">
        <f>report!H9</f>
        <v>9.6008571428571425</v>
      </c>
      <c r="J9" s="505">
        <v>1</v>
      </c>
      <c r="K9">
        <f>report!I9</f>
        <v>78.156285393439944</v>
      </c>
      <c r="L9">
        <f>report!J9</f>
        <v>9.378420028747156</v>
      </c>
      <c r="M9" s="360">
        <v>1</v>
      </c>
      <c r="N9">
        <f>report!K9</f>
        <v>15.687155723571777</v>
      </c>
      <c r="O9" s="360">
        <v>1</v>
      </c>
      <c r="P9">
        <f>report!L9</f>
        <v>1.3400105237960815</v>
      </c>
      <c r="Q9" s="505">
        <v>1</v>
      </c>
      <c r="R9">
        <f>report!M9</f>
        <v>6.3087356948246214</v>
      </c>
      <c r="S9" s="360">
        <v>1</v>
      </c>
      <c r="T9">
        <f>report!N9</f>
        <v>1.7973557446373152</v>
      </c>
      <c r="U9" s="505">
        <v>1</v>
      </c>
      <c r="V9">
        <f>report!O9</f>
        <v>3.8448952187702479</v>
      </c>
      <c r="W9">
        <f>report!P9</f>
        <v>7.5036733087878922</v>
      </c>
      <c r="X9">
        <f>report!Q9</f>
        <v>0.90040870921711624</v>
      </c>
      <c r="Y9">
        <f>report!R9</f>
        <v>1.506101410797664</v>
      </c>
      <c r="Z9">
        <f>report!S9</f>
        <v>0.12865249608891349</v>
      </c>
      <c r="AA9">
        <f>report!T9</f>
        <v>0.60569270158054789</v>
      </c>
      <c r="AB9">
        <f>report!U9</f>
        <v>0.36914289724667609</v>
      </c>
      <c r="AC9" s="30">
        <f>report!V9</f>
        <v>42504</v>
      </c>
      <c r="AD9" s="30">
        <f>report!W9</f>
        <v>42521</v>
      </c>
      <c r="AE9" s="30">
        <f>report!X9</f>
        <v>42512.5</v>
      </c>
      <c r="AF9">
        <f>report!Y9</f>
        <v>17</v>
      </c>
      <c r="AG9">
        <f>report!Z9</f>
        <v>0.17256155739156484</v>
      </c>
      <c r="AH9">
        <f>report!AA9</f>
        <v>0.12540394761013024</v>
      </c>
      <c r="AI9">
        <f>report!AB9</f>
        <v>9.1829047886447888E-3</v>
      </c>
      <c r="AJ9">
        <f>report!AC9</f>
        <v>5.0432364827689251E-2</v>
      </c>
      <c r="AK9">
        <f>report!AD9</f>
        <v>7.4971582782440982E-2</v>
      </c>
      <c r="AL9">
        <f>report!AE9</f>
        <v>6.1431668704722267E-3</v>
      </c>
      <c r="AM9">
        <f>report!AF9</f>
        <v>983.3</v>
      </c>
      <c r="AO9">
        <f>report!AH9</f>
        <v>125.40394761013025</v>
      </c>
      <c r="AP9">
        <v>1</v>
      </c>
      <c r="AQ9">
        <f>report!AI9</f>
        <v>9.1829047886447892</v>
      </c>
      <c r="AR9">
        <v>1</v>
      </c>
      <c r="AS9">
        <f>report!AJ9</f>
        <v>50.432364827689248</v>
      </c>
      <c r="AT9">
        <v>1</v>
      </c>
      <c r="AU9">
        <f>report!AK9</f>
        <v>74.971582782440976</v>
      </c>
      <c r="AV9">
        <v>1</v>
      </c>
      <c r="AW9">
        <f>report!AL9</f>
        <v>6.1431668704722266</v>
      </c>
      <c r="AX9">
        <v>1</v>
      </c>
      <c r="AY9">
        <f>report!AM9</f>
        <v>5.4919838535244185</v>
      </c>
      <c r="AZ9">
        <f>report!AN9</f>
        <v>8.1642557020898021</v>
      </c>
      <c r="BA9">
        <f>report!AO9</f>
        <v>35.79</v>
      </c>
      <c r="BB9">
        <v>1</v>
      </c>
      <c r="BC9">
        <f>report!AP9</f>
        <v>8.33</v>
      </c>
      <c r="BD9">
        <v>1</v>
      </c>
    </row>
    <row r="10" spans="1:56" x14ac:dyDescent="0.25">
      <c r="A10">
        <f>report!A10</f>
        <v>2016</v>
      </c>
      <c r="B10" t="str">
        <f>report!B10</f>
        <v>47_1000</v>
      </c>
      <c r="C10">
        <f>report!C10</f>
        <v>5</v>
      </c>
      <c r="D10" t="str">
        <f>report!D10</f>
        <v>McLane-PARFLUX-Mark78H-21 ; 12419-01, S250x21</v>
      </c>
      <c r="E10">
        <f>report!E10</f>
        <v>1000</v>
      </c>
      <c r="F10" s="399">
        <v>1</v>
      </c>
      <c r="G10">
        <f>report!F10</f>
        <v>340.01428571428579</v>
      </c>
      <c r="H10">
        <f>report!G10</f>
        <v>40.001680672268918</v>
      </c>
      <c r="I10">
        <f>report!H10</f>
        <v>14.610613865546224</v>
      </c>
      <c r="J10" s="505">
        <v>1</v>
      </c>
      <c r="K10">
        <f>report!I10</f>
        <v>67.580360963191339</v>
      </c>
      <c r="L10">
        <f>report!J10</f>
        <v>8.1093543227727896</v>
      </c>
      <c r="M10" s="360">
        <v>1</v>
      </c>
      <c r="N10">
        <f>report!K10</f>
        <v>15.706814289093018</v>
      </c>
      <c r="O10" s="360">
        <v>1</v>
      </c>
      <c r="P10">
        <f>report!L10</f>
        <v>1.1232302188873291</v>
      </c>
      <c r="Q10" s="505">
        <v>1</v>
      </c>
      <c r="R10">
        <f>report!M10</f>
        <v>7.597459966320228</v>
      </c>
      <c r="S10" s="360">
        <v>1</v>
      </c>
      <c r="T10">
        <f>report!N10</f>
        <v>4.1786102977837167</v>
      </c>
      <c r="U10" s="505">
        <v>1</v>
      </c>
      <c r="V10">
        <f>report!O10</f>
        <v>8.9388641080036884</v>
      </c>
      <c r="W10">
        <f>report!P10</f>
        <v>9.8739055892742229</v>
      </c>
      <c r="X10">
        <f>report!Q10</f>
        <v>1.1848264470893133</v>
      </c>
      <c r="Y10">
        <f>report!R10</f>
        <v>2.2948619863578199</v>
      </c>
      <c r="Z10">
        <f>report!S10</f>
        <v>0.16411083010275732</v>
      </c>
      <c r="AA10">
        <f>report!T10</f>
        <v>1.1100355392685066</v>
      </c>
      <c r="AB10">
        <f>report!U10</f>
        <v>1.3060229187863217</v>
      </c>
      <c r="AC10" s="30">
        <f>report!V10</f>
        <v>42521</v>
      </c>
      <c r="AD10" s="30">
        <f>report!W10</f>
        <v>42538</v>
      </c>
      <c r="AE10" s="30">
        <f>report!X10</f>
        <v>42529.5</v>
      </c>
      <c r="AF10">
        <f>report!Y10</f>
        <v>17</v>
      </c>
      <c r="AG10">
        <f>report!Z10</f>
        <v>0.61052061555513004</v>
      </c>
      <c r="AH10">
        <f>report!AA10</f>
        <v>0.19107926614136719</v>
      </c>
      <c r="AI10">
        <f>report!AB10</f>
        <v>1.1713835125107588E-2</v>
      </c>
      <c r="AJ10">
        <f>report!AC10</f>
        <v>9.2425939989051339E-2</v>
      </c>
      <c r="AK10">
        <f>report!AD10</f>
        <v>9.865332615231584E-2</v>
      </c>
      <c r="AL10">
        <f>report!AE10</f>
        <v>2.1734446975974726E-2</v>
      </c>
      <c r="AM10">
        <f>report!AF10</f>
        <v>983.3</v>
      </c>
      <c r="AO10">
        <f>report!AH10</f>
        <v>191.07926614136719</v>
      </c>
      <c r="AP10">
        <v>1</v>
      </c>
      <c r="AQ10">
        <f>report!AI10</f>
        <v>11.713835125107588</v>
      </c>
      <c r="AR10">
        <v>1</v>
      </c>
      <c r="AS10">
        <f>report!AJ10</f>
        <v>92.425939989051344</v>
      </c>
      <c r="AT10">
        <v>1</v>
      </c>
      <c r="AU10">
        <f>report!AK10</f>
        <v>98.653326152315842</v>
      </c>
      <c r="AV10">
        <v>1</v>
      </c>
      <c r="AW10">
        <f>report!AL10</f>
        <v>21.734446975974727</v>
      </c>
      <c r="AX10">
        <v>1</v>
      </c>
      <c r="AY10">
        <f>report!AM10</f>
        <v>7.8903227680697308</v>
      </c>
      <c r="AZ10">
        <f>report!AN10</f>
        <v>8.4219493529374514</v>
      </c>
      <c r="BA10">
        <f>report!AO10</f>
        <v>37.15</v>
      </c>
      <c r="BB10">
        <v>1</v>
      </c>
      <c r="BC10">
        <f>report!AP10</f>
        <v>8.39</v>
      </c>
      <c r="BD10">
        <v>1</v>
      </c>
    </row>
    <row r="11" spans="1:56" x14ac:dyDescent="0.25">
      <c r="A11">
        <f>report!A11</f>
        <v>2016</v>
      </c>
      <c r="B11" t="str">
        <f>report!B11</f>
        <v>47_1000</v>
      </c>
      <c r="C11">
        <f>report!C11</f>
        <v>6</v>
      </c>
      <c r="D11" t="str">
        <f>report!D11</f>
        <v>McLane-PARFLUX-Mark78H-21 ; 12419-01, S250x21</v>
      </c>
      <c r="E11">
        <f>report!E11</f>
        <v>1000</v>
      </c>
      <c r="F11" s="399">
        <v>1</v>
      </c>
      <c r="G11">
        <f>report!F11</f>
        <v>66.357142857142861</v>
      </c>
      <c r="H11">
        <f>report!G11</f>
        <v>7.8067226890756309</v>
      </c>
      <c r="I11">
        <f>report!H11</f>
        <v>2.8514054621848746</v>
      </c>
      <c r="J11" s="505">
        <v>1</v>
      </c>
      <c r="K11">
        <f>report!I11</f>
        <v>59.446226910085166</v>
      </c>
      <c r="L11">
        <f>report!J11</f>
        <v>7.1332930202666169</v>
      </c>
      <c r="M11" s="360">
        <v>1</v>
      </c>
      <c r="N11">
        <f>report!K11</f>
        <v>17.796354293823242</v>
      </c>
      <c r="O11" s="360">
        <v>1</v>
      </c>
      <c r="P11">
        <f>report!L11</f>
        <v>1.9629404544830322</v>
      </c>
      <c r="Q11" s="505">
        <v>1</v>
      </c>
      <c r="R11">
        <f>report!M11</f>
        <v>10.663061273556625</v>
      </c>
      <c r="S11" s="360">
        <v>1</v>
      </c>
      <c r="T11">
        <f>report!N11</f>
        <v>3.4394797833128559</v>
      </c>
      <c r="U11" s="505">
        <v>1</v>
      </c>
      <c r="V11">
        <f>report!O11</f>
        <v>7.3577194795040786</v>
      </c>
      <c r="W11">
        <f>report!P11</f>
        <v>1.6950529611769831</v>
      </c>
      <c r="X11">
        <f>report!Q11</f>
        <v>0.20339910681353471</v>
      </c>
      <c r="Y11">
        <f>report!R11</f>
        <v>0.5074462184038484</v>
      </c>
      <c r="Z11">
        <f>report!S11</f>
        <v>5.5971391338565782E-2</v>
      </c>
      <c r="AA11">
        <f>report!T11</f>
        <v>0.30404711159031367</v>
      </c>
      <c r="AB11">
        <f>report!U11</f>
        <v>0.20979841513081982</v>
      </c>
      <c r="AC11" s="30">
        <f>report!V11</f>
        <v>42538</v>
      </c>
      <c r="AD11" s="30">
        <f>report!W11</f>
        <v>42555</v>
      </c>
      <c r="AE11" s="30">
        <f>report!X11</f>
        <v>42546.5</v>
      </c>
      <c r="AF11">
        <f>report!Y11</f>
        <v>17</v>
      </c>
      <c r="AG11">
        <f>report!Z11</f>
        <v>9.807351441212725E-2</v>
      </c>
      <c r="AH11">
        <f>report!AA11</f>
        <v>4.2251974887914108E-2</v>
      </c>
      <c r="AI11">
        <f>report!AB11</f>
        <v>3.9951028792695065E-3</v>
      </c>
      <c r="AJ11">
        <f>report!AC11</f>
        <v>2.5316162497111879E-2</v>
      </c>
      <c r="AK11">
        <f>report!AD11</f>
        <v>1.6935812390802225E-2</v>
      </c>
      <c r="AL11">
        <f>report!AE11</f>
        <v>3.4914031474591401E-3</v>
      </c>
      <c r="AM11">
        <f>report!AF11</f>
        <v>983.3</v>
      </c>
      <c r="AO11">
        <f>report!AH11</f>
        <v>42.251974887914109</v>
      </c>
      <c r="AP11">
        <v>1</v>
      </c>
      <c r="AQ11">
        <f>report!AI11</f>
        <v>3.9951028792695067</v>
      </c>
      <c r="AR11">
        <v>1</v>
      </c>
      <c r="AS11">
        <f>report!AJ11</f>
        <v>25.316162497111879</v>
      </c>
      <c r="AT11">
        <v>1</v>
      </c>
      <c r="AU11">
        <f>report!AK11</f>
        <v>16.935812390802226</v>
      </c>
      <c r="AV11">
        <v>1</v>
      </c>
      <c r="AW11">
        <f>report!AL11</f>
        <v>3.49140314745914</v>
      </c>
      <c r="AX11">
        <v>1</v>
      </c>
      <c r="AY11">
        <f>report!AM11</f>
        <v>6.3367986412757578</v>
      </c>
      <c r="AZ11">
        <f>report!AN11</f>
        <v>4.2391429964624319</v>
      </c>
      <c r="BA11">
        <f>report!AO11</f>
        <v>37.35</v>
      </c>
      <c r="BB11">
        <v>1</v>
      </c>
      <c r="BC11">
        <f>report!AP11</f>
        <v>8.5</v>
      </c>
      <c r="BD11">
        <v>1</v>
      </c>
    </row>
    <row r="12" spans="1:56" x14ac:dyDescent="0.25">
      <c r="A12">
        <f>report!A12</f>
        <v>2016</v>
      </c>
      <c r="B12" t="str">
        <f>report!B12</f>
        <v>47_1000</v>
      </c>
      <c r="C12">
        <f>report!C12</f>
        <v>7</v>
      </c>
      <c r="D12" t="str">
        <f>report!D12</f>
        <v>McLane-PARFLUX-Mark78H-21 ; 12419-01, S250x21</v>
      </c>
      <c r="E12">
        <f>report!E12</f>
        <v>1000</v>
      </c>
      <c r="F12" s="399">
        <v>1</v>
      </c>
      <c r="G12">
        <f>report!F12</f>
        <v>14.12857142857143</v>
      </c>
      <c r="H12">
        <f>report!G12</f>
        <v>1.6621848739495799</v>
      </c>
      <c r="I12">
        <f>report!H12</f>
        <v>0.60711302521008403</v>
      </c>
      <c r="J12" s="505">
        <v>2</v>
      </c>
      <c r="K12" t="str">
        <f>report!I12</f>
        <v>NaN</v>
      </c>
      <c r="L12" t="str">
        <f>report!J12</f>
        <v>NaN</v>
      </c>
      <c r="M12" s="360">
        <v>9</v>
      </c>
      <c r="N12">
        <f>report!K12</f>
        <v>16.213146209716797</v>
      </c>
      <c r="O12" s="360">
        <v>1</v>
      </c>
      <c r="P12">
        <f>report!L12</f>
        <v>1.2208572626113892</v>
      </c>
      <c r="Q12" s="505">
        <v>1</v>
      </c>
      <c r="R12" t="str">
        <f>report!M12</f>
        <v>NaN</v>
      </c>
      <c r="S12" s="360">
        <v>9</v>
      </c>
      <c r="T12">
        <f>report!N12</f>
        <v>1.7535571260306242</v>
      </c>
      <c r="U12" s="505">
        <v>1</v>
      </c>
      <c r="V12">
        <f>report!O12</f>
        <v>3.751201413427562</v>
      </c>
      <c r="W12" t="str">
        <f>report!P12</f>
        <v>NaN</v>
      </c>
      <c r="X12" t="str">
        <f>report!Q12</f>
        <v>NaN</v>
      </c>
      <c r="Y12">
        <f>report!R12</f>
        <v>9.8432122435545721E-2</v>
      </c>
      <c r="Z12">
        <f>report!S12</f>
        <v>7.4119834605370248E-3</v>
      </c>
      <c r="AA12" t="str">
        <f>report!T12</f>
        <v>NaN</v>
      </c>
      <c r="AB12">
        <f>report!U12</f>
        <v>2.2774032382783502E-2</v>
      </c>
      <c r="AC12" s="30">
        <f>report!V12</f>
        <v>42555</v>
      </c>
      <c r="AD12" s="30">
        <f>report!W12</f>
        <v>42572</v>
      </c>
      <c r="AE12" s="30">
        <f>report!X12</f>
        <v>42563.5</v>
      </c>
      <c r="AF12">
        <f>report!Y12</f>
        <v>17</v>
      </c>
      <c r="AG12">
        <f>report!Z12</f>
        <v>1.0646073716631529E-2</v>
      </c>
      <c r="AH12">
        <f>report!AA12</f>
        <v>8.1958469971312002E-3</v>
      </c>
      <c r="AI12">
        <f>report!AB12</f>
        <v>5.2904949754011596E-4</v>
      </c>
      <c r="AJ12" t="str">
        <f>report!AC12</f>
        <v>NaN</v>
      </c>
      <c r="AK12" t="str">
        <f>report!AD12</f>
        <v>NaN</v>
      </c>
      <c r="AL12">
        <f>report!AE12</f>
        <v>3.7899870831724917E-4</v>
      </c>
      <c r="AM12">
        <f>report!AF12</f>
        <v>983.3</v>
      </c>
      <c r="AO12">
        <f>report!AH12</f>
        <v>8.1958469971312002</v>
      </c>
      <c r="AP12">
        <v>2</v>
      </c>
      <c r="AQ12">
        <f>report!AI12</f>
        <v>0.52904949754011599</v>
      </c>
      <c r="AR12">
        <v>2</v>
      </c>
      <c r="AS12" t="str">
        <f>report!AJ12</f>
        <v>NaN</v>
      </c>
      <c r="AT12">
        <v>9</v>
      </c>
      <c r="AU12" t="str">
        <f>report!AK12</f>
        <v>NaN</v>
      </c>
      <c r="AV12">
        <v>9</v>
      </c>
      <c r="AW12">
        <f>report!AL12</f>
        <v>0.37899870831724919</v>
      </c>
      <c r="AX12">
        <v>2</v>
      </c>
      <c r="AY12" t="str">
        <f>report!AM12</f>
        <v>NaN</v>
      </c>
      <c r="AZ12" t="str">
        <f>report!AN12</f>
        <v>NaN</v>
      </c>
      <c r="BA12">
        <f>report!AO12</f>
        <v>37.72</v>
      </c>
      <c r="BB12">
        <v>1</v>
      </c>
      <c r="BC12">
        <f>report!AP12</f>
        <v>8.61</v>
      </c>
      <c r="BD12">
        <v>1</v>
      </c>
    </row>
    <row r="13" spans="1:56" x14ac:dyDescent="0.25">
      <c r="A13">
        <f>report!A13</f>
        <v>2016</v>
      </c>
      <c r="B13" t="str">
        <f>report!B13</f>
        <v>47_1000</v>
      </c>
      <c r="C13">
        <f>report!C13</f>
        <v>8</v>
      </c>
      <c r="D13" t="str">
        <f>report!D13</f>
        <v>McLane-PARFLUX-Mark78H-21 ; 12419-01, S250x21</v>
      </c>
      <c r="E13">
        <f>report!E13</f>
        <v>1000</v>
      </c>
      <c r="F13" s="399">
        <v>1</v>
      </c>
      <c r="G13">
        <f>report!F13</f>
        <v>179.90000000000003</v>
      </c>
      <c r="H13">
        <f>report!G13</f>
        <v>21.164705882352944</v>
      </c>
      <c r="I13">
        <f>report!H13</f>
        <v>7.7304088235294142</v>
      </c>
      <c r="J13" s="505">
        <v>1</v>
      </c>
      <c r="K13">
        <f>report!I13</f>
        <v>61.61044446726104</v>
      </c>
      <c r="L13">
        <f>report!J13</f>
        <v>7.3929898723190055</v>
      </c>
      <c r="M13" s="360">
        <v>1</v>
      </c>
      <c r="N13">
        <f>report!K13</f>
        <v>16.828649520874023</v>
      </c>
      <c r="O13" s="360">
        <v>1</v>
      </c>
      <c r="P13">
        <f>report!L13</f>
        <v>1.3967040777206421</v>
      </c>
      <c r="Q13" s="505">
        <v>1</v>
      </c>
      <c r="R13">
        <f>report!M13</f>
        <v>9.435659648555017</v>
      </c>
      <c r="S13" s="360">
        <v>1</v>
      </c>
      <c r="T13">
        <f>report!N13</f>
        <v>4.1045175470137716</v>
      </c>
      <c r="U13" s="505">
        <v>1</v>
      </c>
      <c r="V13">
        <f>report!O13</f>
        <v>8.7803652331811151</v>
      </c>
      <c r="W13">
        <f>report!P13</f>
        <v>4.7627392353128375</v>
      </c>
      <c r="X13">
        <f>report!Q13</f>
        <v>0.57150834141238438</v>
      </c>
      <c r="Y13">
        <f>report!R13</f>
        <v>1.300923407442486</v>
      </c>
      <c r="Z13">
        <f>report!S13</f>
        <v>0.10797093526271165</v>
      </c>
      <c r="AA13">
        <f>report!T13</f>
        <v>0.72941506603010153</v>
      </c>
      <c r="AB13">
        <f>report!U13</f>
        <v>0.67875812872394192</v>
      </c>
      <c r="AC13" s="30">
        <f>report!V13</f>
        <v>42572</v>
      </c>
      <c r="AD13" s="30">
        <f>report!W13</f>
        <v>42589</v>
      </c>
      <c r="AE13" s="30">
        <f>report!X13</f>
        <v>42580.5</v>
      </c>
      <c r="AF13">
        <f>report!Y13</f>
        <v>17</v>
      </c>
      <c r="AG13">
        <f>report!Z13</f>
        <v>0.31729598661766567</v>
      </c>
      <c r="AH13">
        <f>report!AA13</f>
        <v>0.1083200172724801</v>
      </c>
      <c r="AI13">
        <f>report!AB13</f>
        <v>7.7067048724276692E-3</v>
      </c>
      <c r="AJ13">
        <f>report!AC13</f>
        <v>6.0733977188184976E-2</v>
      </c>
      <c r="AK13">
        <f>report!AD13</f>
        <v>4.7586040084295123E-2</v>
      </c>
      <c r="AL13">
        <f>report!AE13</f>
        <v>1.1295691940821135E-2</v>
      </c>
      <c r="AM13">
        <f>report!AF13</f>
        <v>983.3</v>
      </c>
      <c r="AO13">
        <f>report!AH13</f>
        <v>108.3200172724801</v>
      </c>
      <c r="AP13">
        <v>1</v>
      </c>
      <c r="AQ13">
        <f>report!AI13</f>
        <v>7.706704872427669</v>
      </c>
      <c r="AR13">
        <v>1</v>
      </c>
      <c r="AS13">
        <f>report!AJ13</f>
        <v>60.733977188184973</v>
      </c>
      <c r="AT13">
        <v>1</v>
      </c>
      <c r="AU13">
        <f>report!AK13</f>
        <v>47.586040084295121</v>
      </c>
      <c r="AV13">
        <v>1</v>
      </c>
      <c r="AW13">
        <f>report!AL13</f>
        <v>11.295691940821134</v>
      </c>
      <c r="AX13">
        <v>1</v>
      </c>
      <c r="AY13">
        <f>report!AM13</f>
        <v>7.880667314181621</v>
      </c>
      <c r="AZ13">
        <f>report!AN13</f>
        <v>6.1746285697982319</v>
      </c>
      <c r="BA13">
        <f>report!AO13</f>
        <v>37.97</v>
      </c>
      <c r="BB13">
        <v>1</v>
      </c>
      <c r="BC13">
        <f>report!AP13</f>
        <v>8.58</v>
      </c>
      <c r="BD13">
        <v>1</v>
      </c>
    </row>
    <row r="14" spans="1:56" x14ac:dyDescent="0.25">
      <c r="A14">
        <f>report!A14</f>
        <v>2016</v>
      </c>
      <c r="B14" t="str">
        <f>report!B14</f>
        <v>47_1000</v>
      </c>
      <c r="C14">
        <f>report!C14</f>
        <v>9</v>
      </c>
      <c r="D14" t="str">
        <f>report!D14</f>
        <v>McLane-PARFLUX-Mark78H-21 ; 12419-01, S250x21</v>
      </c>
      <c r="E14">
        <f>report!E14</f>
        <v>1000</v>
      </c>
      <c r="F14" s="399">
        <v>1</v>
      </c>
      <c r="G14">
        <f>report!F14</f>
        <v>124.47142857142856</v>
      </c>
      <c r="H14">
        <f>report!G14</f>
        <v>14.643697478991596</v>
      </c>
      <c r="I14">
        <f>report!H14</f>
        <v>5.3486105042016803</v>
      </c>
      <c r="J14" s="505">
        <v>1</v>
      </c>
      <c r="K14">
        <f>report!I14</f>
        <v>61.212728676716452</v>
      </c>
      <c r="L14">
        <f>report!J14</f>
        <v>7.34526567819929</v>
      </c>
      <c r="M14" s="360">
        <v>1</v>
      </c>
      <c r="N14">
        <f>report!K14</f>
        <v>16.612297058105469</v>
      </c>
      <c r="O14" s="360">
        <v>1</v>
      </c>
      <c r="P14">
        <f>report!L14</f>
        <v>1.340276837348938</v>
      </c>
      <c r="Q14" s="505">
        <v>1</v>
      </c>
      <c r="R14">
        <f>report!M14</f>
        <v>9.2670313799061788</v>
      </c>
      <c r="S14" s="360">
        <v>1</v>
      </c>
      <c r="T14">
        <f>report!N14</f>
        <v>4.6360487197724041</v>
      </c>
      <c r="U14" s="505">
        <v>1</v>
      </c>
      <c r="V14">
        <f>report!O14</f>
        <v>9.9174142958748206</v>
      </c>
      <c r="W14">
        <f>report!P14</f>
        <v>3.2740304359113304</v>
      </c>
      <c r="X14">
        <f>report!Q14</f>
        <v>0.39286965162568804</v>
      </c>
      <c r="Y14">
        <f>report!R14</f>
        <v>0.88852706543901583</v>
      </c>
      <c r="Z14">
        <f>report!S14</f>
        <v>7.1686187707827365E-2</v>
      </c>
      <c r="AA14">
        <f>report!T14</f>
        <v>0.49565741381332784</v>
      </c>
      <c r="AB14">
        <f>report!U14</f>
        <v>0.53044386277435984</v>
      </c>
      <c r="AC14" s="30">
        <f>report!V14</f>
        <v>42589</v>
      </c>
      <c r="AD14" s="30">
        <f>report!W14</f>
        <v>42606</v>
      </c>
      <c r="AE14" s="30">
        <f>report!X14</f>
        <v>42597.5</v>
      </c>
      <c r="AF14">
        <f>report!Y14</f>
        <v>17</v>
      </c>
      <c r="AG14">
        <f>report!Z14</f>
        <v>0.2479641888056543</v>
      </c>
      <c r="AH14">
        <f>report!AA14</f>
        <v>7.3982270228061267E-2</v>
      </c>
      <c r="AI14">
        <f>report!AB14</f>
        <v>5.1167871311796837E-3</v>
      </c>
      <c r="AJ14">
        <f>report!AC14</f>
        <v>4.1270392490701739E-2</v>
      </c>
      <c r="AK14">
        <f>report!AD14</f>
        <v>3.2711877737359535E-2</v>
      </c>
      <c r="AL14">
        <f>report!AE14</f>
        <v>8.8274898115220466E-3</v>
      </c>
      <c r="AM14">
        <f>report!AF14</f>
        <v>983.3</v>
      </c>
      <c r="AO14">
        <f>report!AH14</f>
        <v>73.982270228061267</v>
      </c>
      <c r="AP14">
        <v>1</v>
      </c>
      <c r="AQ14">
        <f>report!AI14</f>
        <v>5.1167871311796835</v>
      </c>
      <c r="AR14">
        <v>1</v>
      </c>
      <c r="AS14">
        <f>report!AJ14</f>
        <v>41.270392490701738</v>
      </c>
      <c r="AT14">
        <v>1</v>
      </c>
      <c r="AU14">
        <f>report!AK14</f>
        <v>32.711877737359536</v>
      </c>
      <c r="AV14">
        <v>1</v>
      </c>
      <c r="AW14">
        <f>report!AL14</f>
        <v>8.8274898115220459</v>
      </c>
      <c r="AX14">
        <v>1</v>
      </c>
      <c r="AY14">
        <f>report!AM14</f>
        <v>8.0656848590038539</v>
      </c>
      <c r="AZ14">
        <f>report!AN14</f>
        <v>6.3930503456018819</v>
      </c>
      <c r="BA14">
        <f>report!AO14</f>
        <v>38.25</v>
      </c>
      <c r="BB14">
        <v>1</v>
      </c>
      <c r="BC14">
        <f>report!AP14</f>
        <v>8.58</v>
      </c>
      <c r="BD14">
        <v>1</v>
      </c>
    </row>
    <row r="15" spans="1:56" x14ac:dyDescent="0.25">
      <c r="A15">
        <f>report!A15</f>
        <v>2016</v>
      </c>
      <c r="B15" t="str">
        <f>report!B15</f>
        <v>47_1000</v>
      </c>
      <c r="C15">
        <f>report!C15</f>
        <v>10</v>
      </c>
      <c r="D15" t="str">
        <f>report!D15</f>
        <v>McLane-PARFLUX-Mark78H-21 ; 12419-01, S250x21</v>
      </c>
      <c r="E15">
        <f>report!E15</f>
        <v>1000</v>
      </c>
      <c r="F15" s="399">
        <v>1</v>
      </c>
      <c r="G15">
        <f>report!F15</f>
        <v>60.557142857142843</v>
      </c>
      <c r="H15">
        <f>report!G15</f>
        <v>7.1243697478991583</v>
      </c>
      <c r="I15">
        <f>report!H15</f>
        <v>2.6021760504201676</v>
      </c>
      <c r="J15" s="505">
        <v>1</v>
      </c>
      <c r="K15">
        <f>report!I15</f>
        <v>58.196963020415659</v>
      </c>
      <c r="L15">
        <f>report!J15</f>
        <v>6.9833866957133459</v>
      </c>
      <c r="M15" s="360">
        <v>1</v>
      </c>
      <c r="N15">
        <f>report!K15</f>
        <v>17.559654235839844</v>
      </c>
      <c r="O15" s="360">
        <v>1</v>
      </c>
      <c r="P15">
        <f>report!L15</f>
        <v>1.5248348712921143</v>
      </c>
      <c r="Q15" s="505">
        <v>1</v>
      </c>
      <c r="R15">
        <f>report!M15</f>
        <v>10.576267540126498</v>
      </c>
      <c r="S15" s="360">
        <v>1</v>
      </c>
      <c r="T15">
        <f>report!N15</f>
        <v>4.2417019784438219</v>
      </c>
      <c r="U15" s="505">
        <v>1</v>
      </c>
      <c r="V15">
        <f>report!O15</f>
        <v>9.0738295437767622</v>
      </c>
      <c r="W15">
        <f>report!P15</f>
        <v>1.5143874337891376</v>
      </c>
      <c r="X15">
        <f>report!Q15</f>
        <v>0.18172001610408101</v>
      </c>
      <c r="Y15">
        <f>report!R15</f>
        <v>0.45693311706161494</v>
      </c>
      <c r="Z15">
        <f>report!S15</f>
        <v>3.9678887829218586E-2</v>
      </c>
      <c r="AA15">
        <f>report!T15</f>
        <v>0.27521310095753393</v>
      </c>
      <c r="AB15">
        <f>report!U15</f>
        <v>0.23611701924410847</v>
      </c>
      <c r="AC15" s="30">
        <f>report!V15</f>
        <v>42606</v>
      </c>
      <c r="AD15" s="30">
        <f>report!W15</f>
        <v>42623</v>
      </c>
      <c r="AE15" s="30">
        <f>report!X15</f>
        <v>42614.5</v>
      </c>
      <c r="AF15">
        <f>report!Y15</f>
        <v>17</v>
      </c>
      <c r="AG15">
        <f>report!Z15</f>
        <v>0.11037655301326355</v>
      </c>
      <c r="AH15">
        <f>report!AA15</f>
        <v>3.8046054709543295E-2</v>
      </c>
      <c r="AI15">
        <f>report!AB15</f>
        <v>2.8321832854545743E-3</v>
      </c>
      <c r="AJ15">
        <f>report!AC15</f>
        <v>2.2915328972317562E-2</v>
      </c>
      <c r="AK15">
        <f>report!AD15</f>
        <v>1.5130725737225729E-2</v>
      </c>
      <c r="AL15">
        <f>report!AE15</f>
        <v>3.9293895697139038E-3</v>
      </c>
      <c r="AM15">
        <f>report!AF15</f>
        <v>983.3</v>
      </c>
      <c r="AO15">
        <f>report!AH15</f>
        <v>38.046054709543291</v>
      </c>
      <c r="AP15">
        <v>1</v>
      </c>
      <c r="AQ15">
        <f>report!AI15</f>
        <v>2.8321832854545743</v>
      </c>
      <c r="AR15">
        <v>1</v>
      </c>
      <c r="AS15">
        <f>report!AJ15</f>
        <v>22.91532897231756</v>
      </c>
      <c r="AT15">
        <v>1</v>
      </c>
      <c r="AU15">
        <f>report!AK15</f>
        <v>15.130725737225729</v>
      </c>
      <c r="AV15">
        <v>1</v>
      </c>
      <c r="AW15">
        <f>report!AL15</f>
        <v>3.9293895697139036</v>
      </c>
      <c r="AX15">
        <v>1</v>
      </c>
      <c r="AY15">
        <f>report!AM15</f>
        <v>8.0910473167486323</v>
      </c>
      <c r="AZ15">
        <f>report!AN15</f>
        <v>5.3424246287073194</v>
      </c>
      <c r="BA15">
        <f>report!AO15</f>
        <v>37.880000000000003</v>
      </c>
      <c r="BB15">
        <v>1</v>
      </c>
      <c r="BC15">
        <f>report!AP15</f>
        <v>8.59</v>
      </c>
      <c r="BD15">
        <v>1</v>
      </c>
    </row>
    <row r="16" spans="1:56" ht="13.5" customHeight="1" x14ac:dyDescent="0.25">
      <c r="A16">
        <f>report!A16</f>
        <v>2016</v>
      </c>
      <c r="B16" t="str">
        <f>report!B16</f>
        <v>47_1000</v>
      </c>
      <c r="C16">
        <f>report!C16</f>
        <v>11</v>
      </c>
      <c r="D16" t="str">
        <f>report!D16</f>
        <v>McLane-PARFLUX-Mark78H-21 ; 12419-01, S250x21</v>
      </c>
      <c r="E16">
        <f>report!E16</f>
        <v>1000</v>
      </c>
      <c r="F16" s="399">
        <v>1</v>
      </c>
      <c r="G16">
        <f>report!F16</f>
        <v>147.34285714285713</v>
      </c>
      <c r="H16">
        <f>report!G16</f>
        <v>17.334453781512604</v>
      </c>
      <c r="I16">
        <f>report!H16</f>
        <v>6.3314092436974789</v>
      </c>
      <c r="J16" s="505">
        <v>1</v>
      </c>
      <c r="K16">
        <f>report!I16</f>
        <v>59.510515679078843</v>
      </c>
      <c r="L16">
        <f>report!J16</f>
        <v>7.1410073976288295</v>
      </c>
      <c r="M16" s="360">
        <v>1</v>
      </c>
      <c r="N16">
        <f>report!K16</f>
        <v>17.148048400878906</v>
      </c>
      <c r="O16" s="360">
        <v>1</v>
      </c>
      <c r="P16">
        <f>report!L16</f>
        <v>1.5179711580276489</v>
      </c>
      <c r="Q16" s="505">
        <v>1</v>
      </c>
      <c r="R16">
        <f>report!M16</f>
        <v>10.007041003250077</v>
      </c>
      <c r="S16" s="360">
        <v>1</v>
      </c>
      <c r="T16">
        <f>report!N16</f>
        <v>4.1981018125844249</v>
      </c>
      <c r="U16" s="505">
        <v>1</v>
      </c>
      <c r="V16">
        <f>report!O16</f>
        <v>8.9805602676467817</v>
      </c>
      <c r="W16">
        <f>report!P16</f>
        <v>3.7678542906772354</v>
      </c>
      <c r="X16">
        <f>report!Q16</f>
        <v>0.45212640246659247</v>
      </c>
      <c r="Y16">
        <f>report!R16</f>
        <v>1.0857131215669649</v>
      </c>
      <c r="Z16">
        <f>report!S16</f>
        <v>9.610896621602423E-2</v>
      </c>
      <c r="AA16">
        <f>report!T16</f>
        <v>0.63358671910037223</v>
      </c>
      <c r="AB16">
        <f>report!U16</f>
        <v>0.56859602292161138</v>
      </c>
      <c r="AC16" s="30">
        <f>report!V16</f>
        <v>42623</v>
      </c>
      <c r="AD16" s="30">
        <f>report!W16</f>
        <v>42640</v>
      </c>
      <c r="AE16" s="30">
        <f>report!X16</f>
        <v>42631.5</v>
      </c>
      <c r="AF16">
        <f>report!Y16</f>
        <v>17</v>
      </c>
      <c r="AG16">
        <f>report!Z16</f>
        <v>0.26579900622180169</v>
      </c>
      <c r="AH16">
        <f>report!AA16</f>
        <v>9.0400759497665684E-2</v>
      </c>
      <c r="AI16">
        <f>report!AB16</f>
        <v>6.8600261396162907E-3</v>
      </c>
      <c r="AJ16">
        <f>report!AC16</f>
        <v>5.2754930816017676E-2</v>
      </c>
      <c r="AK16">
        <f>report!AD16</f>
        <v>3.7645828681648001E-2</v>
      </c>
      <c r="AL16">
        <f>report!AE16</f>
        <v>9.4624067718690526E-3</v>
      </c>
      <c r="AM16">
        <f>report!AF16</f>
        <v>983.3</v>
      </c>
      <c r="AO16">
        <f>report!AH16</f>
        <v>90.400759497665689</v>
      </c>
      <c r="AP16">
        <v>1</v>
      </c>
      <c r="AQ16">
        <f>report!AI16</f>
        <v>6.8600261396162905</v>
      </c>
      <c r="AR16">
        <v>1</v>
      </c>
      <c r="AS16">
        <f>report!AJ16</f>
        <v>52.754930816017676</v>
      </c>
      <c r="AT16">
        <v>1</v>
      </c>
      <c r="AU16">
        <f>report!AK16</f>
        <v>37.645828681647998</v>
      </c>
      <c r="AV16">
        <v>1</v>
      </c>
      <c r="AW16">
        <f>report!AL16</f>
        <v>9.4624067718690519</v>
      </c>
      <c r="AX16">
        <v>1</v>
      </c>
      <c r="AY16">
        <f>report!AM16</f>
        <v>7.6901938480031031</v>
      </c>
      <c r="AZ16">
        <f>report!AN16</f>
        <v>5.4877092179350919</v>
      </c>
      <c r="BA16">
        <f>report!AO16</f>
        <v>38.200000000000003</v>
      </c>
      <c r="BB16">
        <v>1</v>
      </c>
      <c r="BC16">
        <f>report!AP16</f>
        <v>8.6</v>
      </c>
      <c r="BD16">
        <v>1</v>
      </c>
    </row>
    <row r="17" spans="1:56" x14ac:dyDescent="0.25">
      <c r="A17">
        <f>report!A17</f>
        <v>2016</v>
      </c>
      <c r="B17" t="str">
        <f>report!B17</f>
        <v>47_1000</v>
      </c>
      <c r="C17">
        <f>report!C17</f>
        <v>12</v>
      </c>
      <c r="D17" t="str">
        <f>report!D17</f>
        <v>McLane-PARFLUX-Mark78H-21 ; 12419-01, S250x21</v>
      </c>
      <c r="E17">
        <f>report!E17</f>
        <v>1000</v>
      </c>
      <c r="F17" s="399">
        <v>1</v>
      </c>
      <c r="G17">
        <f>report!F17</f>
        <v>17.842857142857156</v>
      </c>
      <c r="H17">
        <f>report!G17</f>
        <v>2.0991596638655476</v>
      </c>
      <c r="I17">
        <f>report!H17</f>
        <v>0.76671806722689129</v>
      </c>
      <c r="J17" s="505">
        <v>2</v>
      </c>
      <c r="K17">
        <f>report!I17</f>
        <v>64.532317190825353</v>
      </c>
      <c r="L17">
        <f>report!J17</f>
        <v>7.7436021043894101</v>
      </c>
      <c r="M17" s="360">
        <v>1</v>
      </c>
      <c r="N17">
        <f>report!K17</f>
        <v>15.905805587768555</v>
      </c>
      <c r="O17" s="360">
        <v>1</v>
      </c>
      <c r="P17">
        <f>report!L17</f>
        <v>1.2897419929504395</v>
      </c>
      <c r="Q17" s="505">
        <v>1</v>
      </c>
      <c r="R17">
        <f>report!M17</f>
        <v>8.1622034833791446</v>
      </c>
      <c r="S17" s="360">
        <v>1</v>
      </c>
      <c r="T17">
        <f>report!N17</f>
        <v>4.2072196112429276</v>
      </c>
      <c r="U17" s="505">
        <v>1</v>
      </c>
      <c r="V17">
        <f>report!O17</f>
        <v>9.000065020989231</v>
      </c>
      <c r="W17">
        <f>report!P17</f>
        <v>0.49478093510222304</v>
      </c>
      <c r="X17">
        <f>report!Q17</f>
        <v>5.9371596388515371E-2</v>
      </c>
      <c r="Y17">
        <f>report!R17</f>
        <v>0.12195268517940593</v>
      </c>
      <c r="Z17">
        <f>report!S17</f>
        <v>9.888684880563197E-3</v>
      </c>
      <c r="AA17">
        <f>report!T17</f>
        <v>6.2581088790890568E-2</v>
      </c>
      <c r="AB17">
        <f>report!U17</f>
        <v>6.9005124578092145E-2</v>
      </c>
      <c r="AC17" s="30">
        <f>report!V17</f>
        <v>42640</v>
      </c>
      <c r="AD17" s="30">
        <f>report!W17</f>
        <v>42657</v>
      </c>
      <c r="AE17" s="30">
        <f>report!X17</f>
        <v>42648.5</v>
      </c>
      <c r="AF17">
        <f>report!Y17</f>
        <v>17</v>
      </c>
      <c r="AG17">
        <f>report!Z17</f>
        <v>3.2257512887312503E-2</v>
      </c>
      <c r="AH17">
        <f>report!AA17</f>
        <v>1.0154261880050452E-2</v>
      </c>
      <c r="AI17">
        <f>report!AB17</f>
        <v>7.0583046970472505E-4</v>
      </c>
      <c r="AJ17">
        <f>report!AC17</f>
        <v>5.210748442205709E-3</v>
      </c>
      <c r="AK17">
        <f>report!AD17</f>
        <v>4.943513437844744E-3</v>
      </c>
      <c r="AL17">
        <f>report!AE17</f>
        <v>1.1483628653368638E-3</v>
      </c>
      <c r="AM17">
        <f>report!AF17</f>
        <v>983.3</v>
      </c>
      <c r="AO17">
        <f>report!AH17</f>
        <v>10.154261880050452</v>
      </c>
      <c r="AP17">
        <v>2</v>
      </c>
      <c r="AQ17">
        <f>report!AI17</f>
        <v>0.70583046970472507</v>
      </c>
      <c r="AR17">
        <v>2</v>
      </c>
      <c r="AS17">
        <f>report!AJ17</f>
        <v>5.2107484422057091</v>
      </c>
      <c r="AT17">
        <v>2</v>
      </c>
      <c r="AU17">
        <f>report!AK17</f>
        <v>4.9435134378447438</v>
      </c>
      <c r="AV17">
        <v>2</v>
      </c>
      <c r="AW17">
        <f>report!AL17</f>
        <v>1.1483628653368638</v>
      </c>
      <c r="AX17">
        <v>2</v>
      </c>
      <c r="AY17">
        <f>report!AM17</f>
        <v>7.3824362447622267</v>
      </c>
      <c r="AZ17">
        <f>report!AN17</f>
        <v>7.0038254935534274</v>
      </c>
      <c r="BA17">
        <f>report!AO17</f>
        <v>38.299999999999997</v>
      </c>
      <c r="BB17">
        <v>1</v>
      </c>
      <c r="BC17">
        <f>report!AP17</f>
        <v>8.65</v>
      </c>
      <c r="BD17">
        <v>1</v>
      </c>
    </row>
    <row r="18" spans="1:56" x14ac:dyDescent="0.25">
      <c r="A18">
        <f>report!A18</f>
        <v>2016</v>
      </c>
      <c r="B18" t="str">
        <f>report!B18</f>
        <v>47_1000</v>
      </c>
      <c r="C18">
        <f>report!C18</f>
        <v>13</v>
      </c>
      <c r="D18" t="str">
        <f>report!D18</f>
        <v>McLane-PARFLUX-Mark78H-21 ; 12419-01, S250x21</v>
      </c>
      <c r="E18">
        <f>report!E18</f>
        <v>1000</v>
      </c>
      <c r="F18" s="399">
        <v>1</v>
      </c>
      <c r="G18">
        <f>report!F18</f>
        <v>14.399999999999997</v>
      </c>
      <c r="H18">
        <f>report!G18</f>
        <v>1.6941176470588231</v>
      </c>
      <c r="I18">
        <f>report!H18</f>
        <v>0.61877647058823515</v>
      </c>
      <c r="J18" s="505">
        <v>2</v>
      </c>
      <c r="K18" t="str">
        <f>report!I18</f>
        <v>NaN</v>
      </c>
      <c r="L18" t="str">
        <f>report!J18</f>
        <v>NaN</v>
      </c>
      <c r="M18" s="360">
        <v>9</v>
      </c>
      <c r="N18">
        <f>report!K18</f>
        <v>16.917732238769531</v>
      </c>
      <c r="O18" s="360">
        <v>3</v>
      </c>
      <c r="P18">
        <f>report!L18</f>
        <v>1.5639532804489136</v>
      </c>
      <c r="Q18" s="505">
        <v>3</v>
      </c>
      <c r="R18" t="str">
        <f>report!M18</f>
        <v>NaN</v>
      </c>
      <c r="S18" s="360">
        <v>9</v>
      </c>
      <c r="T18">
        <f>report!N18</f>
        <v>3.889708083832335</v>
      </c>
      <c r="U18" s="505">
        <v>1</v>
      </c>
      <c r="V18">
        <f>report!O18</f>
        <v>8.3208458083832326</v>
      </c>
      <c r="W18" t="str">
        <f>report!P18</f>
        <v>NaN</v>
      </c>
      <c r="X18" t="str">
        <f>report!Q18</f>
        <v>NaN</v>
      </c>
      <c r="Y18">
        <f>report!R18</f>
        <v>0.10468294645062612</v>
      </c>
      <c r="Z18">
        <f>report!S18</f>
        <v>9.6773749104107111E-3</v>
      </c>
      <c r="AA18" t="str">
        <f>report!T18</f>
        <v>NaN</v>
      </c>
      <c r="AB18">
        <f>report!U18</f>
        <v>5.148743601620287E-2</v>
      </c>
      <c r="AC18" s="30">
        <f>report!V18</f>
        <v>42657</v>
      </c>
      <c r="AD18" s="30">
        <f>report!W18</f>
        <v>42674</v>
      </c>
      <c r="AE18" s="30">
        <f>report!X18</f>
        <v>42665.5</v>
      </c>
      <c r="AF18">
        <f>report!Y18</f>
        <v>17</v>
      </c>
      <c r="AG18">
        <f>report!Z18</f>
        <v>2.4068598397322994E-2</v>
      </c>
      <c r="AH18">
        <f>report!AA18</f>
        <v>8.7163152748231578E-3</v>
      </c>
      <c r="AI18">
        <f>report!AB18</f>
        <v>6.9074767383374099E-4</v>
      </c>
      <c r="AJ18" t="str">
        <f>report!AC18</f>
        <v>NaN</v>
      </c>
      <c r="AK18" t="str">
        <f>report!AD18</f>
        <v>NaN</v>
      </c>
      <c r="AL18">
        <f>report!AE18</f>
        <v>8.5683867558999623E-4</v>
      </c>
      <c r="AM18">
        <f>report!AF18</f>
        <v>983.3</v>
      </c>
      <c r="AO18">
        <f>report!AH18</f>
        <v>8.7163152748231578</v>
      </c>
      <c r="AP18">
        <v>3</v>
      </c>
      <c r="AQ18">
        <f>report!AI18</f>
        <v>0.69074767383374103</v>
      </c>
      <c r="AR18">
        <v>3</v>
      </c>
      <c r="AS18" t="str">
        <f>report!AJ18</f>
        <v>NaN</v>
      </c>
      <c r="AT18">
        <v>9</v>
      </c>
      <c r="AU18" t="str">
        <f>report!AK18</f>
        <v>NaN</v>
      </c>
      <c r="AV18">
        <v>9</v>
      </c>
      <c r="AW18">
        <f>report!AL18</f>
        <v>0.85683867558999627</v>
      </c>
      <c r="AX18">
        <v>2</v>
      </c>
      <c r="AY18" t="str">
        <f>report!AM18</f>
        <v>NaN</v>
      </c>
      <c r="AZ18" t="str">
        <f>report!AN18</f>
        <v>NaN</v>
      </c>
      <c r="BA18">
        <f>report!AO18</f>
        <v>38.24</v>
      </c>
      <c r="BB18">
        <v>1</v>
      </c>
      <c r="BC18">
        <f>report!AP18</f>
        <v>8.6</v>
      </c>
      <c r="BD18">
        <v>1</v>
      </c>
    </row>
    <row r="19" spans="1:56" x14ac:dyDescent="0.25">
      <c r="A19">
        <f>report!A19</f>
        <v>2016</v>
      </c>
      <c r="B19" t="str">
        <f>report!B19</f>
        <v>47_1000</v>
      </c>
      <c r="C19">
        <f>report!C19</f>
        <v>14</v>
      </c>
      <c r="D19" t="str">
        <f>report!D19</f>
        <v>McLane-PARFLUX-Mark78H-21 ; 12419-01, S250x21</v>
      </c>
      <c r="E19">
        <f>report!E19</f>
        <v>1000</v>
      </c>
      <c r="F19" s="399">
        <v>1</v>
      </c>
      <c r="G19">
        <f>report!F19</f>
        <v>30.885714285714283</v>
      </c>
      <c r="H19">
        <f>report!G19</f>
        <v>3.6336134453781508</v>
      </c>
      <c r="I19">
        <f>report!H19</f>
        <v>1.3271773109243696</v>
      </c>
      <c r="J19">
        <v>1</v>
      </c>
      <c r="K19">
        <f>report!I19</f>
        <v>39.286833962453755</v>
      </c>
      <c r="L19">
        <f>report!J19</f>
        <v>4.714252073838531</v>
      </c>
      <c r="M19">
        <v>3</v>
      </c>
      <c r="N19">
        <f>report!K19</f>
        <v>10.444699287414551</v>
      </c>
      <c r="O19">
        <v>3</v>
      </c>
      <c r="P19">
        <f>report!L19</f>
        <v>0.79616892337799072</v>
      </c>
      <c r="Q19">
        <v>1</v>
      </c>
      <c r="R19">
        <f>report!M19</f>
        <v>5.7304472135760198</v>
      </c>
      <c r="S19">
        <v>3</v>
      </c>
      <c r="T19">
        <f>report!N19</f>
        <v>2.5490511049723756</v>
      </c>
      <c r="U19">
        <v>1</v>
      </c>
      <c r="V19">
        <f>report!O19</f>
        <v>5.4529185082872935</v>
      </c>
      <c r="W19">
        <f>report!P19</f>
        <v>0.52140594653021566</v>
      </c>
      <c r="X19">
        <f>report!Q19</f>
        <v>6.256648390376654E-2</v>
      </c>
      <c r="Y19">
        <f>report!R19</f>
        <v>0.13861967913684523</v>
      </c>
      <c r="Z19">
        <f>report!S19</f>
        <v>1.0566573307703523E-2</v>
      </c>
      <c r="AA19">
        <f>report!T19</f>
        <v>7.6053195233078685E-2</v>
      </c>
      <c r="AB19">
        <f>report!U19</f>
        <v>7.2369897225184554E-2</v>
      </c>
      <c r="AC19" s="30">
        <f>report!V19</f>
        <v>42674</v>
      </c>
      <c r="AD19" s="30">
        <f>report!W19</f>
        <v>42691</v>
      </c>
      <c r="AE19" s="30">
        <f>report!X19</f>
        <v>42682.5</v>
      </c>
      <c r="AF19">
        <f>report!Y19</f>
        <v>17</v>
      </c>
      <c r="AG19">
        <f>report!Z19</f>
        <v>3.3830427909060309E-2</v>
      </c>
      <c r="AH19">
        <f>report!AA19</f>
        <v>1.1542021576756472E-2</v>
      </c>
      <c r="AI19">
        <f>report!AB19</f>
        <v>7.5421651018583319E-4</v>
      </c>
      <c r="AJ19">
        <f>report!AC19</f>
        <v>6.3324891950939793E-3</v>
      </c>
      <c r="AK19">
        <f>report!AD19</f>
        <v>5.2095323816624926E-3</v>
      </c>
      <c r="AL19">
        <f>report!AE19</f>
        <v>1.2043584161288824E-3</v>
      </c>
      <c r="AM19">
        <f>report!AF19</f>
        <v>983.3</v>
      </c>
      <c r="AO19">
        <f>report!AH19</f>
        <v>11.542021576756472</v>
      </c>
      <c r="AP19">
        <v>3</v>
      </c>
      <c r="AQ19">
        <f>report!AI19</f>
        <v>0.75421651018583313</v>
      </c>
      <c r="AR19">
        <v>1</v>
      </c>
      <c r="AS19">
        <f>report!AJ19</f>
        <v>6.332489195093979</v>
      </c>
      <c r="AT19">
        <v>3</v>
      </c>
      <c r="AU19">
        <f>report!AK19</f>
        <v>5.209532381662493</v>
      </c>
      <c r="AV19">
        <v>3</v>
      </c>
      <c r="AW19">
        <f>report!AL19</f>
        <v>1.2043584161288825</v>
      </c>
      <c r="AX19">
        <v>1</v>
      </c>
      <c r="AY19">
        <f>report!AM19</f>
        <v>8.3961158494577397</v>
      </c>
      <c r="AZ19">
        <f>report!AN19</f>
        <v>6.9072107429455558</v>
      </c>
      <c r="BA19">
        <f>report!AO19</f>
        <v>38.33</v>
      </c>
      <c r="BB19">
        <v>1</v>
      </c>
      <c r="BC19">
        <f>report!AP19</f>
        <v>8.4700000000000006</v>
      </c>
      <c r="BD19">
        <v>1</v>
      </c>
    </row>
    <row r="20" spans="1:56" x14ac:dyDescent="0.25">
      <c r="A20">
        <f>report!A20</f>
        <v>2016</v>
      </c>
      <c r="B20" t="str">
        <f>report!B20</f>
        <v>47_1000</v>
      </c>
      <c r="C20">
        <f>report!C20</f>
        <v>15</v>
      </c>
      <c r="D20" t="str">
        <f>report!D20</f>
        <v>McLane-PARFLUX-Mark78H-21 ; 12419-01, S250x21</v>
      </c>
      <c r="E20">
        <f>report!E20</f>
        <v>1000</v>
      </c>
      <c r="F20" s="399">
        <v>1</v>
      </c>
      <c r="G20">
        <f>report!F20</f>
        <v>13.671428571428573</v>
      </c>
      <c r="H20">
        <f>report!G20</f>
        <v>1.6084033613445379</v>
      </c>
      <c r="I20">
        <f>report!H20</f>
        <v>0.58746932773109251</v>
      </c>
      <c r="J20" s="505">
        <v>2</v>
      </c>
      <c r="K20" t="str">
        <f>report!I20</f>
        <v>NaN</v>
      </c>
      <c r="L20" t="str">
        <f>report!J20</f>
        <v>NaN</v>
      </c>
      <c r="M20" s="360">
        <v>9</v>
      </c>
      <c r="N20">
        <f>report!K20</f>
        <v>14.620884895324707</v>
      </c>
      <c r="O20" s="360">
        <v>1</v>
      </c>
      <c r="P20">
        <f>report!L20</f>
        <v>1.1134974956512451</v>
      </c>
      <c r="Q20" s="505">
        <v>1</v>
      </c>
      <c r="R20" t="str">
        <f>report!M20</f>
        <v>NaN</v>
      </c>
      <c r="S20" s="360">
        <v>9</v>
      </c>
      <c r="T20">
        <f>report!N20</f>
        <v>3.4687657891237857</v>
      </c>
      <c r="U20" s="505">
        <v>1</v>
      </c>
      <c r="V20">
        <f>report!O20</f>
        <v>7.4203679696848805</v>
      </c>
      <c r="W20" t="str">
        <f>report!P20</f>
        <v>NaN</v>
      </c>
      <c r="X20" t="str">
        <f>report!Q20</f>
        <v>NaN</v>
      </c>
      <c r="Y20">
        <f>report!R20</f>
        <v>8.58932142029009E-2</v>
      </c>
      <c r="Z20">
        <f>report!S20</f>
        <v>6.5414562520049206E-3</v>
      </c>
      <c r="AA20" t="str">
        <f>report!T20</f>
        <v>NaN</v>
      </c>
      <c r="AB20">
        <f>report!U20</f>
        <v>4.3592385826681089E-2</v>
      </c>
      <c r="AC20" s="30">
        <f>report!V20</f>
        <v>42691</v>
      </c>
      <c r="AD20" s="30">
        <f>report!W20</f>
        <v>42708</v>
      </c>
      <c r="AE20" s="30">
        <f>report!X20</f>
        <v>42699.5</v>
      </c>
      <c r="AF20">
        <f>report!Y20</f>
        <v>17</v>
      </c>
      <c r="AG20">
        <f>report!Z20</f>
        <v>2.037793506193163E-2</v>
      </c>
      <c r="AH20">
        <f>report!AA20</f>
        <v>7.1518080102332144E-3</v>
      </c>
      <c r="AI20">
        <f>report!AB20</f>
        <v>4.6691336559635409E-4</v>
      </c>
      <c r="AJ20" t="str">
        <f>report!AC20</f>
        <v>NaN</v>
      </c>
      <c r="AK20" t="str">
        <f>report!AD20</f>
        <v>NaN</v>
      </c>
      <c r="AL20">
        <f>report!AE20</f>
        <v>7.2545158639842039E-4</v>
      </c>
      <c r="AM20">
        <f>report!AF20</f>
        <v>983.3</v>
      </c>
      <c r="AO20">
        <f>report!AH20</f>
        <v>7.1518080102332142</v>
      </c>
      <c r="AP20">
        <v>2</v>
      </c>
      <c r="AQ20">
        <f>report!AI20</f>
        <v>0.4669133655963541</v>
      </c>
      <c r="AR20">
        <v>2</v>
      </c>
      <c r="AS20" t="str">
        <f>report!AJ20</f>
        <v>NaN</v>
      </c>
      <c r="AT20">
        <v>9</v>
      </c>
      <c r="AU20" t="str">
        <f>report!AK20</f>
        <v>NaN</v>
      </c>
      <c r="AV20">
        <v>9</v>
      </c>
      <c r="AW20">
        <f>report!AL20</f>
        <v>0.72545158639842033</v>
      </c>
      <c r="AX20">
        <v>2</v>
      </c>
      <c r="AY20" t="str">
        <f>report!AM20</f>
        <v>NaN</v>
      </c>
      <c r="AZ20" t="str">
        <f>report!AN20</f>
        <v>NaN</v>
      </c>
      <c r="BA20">
        <f>report!AO20</f>
        <v>38.090000000000003</v>
      </c>
      <c r="BB20">
        <v>1</v>
      </c>
      <c r="BC20">
        <f>report!AP20</f>
        <v>8.5399999999999991</v>
      </c>
      <c r="BD20">
        <v>1</v>
      </c>
    </row>
    <row r="21" spans="1:56" x14ac:dyDescent="0.25">
      <c r="A21">
        <f>report!A21</f>
        <v>2016</v>
      </c>
      <c r="B21" t="str">
        <f>report!B21</f>
        <v>47_1000</v>
      </c>
      <c r="C21">
        <f>report!C21</f>
        <v>16</v>
      </c>
      <c r="D21" t="str">
        <f>report!D21</f>
        <v>McLane-PARFLUX-Mark78H-21 ; 12419-01, S250x21</v>
      </c>
      <c r="E21">
        <f>report!E21</f>
        <v>1000</v>
      </c>
      <c r="F21" s="399">
        <v>1</v>
      </c>
      <c r="G21">
        <f>report!F21</f>
        <v>7.1857142857142877</v>
      </c>
      <c r="H21">
        <f>report!G21</f>
        <v>0.84537815126050442</v>
      </c>
      <c r="I21">
        <f>report!H21</f>
        <v>0.30877436974789924</v>
      </c>
      <c r="J21" s="505">
        <v>2</v>
      </c>
      <c r="K21" t="str">
        <f>report!I21</f>
        <v>NaN</v>
      </c>
      <c r="L21" t="str">
        <f>report!J21</f>
        <v>NaN</v>
      </c>
      <c r="M21" s="360">
        <v>9</v>
      </c>
      <c r="N21" t="str">
        <f>report!K21</f>
        <v>NaN</v>
      </c>
      <c r="O21" s="360">
        <v>9</v>
      </c>
      <c r="P21" t="str">
        <f>report!L21</f>
        <v>NaN</v>
      </c>
      <c r="Q21" s="505">
        <v>9</v>
      </c>
      <c r="R21" t="str">
        <f>report!M21</f>
        <v>NaN</v>
      </c>
      <c r="S21" s="360">
        <v>9</v>
      </c>
      <c r="T21" t="str">
        <f>report!N21</f>
        <v>NaN</v>
      </c>
      <c r="U21" s="505">
        <v>9</v>
      </c>
      <c r="V21" t="str">
        <f>report!O21</f>
        <v>NaN</v>
      </c>
      <c r="W21" t="str">
        <f>report!P21</f>
        <v>NaN</v>
      </c>
      <c r="X21" t="str">
        <f>report!Q21</f>
        <v>NaN</v>
      </c>
      <c r="Y21" t="str">
        <f>report!R21</f>
        <v>NaN</v>
      </c>
      <c r="Z21" t="str">
        <f>report!S21</f>
        <v>NaN</v>
      </c>
      <c r="AA21" t="str">
        <f>report!T21</f>
        <v>NaN</v>
      </c>
      <c r="AB21" t="str">
        <f>report!U21</f>
        <v>NaN</v>
      </c>
      <c r="AC21" s="30">
        <f>report!V21</f>
        <v>42708</v>
      </c>
      <c r="AD21" s="30">
        <f>report!W21</f>
        <v>42725</v>
      </c>
      <c r="AE21" s="30">
        <f>report!X21</f>
        <v>42716.5</v>
      </c>
      <c r="AF21">
        <f>report!Y21</f>
        <v>17</v>
      </c>
      <c r="AG21" t="str">
        <f>report!Z21</f>
        <v>NaN</v>
      </c>
      <c r="AH21" t="str">
        <f>report!AA21</f>
        <v>NaN</v>
      </c>
      <c r="AI21" t="str">
        <f>report!AB21</f>
        <v>NaN</v>
      </c>
      <c r="AJ21" t="str">
        <f>report!AC21</f>
        <v>NaN</v>
      </c>
      <c r="AK21" t="str">
        <f>report!AD21</f>
        <v>NaN</v>
      </c>
      <c r="AL21" t="str">
        <f>report!AE21</f>
        <v>NaN</v>
      </c>
      <c r="AM21">
        <f>report!AF21</f>
        <v>983.3</v>
      </c>
      <c r="AO21" t="str">
        <f>report!AH21</f>
        <v>NaN</v>
      </c>
      <c r="AP21">
        <v>9</v>
      </c>
      <c r="AQ21" t="str">
        <f>report!AI21</f>
        <v>NaN</v>
      </c>
      <c r="AR21">
        <v>9</v>
      </c>
      <c r="AS21" t="str">
        <f>report!AJ21</f>
        <v>NaN</v>
      </c>
      <c r="AT21">
        <v>9</v>
      </c>
      <c r="AU21" t="str">
        <f>report!AK21</f>
        <v>NaN</v>
      </c>
      <c r="AV21">
        <v>9</v>
      </c>
      <c r="AW21" t="str">
        <f>report!AL21</f>
        <v>NaN</v>
      </c>
      <c r="AX21">
        <v>9</v>
      </c>
      <c r="AY21" t="str">
        <f>report!AM21</f>
        <v>NaN</v>
      </c>
      <c r="AZ21" t="str">
        <f>report!AN21</f>
        <v>NaN</v>
      </c>
      <c r="BA21">
        <f>report!AO21</f>
        <v>38.130000000000003</v>
      </c>
      <c r="BB21">
        <v>1</v>
      </c>
      <c r="BC21">
        <f>report!AP21</f>
        <v>8.57</v>
      </c>
      <c r="BD21">
        <v>1</v>
      </c>
    </row>
    <row r="22" spans="1:56" x14ac:dyDescent="0.25">
      <c r="A22">
        <f>report!A22</f>
        <v>2016</v>
      </c>
      <c r="B22" t="str">
        <f>report!B22</f>
        <v>47_1000</v>
      </c>
      <c r="C22">
        <f>report!C22</f>
        <v>17</v>
      </c>
      <c r="D22" t="str">
        <f>report!D22</f>
        <v>McLane-PARFLUX-Mark78H-21 ; 12419-01, S250x21</v>
      </c>
      <c r="E22">
        <f>report!E22</f>
        <v>1000</v>
      </c>
      <c r="F22" s="399">
        <v>1</v>
      </c>
      <c r="G22">
        <f>report!F22</f>
        <v>5.3857142857142906</v>
      </c>
      <c r="H22">
        <f>report!G22</f>
        <v>0.63361344537815179</v>
      </c>
      <c r="I22">
        <f>report!H22</f>
        <v>0.23142731092436997</v>
      </c>
      <c r="J22" s="505">
        <v>2</v>
      </c>
      <c r="K22" t="str">
        <f>report!I22</f>
        <v>NaN</v>
      </c>
      <c r="L22" t="str">
        <f>report!J22</f>
        <v>NaN</v>
      </c>
      <c r="M22" s="360">
        <v>9</v>
      </c>
      <c r="N22" t="str">
        <f>report!K22</f>
        <v>NaN</v>
      </c>
      <c r="O22" s="360">
        <v>9</v>
      </c>
      <c r="P22" t="str">
        <f>report!L22</f>
        <v>NaN</v>
      </c>
      <c r="Q22" s="505">
        <v>9</v>
      </c>
      <c r="R22" t="str">
        <f>report!M22</f>
        <v>NaN</v>
      </c>
      <c r="S22" s="360">
        <v>9</v>
      </c>
      <c r="T22" t="str">
        <f>report!N22</f>
        <v>NaN</v>
      </c>
      <c r="U22" s="505">
        <v>9</v>
      </c>
      <c r="V22" t="str">
        <f>report!O22</f>
        <v>NaN</v>
      </c>
      <c r="W22" t="str">
        <f>report!P22</f>
        <v>NaN</v>
      </c>
      <c r="X22" t="str">
        <f>report!Q22</f>
        <v>NaN</v>
      </c>
      <c r="Y22" t="str">
        <f>report!R22</f>
        <v>NaN</v>
      </c>
      <c r="Z22" t="str">
        <f>report!S22</f>
        <v>NaN</v>
      </c>
      <c r="AA22" t="str">
        <f>report!T22</f>
        <v>NaN</v>
      </c>
      <c r="AB22" t="str">
        <f>report!U22</f>
        <v>NaN</v>
      </c>
      <c r="AC22" s="30">
        <f>report!V22</f>
        <v>42725</v>
      </c>
      <c r="AD22" s="30">
        <f>report!W22</f>
        <v>42742</v>
      </c>
      <c r="AE22" s="30">
        <f>report!X22</f>
        <v>42733.5</v>
      </c>
      <c r="AF22">
        <f>report!Y22</f>
        <v>17</v>
      </c>
      <c r="AG22" t="str">
        <f>report!Z22</f>
        <v>NaN</v>
      </c>
      <c r="AH22" t="str">
        <f>report!AA22</f>
        <v>NaN</v>
      </c>
      <c r="AI22" t="str">
        <f>report!AB22</f>
        <v>NaN</v>
      </c>
      <c r="AJ22" t="str">
        <f>report!AC22</f>
        <v>NaN</v>
      </c>
      <c r="AK22" t="str">
        <f>report!AD22</f>
        <v>NaN</v>
      </c>
      <c r="AL22" t="str">
        <f>report!AE22</f>
        <v>NaN</v>
      </c>
      <c r="AM22">
        <f>report!AF22</f>
        <v>983.3</v>
      </c>
      <c r="AO22" t="str">
        <f>report!AH22</f>
        <v>NaN</v>
      </c>
      <c r="AP22">
        <v>9</v>
      </c>
      <c r="AQ22" t="str">
        <f>report!AI22</f>
        <v>NaN</v>
      </c>
      <c r="AR22">
        <v>9</v>
      </c>
      <c r="AS22" t="str">
        <f>report!AJ22</f>
        <v>NaN</v>
      </c>
      <c r="AT22">
        <v>9</v>
      </c>
      <c r="AU22" t="str">
        <f>report!AK22</f>
        <v>NaN</v>
      </c>
      <c r="AV22">
        <v>9</v>
      </c>
      <c r="AW22" t="str">
        <f>report!AL22</f>
        <v>NaN</v>
      </c>
      <c r="AX22">
        <v>9</v>
      </c>
      <c r="AY22" t="str">
        <f>report!AM22</f>
        <v>NaN</v>
      </c>
      <c r="AZ22" t="str">
        <f>report!AN22</f>
        <v>NaN</v>
      </c>
      <c r="BA22">
        <f>report!AO22</f>
        <v>38.270000000000003</v>
      </c>
      <c r="BB22">
        <v>1</v>
      </c>
      <c r="BC22">
        <f>report!AP22</f>
        <v>8.6300000000000008</v>
      </c>
      <c r="BD22">
        <v>1</v>
      </c>
    </row>
    <row r="23" spans="1:56" x14ac:dyDescent="0.25">
      <c r="A23">
        <f>report!A23</f>
        <v>2016</v>
      </c>
      <c r="B23" t="str">
        <f>report!B23</f>
        <v>47_1000</v>
      </c>
      <c r="C23">
        <f>report!C23</f>
        <v>18</v>
      </c>
      <c r="D23" t="str">
        <f>report!D23</f>
        <v>McLane-PARFLUX-Mark78H-21 ; 12419-01, S250x21</v>
      </c>
      <c r="E23">
        <f>report!E23</f>
        <v>1000</v>
      </c>
      <c r="F23" s="399">
        <v>1</v>
      </c>
      <c r="G23">
        <f>report!F23</f>
        <v>2.9285714285714346</v>
      </c>
      <c r="H23">
        <f>report!G23</f>
        <v>0.34453781512605114</v>
      </c>
      <c r="I23">
        <f>report!H23</f>
        <v>0.12584243697479019</v>
      </c>
      <c r="J23" s="505">
        <v>2</v>
      </c>
      <c r="K23" t="str">
        <f>report!I23</f>
        <v>NaN</v>
      </c>
      <c r="L23" t="str">
        <f>report!J23</f>
        <v>NaN</v>
      </c>
      <c r="M23" s="360">
        <v>9</v>
      </c>
      <c r="N23" t="str">
        <f>report!K23</f>
        <v>NaN</v>
      </c>
      <c r="O23" s="360">
        <v>9</v>
      </c>
      <c r="P23" t="str">
        <f>report!L23</f>
        <v>NaN</v>
      </c>
      <c r="Q23" s="505">
        <v>9</v>
      </c>
      <c r="R23" t="str">
        <f>report!M23</f>
        <v>NaN</v>
      </c>
      <c r="S23" s="360">
        <v>9</v>
      </c>
      <c r="T23" t="str">
        <f>report!N23</f>
        <v>NaN</v>
      </c>
      <c r="U23" s="505">
        <v>9</v>
      </c>
      <c r="V23" t="str">
        <f>report!O23</f>
        <v>NaN</v>
      </c>
      <c r="W23" t="str">
        <f>report!P23</f>
        <v>NaN</v>
      </c>
      <c r="X23" t="str">
        <f>report!Q23</f>
        <v>NaN</v>
      </c>
      <c r="Y23" t="str">
        <f>report!R23</f>
        <v>NaN</v>
      </c>
      <c r="Z23" t="str">
        <f>report!S23</f>
        <v>NaN</v>
      </c>
      <c r="AA23" t="str">
        <f>report!T23</f>
        <v>NaN</v>
      </c>
      <c r="AB23" t="str">
        <f>report!U23</f>
        <v>NaN</v>
      </c>
      <c r="AC23" s="30">
        <f>report!V23</f>
        <v>42742</v>
      </c>
      <c r="AD23" s="30">
        <f>report!W23</f>
        <v>42759</v>
      </c>
      <c r="AE23" s="30">
        <f>report!X23</f>
        <v>42750.5</v>
      </c>
      <c r="AF23">
        <f>report!Y23</f>
        <v>17</v>
      </c>
      <c r="AG23" t="str">
        <f>report!Z23</f>
        <v>NaN</v>
      </c>
      <c r="AH23" t="str">
        <f>report!AA23</f>
        <v>NaN</v>
      </c>
      <c r="AI23" t="str">
        <f>report!AB23</f>
        <v>NaN</v>
      </c>
      <c r="AJ23" t="str">
        <f>report!AC23</f>
        <v>NaN</v>
      </c>
      <c r="AK23" t="str">
        <f>report!AD23</f>
        <v>NaN</v>
      </c>
      <c r="AL23" t="str">
        <f>report!AE23</f>
        <v>NaN</v>
      </c>
      <c r="AM23">
        <f>report!AF23</f>
        <v>983.3</v>
      </c>
      <c r="AO23" t="str">
        <f>report!AH23</f>
        <v>NaN</v>
      </c>
      <c r="AP23">
        <v>9</v>
      </c>
      <c r="AQ23" t="str">
        <f>report!AI23</f>
        <v>NaN</v>
      </c>
      <c r="AR23">
        <v>9</v>
      </c>
      <c r="AS23" t="str">
        <f>report!AJ23</f>
        <v>NaN</v>
      </c>
      <c r="AT23">
        <v>9</v>
      </c>
      <c r="AU23" t="str">
        <f>report!AK23</f>
        <v>NaN</v>
      </c>
      <c r="AV23">
        <v>9</v>
      </c>
      <c r="AW23" t="str">
        <f>report!AL23</f>
        <v>NaN</v>
      </c>
      <c r="AX23">
        <v>9</v>
      </c>
      <c r="AY23" t="str">
        <f>report!AM23</f>
        <v>NaN</v>
      </c>
      <c r="AZ23" t="str">
        <f>report!AN23</f>
        <v>NaN</v>
      </c>
      <c r="BA23">
        <f>report!AO23</f>
        <v>38.18</v>
      </c>
      <c r="BB23">
        <v>1</v>
      </c>
      <c r="BC23">
        <f>report!AP23</f>
        <v>8.66</v>
      </c>
      <c r="BD23">
        <v>1</v>
      </c>
    </row>
    <row r="24" spans="1:56" x14ac:dyDescent="0.25">
      <c r="A24">
        <f>report!A24</f>
        <v>2016</v>
      </c>
      <c r="B24" t="str">
        <f>report!B24</f>
        <v>47_1000</v>
      </c>
      <c r="C24">
        <f>report!C24</f>
        <v>19</v>
      </c>
      <c r="D24" t="str">
        <f>report!D24</f>
        <v>McLane-PARFLUX-Mark78H-21 ; 12419-01, S250x21</v>
      </c>
      <c r="E24">
        <f>report!E24</f>
        <v>1000</v>
      </c>
      <c r="F24" s="399">
        <v>1</v>
      </c>
      <c r="G24">
        <f>report!F24</f>
        <v>3.8285714285714385</v>
      </c>
      <c r="H24">
        <f>report!G24</f>
        <v>0.45042016806722807</v>
      </c>
      <c r="I24">
        <f>report!H24</f>
        <v>0.16451596638655505</v>
      </c>
      <c r="J24" s="505">
        <v>2</v>
      </c>
      <c r="K24" t="str">
        <f>report!I24</f>
        <v>NaN</v>
      </c>
      <c r="L24" t="str">
        <f>report!J24</f>
        <v>NaN</v>
      </c>
      <c r="M24" s="360">
        <v>9</v>
      </c>
      <c r="N24" t="str">
        <f>report!K24</f>
        <v>NaN</v>
      </c>
      <c r="O24" s="360">
        <v>9</v>
      </c>
      <c r="P24" t="str">
        <f>report!L24</f>
        <v>NaN</v>
      </c>
      <c r="Q24" s="505">
        <v>9</v>
      </c>
      <c r="R24" t="str">
        <f>report!M24</f>
        <v>NaN</v>
      </c>
      <c r="S24" s="360">
        <v>9</v>
      </c>
      <c r="T24" t="str">
        <f>report!N24</f>
        <v>NaN</v>
      </c>
      <c r="U24" s="505">
        <v>9</v>
      </c>
      <c r="V24" t="str">
        <f>report!O24</f>
        <v>NaN</v>
      </c>
      <c r="W24" t="str">
        <f>report!P24</f>
        <v>NaN</v>
      </c>
      <c r="X24" t="str">
        <f>report!Q24</f>
        <v>NaN</v>
      </c>
      <c r="Y24" t="str">
        <f>report!R24</f>
        <v>NaN</v>
      </c>
      <c r="Z24" t="str">
        <f>report!S24</f>
        <v>NaN</v>
      </c>
      <c r="AA24" t="str">
        <f>report!T24</f>
        <v>NaN</v>
      </c>
      <c r="AB24" t="str">
        <f>report!U24</f>
        <v>NaN</v>
      </c>
      <c r="AC24" s="30">
        <f>report!V24</f>
        <v>42759</v>
      </c>
      <c r="AD24" s="30">
        <f>report!W24</f>
        <v>42776</v>
      </c>
      <c r="AE24" s="30">
        <f>report!X24</f>
        <v>42767.5</v>
      </c>
      <c r="AF24">
        <f>report!Y24</f>
        <v>17</v>
      </c>
      <c r="AG24" t="str">
        <f>report!Z24</f>
        <v>NaN</v>
      </c>
      <c r="AH24" t="str">
        <f>report!AA24</f>
        <v>NaN</v>
      </c>
      <c r="AI24" t="str">
        <f>report!AB24</f>
        <v>NaN</v>
      </c>
      <c r="AJ24" t="str">
        <f>report!AC24</f>
        <v>NaN</v>
      </c>
      <c r="AK24" t="str">
        <f>report!AD24</f>
        <v>NaN</v>
      </c>
      <c r="AL24" t="str">
        <f>report!AE24</f>
        <v>NaN</v>
      </c>
      <c r="AM24">
        <f>report!AF24</f>
        <v>983.3</v>
      </c>
      <c r="AO24" t="str">
        <f>report!AH24</f>
        <v>NaN</v>
      </c>
      <c r="AP24">
        <v>9</v>
      </c>
      <c r="AQ24" t="str">
        <f>report!AI24</f>
        <v>NaN</v>
      </c>
      <c r="AR24">
        <v>9</v>
      </c>
      <c r="AS24" t="str">
        <f>report!AJ24</f>
        <v>NaN</v>
      </c>
      <c r="AT24">
        <v>9</v>
      </c>
      <c r="AU24" t="str">
        <f>report!AK24</f>
        <v>NaN</v>
      </c>
      <c r="AV24">
        <v>9</v>
      </c>
      <c r="AW24" t="str">
        <f>report!AL24</f>
        <v>NaN</v>
      </c>
      <c r="AX24">
        <v>9</v>
      </c>
      <c r="AY24" t="str">
        <f>report!AM24</f>
        <v>NaN</v>
      </c>
      <c r="AZ24" t="str">
        <f>report!AN24</f>
        <v>NaN</v>
      </c>
      <c r="BA24">
        <f>report!AO24</f>
        <v>37.950000000000003</v>
      </c>
      <c r="BB24">
        <v>1</v>
      </c>
      <c r="BC24">
        <f>report!AP24</f>
        <v>8.6300000000000008</v>
      </c>
      <c r="BD24">
        <v>1</v>
      </c>
    </row>
    <row r="25" spans="1:56" x14ac:dyDescent="0.25">
      <c r="A25">
        <f>report!A25</f>
        <v>2016</v>
      </c>
      <c r="B25" t="str">
        <f>report!B25</f>
        <v>47_1000</v>
      </c>
      <c r="C25">
        <f>report!C25</f>
        <v>20</v>
      </c>
      <c r="D25" t="str">
        <f>report!D25</f>
        <v>McLane-PARFLUX-Mark78H-21 ; 12419-01, S250x21</v>
      </c>
      <c r="E25">
        <f>report!E25</f>
        <v>1000</v>
      </c>
      <c r="F25" s="399">
        <v>1</v>
      </c>
      <c r="G25">
        <f>report!F25</f>
        <v>2.2142857142857104</v>
      </c>
      <c r="H25">
        <f>report!G25</f>
        <v>0.26050420168067179</v>
      </c>
      <c r="I25">
        <f>report!H25</f>
        <v>9.514915966386539E-2</v>
      </c>
      <c r="J25" s="505">
        <v>2</v>
      </c>
      <c r="K25" t="str">
        <f>report!I25</f>
        <v>NaN</v>
      </c>
      <c r="L25" t="str">
        <f>report!J25</f>
        <v>NaN</v>
      </c>
      <c r="M25" s="360">
        <v>9</v>
      </c>
      <c r="N25" t="str">
        <f>report!K25</f>
        <v>NaN</v>
      </c>
      <c r="O25" s="360">
        <v>9</v>
      </c>
      <c r="P25" t="str">
        <f>report!L25</f>
        <v>NaN</v>
      </c>
      <c r="Q25" s="505">
        <v>9</v>
      </c>
      <c r="R25" t="str">
        <f>report!M25</f>
        <v>NaN</v>
      </c>
      <c r="S25" s="360">
        <v>9</v>
      </c>
      <c r="T25" t="str">
        <f>report!N25</f>
        <v>NaN</v>
      </c>
      <c r="U25" s="505">
        <v>9</v>
      </c>
      <c r="V25" t="str">
        <f>report!O25</f>
        <v>NaN</v>
      </c>
      <c r="W25" t="str">
        <f>report!P25</f>
        <v>NaN</v>
      </c>
      <c r="X25" t="str">
        <f>report!Q25</f>
        <v>NaN</v>
      </c>
      <c r="Y25" t="str">
        <f>report!R25</f>
        <v>NaN</v>
      </c>
      <c r="Z25" t="str">
        <f>report!S25</f>
        <v>NaN</v>
      </c>
      <c r="AA25" t="str">
        <f>report!T25</f>
        <v>NaN</v>
      </c>
      <c r="AB25" t="str">
        <f>report!U25</f>
        <v>NaN</v>
      </c>
      <c r="AC25" s="30">
        <f>report!V25</f>
        <v>42776</v>
      </c>
      <c r="AD25" s="30">
        <f>report!W25</f>
        <v>42793</v>
      </c>
      <c r="AE25" s="30">
        <f>report!X25</f>
        <v>42784.5</v>
      </c>
      <c r="AF25">
        <f>report!Y25</f>
        <v>17</v>
      </c>
      <c r="AG25" t="str">
        <f>report!Z25</f>
        <v>NaN</v>
      </c>
      <c r="AH25" t="str">
        <f>report!AA25</f>
        <v>NaN</v>
      </c>
      <c r="AI25" t="str">
        <f>report!AB25</f>
        <v>NaN</v>
      </c>
      <c r="AJ25" t="str">
        <f>report!AC25</f>
        <v>NaN</v>
      </c>
      <c r="AK25" t="str">
        <f>report!AD25</f>
        <v>NaN</v>
      </c>
      <c r="AL25" t="str">
        <f>report!AE25</f>
        <v>NaN</v>
      </c>
      <c r="AM25">
        <f>report!AF25</f>
        <v>983.3</v>
      </c>
      <c r="AO25" t="str">
        <f>report!AH25</f>
        <v>NaN</v>
      </c>
      <c r="AP25">
        <v>9</v>
      </c>
      <c r="AQ25" t="str">
        <f>report!AI25</f>
        <v>NaN</v>
      </c>
      <c r="AR25">
        <v>9</v>
      </c>
      <c r="AS25" t="str">
        <f>report!AJ25</f>
        <v>NaN</v>
      </c>
      <c r="AT25">
        <v>9</v>
      </c>
      <c r="AU25" t="str">
        <f>report!AK25</f>
        <v>NaN</v>
      </c>
      <c r="AV25">
        <v>9</v>
      </c>
      <c r="AW25" t="str">
        <f>report!AL25</f>
        <v>NaN</v>
      </c>
      <c r="AX25">
        <v>9</v>
      </c>
      <c r="AY25" t="str">
        <f>report!AM25</f>
        <v>NaN</v>
      </c>
      <c r="AZ25" t="str">
        <f>report!AN25</f>
        <v>NaN</v>
      </c>
      <c r="BA25">
        <f>report!AO25</f>
        <v>38.11</v>
      </c>
      <c r="BB25">
        <v>1</v>
      </c>
      <c r="BC25">
        <f>report!AP25</f>
        <v>8.65</v>
      </c>
      <c r="BD25">
        <v>1</v>
      </c>
    </row>
    <row r="26" spans="1:56" s="84" customFormat="1" x14ac:dyDescent="0.25">
      <c r="A26" s="84">
        <f>report!A26</f>
        <v>2016</v>
      </c>
      <c r="B26" s="84" t="str">
        <f>report!B26</f>
        <v>47_1000</v>
      </c>
      <c r="C26" s="84">
        <f>report!C26</f>
        <v>21</v>
      </c>
      <c r="D26" s="84" t="str">
        <f>report!D26</f>
        <v>McLane-PARFLUX-Mark78H-21 ; 12419-01, S250x21</v>
      </c>
      <c r="E26" s="84">
        <f>report!E26</f>
        <v>1000</v>
      </c>
      <c r="F26" s="399">
        <v>1</v>
      </c>
      <c r="G26" s="84">
        <f>report!F26</f>
        <v>1.5285714285714289</v>
      </c>
      <c r="H26" s="84">
        <f>report!G26</f>
        <v>0.17983193277310927</v>
      </c>
      <c r="I26" s="84">
        <f>report!H26</f>
        <v>6.5683613445378167E-2</v>
      </c>
      <c r="J26" s="506">
        <v>2</v>
      </c>
      <c r="K26" s="84" t="str">
        <f>report!I26</f>
        <v>NaN</v>
      </c>
      <c r="L26" s="84" t="str">
        <f>report!J26</f>
        <v>NaN</v>
      </c>
      <c r="M26" s="509">
        <v>9</v>
      </c>
      <c r="N26" s="84" t="str">
        <f>report!K26</f>
        <v>NaN</v>
      </c>
      <c r="O26" s="509">
        <v>9</v>
      </c>
      <c r="P26" s="84" t="str">
        <f>report!L26</f>
        <v>NaN</v>
      </c>
      <c r="Q26" s="506">
        <v>9</v>
      </c>
      <c r="R26" s="84" t="str">
        <f>report!M26</f>
        <v>NaN</v>
      </c>
      <c r="S26" s="509">
        <v>9</v>
      </c>
      <c r="T26" s="84" t="str">
        <f>report!N26</f>
        <v>NaN</v>
      </c>
      <c r="U26" s="506">
        <v>9</v>
      </c>
      <c r="V26" s="84" t="str">
        <f>report!O26</f>
        <v>NaN</v>
      </c>
      <c r="W26" s="84" t="str">
        <f>report!P26</f>
        <v>NaN</v>
      </c>
      <c r="X26" s="84" t="str">
        <f>report!Q26</f>
        <v>NaN</v>
      </c>
      <c r="Y26" s="84" t="str">
        <f>report!R26</f>
        <v>NaN</v>
      </c>
      <c r="Z26" s="84" t="str">
        <f>report!S26</f>
        <v>NaN</v>
      </c>
      <c r="AA26" s="84" t="str">
        <f>report!T26</f>
        <v>NaN</v>
      </c>
      <c r="AB26" s="84" t="str">
        <f>report!U26</f>
        <v>NaN</v>
      </c>
      <c r="AC26" s="503">
        <f>report!V26</f>
        <v>42793</v>
      </c>
      <c r="AD26" s="503">
        <f>report!W26</f>
        <v>42810</v>
      </c>
      <c r="AE26" s="503">
        <f>report!X26</f>
        <v>42801.5</v>
      </c>
      <c r="AF26" s="84">
        <f>report!Y26</f>
        <v>17</v>
      </c>
      <c r="AG26" s="84" t="str">
        <f>report!Z26</f>
        <v>NaN</v>
      </c>
      <c r="AH26" s="84" t="str">
        <f>report!AA26</f>
        <v>NaN</v>
      </c>
      <c r="AI26" s="84" t="str">
        <f>report!AB26</f>
        <v>NaN</v>
      </c>
      <c r="AJ26" s="84" t="str">
        <f>report!AC26</f>
        <v>NaN</v>
      </c>
      <c r="AK26" s="84" t="str">
        <f>report!AD26</f>
        <v>NaN</v>
      </c>
      <c r="AL26" s="84" t="str">
        <f>report!AE26</f>
        <v>NaN</v>
      </c>
      <c r="AM26" s="84">
        <f>report!AF26</f>
        <v>983.3</v>
      </c>
      <c r="AO26" s="84" t="str">
        <f>report!AH26</f>
        <v>NaN</v>
      </c>
      <c r="AP26">
        <v>9</v>
      </c>
      <c r="AQ26" s="84" t="str">
        <f>report!AI26</f>
        <v>NaN</v>
      </c>
      <c r="AR26">
        <v>9</v>
      </c>
      <c r="AS26" s="84" t="str">
        <f>report!AJ26</f>
        <v>NaN</v>
      </c>
      <c r="AT26">
        <v>9</v>
      </c>
      <c r="AU26" s="84" t="str">
        <f>report!AK26</f>
        <v>NaN</v>
      </c>
      <c r="AV26">
        <v>9</v>
      </c>
      <c r="AW26" s="84" t="str">
        <f>report!AL26</f>
        <v>NaN</v>
      </c>
      <c r="AX26">
        <v>9</v>
      </c>
      <c r="AY26" s="84" t="str">
        <f>report!AM26</f>
        <v>NaN</v>
      </c>
      <c r="AZ26" s="84" t="str">
        <f>report!AN26</f>
        <v>NaN</v>
      </c>
      <c r="BA26" s="84">
        <f>report!AO26</f>
        <v>38.35</v>
      </c>
      <c r="BB26">
        <v>1</v>
      </c>
      <c r="BC26" s="84">
        <f>report!AP26</f>
        <v>8.6199999999999992</v>
      </c>
      <c r="BD26">
        <v>1</v>
      </c>
    </row>
    <row r="27" spans="1:56" x14ac:dyDescent="0.25">
      <c r="A27">
        <f>report!A27</f>
        <v>2016</v>
      </c>
      <c r="B27" t="str">
        <f>report!B27</f>
        <v>47_2000</v>
      </c>
      <c r="C27">
        <f>report!C27</f>
        <v>1</v>
      </c>
      <c r="D27" t="str">
        <f>report!D27</f>
        <v>McLane-PARFLUX-Mark78H-21 ; 12419-02, O250x21</v>
      </c>
      <c r="E27">
        <f>report!E27</f>
        <v>2000</v>
      </c>
      <c r="F27" s="399">
        <v>1</v>
      </c>
      <c r="G27">
        <f>report!F27</f>
        <v>260.89999999999998</v>
      </c>
      <c r="H27">
        <f>report!G27</f>
        <v>30.694117647058821</v>
      </c>
      <c r="I27">
        <f>report!H27</f>
        <v>11.211026470588235</v>
      </c>
      <c r="J27" s="505">
        <v>1</v>
      </c>
      <c r="K27">
        <f>report!I27</f>
        <v>67.435070394701427</v>
      </c>
      <c r="L27">
        <f>report!J27</f>
        <v>8.0919200758577201</v>
      </c>
      <c r="M27" s="360">
        <v>1</v>
      </c>
      <c r="N27">
        <f>report!K27</f>
        <v>14.302079200744629</v>
      </c>
      <c r="O27" s="360">
        <v>1</v>
      </c>
      <c r="P27">
        <f>report!L27</f>
        <v>0.94686996936798096</v>
      </c>
      <c r="Q27" s="505">
        <v>1</v>
      </c>
      <c r="R27">
        <f>report!M27</f>
        <v>6.2101591248869088</v>
      </c>
      <c r="S27" s="360">
        <v>1</v>
      </c>
      <c r="T27">
        <f>report!N27</f>
        <v>1.6202174824972513</v>
      </c>
      <c r="U27" s="505">
        <v>3</v>
      </c>
      <c r="V27">
        <f>report!O27</f>
        <v>3.4659618555806286</v>
      </c>
      <c r="W27">
        <f>report!P27</f>
        <v>7.5601635924097872</v>
      </c>
      <c r="X27">
        <f>report!Q27</f>
        <v>0.90718730168325257</v>
      </c>
      <c r="Y27">
        <f>report!R27</f>
        <v>1.6034098850399747</v>
      </c>
      <c r="Z27">
        <f>report!S27</f>
        <v>0.10615384290789508</v>
      </c>
      <c r="AA27">
        <f>report!T27</f>
        <v>0.69622258335672205</v>
      </c>
      <c r="AB27">
        <f>report!U27</f>
        <v>0.38856990108963546</v>
      </c>
      <c r="AC27" s="30">
        <f>report!V27</f>
        <v>42453</v>
      </c>
      <c r="AD27" s="30">
        <f>report!W27</f>
        <v>42470</v>
      </c>
      <c r="AE27" s="30">
        <f>report!X27</f>
        <v>42461.5</v>
      </c>
      <c r="AF27">
        <f>report!Y27</f>
        <v>17</v>
      </c>
      <c r="AG27">
        <f>report!Z27</f>
        <v>0.18164301084386517</v>
      </c>
      <c r="AH27">
        <f>report!AA27</f>
        <v>0.13350623522397792</v>
      </c>
      <c r="AI27">
        <f>report!AB27</f>
        <v>7.5770052039896563E-3</v>
      </c>
      <c r="AJ27">
        <f>report!AC27</f>
        <v>5.7970240079660451E-2</v>
      </c>
      <c r="AK27">
        <f>report!AD27</f>
        <v>7.5535995144317455E-2</v>
      </c>
      <c r="AL27">
        <f>report!AE27</f>
        <v>6.4664653201803191E-3</v>
      </c>
      <c r="AM27">
        <f>report!AF27</f>
        <v>2010.7</v>
      </c>
      <c r="AO27">
        <f>report!AH27</f>
        <v>133.50623522397791</v>
      </c>
      <c r="AP27">
        <v>1</v>
      </c>
      <c r="AQ27">
        <f>report!AI27</f>
        <v>7.577005203989656</v>
      </c>
      <c r="AR27">
        <v>1</v>
      </c>
      <c r="AS27">
        <f>report!AJ27</f>
        <v>57.970240079660449</v>
      </c>
      <c r="AT27">
        <v>1</v>
      </c>
      <c r="AU27">
        <f>report!AK27</f>
        <v>75.535995144317454</v>
      </c>
      <c r="AV27">
        <v>1</v>
      </c>
      <c r="AW27">
        <f>report!AL27</f>
        <v>6.4664653201803191</v>
      </c>
      <c r="AX27">
        <v>3</v>
      </c>
      <c r="AY27">
        <f>report!AM27</f>
        <v>7.6508117018497419</v>
      </c>
      <c r="AZ27">
        <f>report!AN27</f>
        <v>9.9691095770323788</v>
      </c>
      <c r="BA27">
        <f>report!AO27</f>
        <v>38.04</v>
      </c>
      <c r="BB27">
        <v>1</v>
      </c>
      <c r="BC27">
        <f>report!AP27</f>
        <v>8.5500000000000007</v>
      </c>
      <c r="BD27">
        <v>1</v>
      </c>
    </row>
    <row r="28" spans="1:56" x14ac:dyDescent="0.25">
      <c r="A28">
        <f>report!A28</f>
        <v>2016</v>
      </c>
      <c r="B28" t="str">
        <f>report!B28</f>
        <v>47_2000</v>
      </c>
      <c r="C28">
        <f>report!C28</f>
        <v>2</v>
      </c>
      <c r="D28" t="str">
        <f>report!D28</f>
        <v>McLane-PARFLUX-Mark78H-21 ; 12419-02, O250x21</v>
      </c>
      <c r="E28">
        <f>report!E28</f>
        <v>2000</v>
      </c>
      <c r="F28" s="399">
        <v>1</v>
      </c>
      <c r="G28">
        <f>report!F28</f>
        <v>261.28571428571428</v>
      </c>
      <c r="H28">
        <f>report!G28</f>
        <v>30.739495798319325</v>
      </c>
      <c r="I28">
        <f>report!H28</f>
        <v>11.227600840336136</v>
      </c>
      <c r="J28" s="505">
        <v>1</v>
      </c>
      <c r="K28">
        <f>report!I28</f>
        <v>74.531460296199441</v>
      </c>
      <c r="L28">
        <f>report!J28</f>
        <v>8.9434565178595324</v>
      </c>
      <c r="M28" s="360">
        <v>1</v>
      </c>
      <c r="N28">
        <f>report!K28</f>
        <v>13.531609535217285</v>
      </c>
      <c r="O28" s="360">
        <v>1</v>
      </c>
      <c r="P28">
        <f>report!L28</f>
        <v>0.72954195737838745</v>
      </c>
      <c r="Q28" s="505">
        <v>1</v>
      </c>
      <c r="R28">
        <f>report!M28</f>
        <v>4.5881530173577527</v>
      </c>
      <c r="S28" s="360">
        <v>1</v>
      </c>
      <c r="T28">
        <f>report!N28</f>
        <v>4.0355532687258933</v>
      </c>
      <c r="U28" s="505">
        <v>1</v>
      </c>
      <c r="V28">
        <f>report!O28</f>
        <v>8.6328371633228524</v>
      </c>
      <c r="W28">
        <f>report!P28</f>
        <v>8.3680948625308815</v>
      </c>
      <c r="X28">
        <f>report!Q28</f>
        <v>1.0041355991542937</v>
      </c>
      <c r="Y28">
        <f>report!R28</f>
        <v>1.5192751058870604</v>
      </c>
      <c r="Z28">
        <f>report!S28</f>
        <v>8.1910058937220517E-2</v>
      </c>
      <c r="AA28">
        <f>report!T28</f>
        <v>0.51513950673276676</v>
      </c>
      <c r="AB28">
        <f>report!U28</f>
        <v>0.96926049789408686</v>
      </c>
      <c r="AC28" s="30">
        <f>report!V28</f>
        <v>42470</v>
      </c>
      <c r="AD28" s="30">
        <f>report!W28</f>
        <v>42487</v>
      </c>
      <c r="AE28" s="30">
        <f>report!X28</f>
        <v>42478.5</v>
      </c>
      <c r="AF28">
        <f>report!Y28</f>
        <v>17</v>
      </c>
      <c r="AG28">
        <f>report!Z28</f>
        <v>0.45309581271168076</v>
      </c>
      <c r="AH28">
        <f>report!AA28</f>
        <v>0.12650084145604168</v>
      </c>
      <c r="AI28">
        <f>report!AB28</f>
        <v>5.8465423938058904E-3</v>
      </c>
      <c r="AJ28">
        <f>report!AC28</f>
        <v>4.289254843736609E-2</v>
      </c>
      <c r="AK28">
        <f>report!AD28</f>
        <v>8.3608293018675589E-2</v>
      </c>
      <c r="AL28">
        <f>report!AE28</f>
        <v>1.6130146411950187E-2</v>
      </c>
      <c r="AM28">
        <f>report!AF28</f>
        <v>2010.7</v>
      </c>
      <c r="AO28">
        <f>report!AH28</f>
        <v>126.50084145604168</v>
      </c>
      <c r="AP28">
        <v>1</v>
      </c>
      <c r="AQ28">
        <f>report!AI28</f>
        <v>5.8465423938058905</v>
      </c>
      <c r="AR28">
        <v>1</v>
      </c>
      <c r="AS28">
        <f>report!AJ28</f>
        <v>42.892548437366088</v>
      </c>
      <c r="AT28">
        <v>1</v>
      </c>
      <c r="AU28">
        <f>report!AK28</f>
        <v>83.608293018675596</v>
      </c>
      <c r="AV28">
        <v>1</v>
      </c>
      <c r="AW28">
        <f>report!AL28</f>
        <v>16.130146411950186</v>
      </c>
      <c r="AX28">
        <v>1</v>
      </c>
      <c r="AY28">
        <f>report!AM28</f>
        <v>7.336395693086657</v>
      </c>
      <c r="AZ28">
        <f>report!AN28</f>
        <v>14.300468103550273</v>
      </c>
      <c r="BA28">
        <f>report!AO28</f>
        <v>37.17</v>
      </c>
      <c r="BB28">
        <v>1</v>
      </c>
      <c r="BC28">
        <f>report!AP28</f>
        <v>8.51</v>
      </c>
      <c r="BD28">
        <v>1</v>
      </c>
    </row>
    <row r="29" spans="1:56" x14ac:dyDescent="0.25">
      <c r="A29">
        <f>report!A29</f>
        <v>2016</v>
      </c>
      <c r="B29" t="str">
        <f>report!B29</f>
        <v>47_2000</v>
      </c>
      <c r="C29">
        <f>report!C29</f>
        <v>3</v>
      </c>
      <c r="D29" t="str">
        <f>report!D29</f>
        <v>McLane-PARFLUX-Mark78H-21 ; 12419-02, O250x21</v>
      </c>
      <c r="E29">
        <f>report!E29</f>
        <v>2000</v>
      </c>
      <c r="F29" s="399">
        <v>1</v>
      </c>
      <c r="G29">
        <f>report!F29</f>
        <v>327.95714285714286</v>
      </c>
      <c r="H29">
        <f>report!G29</f>
        <v>38.583193277310926</v>
      </c>
      <c r="I29">
        <f>report!H29</f>
        <v>14.092511344537815</v>
      </c>
      <c r="J29" s="505">
        <v>1</v>
      </c>
      <c r="K29">
        <f>report!I29</f>
        <v>75.636119052799245</v>
      </c>
      <c r="L29">
        <f>report!J29</f>
        <v>9.0760108448170431</v>
      </c>
      <c r="M29" s="360">
        <v>1</v>
      </c>
      <c r="N29">
        <f>report!K29</f>
        <v>14.735773086547852</v>
      </c>
      <c r="O29" s="360">
        <v>1</v>
      </c>
      <c r="P29">
        <f>report!L29</f>
        <v>1.0680783987045288</v>
      </c>
      <c r="Q29" s="505">
        <v>1</v>
      </c>
      <c r="R29">
        <f>report!M29</f>
        <v>5.6597622417308084</v>
      </c>
      <c r="S29" s="360">
        <v>1</v>
      </c>
      <c r="T29">
        <f>report!N29</f>
        <v>3.173122252162814</v>
      </c>
      <c r="U29" s="505">
        <v>1</v>
      </c>
      <c r="V29">
        <f>report!O29</f>
        <v>6.7879286626010504</v>
      </c>
      <c r="W29">
        <f>report!P29</f>
        <v>10.659028658083862</v>
      </c>
      <c r="X29">
        <f>report!Q29</f>
        <v>1.2790378579373243</v>
      </c>
      <c r="Y29">
        <f>report!R29</f>
        <v>2.0766404939271061</v>
      </c>
      <c r="Z29">
        <f>report!S29</f>
        <v>0.15051906950599356</v>
      </c>
      <c r="AA29">
        <f>report!T29</f>
        <v>0.79760263598978198</v>
      </c>
      <c r="AB29">
        <f>report!U29</f>
        <v>0.95658961683618704</v>
      </c>
      <c r="AC29" s="30">
        <f>report!V29</f>
        <v>42487</v>
      </c>
      <c r="AD29" s="30">
        <f>report!W29</f>
        <v>42504</v>
      </c>
      <c r="AE29" s="30">
        <f>report!X29</f>
        <v>42495.5</v>
      </c>
      <c r="AF29">
        <f>report!Y29</f>
        <v>17</v>
      </c>
      <c r="AG29">
        <f>report!Z29</f>
        <v>0.4471726133620984</v>
      </c>
      <c r="AH29">
        <f>report!AA29</f>
        <v>0.17290928342440517</v>
      </c>
      <c r="AI29">
        <f>report!AB29</f>
        <v>1.074368804468191E-2</v>
      </c>
      <c r="AJ29">
        <f>report!AC29</f>
        <v>6.6411543379665441E-2</v>
      </c>
      <c r="AK29">
        <f>report!AD29</f>
        <v>0.10649774004473975</v>
      </c>
      <c r="AL29">
        <f>report!AE29</f>
        <v>1.5919281358565268E-2</v>
      </c>
      <c r="AM29">
        <f>report!AF29</f>
        <v>2010.7</v>
      </c>
      <c r="AO29">
        <f>report!AH29</f>
        <v>172.90928342440517</v>
      </c>
      <c r="AP29">
        <v>1</v>
      </c>
      <c r="AQ29">
        <f>report!AI29</f>
        <v>10.74368804468191</v>
      </c>
      <c r="AR29">
        <v>1</v>
      </c>
      <c r="AS29">
        <f>report!AJ29</f>
        <v>66.411543379665446</v>
      </c>
      <c r="AT29">
        <v>1</v>
      </c>
      <c r="AU29">
        <f>report!AK29</f>
        <v>106.49774004473974</v>
      </c>
      <c r="AV29">
        <v>1</v>
      </c>
      <c r="AW29">
        <f>report!AL29</f>
        <v>15.919281358565268</v>
      </c>
      <c r="AX29">
        <v>1</v>
      </c>
      <c r="AY29">
        <f>report!AM29</f>
        <v>6.1814474790655281</v>
      </c>
      <c r="AZ29">
        <f>report!AN29</f>
        <v>9.9125867767033462</v>
      </c>
      <c r="BA29">
        <f>report!AO29</f>
        <v>36.270000000000003</v>
      </c>
      <c r="BB29">
        <v>1</v>
      </c>
      <c r="BC29">
        <f>report!AP29</f>
        <v>8.4499999999999993</v>
      </c>
      <c r="BD29">
        <v>1</v>
      </c>
    </row>
    <row r="30" spans="1:56" x14ac:dyDescent="0.25">
      <c r="A30">
        <f>report!A30</f>
        <v>2016</v>
      </c>
      <c r="B30" t="str">
        <f>report!B30</f>
        <v>47_2000</v>
      </c>
      <c r="C30">
        <f>report!C30</f>
        <v>4</v>
      </c>
      <c r="D30" t="str">
        <f>report!D30</f>
        <v>McLane-PARFLUX-Mark78H-21 ; 12419-02, O250x21</v>
      </c>
      <c r="E30">
        <f>report!E30</f>
        <v>2000</v>
      </c>
      <c r="F30" s="399">
        <v>1</v>
      </c>
      <c r="G30">
        <f>report!F30</f>
        <v>393.98571428571432</v>
      </c>
      <c r="H30">
        <f>report!G30</f>
        <v>46.351260504201683</v>
      </c>
      <c r="I30">
        <f>report!H30</f>
        <v>16.929797899159666</v>
      </c>
      <c r="J30" s="505">
        <v>1</v>
      </c>
      <c r="K30">
        <f>report!I30</f>
        <v>77.46318843664055</v>
      </c>
      <c r="L30">
        <f>report!J30</f>
        <v>9.2952513578105922</v>
      </c>
      <c r="M30" s="360">
        <v>1</v>
      </c>
      <c r="N30">
        <f>report!K30</f>
        <v>13.06618595123291</v>
      </c>
      <c r="O30" s="360">
        <v>1</v>
      </c>
      <c r="P30">
        <f>report!L30</f>
        <v>0.59522348642349243</v>
      </c>
      <c r="Q30" s="505">
        <v>1</v>
      </c>
      <c r="R30">
        <f>report!M30</f>
        <v>3.770934593422318</v>
      </c>
      <c r="S30" s="360">
        <v>1</v>
      </c>
      <c r="T30">
        <f>report!N30</f>
        <v>4.7190671992481201</v>
      </c>
      <c r="U30" s="505">
        <v>1</v>
      </c>
      <c r="V30">
        <f>report!O30</f>
        <v>10.095007048872183</v>
      </c>
      <c r="W30">
        <f>report!P30</f>
        <v>13.114361248568466</v>
      </c>
      <c r="X30">
        <f>report!Q30</f>
        <v>1.5736672690962281</v>
      </c>
      <c r="Y30">
        <f>report!R30</f>
        <v>2.2120788746721249</v>
      </c>
      <c r="Z30">
        <f>report!S30</f>
        <v>0.10077013329982934</v>
      </c>
      <c r="AA30">
        <f>report!T30</f>
        <v>0.6384116055758966</v>
      </c>
      <c r="AB30">
        <f>report!U30</f>
        <v>1.7090642912799832</v>
      </c>
      <c r="AC30" s="30">
        <f>report!V30</f>
        <v>42504</v>
      </c>
      <c r="AD30" s="30">
        <f>report!W30</f>
        <v>42521</v>
      </c>
      <c r="AE30" s="30">
        <f>report!X30</f>
        <v>42512.5</v>
      </c>
      <c r="AF30">
        <f>report!Y30</f>
        <v>17</v>
      </c>
      <c r="AG30">
        <f>report!Z30</f>
        <v>0.79892853955824106</v>
      </c>
      <c r="AH30">
        <f>report!AA30</f>
        <v>0.18418641754139259</v>
      </c>
      <c r="AI30">
        <f>report!AB30</f>
        <v>7.1927290007015943E-3</v>
      </c>
      <c r="AJ30">
        <f>report!AC30</f>
        <v>5.3156669906402713E-2</v>
      </c>
      <c r="AK30">
        <f>report!AD30</f>
        <v>0.13102974763498984</v>
      </c>
      <c r="AL30">
        <f>report!AE30</f>
        <v>2.8441742241304416E-2</v>
      </c>
      <c r="AM30">
        <f>report!AF30</f>
        <v>2010.7</v>
      </c>
      <c r="AO30">
        <f>report!AH30</f>
        <v>184.18641754139259</v>
      </c>
      <c r="AP30">
        <v>1</v>
      </c>
      <c r="AQ30">
        <f>report!AI30</f>
        <v>7.1927290007015943</v>
      </c>
      <c r="AR30">
        <v>1</v>
      </c>
      <c r="AS30">
        <f>report!AJ30</f>
        <v>53.156669906402712</v>
      </c>
      <c r="AT30">
        <v>1</v>
      </c>
      <c r="AU30">
        <f>report!AK30</f>
        <v>131.02974763498983</v>
      </c>
      <c r="AV30">
        <v>1</v>
      </c>
      <c r="AW30">
        <f>report!AL30</f>
        <v>28.441742241304418</v>
      </c>
      <c r="AX30">
        <v>1</v>
      </c>
      <c r="AY30">
        <f>report!AM30</f>
        <v>7.3903340305491412</v>
      </c>
      <c r="AZ30">
        <f>report!AN30</f>
        <v>18.216972670902646</v>
      </c>
      <c r="BA30">
        <f>report!AO30</f>
        <v>37.07</v>
      </c>
      <c r="BB30">
        <v>1</v>
      </c>
      <c r="BC30">
        <f>report!AP30</f>
        <v>8.5299999999999994</v>
      </c>
      <c r="BD30">
        <v>1</v>
      </c>
    </row>
    <row r="31" spans="1:56" x14ac:dyDescent="0.25">
      <c r="A31">
        <f>report!A31</f>
        <v>2016</v>
      </c>
      <c r="B31" t="str">
        <f>report!B31</f>
        <v>47_2000</v>
      </c>
      <c r="C31">
        <f>report!C31</f>
        <v>5</v>
      </c>
      <c r="D31" t="str">
        <f>report!D31</f>
        <v>McLane-PARFLUX-Mark78H-21 ; 12419-02, O250x21</v>
      </c>
      <c r="E31">
        <f>report!E31</f>
        <v>2000</v>
      </c>
      <c r="F31" s="399">
        <v>1</v>
      </c>
      <c r="G31">
        <f>report!F31</f>
        <v>535.21428571428567</v>
      </c>
      <c r="H31">
        <f>report!G31</f>
        <v>62.966386554621842</v>
      </c>
      <c r="I31">
        <f>report!H31</f>
        <v>22.99847268907563</v>
      </c>
      <c r="J31" s="505">
        <v>1</v>
      </c>
      <c r="K31">
        <f>report!I31</f>
        <v>72.616080797736615</v>
      </c>
      <c r="L31">
        <f>report!J31</f>
        <v>8.7136191687505224</v>
      </c>
      <c r="M31" s="360">
        <v>1</v>
      </c>
      <c r="N31">
        <f>report!K31</f>
        <v>12.637329578399658</v>
      </c>
      <c r="O31" s="360">
        <v>1</v>
      </c>
      <c r="P31">
        <f>report!L31</f>
        <v>0.58599114418029785</v>
      </c>
      <c r="Q31" s="505">
        <v>1</v>
      </c>
      <c r="R31">
        <f>report!M31</f>
        <v>3.9237104096491358</v>
      </c>
      <c r="S31" s="360">
        <v>1</v>
      </c>
      <c r="T31">
        <f>report!N31</f>
        <v>5.5425373840690799</v>
      </c>
      <c r="U31" s="505">
        <v>1</v>
      </c>
      <c r="V31">
        <f>report!O31</f>
        <v>11.85657071586725</v>
      </c>
      <c r="W31">
        <f>report!P31</f>
        <v>16.70058951014455</v>
      </c>
      <c r="X31">
        <f>report!Q31</f>
        <v>2.003999324755148</v>
      </c>
      <c r="Y31">
        <f>report!R31</f>
        <v>2.9063927917167218</v>
      </c>
      <c r="Z31">
        <f>report!S31</f>
        <v>0.13476901325470761</v>
      </c>
      <c r="AA31">
        <f>report!T31</f>
        <v>0.90239346696157408</v>
      </c>
      <c r="AB31">
        <f>report!U31</f>
        <v>2.7268301779496684</v>
      </c>
      <c r="AC31" s="30">
        <f>report!V31</f>
        <v>42521</v>
      </c>
      <c r="AD31" s="30">
        <f>report!W31</f>
        <v>42538</v>
      </c>
      <c r="AE31" s="30">
        <f>report!X31</f>
        <v>42529.5</v>
      </c>
      <c r="AF31">
        <f>report!Y31</f>
        <v>17</v>
      </c>
      <c r="AG31">
        <f>report!Z31</f>
        <v>1.2746989465569343</v>
      </c>
      <c r="AH31">
        <f>report!AA31</f>
        <v>0.24199773453095103</v>
      </c>
      <c r="AI31">
        <f>report!AB31</f>
        <v>9.6194870274595012E-3</v>
      </c>
      <c r="AJ31">
        <f>report!AC31</f>
        <v>7.5136841545509911E-2</v>
      </c>
      <c r="AK31">
        <f>report!AD31</f>
        <v>0.16686089298544113</v>
      </c>
      <c r="AL31">
        <f>report!AE31</f>
        <v>4.5379100981022935E-2</v>
      </c>
      <c r="AM31">
        <f>report!AF31</f>
        <v>2010.7</v>
      </c>
      <c r="AO31">
        <f>report!AH31</f>
        <v>241.99773453095102</v>
      </c>
      <c r="AP31">
        <v>1</v>
      </c>
      <c r="AQ31">
        <f>report!AI31</f>
        <v>9.6194870274595008</v>
      </c>
      <c r="AR31">
        <v>1</v>
      </c>
      <c r="AS31">
        <f>report!AJ31</f>
        <v>75.13684154550991</v>
      </c>
      <c r="AT31">
        <v>1</v>
      </c>
      <c r="AU31">
        <f>report!AK31</f>
        <v>166.86089298544113</v>
      </c>
      <c r="AV31">
        <v>1</v>
      </c>
      <c r="AW31">
        <f>report!AL31</f>
        <v>45.379100981022937</v>
      </c>
      <c r="AX31">
        <v>1</v>
      </c>
      <c r="AY31">
        <f>report!AM31</f>
        <v>7.8108989939927689</v>
      </c>
      <c r="AZ31">
        <f>report!AN31</f>
        <v>17.346132128368694</v>
      </c>
      <c r="BA31">
        <f>report!AO31</f>
        <v>37.82</v>
      </c>
      <c r="BB31">
        <v>1</v>
      </c>
      <c r="BC31">
        <f>report!AP31</f>
        <v>8.5399999999999991</v>
      </c>
      <c r="BD31">
        <v>1</v>
      </c>
    </row>
    <row r="32" spans="1:56" x14ac:dyDescent="0.25">
      <c r="A32">
        <f>report!A32</f>
        <v>2016</v>
      </c>
      <c r="B32" t="str">
        <f>report!B32</f>
        <v>47_2000</v>
      </c>
      <c r="C32">
        <f>report!C32</f>
        <v>6</v>
      </c>
      <c r="D32" t="str">
        <f>report!D32</f>
        <v>McLane-PARFLUX-Mark78H-21 ; 12419-02, O250x21</v>
      </c>
      <c r="E32">
        <f>report!E32</f>
        <v>2000</v>
      </c>
      <c r="F32" s="399">
        <v>1</v>
      </c>
      <c r="G32">
        <f>report!F32</f>
        <v>385.25714285714287</v>
      </c>
      <c r="H32">
        <f>report!G32</f>
        <v>45.324369747899162</v>
      </c>
      <c r="I32">
        <f>report!H32</f>
        <v>16.554726050420168</v>
      </c>
      <c r="J32" s="505">
        <v>1</v>
      </c>
      <c r="K32">
        <f>report!I32</f>
        <v>67.129541325547407</v>
      </c>
      <c r="L32">
        <f>report!J32</f>
        <v>8.05525789408828</v>
      </c>
      <c r="M32" s="360">
        <v>1</v>
      </c>
      <c r="N32">
        <f>report!K32</f>
        <v>12.680932998657227</v>
      </c>
      <c r="O32" s="360">
        <v>1</v>
      </c>
      <c r="P32">
        <f>report!L32</f>
        <v>0.72053265571594238</v>
      </c>
      <c r="Q32" s="505">
        <v>1</v>
      </c>
      <c r="R32">
        <f>report!M32</f>
        <v>4.6256751045689466</v>
      </c>
      <c r="S32" s="360">
        <v>1</v>
      </c>
      <c r="T32">
        <f>report!N32</f>
        <v>6.7522031505424298</v>
      </c>
      <c r="U32" s="505">
        <v>3</v>
      </c>
      <c r="V32">
        <f>report!O32</f>
        <v>14.444282211324122</v>
      </c>
      <c r="W32">
        <f>report!P32</f>
        <v>11.113111665347969</v>
      </c>
      <c r="X32">
        <f>report!Q32</f>
        <v>1.3335258770211595</v>
      </c>
      <c r="Y32">
        <f>report!R32</f>
        <v>2.0992937185650353</v>
      </c>
      <c r="Z32">
        <f>report!S32</f>
        <v>0.11928220725759138</v>
      </c>
      <c r="AA32">
        <f>report!T32</f>
        <v>0.76576784154387578</v>
      </c>
      <c r="AB32">
        <f>report!U32</f>
        <v>2.3912113500342809</v>
      </c>
      <c r="AC32" s="30">
        <f>report!V32</f>
        <v>42538</v>
      </c>
      <c r="AD32" s="30">
        <f>report!W32</f>
        <v>42555</v>
      </c>
      <c r="AE32" s="30">
        <f>report!X32</f>
        <v>42546.5</v>
      </c>
      <c r="AF32">
        <f>report!Y32</f>
        <v>17</v>
      </c>
      <c r="AG32">
        <f>report!Z32</f>
        <v>1.117808733940139</v>
      </c>
      <c r="AH32">
        <f>report!AA32</f>
        <v>0.17479548031349171</v>
      </c>
      <c r="AI32">
        <f>report!AB32</f>
        <v>8.5140761782720471E-3</v>
      </c>
      <c r="AJ32">
        <f>report!AC32</f>
        <v>6.376085275136352E-2</v>
      </c>
      <c r="AK32">
        <f>report!AD32</f>
        <v>0.11103462756212819</v>
      </c>
      <c r="AL32">
        <f>report!AE32</f>
        <v>3.979383175294194E-2</v>
      </c>
      <c r="AM32">
        <f>report!AF32</f>
        <v>2010.7</v>
      </c>
      <c r="AO32">
        <f>report!AH32</f>
        <v>174.79548031349171</v>
      </c>
      <c r="AP32">
        <v>1</v>
      </c>
      <c r="AQ32">
        <f>report!AI32</f>
        <v>8.5140761782720471</v>
      </c>
      <c r="AR32">
        <v>1</v>
      </c>
      <c r="AS32">
        <f>report!AJ32</f>
        <v>63.760852751363522</v>
      </c>
      <c r="AT32">
        <v>1</v>
      </c>
      <c r="AU32">
        <f>report!AK32</f>
        <v>111.03462756212819</v>
      </c>
      <c r="AV32">
        <v>1</v>
      </c>
      <c r="AW32">
        <f>report!AL32</f>
        <v>39.793831752941941</v>
      </c>
      <c r="AX32">
        <v>3</v>
      </c>
      <c r="AY32">
        <f>report!AM32</f>
        <v>7.4888750601129743</v>
      </c>
      <c r="AZ32">
        <f>report!AN32</f>
        <v>13.041300692785549</v>
      </c>
      <c r="BA32">
        <f>report!AO32</f>
        <v>38.28</v>
      </c>
      <c r="BB32">
        <v>1</v>
      </c>
      <c r="BC32">
        <f>report!AP32</f>
        <v>8.5500000000000007</v>
      </c>
      <c r="BD32">
        <v>1</v>
      </c>
    </row>
    <row r="33" spans="1:56" x14ac:dyDescent="0.25">
      <c r="A33">
        <f>report!A33</f>
        <v>2016</v>
      </c>
      <c r="B33" t="str">
        <f>report!B33</f>
        <v>47_2000</v>
      </c>
      <c r="C33">
        <f>report!C33</f>
        <v>7</v>
      </c>
      <c r="D33" t="str">
        <f>report!D33</f>
        <v>McLane-PARFLUX-Mark78H-21 ; 12419-02, O250x21</v>
      </c>
      <c r="E33">
        <f>report!E33</f>
        <v>2000</v>
      </c>
      <c r="F33" s="399">
        <v>1</v>
      </c>
      <c r="G33">
        <f>report!F33</f>
        <v>266.32857142857137</v>
      </c>
      <c r="H33">
        <f>report!G33</f>
        <v>31.332773109243689</v>
      </c>
      <c r="I33">
        <f>report!H33</f>
        <v>11.444295378151258</v>
      </c>
      <c r="J33" s="505">
        <v>1</v>
      </c>
      <c r="K33">
        <f>report!I33</f>
        <v>66.516592817359253</v>
      </c>
      <c r="L33">
        <f>report!J33</f>
        <v>7.9817066942475448</v>
      </c>
      <c r="M33" s="360">
        <v>1</v>
      </c>
      <c r="N33">
        <f>report!K33</f>
        <v>13.081178665161133</v>
      </c>
      <c r="O33" s="360">
        <v>1</v>
      </c>
      <c r="P33">
        <f>report!L33</f>
        <v>0.7311137318611145</v>
      </c>
      <c r="Q33" s="505">
        <v>1</v>
      </c>
      <c r="R33">
        <f>report!M33</f>
        <v>5.0994719709135881</v>
      </c>
      <c r="S33" s="360">
        <v>1</v>
      </c>
      <c r="T33">
        <f>report!N33</f>
        <v>5.6432789776817858</v>
      </c>
      <c r="U33" s="505">
        <v>3</v>
      </c>
      <c r="V33">
        <f>report!O33</f>
        <v>12.072076673866091</v>
      </c>
      <c r="W33">
        <f>report!P33</f>
        <v>7.6123553575007366</v>
      </c>
      <c r="X33">
        <f>report!Q33</f>
        <v>0.91345009030736135</v>
      </c>
      <c r="Y33">
        <f>report!R33</f>
        <v>1.497048725384744</v>
      </c>
      <c r="Z33">
        <f>report!S33</f>
        <v>8.3670815024410705E-2</v>
      </c>
      <c r="AA33">
        <f>report!T33</f>
        <v>0.58359863507738263</v>
      </c>
      <c r="AB33">
        <f>report!U33</f>
        <v>1.3815641128341332</v>
      </c>
      <c r="AC33" s="30">
        <f>report!V33</f>
        <v>42555</v>
      </c>
      <c r="AD33" s="30">
        <f>report!W33</f>
        <v>42572</v>
      </c>
      <c r="AE33" s="30">
        <f>report!X33</f>
        <v>42563.5</v>
      </c>
      <c r="AF33">
        <f>report!Y33</f>
        <v>17</v>
      </c>
      <c r="AG33">
        <f>report!Z33</f>
        <v>0.64583351521901822</v>
      </c>
      <c r="AH33">
        <f>report!AA33</f>
        <v>0.12465018529431673</v>
      </c>
      <c r="AI33">
        <f>report!AB33</f>
        <v>5.9722209153754962E-3</v>
      </c>
      <c r="AJ33">
        <f>report!AC33</f>
        <v>4.859272565173877E-2</v>
      </c>
      <c r="AK33">
        <f>report!AD33</f>
        <v>7.6057459642577971E-2</v>
      </c>
      <c r="AL33">
        <f>report!AE33</f>
        <v>2.2991581175472346E-2</v>
      </c>
      <c r="AM33">
        <f>report!AF33</f>
        <v>2010.7</v>
      </c>
      <c r="AO33">
        <f>report!AH33</f>
        <v>124.65018529431673</v>
      </c>
      <c r="AP33">
        <v>1</v>
      </c>
      <c r="AQ33">
        <f>report!AI33</f>
        <v>5.9722209153754964</v>
      </c>
      <c r="AR33">
        <v>1</v>
      </c>
      <c r="AS33">
        <f>report!AJ33</f>
        <v>48.592725651738768</v>
      </c>
      <c r="AT33">
        <v>1</v>
      </c>
      <c r="AU33">
        <f>report!AK33</f>
        <v>76.057459642577967</v>
      </c>
      <c r="AV33">
        <v>1</v>
      </c>
      <c r="AW33">
        <f>report!AL33</f>
        <v>22.991581175472344</v>
      </c>
      <c r="AX33">
        <v>3</v>
      </c>
      <c r="AY33">
        <f>report!AM33</f>
        <v>8.1364581686247881</v>
      </c>
      <c r="AZ33">
        <f>report!AN33</f>
        <v>12.735205331532171</v>
      </c>
      <c r="BA33">
        <f>report!AO33</f>
        <v>38.21</v>
      </c>
      <c r="BB33">
        <v>1</v>
      </c>
      <c r="BC33">
        <f>report!AP33</f>
        <v>8.48</v>
      </c>
      <c r="BD33">
        <v>1</v>
      </c>
    </row>
    <row r="34" spans="1:56" x14ac:dyDescent="0.25">
      <c r="A34">
        <f>report!A34</f>
        <v>2016</v>
      </c>
      <c r="B34" t="str">
        <f>report!B34</f>
        <v>47_2000</v>
      </c>
      <c r="C34">
        <f>report!C34</f>
        <v>8</v>
      </c>
      <c r="D34" t="str">
        <f>report!D34</f>
        <v>McLane-PARFLUX-Mark78H-21 ; 12419-02, O250x21</v>
      </c>
      <c r="E34">
        <f>report!E34</f>
        <v>2000</v>
      </c>
      <c r="F34" s="399">
        <v>1</v>
      </c>
      <c r="G34">
        <f>report!F34</f>
        <v>354.48571428571432</v>
      </c>
      <c r="H34">
        <f>report!G34</f>
        <v>41.70420168067227</v>
      </c>
      <c r="I34">
        <f>report!H34</f>
        <v>15.232459663865548</v>
      </c>
      <c r="J34" s="505">
        <v>1</v>
      </c>
      <c r="K34">
        <f>report!I34</f>
        <v>63.980839053770922</v>
      </c>
      <c r="L34">
        <f>report!J34</f>
        <v>7.6774270862199625</v>
      </c>
      <c r="M34" s="360">
        <v>1</v>
      </c>
      <c r="N34">
        <f>report!K34</f>
        <v>14.204557418823242</v>
      </c>
      <c r="O34" s="360">
        <v>1</v>
      </c>
      <c r="P34">
        <f>report!L34</f>
        <v>1.0817877054214478</v>
      </c>
      <c r="Q34" s="505">
        <v>1</v>
      </c>
      <c r="R34">
        <f>report!M34</f>
        <v>6.5271303326032797</v>
      </c>
      <c r="S34" s="360">
        <v>1</v>
      </c>
      <c r="T34">
        <f>report!N34</f>
        <v>5.3411537441763572</v>
      </c>
      <c r="U34" s="505">
        <v>1</v>
      </c>
      <c r="V34">
        <f>report!O34</f>
        <v>11.425771751070036</v>
      </c>
      <c r="W34">
        <f>report!P34</f>
        <v>9.745855501468391</v>
      </c>
      <c r="X34">
        <f>report!Q34</f>
        <v>1.1694609841311439</v>
      </c>
      <c r="Y34">
        <f>report!R34</f>
        <v>2.1637034792528715</v>
      </c>
      <c r="Z34">
        <f>report!S34</f>
        <v>0.16478287587697868</v>
      </c>
      <c r="AA34">
        <f>report!T34</f>
        <v>0.9942424951217278</v>
      </c>
      <c r="AB34">
        <f>report!U34</f>
        <v>1.7404260732670873</v>
      </c>
      <c r="AC34" s="30">
        <f>report!V34</f>
        <v>42572</v>
      </c>
      <c r="AD34" s="30">
        <f>report!W34</f>
        <v>42589</v>
      </c>
      <c r="AE34" s="30">
        <f>report!X34</f>
        <v>42580.5</v>
      </c>
      <c r="AF34">
        <f>report!Y34</f>
        <v>17</v>
      </c>
      <c r="AG34">
        <f>report!Z34</f>
        <v>0.81358908966670807</v>
      </c>
      <c r="AH34">
        <f>report!AA34</f>
        <v>0.18015849119507674</v>
      </c>
      <c r="AI34">
        <f>report!AB34</f>
        <v>1.1761804131119106E-2</v>
      </c>
      <c r="AJ34">
        <f>report!AC34</f>
        <v>8.2784554131700896E-2</v>
      </c>
      <c r="AK34">
        <f>report!AD34</f>
        <v>9.737393706337584E-2</v>
      </c>
      <c r="AL34">
        <f>report!AE34</f>
        <v>2.8963655737511858E-2</v>
      </c>
      <c r="AM34">
        <f>report!AF34</f>
        <v>2010.7</v>
      </c>
      <c r="AO34">
        <f>report!AH34</f>
        <v>180.15849119507675</v>
      </c>
      <c r="AP34">
        <v>1</v>
      </c>
      <c r="AQ34">
        <f>report!AI34</f>
        <v>11.761804131119106</v>
      </c>
      <c r="AR34">
        <v>1</v>
      </c>
      <c r="AS34">
        <f>report!AJ34</f>
        <v>82.784554131700901</v>
      </c>
      <c r="AT34">
        <v>1</v>
      </c>
      <c r="AU34">
        <f>report!AK34</f>
        <v>97.373937063375834</v>
      </c>
      <c r="AV34">
        <v>1</v>
      </c>
      <c r="AW34">
        <f>report!AL34</f>
        <v>28.963655737511857</v>
      </c>
      <c r="AX34">
        <v>1</v>
      </c>
      <c r="AY34">
        <f>report!AM34</f>
        <v>7.0384231201973053</v>
      </c>
      <c r="AZ34">
        <f>report!AN34</f>
        <v>8.2788266134908799</v>
      </c>
      <c r="BA34">
        <f>report!AO34</f>
        <v>38.18</v>
      </c>
      <c r="BB34">
        <v>1</v>
      </c>
      <c r="BC34">
        <f>report!AP34</f>
        <v>8.52</v>
      </c>
      <c r="BD34">
        <v>1</v>
      </c>
    </row>
    <row r="35" spans="1:56" x14ac:dyDescent="0.25">
      <c r="A35">
        <f>report!A35</f>
        <v>2016</v>
      </c>
      <c r="B35" t="str">
        <f>report!B35</f>
        <v>47_2000</v>
      </c>
      <c r="C35">
        <f>report!C35</f>
        <v>9</v>
      </c>
      <c r="D35" t="str">
        <f>report!D35</f>
        <v>McLane-PARFLUX-Mark78H-21 ; 12419-02, O250x21</v>
      </c>
      <c r="E35">
        <f>report!E35</f>
        <v>2000</v>
      </c>
      <c r="F35" s="399">
        <v>1</v>
      </c>
      <c r="G35">
        <f>report!F35</f>
        <v>238.10000000000005</v>
      </c>
      <c r="H35">
        <f>report!G35</f>
        <v>28.01176470588236</v>
      </c>
      <c r="I35">
        <f>report!H35</f>
        <v>10.231297058823532</v>
      </c>
      <c r="J35" s="505">
        <v>1</v>
      </c>
      <c r="K35">
        <f>report!I35</f>
        <v>66.26752157070365</v>
      </c>
      <c r="L35">
        <f>report!J35</f>
        <v>7.951819209748237</v>
      </c>
      <c r="M35" s="360">
        <v>1</v>
      </c>
      <c r="N35">
        <f>report!K35</f>
        <v>13.625788688659668</v>
      </c>
      <c r="O35" s="360">
        <v>1</v>
      </c>
      <c r="P35">
        <f>report!L35</f>
        <v>0.84581220149993896</v>
      </c>
      <c r="Q35" s="505">
        <v>1</v>
      </c>
      <c r="R35">
        <f>report!M35</f>
        <v>5.673969478911431</v>
      </c>
      <c r="S35" s="360">
        <v>1</v>
      </c>
      <c r="T35">
        <f>report!N35</f>
        <v>5.5311882387134288</v>
      </c>
      <c r="U35" s="505">
        <v>3</v>
      </c>
      <c r="V35">
        <f>report!O35</f>
        <v>11.832292675838021</v>
      </c>
      <c r="W35">
        <f>report!P35</f>
        <v>6.7800269854186519</v>
      </c>
      <c r="X35">
        <f>report!Q35</f>
        <v>0.81357424492993602</v>
      </c>
      <c r="Y35">
        <f>report!R35</f>
        <v>1.3940949173443462</v>
      </c>
      <c r="Z35">
        <f>report!S35</f>
        <v>8.6537558895233818E-2</v>
      </c>
      <c r="AA35">
        <f>report!T35</f>
        <v>0.58052067241441019</v>
      </c>
      <c r="AB35">
        <f>report!U35</f>
        <v>1.2105970125344077</v>
      </c>
      <c r="AC35" s="30">
        <f>report!V35</f>
        <v>42589</v>
      </c>
      <c r="AD35" s="30">
        <f>report!W35</f>
        <v>42606</v>
      </c>
      <c r="AE35" s="30">
        <f>report!X35</f>
        <v>42597.5</v>
      </c>
      <c r="AF35">
        <f>report!Y35</f>
        <v>17</v>
      </c>
      <c r="AG35">
        <f>report!Z35</f>
        <v>0.56591229958548017</v>
      </c>
      <c r="AH35">
        <f>report!AA35</f>
        <v>0.1160778449079389</v>
      </c>
      <c r="AI35">
        <f>report!AB35</f>
        <v>6.176842176676218E-3</v>
      </c>
      <c r="AJ35">
        <f>report!AC35</f>
        <v>4.8336442332590358E-2</v>
      </c>
      <c r="AK35">
        <f>report!AD35</f>
        <v>6.7741402575348539E-2</v>
      </c>
      <c r="AL35">
        <f>report!AE35</f>
        <v>2.0146397279653977E-2</v>
      </c>
      <c r="AM35">
        <f>report!AF35</f>
        <v>2010.7</v>
      </c>
      <c r="AO35">
        <f>report!AH35</f>
        <v>116.07784490793891</v>
      </c>
      <c r="AP35">
        <v>1</v>
      </c>
      <c r="AQ35">
        <f>report!AI35</f>
        <v>6.1768421766762183</v>
      </c>
      <c r="AR35">
        <v>1</v>
      </c>
      <c r="AS35">
        <f>report!AJ35</f>
        <v>48.336442332590359</v>
      </c>
      <c r="AT35">
        <v>1</v>
      </c>
      <c r="AU35">
        <f>report!AK35</f>
        <v>67.741402575348545</v>
      </c>
      <c r="AV35">
        <v>1</v>
      </c>
      <c r="AW35">
        <f>report!AL35</f>
        <v>20.146397279653979</v>
      </c>
      <c r="AX35">
        <v>3</v>
      </c>
      <c r="AY35">
        <f>report!AM35</f>
        <v>7.8254293941828346</v>
      </c>
      <c r="AZ35">
        <f>report!AN35</f>
        <v>10.966995859330899</v>
      </c>
      <c r="BA35">
        <f>report!AO35</f>
        <v>38.25</v>
      </c>
      <c r="BB35">
        <v>1</v>
      </c>
      <c r="BC35">
        <f>report!AP35</f>
        <v>8.6</v>
      </c>
      <c r="BD35">
        <v>1</v>
      </c>
    </row>
    <row r="36" spans="1:56" x14ac:dyDescent="0.25">
      <c r="A36">
        <f>report!A36</f>
        <v>2016</v>
      </c>
      <c r="B36" t="str">
        <f>report!B36</f>
        <v>47_2000</v>
      </c>
      <c r="C36">
        <f>report!C36</f>
        <v>10</v>
      </c>
      <c r="D36" t="str">
        <f>report!D36</f>
        <v>McLane-PARFLUX-Mark78H-21 ; 12419-02, O250x21</v>
      </c>
      <c r="E36">
        <f>report!E36</f>
        <v>2000</v>
      </c>
      <c r="F36" s="399">
        <v>1</v>
      </c>
      <c r="G36">
        <f>report!F36</f>
        <v>347.98571428571421</v>
      </c>
      <c r="H36">
        <f>report!G36</f>
        <v>40.939495798319321</v>
      </c>
      <c r="I36">
        <f>report!H36</f>
        <v>14.953150840336132</v>
      </c>
      <c r="J36" s="505">
        <v>1</v>
      </c>
      <c r="K36">
        <f>report!I36</f>
        <v>63.699475945192432</v>
      </c>
      <c r="L36">
        <f>report!J36</f>
        <v>7.6436647163790772</v>
      </c>
      <c r="M36" s="360">
        <v>1</v>
      </c>
      <c r="N36">
        <f>report!K36</f>
        <v>14.010750770568848</v>
      </c>
      <c r="O36" s="360">
        <v>1</v>
      </c>
      <c r="P36">
        <f>report!L36</f>
        <v>0.97243547439575195</v>
      </c>
      <c r="Q36" s="505">
        <v>1</v>
      </c>
      <c r="R36">
        <f>report!M36</f>
        <v>6.3670860541897705</v>
      </c>
      <c r="S36" s="360">
        <v>1</v>
      </c>
      <c r="T36">
        <f>report!N36</f>
        <v>5.9981946343945811</v>
      </c>
      <c r="U36" s="505">
        <v>3</v>
      </c>
      <c r="V36">
        <f>report!O36</f>
        <v>12.831310629432908</v>
      </c>
      <c r="W36">
        <f>report!P36</f>
        <v>9.5250787225882547</v>
      </c>
      <c r="X36">
        <f>report!Q36</f>
        <v>1.1429687147697143</v>
      </c>
      <c r="Y36">
        <f>report!R36</f>
        <v>2.0950486965867166</v>
      </c>
      <c r="Z36">
        <f>report!S36</f>
        <v>0.14540974331133505</v>
      </c>
      <c r="AA36">
        <f>report!T36</f>
        <v>0.95207998181700226</v>
      </c>
      <c r="AB36">
        <f>report!U36</f>
        <v>1.9186852332111861</v>
      </c>
      <c r="AC36" s="30">
        <f>report!V36</f>
        <v>42606</v>
      </c>
      <c r="AD36" s="30">
        <f>report!W36</f>
        <v>42623</v>
      </c>
      <c r="AE36" s="30">
        <f>report!X36</f>
        <v>42614.5</v>
      </c>
      <c r="AF36">
        <f>report!Y36</f>
        <v>17</v>
      </c>
      <c r="AG36">
        <f>report!Z36</f>
        <v>0.8969190913779701</v>
      </c>
      <c r="AH36">
        <f>report!AA36</f>
        <v>0.17444202302970163</v>
      </c>
      <c r="AI36">
        <f>report!AB36</f>
        <v>1.0378996667475736E-2</v>
      </c>
      <c r="AJ36">
        <f>report!AC36</f>
        <v>7.9273936870691286E-2</v>
      </c>
      <c r="AK36">
        <f>report!AD36</f>
        <v>9.5168086159010346E-2</v>
      </c>
      <c r="AL36">
        <f>report!AE36</f>
        <v>3.1930191932288007E-2</v>
      </c>
      <c r="AM36">
        <f>report!AF36</f>
        <v>2010.7</v>
      </c>
      <c r="AO36">
        <f>report!AH36</f>
        <v>174.44202302970163</v>
      </c>
      <c r="AP36">
        <v>1</v>
      </c>
      <c r="AQ36">
        <f>report!AI36</f>
        <v>10.378996667475736</v>
      </c>
      <c r="AR36">
        <v>1</v>
      </c>
      <c r="AS36">
        <f>report!AJ36</f>
        <v>79.273936870691287</v>
      </c>
      <c r="AT36">
        <v>1</v>
      </c>
      <c r="AU36">
        <f>report!AK36</f>
        <v>95.168086159010343</v>
      </c>
      <c r="AV36">
        <v>1</v>
      </c>
      <c r="AW36">
        <f>report!AL36</f>
        <v>31.930191932288007</v>
      </c>
      <c r="AX36">
        <v>3</v>
      </c>
      <c r="AY36">
        <f>report!AM36</f>
        <v>7.6379190985877266</v>
      </c>
      <c r="AZ36">
        <f>report!AN36</f>
        <v>9.1692953768098722</v>
      </c>
      <c r="BA36">
        <f>report!AO36</f>
        <v>38.229999999999997</v>
      </c>
      <c r="BB36">
        <v>1</v>
      </c>
      <c r="BC36">
        <f>report!AP36</f>
        <v>8.49</v>
      </c>
      <c r="BD36">
        <v>1</v>
      </c>
    </row>
    <row r="37" spans="1:56" x14ac:dyDescent="0.25">
      <c r="A37">
        <f>report!A37</f>
        <v>2016</v>
      </c>
      <c r="B37" t="str">
        <f>report!B37</f>
        <v>47_2000</v>
      </c>
      <c r="C37">
        <f>report!C37</f>
        <v>11</v>
      </c>
      <c r="D37" t="str">
        <f>report!D37</f>
        <v>McLane-PARFLUX-Mark78H-21 ; 12419-02, O250x21</v>
      </c>
      <c r="E37">
        <f>report!E37</f>
        <v>2000</v>
      </c>
      <c r="F37" s="399">
        <v>1</v>
      </c>
      <c r="G37">
        <f>report!F37</f>
        <v>309.05714285714294</v>
      </c>
      <c r="H37">
        <f>report!G37</f>
        <v>36.359663865546224</v>
      </c>
      <c r="I37">
        <f>report!H37</f>
        <v>13.28036722689076</v>
      </c>
      <c r="J37" s="505">
        <v>1</v>
      </c>
      <c r="K37">
        <f>report!I37</f>
        <v>60.370264743393101</v>
      </c>
      <c r="L37">
        <f>report!J37</f>
        <v>7.2441736088154505</v>
      </c>
      <c r="M37" s="360">
        <v>1</v>
      </c>
      <c r="N37">
        <f>report!K37</f>
        <v>14.762297630310059</v>
      </c>
      <c r="O37" s="360">
        <v>1</v>
      </c>
      <c r="P37">
        <f>report!L37</f>
        <v>1.2336673736572266</v>
      </c>
      <c r="Q37" s="505">
        <v>1</v>
      </c>
      <c r="R37">
        <f>report!M37</f>
        <v>7.5181240214946081</v>
      </c>
      <c r="S37" s="360">
        <v>1</v>
      </c>
      <c r="T37">
        <f>report!N37</f>
        <v>5.369221874188522</v>
      </c>
      <c r="U37" s="505">
        <v>1</v>
      </c>
      <c r="V37">
        <f>report!O37</f>
        <v>11.485814966891715</v>
      </c>
      <c r="W37">
        <f>report!P37</f>
        <v>8.0173928537687651</v>
      </c>
      <c r="X37">
        <f>report!Q37</f>
        <v>0.9620528578041968</v>
      </c>
      <c r="Y37">
        <f>report!R37</f>
        <v>1.9604873364317683</v>
      </c>
      <c r="Z37">
        <f>report!S37</f>
        <v>0.1638355575800183</v>
      </c>
      <c r="AA37">
        <f>report!T37</f>
        <v>0.99843447862757162</v>
      </c>
      <c r="AB37">
        <f>report!U37</f>
        <v>1.5253584066044013</v>
      </c>
      <c r="AC37" s="30">
        <f>report!V37</f>
        <v>42623</v>
      </c>
      <c r="AD37" s="30">
        <f>report!W37</f>
        <v>42640</v>
      </c>
      <c r="AE37" s="30">
        <f>report!X37</f>
        <v>42631.5</v>
      </c>
      <c r="AF37">
        <f>report!Y37</f>
        <v>17</v>
      </c>
      <c r="AG37">
        <f>report!Z37</f>
        <v>0.7130523821187823</v>
      </c>
      <c r="AH37">
        <f>report!AA37</f>
        <v>0.16323791310839036</v>
      </c>
      <c r="AI37">
        <f>report!AB37</f>
        <v>1.1694186836546631E-2</v>
      </c>
      <c r="AJ37">
        <f>report!AC37</f>
        <v>8.3133595222945181E-2</v>
      </c>
      <c r="AK37">
        <f>report!AD37</f>
        <v>8.0104317885445198E-2</v>
      </c>
      <c r="AL37">
        <f>report!AE37</f>
        <v>2.5384563265175589E-2</v>
      </c>
      <c r="AM37">
        <f>report!AF37</f>
        <v>2010.7</v>
      </c>
      <c r="AO37">
        <f>report!AH37</f>
        <v>163.23791310839036</v>
      </c>
      <c r="AP37">
        <v>1</v>
      </c>
      <c r="AQ37">
        <f>report!AI37</f>
        <v>11.694186836546631</v>
      </c>
      <c r="AR37">
        <v>1</v>
      </c>
      <c r="AS37">
        <f>report!AJ37</f>
        <v>83.133595222945175</v>
      </c>
      <c r="AT37">
        <v>1</v>
      </c>
      <c r="AU37">
        <f>report!AK37</f>
        <v>80.104317885445198</v>
      </c>
      <c r="AV37">
        <v>1</v>
      </c>
      <c r="AW37">
        <f>report!AL37</f>
        <v>25.38456326517559</v>
      </c>
      <c r="AX37">
        <v>1</v>
      </c>
      <c r="AY37">
        <f>report!AM37</f>
        <v>7.1089675909004937</v>
      </c>
      <c r="AZ37">
        <f>report!AN37</f>
        <v>6.849926292874291</v>
      </c>
      <c r="BA37">
        <f>report!AO37</f>
        <v>38.049999999999997</v>
      </c>
      <c r="BB37">
        <v>1</v>
      </c>
      <c r="BC37">
        <f>report!AP37</f>
        <v>8.36</v>
      </c>
      <c r="BD37">
        <v>1</v>
      </c>
    </row>
    <row r="38" spans="1:56" x14ac:dyDescent="0.25">
      <c r="A38">
        <f>report!A38</f>
        <v>2016</v>
      </c>
      <c r="B38" t="str">
        <f>report!B38</f>
        <v>47_2000</v>
      </c>
      <c r="C38">
        <f>report!C38</f>
        <v>12</v>
      </c>
      <c r="D38" t="str">
        <f>report!D38</f>
        <v>McLane-PARFLUX-Mark78H-21 ; 12419-02, O250x21</v>
      </c>
      <c r="E38">
        <f>report!E38</f>
        <v>2000</v>
      </c>
      <c r="F38" s="399">
        <v>1</v>
      </c>
      <c r="G38">
        <f>report!F38</f>
        <v>363.97142857142859</v>
      </c>
      <c r="H38">
        <f>report!G38</f>
        <v>42.820168067226895</v>
      </c>
      <c r="I38">
        <f>report!H38</f>
        <v>15.640066386554622</v>
      </c>
      <c r="J38" s="505">
        <v>1</v>
      </c>
      <c r="K38">
        <f>report!I38</f>
        <v>67.529827446221233</v>
      </c>
      <c r="L38">
        <f>report!J38</f>
        <v>8.1032905168320433</v>
      </c>
      <c r="M38" s="360">
        <v>1</v>
      </c>
      <c r="N38">
        <f>report!K38</f>
        <v>13.743739128112793</v>
      </c>
      <c r="O38" s="360">
        <v>1</v>
      </c>
      <c r="P38">
        <f>report!L38</f>
        <v>0.87225109338760376</v>
      </c>
      <c r="Q38" s="505">
        <v>1</v>
      </c>
      <c r="R38">
        <f>report!M38</f>
        <v>5.6404486112807497</v>
      </c>
      <c r="S38" s="360">
        <v>1</v>
      </c>
      <c r="T38">
        <f>report!N38</f>
        <v>5.1729584077233355</v>
      </c>
      <c r="U38" s="505">
        <v>1</v>
      </c>
      <c r="V38">
        <f>report!O38</f>
        <v>11.065969053759176</v>
      </c>
      <c r="W38">
        <f>report!P38</f>
        <v>10.561709843314786</v>
      </c>
      <c r="X38">
        <f>report!Q38</f>
        <v>1.2673600163279166</v>
      </c>
      <c r="Y38">
        <f>report!R38</f>
        <v>2.1495299236317242</v>
      </c>
      <c r="Z38">
        <f>report!S38</f>
        <v>0.13642065006326978</v>
      </c>
      <c r="AA38">
        <f>report!T38</f>
        <v>0.88216990730380751</v>
      </c>
      <c r="AB38">
        <f>report!U38</f>
        <v>1.7307249063235253</v>
      </c>
      <c r="AC38" s="30">
        <f>report!V38</f>
        <v>42640</v>
      </c>
      <c r="AD38" s="30">
        <f>report!W38</f>
        <v>42657</v>
      </c>
      <c r="AE38" s="30">
        <f>report!X38</f>
        <v>42648.5</v>
      </c>
      <c r="AF38">
        <f>report!Y38</f>
        <v>17</v>
      </c>
      <c r="AG38">
        <f>report!Z38</f>
        <v>0.80905412911678853</v>
      </c>
      <c r="AH38">
        <f>report!AA38</f>
        <v>0.17897834501513107</v>
      </c>
      <c r="AI38">
        <f>report!AB38</f>
        <v>9.7373768781777153E-3</v>
      </c>
      <c r="AJ38">
        <f>report!AC38</f>
        <v>7.345294815185742E-2</v>
      </c>
      <c r="AK38">
        <f>report!AD38</f>
        <v>0.10552539686327365</v>
      </c>
      <c r="AL38">
        <f>report!AE38</f>
        <v>2.880221178771052E-2</v>
      </c>
      <c r="AM38">
        <f>report!AF38</f>
        <v>2010.7</v>
      </c>
      <c r="AO38">
        <f>report!AH38</f>
        <v>178.97834501513108</v>
      </c>
      <c r="AP38">
        <v>1</v>
      </c>
      <c r="AQ38">
        <f>report!AI38</f>
        <v>9.7373768781777148</v>
      </c>
      <c r="AR38">
        <v>1</v>
      </c>
      <c r="AS38">
        <f>report!AJ38</f>
        <v>73.452948151857413</v>
      </c>
      <c r="AT38">
        <v>1</v>
      </c>
      <c r="AU38">
        <f>report!AK38</f>
        <v>105.52539686327366</v>
      </c>
      <c r="AV38">
        <v>1</v>
      </c>
      <c r="AW38">
        <f>report!AL38</f>
        <v>28.802211787710519</v>
      </c>
      <c r="AX38">
        <v>1</v>
      </c>
      <c r="AY38">
        <f>report!AM38</f>
        <v>7.5434019932484775</v>
      </c>
      <c r="AZ38">
        <f>report!AN38</f>
        <v>10.837148257018272</v>
      </c>
      <c r="BA38">
        <f>report!AO38</f>
        <v>38</v>
      </c>
      <c r="BB38">
        <v>1</v>
      </c>
      <c r="BC38">
        <f>report!AP38</f>
        <v>8.57</v>
      </c>
      <c r="BD38">
        <v>1</v>
      </c>
    </row>
    <row r="39" spans="1:56" x14ac:dyDescent="0.25">
      <c r="A39">
        <f>report!A39</f>
        <v>2016</v>
      </c>
      <c r="B39" t="str">
        <f>report!B39</f>
        <v>47_2000</v>
      </c>
      <c r="C39">
        <f>report!C39</f>
        <v>13</v>
      </c>
      <c r="D39" t="str">
        <f>report!D39</f>
        <v>McLane-PARFLUX-Mark78H-21 ; 12419-02, O250x21</v>
      </c>
      <c r="E39">
        <f>report!E39</f>
        <v>2000</v>
      </c>
      <c r="F39" s="399">
        <v>1</v>
      </c>
      <c r="G39">
        <f>report!F39</f>
        <v>517.97142857142853</v>
      </c>
      <c r="H39">
        <f>report!G39</f>
        <v>60.937815126050417</v>
      </c>
      <c r="I39">
        <f>report!H39</f>
        <v>22.257536974789918</v>
      </c>
      <c r="J39" s="505">
        <v>1</v>
      </c>
      <c r="K39">
        <f>report!I39</f>
        <v>70.302414428743546</v>
      </c>
      <c r="L39">
        <f>report!J39</f>
        <v>8.4359890983656207</v>
      </c>
      <c r="M39" s="360">
        <v>1</v>
      </c>
      <c r="N39">
        <f>report!K39</f>
        <v>13.271342277526855</v>
      </c>
      <c r="O39" s="360">
        <v>1</v>
      </c>
      <c r="P39">
        <f>report!L39</f>
        <v>0.72510433197021484</v>
      </c>
      <c r="Q39" s="505">
        <v>1</v>
      </c>
      <c r="R39">
        <f>report!M39</f>
        <v>4.8353531791612347</v>
      </c>
      <c r="S39" s="360">
        <v>1</v>
      </c>
      <c r="T39">
        <f>report!N39</f>
        <v>5.0736257992051152</v>
      </c>
      <c r="U39" s="505">
        <v>1</v>
      </c>
      <c r="V39">
        <f>report!O39</f>
        <v>10.853477190254019</v>
      </c>
      <c r="W39">
        <f>report!P39</f>
        <v>15.647585885647636</v>
      </c>
      <c r="X39">
        <f>report!Q39</f>
        <v>1.8776433927579745</v>
      </c>
      <c r="Y39">
        <f>report!R39</f>
        <v>2.9538739144714659</v>
      </c>
      <c r="Z39">
        <f>report!S39</f>
        <v>0.16139036479407401</v>
      </c>
      <c r="AA39">
        <f>report!T39</f>
        <v>1.0762305217134918</v>
      </c>
      <c r="AB39">
        <f>report!U39</f>
        <v>2.415716698671178</v>
      </c>
      <c r="AC39" s="30">
        <f>report!V39</f>
        <v>42657</v>
      </c>
      <c r="AD39" s="30">
        <f>report!W39</f>
        <v>42674</v>
      </c>
      <c r="AE39" s="30">
        <f>report!X39</f>
        <v>42665.5</v>
      </c>
      <c r="AF39">
        <f>report!Y39</f>
        <v>17</v>
      </c>
      <c r="AG39">
        <f>report!Z39</f>
        <v>1.129264138220559</v>
      </c>
      <c r="AH39">
        <f>report!AA39</f>
        <v>0.24595120020578401</v>
      </c>
      <c r="AI39">
        <f>report!AB39</f>
        <v>1.1519654874666239E-2</v>
      </c>
      <c r="AJ39">
        <f>report!AC39</f>
        <v>8.9611200808783667E-2</v>
      </c>
      <c r="AK39">
        <f>report!AD39</f>
        <v>0.15633999939700038</v>
      </c>
      <c r="AL39">
        <f>report!AE39</f>
        <v>4.0201642514081849E-2</v>
      </c>
      <c r="AM39">
        <f>report!AF39</f>
        <v>2010.7</v>
      </c>
      <c r="AO39">
        <f>report!AH39</f>
        <v>245.951200205784</v>
      </c>
      <c r="AP39">
        <v>1</v>
      </c>
      <c r="AQ39">
        <f>report!AI39</f>
        <v>11.519654874666239</v>
      </c>
      <c r="AR39">
        <v>1</v>
      </c>
      <c r="AS39">
        <f>report!AJ39</f>
        <v>89.611200808783664</v>
      </c>
      <c r="AT39">
        <v>1</v>
      </c>
      <c r="AU39">
        <f>report!AK39</f>
        <v>156.33999939700038</v>
      </c>
      <c r="AV39">
        <v>1</v>
      </c>
      <c r="AW39">
        <f>report!AL39</f>
        <v>40.201642514081847</v>
      </c>
      <c r="AX39">
        <v>1</v>
      </c>
      <c r="AY39">
        <f>report!AM39</f>
        <v>7.7789831191778642</v>
      </c>
      <c r="AZ39">
        <f>report!AN39</f>
        <v>13.571587091625439</v>
      </c>
      <c r="BA39">
        <f>report!AO39</f>
        <v>38.08</v>
      </c>
      <c r="BB39">
        <v>1</v>
      </c>
      <c r="BC39">
        <f>report!AP39</f>
        <v>8.52</v>
      </c>
      <c r="BD39">
        <v>1</v>
      </c>
    </row>
    <row r="40" spans="1:56" x14ac:dyDescent="0.25">
      <c r="A40">
        <f>report!A40</f>
        <v>2016</v>
      </c>
      <c r="B40" t="str">
        <f>report!B40</f>
        <v>47_2000</v>
      </c>
      <c r="C40">
        <f>report!C40</f>
        <v>14</v>
      </c>
      <c r="D40" t="str">
        <f>report!D40</f>
        <v>McLane-PARFLUX-Mark78H-21 ; 12419-02, O250x21</v>
      </c>
      <c r="E40">
        <f>report!E40</f>
        <v>2000</v>
      </c>
      <c r="F40" s="399">
        <v>1</v>
      </c>
      <c r="G40">
        <f>report!F40</f>
        <v>724.85714285714289</v>
      </c>
      <c r="H40">
        <f>report!G40</f>
        <v>85.277310924369758</v>
      </c>
      <c r="I40">
        <f>report!H40</f>
        <v>31.147537815126057</v>
      </c>
      <c r="J40" s="505">
        <v>1</v>
      </c>
      <c r="K40">
        <f>report!I40</f>
        <v>67.950138217984005</v>
      </c>
      <c r="L40">
        <f>report!J40</f>
        <v>8.1537260120753849</v>
      </c>
      <c r="M40" s="360">
        <v>1</v>
      </c>
      <c r="N40">
        <f>report!K40</f>
        <v>13.242328643798828</v>
      </c>
      <c r="O40" s="360">
        <v>1</v>
      </c>
      <c r="P40">
        <f>report!L40</f>
        <v>0.72930639982223511</v>
      </c>
      <c r="Q40" s="505">
        <v>1</v>
      </c>
      <c r="R40">
        <f>report!M40</f>
        <v>5.0886026317234432</v>
      </c>
      <c r="S40" s="360">
        <v>1</v>
      </c>
      <c r="T40">
        <f>report!N40</f>
        <v>5.5341526452030418</v>
      </c>
      <c r="U40" s="505">
        <v>1</v>
      </c>
      <c r="V40">
        <f>report!O40</f>
        <v>11.838634120692447</v>
      </c>
      <c r="W40">
        <f>report!P40</f>
        <v>21.164794996876989</v>
      </c>
      <c r="X40">
        <f>report!Q40</f>
        <v>2.5396848929529505</v>
      </c>
      <c r="Y40">
        <f>report!R40</f>
        <v>4.1246593219305101</v>
      </c>
      <c r="Z40">
        <f>report!S40</f>
        <v>0.2271609866727651</v>
      </c>
      <c r="AA40">
        <f>report!T40</f>
        <v>1.5849744289775594</v>
      </c>
      <c r="AB40">
        <f>report!U40</f>
        <v>3.6874430395370963</v>
      </c>
      <c r="AC40" s="30">
        <f>report!V40</f>
        <v>42674</v>
      </c>
      <c r="AD40" s="30">
        <f>report!W40</f>
        <v>42691</v>
      </c>
      <c r="AE40" s="30">
        <f>report!X40</f>
        <v>42682.5</v>
      </c>
      <c r="AF40">
        <f>report!Y40</f>
        <v>17</v>
      </c>
      <c r="AG40">
        <f>report!Z40</f>
        <v>1.7237522879114164</v>
      </c>
      <c r="AH40">
        <f>report!AA40</f>
        <v>0.34343541398255706</v>
      </c>
      <c r="AI40">
        <f>report!AB40</f>
        <v>1.6214203188634198E-2</v>
      </c>
      <c r="AJ40">
        <f>report!AC40</f>
        <v>0.13197122639280262</v>
      </c>
      <c r="AK40">
        <f>report!AD40</f>
        <v>0.21146418758975441</v>
      </c>
      <c r="AL40">
        <f>report!AE40</f>
        <v>6.1365335988302475E-2</v>
      </c>
      <c r="AM40">
        <f>report!AF40</f>
        <v>2010.7</v>
      </c>
      <c r="AO40">
        <f>report!AH40</f>
        <v>343.43541398255707</v>
      </c>
      <c r="AP40">
        <v>1</v>
      </c>
      <c r="AQ40">
        <f>report!AI40</f>
        <v>16.214203188634198</v>
      </c>
      <c r="AR40">
        <v>1</v>
      </c>
      <c r="AS40">
        <f>report!AJ40</f>
        <v>131.97122639280263</v>
      </c>
      <c r="AT40">
        <v>1</v>
      </c>
      <c r="AU40">
        <f>report!AK40</f>
        <v>211.4641875897544</v>
      </c>
      <c r="AV40">
        <v>1</v>
      </c>
      <c r="AW40">
        <f>report!AL40</f>
        <v>61.365335988302476</v>
      </c>
      <c r="AX40">
        <v>1</v>
      </c>
      <c r="AY40">
        <f>report!AM40</f>
        <v>8.1392360054616546</v>
      </c>
      <c r="AZ40">
        <f>report!AN40</f>
        <v>13.041910547783575</v>
      </c>
      <c r="BA40">
        <f>report!AO40</f>
        <v>38.28</v>
      </c>
      <c r="BB40">
        <v>1</v>
      </c>
      <c r="BC40">
        <f>report!AP40</f>
        <v>8.5</v>
      </c>
      <c r="BD40">
        <v>1</v>
      </c>
    </row>
    <row r="41" spans="1:56" x14ac:dyDescent="0.25">
      <c r="A41">
        <f>report!A41</f>
        <v>2016</v>
      </c>
      <c r="B41" t="str">
        <f>report!B41</f>
        <v>47_2000</v>
      </c>
      <c r="C41">
        <f>report!C41</f>
        <v>15</v>
      </c>
      <c r="D41" t="str">
        <f>report!D41</f>
        <v>McLane-PARFLUX-Mark78H-21 ; 12419-02, O250x21</v>
      </c>
      <c r="E41">
        <f>report!E41</f>
        <v>2000</v>
      </c>
      <c r="F41" s="399">
        <v>1</v>
      </c>
      <c r="G41">
        <f>report!F41</f>
        <v>1210.6571428571428</v>
      </c>
      <c r="H41">
        <f>report!G41</f>
        <v>142.43025210084033</v>
      </c>
      <c r="I41">
        <f>report!H41</f>
        <v>52.022649579831935</v>
      </c>
      <c r="J41" s="505">
        <v>1</v>
      </c>
      <c r="K41">
        <f>report!I41</f>
        <v>67.596772424485593</v>
      </c>
      <c r="L41">
        <f>report!J41</f>
        <v>8.1113236279480319</v>
      </c>
      <c r="M41" s="360">
        <v>1</v>
      </c>
      <c r="N41">
        <f>report!K41</f>
        <v>12.697575569152832</v>
      </c>
      <c r="O41" s="360">
        <v>1</v>
      </c>
      <c r="P41">
        <f>report!L41</f>
        <v>0.6531527042388916</v>
      </c>
      <c r="Q41" s="505">
        <v>1</v>
      </c>
      <c r="R41">
        <f>report!M41</f>
        <v>4.5862519412048002</v>
      </c>
      <c r="S41" s="360">
        <v>1</v>
      </c>
      <c r="T41">
        <f>report!N41</f>
        <v>7.093779127948534</v>
      </c>
      <c r="U41" s="505">
        <v>1</v>
      </c>
      <c r="V41">
        <f>report!O41</f>
        <v>15.174979985704073</v>
      </c>
      <c r="W41">
        <f>report!P41</f>
        <v>35.165632045666605</v>
      </c>
      <c r="X41">
        <f>report!Q41</f>
        <v>4.2197254672535154</v>
      </c>
      <c r="Y41">
        <f>report!R41</f>
        <v>6.6056152434747286</v>
      </c>
      <c r="Z41">
        <f>report!S41</f>
        <v>0.33978734254739468</v>
      </c>
      <c r="AA41">
        <f>report!T41</f>
        <v>2.3858897762212132</v>
      </c>
      <c r="AB41">
        <f>report!U41</f>
        <v>7.8944266617724601</v>
      </c>
      <c r="AC41" s="30">
        <f>report!V41</f>
        <v>42691</v>
      </c>
      <c r="AD41" s="30">
        <f>report!W41</f>
        <v>42708</v>
      </c>
      <c r="AE41" s="30">
        <f>report!X41</f>
        <v>42699.5</v>
      </c>
      <c r="AF41">
        <f>report!Y41</f>
        <v>17</v>
      </c>
      <c r="AG41">
        <f>report!Z41</f>
        <v>3.6903718576999234</v>
      </c>
      <c r="AH41">
        <f>report!AA41</f>
        <v>0.55000959562653862</v>
      </c>
      <c r="AI41">
        <f>report!AB41</f>
        <v>2.4253200752847585E-2</v>
      </c>
      <c r="AJ41">
        <f>report!AC41</f>
        <v>0.19865859918577963</v>
      </c>
      <c r="AK41">
        <f>report!AD41</f>
        <v>0.35135099644075901</v>
      </c>
      <c r="AL41">
        <f>report!AE41</f>
        <v>0.13137671262726677</v>
      </c>
      <c r="AM41">
        <f>report!AF41</f>
        <v>2010.7</v>
      </c>
      <c r="AO41">
        <f>report!AH41</f>
        <v>550.00959562653861</v>
      </c>
      <c r="AP41">
        <v>1</v>
      </c>
      <c r="AQ41">
        <f>report!AI41</f>
        <v>24.253200752847587</v>
      </c>
      <c r="AR41">
        <v>1</v>
      </c>
      <c r="AS41">
        <f>report!AJ41</f>
        <v>198.65859918577962</v>
      </c>
      <c r="AT41">
        <v>1</v>
      </c>
      <c r="AU41">
        <f>report!AK41</f>
        <v>351.35099644075899</v>
      </c>
      <c r="AV41">
        <v>1</v>
      </c>
      <c r="AW41">
        <f>report!AL41</f>
        <v>131.37671262726678</v>
      </c>
      <c r="AX41">
        <v>1</v>
      </c>
      <c r="AY41">
        <f>report!AM41</f>
        <v>8.1910260509617459</v>
      </c>
      <c r="AZ41">
        <f>report!AN41</f>
        <v>14.486788775683829</v>
      </c>
      <c r="BA41">
        <f>report!AO41</f>
        <v>37.79</v>
      </c>
      <c r="BB41">
        <v>1</v>
      </c>
      <c r="BC41">
        <f>report!AP41</f>
        <v>8.51</v>
      </c>
      <c r="BD41">
        <v>1</v>
      </c>
    </row>
    <row r="42" spans="1:56" x14ac:dyDescent="0.25">
      <c r="A42">
        <f>report!A42</f>
        <v>2016</v>
      </c>
      <c r="B42" t="str">
        <f>report!B42</f>
        <v>47_2000</v>
      </c>
      <c r="C42">
        <f>report!C42</f>
        <v>16</v>
      </c>
      <c r="D42" t="str">
        <f>report!D42</f>
        <v>McLane-PARFLUX-Mark78H-21 ; 12419-02, O250x21</v>
      </c>
      <c r="E42">
        <f>report!E42</f>
        <v>2000</v>
      </c>
      <c r="F42" s="399">
        <v>1</v>
      </c>
      <c r="G42">
        <f>report!F42</f>
        <v>1365.542857142857</v>
      </c>
      <c r="H42">
        <f>report!G42</f>
        <v>160.65210084033612</v>
      </c>
      <c r="I42">
        <f>report!H42</f>
        <v>58.678179831932766</v>
      </c>
      <c r="J42" s="505">
        <v>1</v>
      </c>
      <c r="K42">
        <f>report!I42</f>
        <v>63.025721943428337</v>
      </c>
      <c r="L42">
        <f>report!J42</f>
        <v>7.5628171173307823</v>
      </c>
      <c r="M42" s="360">
        <v>1</v>
      </c>
      <c r="N42">
        <f>report!K42</f>
        <v>12.254880428314209</v>
      </c>
      <c r="O42" s="360">
        <v>1</v>
      </c>
      <c r="P42">
        <f>report!L42</f>
        <v>0.81864586472511292</v>
      </c>
      <c r="Q42" s="505">
        <v>1</v>
      </c>
      <c r="R42">
        <f>report!M42</f>
        <v>4.6920633109834267</v>
      </c>
      <c r="S42" s="360">
        <v>1</v>
      </c>
      <c r="T42">
        <f>report!N42</f>
        <v>9.0522385974647506</v>
      </c>
      <c r="U42" s="505">
        <v>1</v>
      </c>
      <c r="V42">
        <f>report!O42</f>
        <v>19.364507558620755</v>
      </c>
      <c r="W42">
        <f>report!P42</f>
        <v>36.982346462338789</v>
      </c>
      <c r="X42">
        <f>report!Q42</f>
        <v>4.4377234284675495</v>
      </c>
      <c r="Y42">
        <f>report!R42</f>
        <v>7.1909407759145436</v>
      </c>
      <c r="Z42">
        <f>report!S42</f>
        <v>0.48036649269008275</v>
      </c>
      <c r="AA42">
        <f>report!T42</f>
        <v>2.7532173474469941</v>
      </c>
      <c r="AB42">
        <f>report!U42</f>
        <v>11.362740568815701</v>
      </c>
      <c r="AC42" s="30">
        <f>report!V42</f>
        <v>42708</v>
      </c>
      <c r="AD42" s="30">
        <f>report!W42</f>
        <v>42725</v>
      </c>
      <c r="AE42" s="30">
        <f>report!X42</f>
        <v>42716.5</v>
      </c>
      <c r="AF42">
        <f>report!Y42</f>
        <v>17</v>
      </c>
      <c r="AG42">
        <f>report!Z42</f>
        <v>5.311688843035995</v>
      </c>
      <c r="AH42">
        <f>report!AA42</f>
        <v>0.59874610956823848</v>
      </c>
      <c r="AI42">
        <f>report!AB42</f>
        <v>3.4287401334053016E-2</v>
      </c>
      <c r="AJ42">
        <f>report!AC42</f>
        <v>0.22924374250183133</v>
      </c>
      <c r="AK42">
        <f>report!AD42</f>
        <v>0.3695023670664071</v>
      </c>
      <c r="AL42">
        <f>report!AE42</f>
        <v>0.1890953664306157</v>
      </c>
      <c r="AM42">
        <f>report!AF42</f>
        <v>2010.7</v>
      </c>
      <c r="AO42">
        <f>report!AH42</f>
        <v>598.74610956823847</v>
      </c>
      <c r="AP42">
        <v>1</v>
      </c>
      <c r="AQ42">
        <f>report!AI42</f>
        <v>34.287401334053015</v>
      </c>
      <c r="AR42">
        <v>1</v>
      </c>
      <c r="AS42">
        <f>report!AJ42</f>
        <v>229.24374250183132</v>
      </c>
      <c r="AT42">
        <v>1</v>
      </c>
      <c r="AU42">
        <f>report!AK42</f>
        <v>369.50236706640709</v>
      </c>
      <c r="AV42">
        <v>1</v>
      </c>
      <c r="AW42">
        <f>report!AL42</f>
        <v>189.09536643061568</v>
      </c>
      <c r="AX42">
        <v>1</v>
      </c>
      <c r="AY42">
        <f>report!AM42</f>
        <v>6.685946837101203</v>
      </c>
      <c r="AZ42">
        <f>report!AN42</f>
        <v>10.776622102866414</v>
      </c>
      <c r="BA42">
        <f>report!AO42</f>
        <v>37.36</v>
      </c>
      <c r="BB42">
        <v>1</v>
      </c>
      <c r="BC42">
        <f>report!AP42</f>
        <v>8.42</v>
      </c>
      <c r="BD42">
        <v>1</v>
      </c>
    </row>
    <row r="43" spans="1:56" x14ac:dyDescent="0.25">
      <c r="A43">
        <f>report!A43</f>
        <v>2016</v>
      </c>
      <c r="B43" t="str">
        <f>report!B43</f>
        <v>47_2000</v>
      </c>
      <c r="C43">
        <f>report!C43</f>
        <v>17</v>
      </c>
      <c r="D43" t="str">
        <f>report!D43</f>
        <v>McLane-PARFLUX-Mark78H-21 ; 12419-02, O250x21</v>
      </c>
      <c r="E43">
        <f>report!E43</f>
        <v>2000</v>
      </c>
      <c r="F43" s="399">
        <v>1</v>
      </c>
      <c r="G43">
        <f>report!F43</f>
        <v>1584.0571428571427</v>
      </c>
      <c r="H43">
        <f>report!G43</f>
        <v>186.3596638655462</v>
      </c>
      <c r="I43">
        <f>report!H43</f>
        <v>68.067867226890755</v>
      </c>
      <c r="J43" s="505">
        <v>1</v>
      </c>
      <c r="K43">
        <f>report!I43</f>
        <v>50.195517680001636</v>
      </c>
      <c r="L43">
        <f>report!J43</f>
        <v>6.0232474713156234</v>
      </c>
      <c r="M43" s="360">
        <v>1</v>
      </c>
      <c r="N43">
        <f>report!K43</f>
        <v>12.420710563659668</v>
      </c>
      <c r="O43" s="360">
        <v>1</v>
      </c>
      <c r="P43">
        <f>report!L43</f>
        <v>0.86473464965820313</v>
      </c>
      <c r="Q43" s="505">
        <v>1</v>
      </c>
      <c r="R43">
        <f>report!M43</f>
        <v>6.3974630923440445</v>
      </c>
      <c r="S43" s="360">
        <v>1</v>
      </c>
      <c r="T43">
        <f>report!N43</f>
        <v>12.526804529392866</v>
      </c>
      <c r="U43" s="505">
        <v>1</v>
      </c>
      <c r="V43">
        <f>report!O43</f>
        <v>26.797283167362668</v>
      </c>
      <c r="W43">
        <f>report!P43</f>
        <v>34.167018328273983</v>
      </c>
      <c r="X43">
        <f>report!Q43</f>
        <v>4.0998960915221732</v>
      </c>
      <c r="Y43">
        <f>report!R43</f>
        <v>8.4545127751082561</v>
      </c>
      <c r="Z43">
        <f>report!S43</f>
        <v>0.58860643319426464</v>
      </c>
      <c r="AA43">
        <f>report!T43</f>
        <v>4.3546166835860829</v>
      </c>
      <c r="AB43">
        <f>report!U43</f>
        <v>18.240339126774366</v>
      </c>
      <c r="AC43" s="30">
        <f>report!V43</f>
        <v>42725</v>
      </c>
      <c r="AD43" s="30">
        <f>report!W43</f>
        <v>42742</v>
      </c>
      <c r="AE43" s="30">
        <f>report!X43</f>
        <v>42733.5</v>
      </c>
      <c r="AF43">
        <f>report!Y43</f>
        <v>17</v>
      </c>
      <c r="AG43">
        <f>report!Z43</f>
        <v>8.5267286748392728</v>
      </c>
      <c r="AH43">
        <f>report!AA43</f>
        <v>0.70395610117470908</v>
      </c>
      <c r="AI43">
        <f>report!AB43</f>
        <v>4.2013307151624886E-2</v>
      </c>
      <c r="AJ43">
        <f>report!AC43</f>
        <v>0.36258257148926587</v>
      </c>
      <c r="AK43">
        <f>report!AD43</f>
        <v>0.34137352968544321</v>
      </c>
      <c r="AL43">
        <f>report!AE43</f>
        <v>0.3035503266229716</v>
      </c>
      <c r="AM43">
        <f>report!AF43</f>
        <v>2010.7</v>
      </c>
      <c r="AO43">
        <f>report!AH43</f>
        <v>703.95610117470903</v>
      </c>
      <c r="AP43">
        <v>1</v>
      </c>
      <c r="AQ43">
        <f>report!AI43</f>
        <v>42.013307151624886</v>
      </c>
      <c r="AR43">
        <v>1</v>
      </c>
      <c r="AS43">
        <f>report!AJ43</f>
        <v>362.58257148926589</v>
      </c>
      <c r="AT43">
        <v>1</v>
      </c>
      <c r="AU43">
        <f>report!AK43</f>
        <v>341.3735296854432</v>
      </c>
      <c r="AV43">
        <v>1</v>
      </c>
      <c r="AW43">
        <f>report!AL43</f>
        <v>303.55032662297162</v>
      </c>
      <c r="AX43">
        <v>1</v>
      </c>
      <c r="AY43">
        <f>report!AM43</f>
        <v>8.6301840076696461</v>
      </c>
      <c r="AZ43">
        <f>report!AN43</f>
        <v>8.1253667666160005</v>
      </c>
      <c r="BA43">
        <f>report!AO43</f>
        <v>37.35</v>
      </c>
      <c r="BB43">
        <v>1</v>
      </c>
      <c r="BC43">
        <f>report!AP43</f>
        <v>8.42</v>
      </c>
      <c r="BD43">
        <v>1</v>
      </c>
    </row>
    <row r="44" spans="1:56" x14ac:dyDescent="0.25">
      <c r="A44">
        <f>report!A44</f>
        <v>2016</v>
      </c>
      <c r="B44" t="str">
        <f>report!B44</f>
        <v>47_2000</v>
      </c>
      <c r="C44">
        <f>report!C44</f>
        <v>18</v>
      </c>
      <c r="D44" t="str">
        <f>report!D44</f>
        <v>McLane-PARFLUX-Mark78H-21 ; 12419-02, O250x21</v>
      </c>
      <c r="E44">
        <f>report!E44</f>
        <v>2000</v>
      </c>
      <c r="F44" s="399">
        <v>1</v>
      </c>
      <c r="G44">
        <f>report!F44</f>
        <v>713.67142857142846</v>
      </c>
      <c r="H44">
        <f>report!G44</f>
        <v>83.961344537815108</v>
      </c>
      <c r="I44">
        <f>report!H44</f>
        <v>30.66688109243697</v>
      </c>
      <c r="J44" s="505">
        <v>1</v>
      </c>
      <c r="K44">
        <f>report!I44</f>
        <v>43.142146829754992</v>
      </c>
      <c r="L44">
        <f>report!J44</f>
        <v>5.1768731315022984</v>
      </c>
      <c r="M44" s="360">
        <v>1</v>
      </c>
      <c r="N44">
        <f>report!K44</f>
        <v>16.616935729980469</v>
      </c>
      <c r="O44" s="360">
        <v>2</v>
      </c>
      <c r="P44">
        <f>report!L44</f>
        <v>1.5863571166992188</v>
      </c>
      <c r="Q44" s="505">
        <v>2</v>
      </c>
      <c r="R44">
        <f>report!M44</f>
        <v>11.440062598478171</v>
      </c>
      <c r="S44" s="360">
        <v>2</v>
      </c>
      <c r="T44">
        <f>report!N44</f>
        <v>9.9699347465570725</v>
      </c>
      <c r="U44" s="505">
        <v>1</v>
      </c>
      <c r="V44">
        <f>report!O44</f>
        <v>21.327638979017959</v>
      </c>
      <c r="W44">
        <f>report!P44</f>
        <v>13.230350869005528</v>
      </c>
      <c r="X44">
        <f>report!Q44</f>
        <v>1.587585527544128</v>
      </c>
      <c r="Y44">
        <f>report!R44</f>
        <v>5.0958959215197837</v>
      </c>
      <c r="Z44">
        <f>report!S44</f>
        <v>0.48648625067956097</v>
      </c>
      <c r="AA44">
        <f>report!T44</f>
        <v>3.5083103939756555</v>
      </c>
      <c r="AB44">
        <f>report!U44</f>
        <v>6.5405216855196757</v>
      </c>
      <c r="AC44" s="30">
        <f>report!V44</f>
        <v>42742</v>
      </c>
      <c r="AD44" s="30">
        <f>report!W44</f>
        <v>42759</v>
      </c>
      <c r="AE44" s="30">
        <f>report!X44</f>
        <v>42750.5</v>
      </c>
      <c r="AF44">
        <f>report!Y44</f>
        <v>17</v>
      </c>
      <c r="AG44">
        <f>report!Z44</f>
        <v>3.0574680337202147</v>
      </c>
      <c r="AH44">
        <f>report!AA44</f>
        <v>0.42430440645460316</v>
      </c>
      <c r="AI44">
        <f>report!AB44</f>
        <v>3.4724214895043612E-2</v>
      </c>
      <c r="AJ44">
        <f>report!AC44</f>
        <v>0.29211576968989639</v>
      </c>
      <c r="AK44">
        <f>report!AD44</f>
        <v>0.13218863676470674</v>
      </c>
      <c r="AL44">
        <f>report!AE44</f>
        <v>0.10884542661873317</v>
      </c>
      <c r="AM44">
        <f>report!AF44</f>
        <v>2010.7</v>
      </c>
      <c r="AO44">
        <f>report!AH44</f>
        <v>424.30440645460317</v>
      </c>
      <c r="AP44">
        <v>2</v>
      </c>
      <c r="AQ44">
        <f>report!AI44</f>
        <v>34.724214895043609</v>
      </c>
      <c r="AR44">
        <v>2</v>
      </c>
      <c r="AS44">
        <f>report!AJ44</f>
        <v>292.11576968989641</v>
      </c>
      <c r="AT44">
        <v>2</v>
      </c>
      <c r="AU44">
        <f>report!AK44</f>
        <v>132.18863676470673</v>
      </c>
      <c r="AV44">
        <v>1</v>
      </c>
      <c r="AW44">
        <f>report!AL44</f>
        <v>108.84542661873317</v>
      </c>
      <c r="AX44">
        <v>1</v>
      </c>
      <c r="AY44">
        <f>report!AM44</f>
        <v>8.4124513850878113</v>
      </c>
      <c r="AZ44">
        <f>report!AN44</f>
        <v>3.8068142696460154</v>
      </c>
      <c r="BA44">
        <f>report!AO44</f>
        <v>38.1</v>
      </c>
      <c r="BB44">
        <v>1</v>
      </c>
      <c r="BC44">
        <f>report!AP44</f>
        <v>8.49</v>
      </c>
      <c r="BD44">
        <v>1</v>
      </c>
    </row>
    <row r="45" spans="1:56" x14ac:dyDescent="0.25">
      <c r="A45">
        <f>report!A45</f>
        <v>2016</v>
      </c>
      <c r="B45" t="str">
        <f>report!B45</f>
        <v>47_2000</v>
      </c>
      <c r="C45">
        <f>report!C45</f>
        <v>19</v>
      </c>
      <c r="D45" t="str">
        <f>report!D45</f>
        <v>McLane-PARFLUX-Mark78H-21 ; 12419-02, O250x21</v>
      </c>
      <c r="E45">
        <f>report!E45</f>
        <v>2000</v>
      </c>
      <c r="F45" s="399">
        <v>1</v>
      </c>
      <c r="G45">
        <f>report!F45</f>
        <v>6.5142857142857178</v>
      </c>
      <c r="H45">
        <f>report!G45</f>
        <v>0.76638655462184913</v>
      </c>
      <c r="I45">
        <f>report!H45</f>
        <v>0.27992268907563045</v>
      </c>
      <c r="J45" s="505">
        <v>2</v>
      </c>
      <c r="K45" t="str">
        <f>report!I45</f>
        <v>NaN</v>
      </c>
      <c r="L45" t="str">
        <f>report!J45</f>
        <v>NaN</v>
      </c>
      <c r="M45" s="360">
        <v>9</v>
      </c>
      <c r="N45" t="str">
        <f>report!K45</f>
        <v>NaN</v>
      </c>
      <c r="O45" s="360">
        <v>9</v>
      </c>
      <c r="P45" t="str">
        <f>report!L45</f>
        <v>NaN</v>
      </c>
      <c r="Q45" s="505">
        <v>9</v>
      </c>
      <c r="R45" t="str">
        <f>report!M45</f>
        <v>NaN</v>
      </c>
      <c r="S45" s="360">
        <v>9</v>
      </c>
      <c r="T45" t="str">
        <f>report!N45</f>
        <v>NaN</v>
      </c>
      <c r="U45" s="505">
        <v>9</v>
      </c>
      <c r="V45" t="str">
        <f>report!O45</f>
        <v>NaN</v>
      </c>
      <c r="W45" t="str">
        <f>report!P45</f>
        <v>NaN</v>
      </c>
      <c r="X45" t="str">
        <f>report!Q45</f>
        <v>NaN</v>
      </c>
      <c r="Y45" t="str">
        <f>report!R45</f>
        <v>NaN</v>
      </c>
      <c r="Z45" t="str">
        <f>report!S45</f>
        <v>NaN</v>
      </c>
      <c r="AA45" t="str">
        <f>report!T45</f>
        <v>NaN</v>
      </c>
      <c r="AB45" t="str">
        <f>report!U45</f>
        <v>NaN</v>
      </c>
      <c r="AC45" s="30">
        <f>report!V45</f>
        <v>42759</v>
      </c>
      <c r="AD45" s="30">
        <f>report!W45</f>
        <v>42776</v>
      </c>
      <c r="AE45" s="30">
        <f>report!X45</f>
        <v>42767.5</v>
      </c>
      <c r="AF45">
        <f>report!Y45</f>
        <v>17</v>
      </c>
      <c r="AG45" t="str">
        <f>report!Z45</f>
        <v>NaN</v>
      </c>
      <c r="AH45" t="str">
        <f>report!AA45</f>
        <v>NaN</v>
      </c>
      <c r="AI45" t="str">
        <f>report!AB45</f>
        <v>NaN</v>
      </c>
      <c r="AJ45" t="str">
        <f>report!AC45</f>
        <v>NaN</v>
      </c>
      <c r="AK45" t="str">
        <f>report!AD45</f>
        <v>NaN</v>
      </c>
      <c r="AL45" t="str">
        <f>report!AE45</f>
        <v>NaN</v>
      </c>
      <c r="AM45">
        <f>report!AF45</f>
        <v>2010.7</v>
      </c>
      <c r="AO45" t="str">
        <f>report!AH45</f>
        <v>NaN</v>
      </c>
      <c r="AP45">
        <v>9</v>
      </c>
      <c r="AQ45" t="str">
        <f>report!AI45</f>
        <v>NaN</v>
      </c>
      <c r="AR45">
        <v>9</v>
      </c>
      <c r="AS45" t="str">
        <f>report!AJ45</f>
        <v>NaN</v>
      </c>
      <c r="AT45">
        <v>9</v>
      </c>
      <c r="AU45" t="str">
        <f>report!AK45</f>
        <v>NaN</v>
      </c>
      <c r="AV45">
        <v>9</v>
      </c>
      <c r="AW45" t="str">
        <f>report!AL45</f>
        <v>NaN</v>
      </c>
      <c r="AX45">
        <v>9</v>
      </c>
      <c r="AY45" t="str">
        <f>report!AM45</f>
        <v>NaN</v>
      </c>
      <c r="AZ45" t="str">
        <f>report!AN45</f>
        <v>NaN</v>
      </c>
      <c r="BA45">
        <f>report!AO45</f>
        <v>38.67</v>
      </c>
      <c r="BB45">
        <v>1</v>
      </c>
      <c r="BC45">
        <f>report!AP45</f>
        <v>8.65</v>
      </c>
      <c r="BD45">
        <v>1</v>
      </c>
    </row>
    <row r="46" spans="1:56" x14ac:dyDescent="0.25">
      <c r="A46">
        <f>report!A46</f>
        <v>2016</v>
      </c>
      <c r="B46" t="str">
        <f>report!B46</f>
        <v>47_2000</v>
      </c>
      <c r="C46">
        <f>report!C46</f>
        <v>20</v>
      </c>
      <c r="D46" t="str">
        <f>report!D46</f>
        <v>McLane-PARFLUX-Mark78H-21 ; 12419-02, O250x21</v>
      </c>
      <c r="E46">
        <f>report!E46</f>
        <v>2000</v>
      </c>
      <c r="F46" s="399">
        <v>1</v>
      </c>
      <c r="G46">
        <f>report!F46</f>
        <v>2.2428571428571433</v>
      </c>
      <c r="H46">
        <f>report!G46</f>
        <v>0.26386554621848746</v>
      </c>
      <c r="I46">
        <f>report!H46</f>
        <v>9.6376890756302555E-2</v>
      </c>
      <c r="J46" s="505">
        <v>2</v>
      </c>
      <c r="K46" t="str">
        <f>report!I46</f>
        <v>NaN</v>
      </c>
      <c r="L46" t="str">
        <f>report!J46</f>
        <v>NaN</v>
      </c>
      <c r="M46" s="360">
        <v>9</v>
      </c>
      <c r="N46" t="str">
        <f>report!K46</f>
        <v>NaN</v>
      </c>
      <c r="O46" s="360">
        <v>9</v>
      </c>
      <c r="P46" t="str">
        <f>report!L46</f>
        <v>NaN</v>
      </c>
      <c r="Q46" s="505">
        <v>9</v>
      </c>
      <c r="R46" t="str">
        <f>report!M46</f>
        <v>NaN</v>
      </c>
      <c r="S46" s="360">
        <v>9</v>
      </c>
      <c r="T46" t="str">
        <f>report!N46</f>
        <v>NaN</v>
      </c>
      <c r="U46" s="505">
        <v>9</v>
      </c>
      <c r="V46" t="str">
        <f>report!O46</f>
        <v>NaN</v>
      </c>
      <c r="W46" t="str">
        <f>report!P46</f>
        <v>NaN</v>
      </c>
      <c r="X46" t="str">
        <f>report!Q46</f>
        <v>NaN</v>
      </c>
      <c r="Y46" t="str">
        <f>report!R46</f>
        <v>NaN</v>
      </c>
      <c r="Z46" t="str">
        <f>report!S46</f>
        <v>NaN</v>
      </c>
      <c r="AA46" t="str">
        <f>report!T46</f>
        <v>NaN</v>
      </c>
      <c r="AB46" t="str">
        <f>report!U46</f>
        <v>NaN</v>
      </c>
      <c r="AC46" s="30">
        <f>report!V46</f>
        <v>42776</v>
      </c>
      <c r="AD46" s="30">
        <f>report!W46</f>
        <v>42793</v>
      </c>
      <c r="AE46" s="30">
        <f>report!X46</f>
        <v>42784.5</v>
      </c>
      <c r="AF46">
        <f>report!Y46</f>
        <v>17</v>
      </c>
      <c r="AG46" t="str">
        <f>report!Z46</f>
        <v>NaN</v>
      </c>
      <c r="AH46" t="str">
        <f>report!AA46</f>
        <v>NaN</v>
      </c>
      <c r="AI46" t="str">
        <f>report!AB46</f>
        <v>NaN</v>
      </c>
      <c r="AJ46" t="str">
        <f>report!AC46</f>
        <v>NaN</v>
      </c>
      <c r="AK46" t="str">
        <f>report!AD46</f>
        <v>NaN</v>
      </c>
      <c r="AL46" t="str">
        <f>report!AE46</f>
        <v>NaN</v>
      </c>
      <c r="AM46">
        <f>report!AF46</f>
        <v>2010.7</v>
      </c>
      <c r="AO46" t="str">
        <f>report!AH46</f>
        <v>NaN</v>
      </c>
      <c r="AP46">
        <v>9</v>
      </c>
      <c r="AQ46" t="str">
        <f>report!AI46</f>
        <v>NaN</v>
      </c>
      <c r="AR46">
        <v>9</v>
      </c>
      <c r="AS46" t="str">
        <f>report!AJ46</f>
        <v>NaN</v>
      </c>
      <c r="AT46">
        <v>9</v>
      </c>
      <c r="AU46" t="str">
        <f>report!AK46</f>
        <v>NaN</v>
      </c>
      <c r="AV46">
        <v>9</v>
      </c>
      <c r="AW46" t="str">
        <f>report!AL46</f>
        <v>NaN</v>
      </c>
      <c r="AX46">
        <v>9</v>
      </c>
      <c r="AY46" t="str">
        <f>report!AM46</f>
        <v>NaN</v>
      </c>
      <c r="AZ46" t="str">
        <f>report!AN46</f>
        <v>NaN</v>
      </c>
      <c r="BA46">
        <f>report!AO46</f>
        <v>38.72</v>
      </c>
      <c r="BB46">
        <v>1</v>
      </c>
      <c r="BC46">
        <f>report!AP46</f>
        <v>8.6</v>
      </c>
      <c r="BD46">
        <v>1</v>
      </c>
    </row>
    <row r="47" spans="1:56" s="84" customFormat="1" x14ac:dyDescent="0.25">
      <c r="A47" s="84">
        <f>report!A47</f>
        <v>2016</v>
      </c>
      <c r="B47" s="84" t="str">
        <f>report!B47</f>
        <v>47_2000</v>
      </c>
      <c r="C47" s="84">
        <f>report!C47</f>
        <v>21</v>
      </c>
      <c r="D47" s="84" t="str">
        <f>report!D47</f>
        <v>McLane-PARFLUX-Mark78H-21 ; 12419-02, O250x21</v>
      </c>
      <c r="E47" s="84">
        <f>report!E47</f>
        <v>2000</v>
      </c>
      <c r="F47" s="399">
        <v>1</v>
      </c>
      <c r="G47" s="84">
        <f>report!F47</f>
        <v>1.5142857142857176</v>
      </c>
      <c r="H47" s="84">
        <f>report!G47</f>
        <v>0.17815126050420207</v>
      </c>
      <c r="I47" s="84">
        <f>report!H47</f>
        <v>6.5069747899159813E-2</v>
      </c>
      <c r="J47" s="506">
        <v>2</v>
      </c>
      <c r="K47" s="84" t="str">
        <f>report!I47</f>
        <v>NaN</v>
      </c>
      <c r="L47" s="84" t="str">
        <f>report!J47</f>
        <v>NaN</v>
      </c>
      <c r="M47" s="509">
        <v>9</v>
      </c>
      <c r="N47" s="84" t="str">
        <f>report!K47</f>
        <v>NaN</v>
      </c>
      <c r="O47" s="509">
        <v>9</v>
      </c>
      <c r="P47" s="84" t="str">
        <f>report!L47</f>
        <v>NaN</v>
      </c>
      <c r="Q47" s="506">
        <v>9</v>
      </c>
      <c r="R47" s="84" t="str">
        <f>report!M47</f>
        <v>NaN</v>
      </c>
      <c r="S47" s="509">
        <v>9</v>
      </c>
      <c r="T47" s="84" t="str">
        <f>report!N47</f>
        <v>NaN</v>
      </c>
      <c r="U47" s="506">
        <v>9</v>
      </c>
      <c r="V47" s="84" t="str">
        <f>report!O47</f>
        <v>NaN</v>
      </c>
      <c r="W47" s="84" t="str">
        <f>report!P47</f>
        <v>NaN</v>
      </c>
      <c r="X47" s="84" t="str">
        <f>report!Q47</f>
        <v>NaN</v>
      </c>
      <c r="Y47" s="84" t="str">
        <f>report!R47</f>
        <v>NaN</v>
      </c>
      <c r="Z47" s="84" t="str">
        <f>report!S47</f>
        <v>NaN</v>
      </c>
      <c r="AA47" s="84" t="str">
        <f>report!T47</f>
        <v>NaN</v>
      </c>
      <c r="AB47" s="84" t="str">
        <f>report!U47</f>
        <v>NaN</v>
      </c>
      <c r="AC47" s="503">
        <f>report!V47</f>
        <v>42793</v>
      </c>
      <c r="AD47" s="503">
        <f>report!W47</f>
        <v>42810</v>
      </c>
      <c r="AE47" s="503">
        <f>report!X47</f>
        <v>42801.5</v>
      </c>
      <c r="AF47" s="84">
        <f>report!Y47</f>
        <v>17</v>
      </c>
      <c r="AG47" s="84" t="str">
        <f>report!Z47</f>
        <v>NaN</v>
      </c>
      <c r="AH47" s="84" t="str">
        <f>report!AA47</f>
        <v>NaN</v>
      </c>
      <c r="AI47" s="84" t="str">
        <f>report!AB47</f>
        <v>NaN</v>
      </c>
      <c r="AJ47" s="84" t="str">
        <f>report!AC47</f>
        <v>NaN</v>
      </c>
      <c r="AK47" s="84" t="str">
        <f>report!AD47</f>
        <v>NaN</v>
      </c>
      <c r="AL47" s="84" t="str">
        <f>report!AE47</f>
        <v>NaN</v>
      </c>
      <c r="AM47" s="84">
        <f>report!AF47</f>
        <v>2010.7</v>
      </c>
      <c r="AO47" s="84" t="str">
        <f>report!AH47</f>
        <v>NaN</v>
      </c>
      <c r="AP47">
        <v>9</v>
      </c>
      <c r="AQ47" s="84" t="str">
        <f>report!AI47</f>
        <v>NaN</v>
      </c>
      <c r="AR47">
        <v>9</v>
      </c>
      <c r="AS47" s="84" t="str">
        <f>report!AJ47</f>
        <v>NaN</v>
      </c>
      <c r="AT47">
        <v>9</v>
      </c>
      <c r="AU47" s="84" t="str">
        <f>report!AK47</f>
        <v>NaN</v>
      </c>
      <c r="AV47">
        <v>9</v>
      </c>
      <c r="AW47" s="84" t="str">
        <f>report!AL47</f>
        <v>NaN</v>
      </c>
      <c r="AX47">
        <v>9</v>
      </c>
      <c r="AY47" s="84" t="str">
        <f>report!AM47</f>
        <v>NaN</v>
      </c>
      <c r="AZ47" s="84" t="str">
        <f>report!AN47</f>
        <v>NaN</v>
      </c>
      <c r="BA47" s="84">
        <f>report!AO47</f>
        <v>38.67</v>
      </c>
      <c r="BB47">
        <v>1</v>
      </c>
      <c r="BC47" s="84">
        <f>report!AP47</f>
        <v>8.57</v>
      </c>
      <c r="BD47">
        <v>1</v>
      </c>
    </row>
    <row r="48" spans="1:56" x14ac:dyDescent="0.25">
      <c r="A48">
        <f>report!A48</f>
        <v>2016</v>
      </c>
      <c r="B48" t="str">
        <f>report!B48</f>
        <v>47_3800</v>
      </c>
      <c r="C48">
        <f>report!C48</f>
        <v>1</v>
      </c>
      <c r="D48" t="str">
        <f>report!D48</f>
        <v>McLane-PARFLUX-Mark78H-13 ; 12419-03, X500x13</v>
      </c>
      <c r="E48">
        <f>report!E48</f>
        <v>3800</v>
      </c>
      <c r="F48" s="399">
        <v>1</v>
      </c>
      <c r="G48">
        <f>report!F48</f>
        <v>451.30000000000007</v>
      </c>
      <c r="H48">
        <f>report!G48</f>
        <v>33.429629629629638</v>
      </c>
      <c r="I48">
        <f>report!H48</f>
        <v>12.210172222222225</v>
      </c>
      <c r="J48" s="505">
        <v>1</v>
      </c>
      <c r="K48" s="505">
        <f>report!I48</f>
        <v>73.71494258911909</v>
      </c>
      <c r="L48" s="505">
        <f>report!J48</f>
        <v>8.845477884671423</v>
      </c>
      <c r="M48" s="360">
        <v>1</v>
      </c>
      <c r="N48" s="505">
        <f>report!K48</f>
        <v>12.980376243591309</v>
      </c>
      <c r="O48" s="360">
        <v>1</v>
      </c>
      <c r="P48" s="505">
        <f>report!L48</f>
        <v>0.60060226917266846</v>
      </c>
      <c r="Q48" s="505">
        <v>1</v>
      </c>
      <c r="R48" s="505">
        <f>report!M48</f>
        <v>4.1348983589198856</v>
      </c>
      <c r="S48" s="360">
        <v>1</v>
      </c>
      <c r="T48" s="505">
        <f>report!N48</f>
        <v>4.0644737090086709</v>
      </c>
      <c r="U48" s="505">
        <v>1</v>
      </c>
      <c r="V48">
        <f>report!O48</f>
        <v>8.6947036373916351</v>
      </c>
      <c r="W48">
        <f>report!P48</f>
        <v>9.0007214436436804</v>
      </c>
      <c r="X48">
        <f>report!Q48</f>
        <v>1.0800480835969601</v>
      </c>
      <c r="Y48">
        <f>report!R48</f>
        <v>1.5849262944349185</v>
      </c>
      <c r="Z48">
        <f>report!S48</f>
        <v>7.3334571436557514E-2</v>
      </c>
      <c r="AA48">
        <f>report!T48</f>
        <v>0.50487821083795847</v>
      </c>
      <c r="AB48">
        <f>report!U48</f>
        <v>1.0616382883373388</v>
      </c>
      <c r="AC48" s="30">
        <f>report!V48</f>
        <v>42453</v>
      </c>
      <c r="AD48" s="30">
        <f>report!W48</f>
        <v>42480</v>
      </c>
      <c r="AE48" s="30">
        <f>report!X48</f>
        <v>42466.5</v>
      </c>
      <c r="AF48">
        <f>report!Y48</f>
        <v>27</v>
      </c>
      <c r="AG48">
        <f>report!Z48</f>
        <v>0.49627923979690208</v>
      </c>
      <c r="AH48">
        <f>report!AA48</f>
        <v>0.1319672185208092</v>
      </c>
      <c r="AI48">
        <f>report!AB48</f>
        <v>5.2344447849077451E-3</v>
      </c>
      <c r="AJ48">
        <f>report!AC48</f>
        <v>4.2038152442794213E-2</v>
      </c>
      <c r="AK48">
        <f>report!AD48</f>
        <v>8.9929066078014999E-2</v>
      </c>
      <c r="AL48">
        <f>report!AE48</f>
        <v>1.7667470266888648E-2</v>
      </c>
      <c r="AM48">
        <f>report!AF48</f>
        <v>3851.6</v>
      </c>
      <c r="AO48">
        <f>report!AH48</f>
        <v>131.96721852080921</v>
      </c>
      <c r="AP48">
        <v>1</v>
      </c>
      <c r="AQ48">
        <f>report!AI48</f>
        <v>5.2344447849077449</v>
      </c>
      <c r="AR48">
        <v>1</v>
      </c>
      <c r="AS48">
        <f>report!AJ48</f>
        <v>42.038152442794214</v>
      </c>
      <c r="AT48">
        <v>1</v>
      </c>
      <c r="AU48">
        <f>report!AK48</f>
        <v>89.929066078014998</v>
      </c>
      <c r="AV48">
        <v>1</v>
      </c>
      <c r="AW48">
        <f>report!AL48</f>
        <v>17.667470266888646</v>
      </c>
      <c r="AX48">
        <v>1</v>
      </c>
      <c r="AY48">
        <f>report!AM48</f>
        <v>8.0310623514457653</v>
      </c>
      <c r="AZ48">
        <f>report!AN48</f>
        <v>17.180249247695514</v>
      </c>
      <c r="BA48">
        <f>report!AO48</f>
        <v>36.65</v>
      </c>
      <c r="BB48">
        <v>1</v>
      </c>
      <c r="BC48">
        <f>report!AP48</f>
        <v>8.5299999999999994</v>
      </c>
      <c r="BD48">
        <v>1</v>
      </c>
    </row>
    <row r="49" spans="1:56" x14ac:dyDescent="0.25">
      <c r="A49">
        <f>report!A49</f>
        <v>2016</v>
      </c>
      <c r="B49" t="str">
        <f>report!B49</f>
        <v>47_3800</v>
      </c>
      <c r="C49">
        <f>report!C49</f>
        <v>2</v>
      </c>
      <c r="D49" t="str">
        <f>report!D49</f>
        <v>McLane-PARFLUX-Mark78H-13 ; 12419-03, X500x13</v>
      </c>
      <c r="E49">
        <f>report!E49</f>
        <v>3800</v>
      </c>
      <c r="F49" s="399">
        <v>1</v>
      </c>
      <c r="G49">
        <f>report!F49</f>
        <v>554.51428571428562</v>
      </c>
      <c r="H49">
        <f>report!G49</f>
        <v>41.075132275132269</v>
      </c>
      <c r="I49">
        <f>report!H49</f>
        <v>15.002692063492063</v>
      </c>
      <c r="J49" s="505">
        <v>1</v>
      </c>
      <c r="K49" s="505">
        <f>report!I49</f>
        <v>77.892691128720358</v>
      </c>
      <c r="L49" s="505">
        <f>report!J49</f>
        <v>9.3467898441847179</v>
      </c>
      <c r="M49" s="360">
        <v>1</v>
      </c>
      <c r="N49" s="505">
        <f>report!K49</f>
        <v>13.032732009887695</v>
      </c>
      <c r="O49" s="360">
        <v>1</v>
      </c>
      <c r="P49" s="505">
        <f>report!L49</f>
        <v>0.52493429183959961</v>
      </c>
      <c r="Q49" s="505">
        <v>1</v>
      </c>
      <c r="R49" s="505">
        <f>report!M49</f>
        <v>3.6859421657029774</v>
      </c>
      <c r="S49" s="360">
        <v>1</v>
      </c>
      <c r="T49" s="505">
        <f>report!N49</f>
        <v>3.4585493265941376</v>
      </c>
      <c r="U49" s="505">
        <v>1</v>
      </c>
      <c r="V49">
        <f>report!O49</f>
        <v>7.3985129595956494</v>
      </c>
      <c r="W49">
        <f>report!P49</f>
        <v>11.686000590008916</v>
      </c>
      <c r="X49">
        <f>report!Q49</f>
        <v>1.4022700981447829</v>
      </c>
      <c r="Y49">
        <f>report!R49</f>
        <v>1.955260650903611</v>
      </c>
      <c r="Z49">
        <f>report!S49</f>
        <v>7.8754275340367871E-2</v>
      </c>
      <c r="AA49">
        <f>report!T49</f>
        <v>0.55299055275882802</v>
      </c>
      <c r="AB49">
        <f>report!U49</f>
        <v>1.1099761166056881</v>
      </c>
      <c r="AC49" s="30">
        <f>report!V49</f>
        <v>42480</v>
      </c>
      <c r="AD49" s="30">
        <f>report!W49</f>
        <v>42507</v>
      </c>
      <c r="AE49" s="30">
        <f>report!X49</f>
        <v>42493.5</v>
      </c>
      <c r="AF49">
        <f>report!Y49</f>
        <v>27</v>
      </c>
      <c r="AG49">
        <f>report!Z49</f>
        <v>0.51887550533289684</v>
      </c>
      <c r="AH49">
        <f>report!AA49</f>
        <v>0.16280271864309834</v>
      </c>
      <c r="AI49">
        <f>report!AB49</f>
        <v>5.6212901741875716E-3</v>
      </c>
      <c r="AJ49">
        <f>report!AC49</f>
        <v>4.6044175916638473E-2</v>
      </c>
      <c r="AK49">
        <f>report!AD49</f>
        <v>0.11675854272645986</v>
      </c>
      <c r="AL49">
        <f>report!AE49</f>
        <v>1.8471894102274719E-2</v>
      </c>
      <c r="AM49">
        <f>report!AF49</f>
        <v>3851.6</v>
      </c>
      <c r="AO49">
        <f>report!AH49</f>
        <v>162.80271864309833</v>
      </c>
      <c r="AP49">
        <v>1</v>
      </c>
      <c r="AQ49">
        <f>report!AI49</f>
        <v>5.621290174187572</v>
      </c>
      <c r="AR49">
        <v>1</v>
      </c>
      <c r="AS49">
        <f>report!AJ49</f>
        <v>46.044175916638473</v>
      </c>
      <c r="AT49">
        <v>1</v>
      </c>
      <c r="AU49">
        <f>report!AK49</f>
        <v>116.75854272645985</v>
      </c>
      <c r="AV49">
        <v>1</v>
      </c>
      <c r="AW49">
        <f>report!AL49</f>
        <v>18.471894102274717</v>
      </c>
      <c r="AX49">
        <v>1</v>
      </c>
      <c r="AY49">
        <f>report!AM49</f>
        <v>8.1910334620455885</v>
      </c>
      <c r="AZ49">
        <f>report!AN49</f>
        <v>20.770773098069895</v>
      </c>
      <c r="BA49">
        <f>report!AO49</f>
        <v>35.68</v>
      </c>
      <c r="BB49">
        <v>1</v>
      </c>
      <c r="BC49">
        <f>report!AP49</f>
        <v>8.3699999999999992</v>
      </c>
      <c r="BD49">
        <v>1</v>
      </c>
    </row>
    <row r="50" spans="1:56" x14ac:dyDescent="0.25">
      <c r="A50">
        <f>report!A50</f>
        <v>2016</v>
      </c>
      <c r="B50" t="str">
        <f>report!B50</f>
        <v>47_3800</v>
      </c>
      <c r="C50">
        <f>report!C50</f>
        <v>3</v>
      </c>
      <c r="D50" t="str">
        <f>report!D50</f>
        <v>McLane-PARFLUX-Mark78H-13 ; 12419-03, X500x13</v>
      </c>
      <c r="E50">
        <f>report!E50</f>
        <v>3800</v>
      </c>
      <c r="F50" s="399">
        <v>1</v>
      </c>
      <c r="G50">
        <f>report!F50</f>
        <v>710.14285714285711</v>
      </c>
      <c r="H50">
        <f>report!G50</f>
        <v>52.603174603174601</v>
      </c>
      <c r="I50">
        <f>report!H50</f>
        <v>19.213309523809524</v>
      </c>
      <c r="J50" s="505">
        <v>1</v>
      </c>
      <c r="K50" s="505">
        <f>report!I50</f>
        <v>76.429761824769699</v>
      </c>
      <c r="L50" s="505">
        <f>report!J50</f>
        <v>9.1712445836116814</v>
      </c>
      <c r="M50" s="360">
        <v>1</v>
      </c>
      <c r="N50" s="505">
        <f>report!K50</f>
        <v>12.301823616027832</v>
      </c>
      <c r="O50" s="360">
        <v>1</v>
      </c>
      <c r="P50" s="505">
        <f>report!L50</f>
        <v>0.49015811085700989</v>
      </c>
      <c r="Q50" s="505">
        <v>1</v>
      </c>
      <c r="R50" s="505">
        <f>report!M50</f>
        <v>3.1305790324161507</v>
      </c>
      <c r="S50" s="360">
        <v>1</v>
      </c>
      <c r="T50" s="505">
        <f>report!N50</f>
        <v>4.6425417148172148</v>
      </c>
      <c r="U50" s="505">
        <v>1</v>
      </c>
      <c r="V50">
        <f>report!O50</f>
        <v>9.9313040812875215</v>
      </c>
      <c r="W50">
        <f>report!P50</f>
        <v>14.684686707703413</v>
      </c>
      <c r="X50">
        <f>report!Q50</f>
        <v>1.7620996090349283</v>
      </c>
      <c r="Y50">
        <f>report!R50</f>
        <v>2.3635874484205246</v>
      </c>
      <c r="Z50">
        <f>report!S50</f>
        <v>9.4175594995014725E-2</v>
      </c>
      <c r="AA50">
        <f>report!T50</f>
        <v>0.60148783938559625</v>
      </c>
      <c r="AB50">
        <f>report!U50</f>
        <v>1.9081321928884993</v>
      </c>
      <c r="AC50" s="30">
        <f>report!V50</f>
        <v>42507</v>
      </c>
      <c r="AD50" s="30">
        <f>report!W50</f>
        <v>42534</v>
      </c>
      <c r="AE50" s="30">
        <f>report!X50</f>
        <v>42520.5</v>
      </c>
      <c r="AF50">
        <f>report!Y50</f>
        <v>27</v>
      </c>
      <c r="AG50">
        <f>report!Z50</f>
        <v>0.89198590943980582</v>
      </c>
      <c r="AH50">
        <f>report!AA50</f>
        <v>0.19680161935225018</v>
      </c>
      <c r="AI50">
        <f>report!AB50</f>
        <v>6.722026766239452E-3</v>
      </c>
      <c r="AJ50">
        <f>report!AC50</f>
        <v>5.0082251405961384E-2</v>
      </c>
      <c r="AK50">
        <f>report!AD50</f>
        <v>0.14671936794628879</v>
      </c>
      <c r="AL50">
        <f>report!AE50</f>
        <v>3.1754571357771655E-2</v>
      </c>
      <c r="AM50">
        <f>report!AF50</f>
        <v>3851.6</v>
      </c>
      <c r="AO50">
        <f>report!AH50</f>
        <v>196.80161935225019</v>
      </c>
      <c r="AP50">
        <v>1</v>
      </c>
      <c r="AQ50">
        <f>report!AI50</f>
        <v>6.7220267662394519</v>
      </c>
      <c r="AR50">
        <v>1</v>
      </c>
      <c r="AS50">
        <f>report!AJ50</f>
        <v>50.082251405961387</v>
      </c>
      <c r="AT50">
        <v>1</v>
      </c>
      <c r="AU50">
        <f>report!AK50</f>
        <v>146.7193679462888</v>
      </c>
      <c r="AV50">
        <v>1</v>
      </c>
      <c r="AW50">
        <f>report!AL50</f>
        <v>31.754571357771656</v>
      </c>
      <c r="AX50">
        <v>1</v>
      </c>
      <c r="AY50">
        <f>report!AM50</f>
        <v>7.4504689058206823</v>
      </c>
      <c r="AZ50">
        <f>report!AN50</f>
        <v>21.826656311927927</v>
      </c>
      <c r="BA50">
        <f>report!AO50</f>
        <v>37.44</v>
      </c>
      <c r="BB50">
        <v>1</v>
      </c>
      <c r="BC50">
        <f>report!AP50</f>
        <v>8.4600000000000009</v>
      </c>
      <c r="BD50">
        <v>1</v>
      </c>
    </row>
    <row r="51" spans="1:56" x14ac:dyDescent="0.25">
      <c r="A51">
        <f>report!A51</f>
        <v>2016</v>
      </c>
      <c r="B51" t="str">
        <f>report!B51</f>
        <v>47_3800</v>
      </c>
      <c r="C51">
        <f>report!C51</f>
        <v>4</v>
      </c>
      <c r="D51" t="str">
        <f>report!D51</f>
        <v>McLane-PARFLUX-Mark78H-13 ; 12419-03, X500x13</v>
      </c>
      <c r="E51">
        <f>report!E51</f>
        <v>3800</v>
      </c>
      <c r="F51" s="399">
        <v>1</v>
      </c>
      <c r="G51">
        <f>report!F51</f>
        <v>641.98571428571427</v>
      </c>
      <c r="H51">
        <f>report!G51</f>
        <v>47.55449735449735</v>
      </c>
      <c r="I51">
        <f>report!H51</f>
        <v>17.36928015873016</v>
      </c>
      <c r="J51" s="505">
        <v>1</v>
      </c>
      <c r="K51" s="505">
        <f>report!I51</f>
        <v>71.511560979873593</v>
      </c>
      <c r="L51" s="505">
        <f>report!J51</f>
        <v>8.5810815138472858</v>
      </c>
      <c r="M51" s="360">
        <v>1</v>
      </c>
      <c r="N51" s="505">
        <f>report!K51</f>
        <v>12.628866195678711</v>
      </c>
      <c r="O51" s="360">
        <v>1</v>
      </c>
      <c r="P51" s="505">
        <f>report!L51</f>
        <v>0.61628139019012451</v>
      </c>
      <c r="Q51" s="505">
        <v>1</v>
      </c>
      <c r="R51" s="505">
        <f>report!M51</f>
        <v>4.0477846818314251</v>
      </c>
      <c r="S51" s="360">
        <v>1</v>
      </c>
      <c r="T51" s="505">
        <f>report!N51</f>
        <v>5.4876691351917604</v>
      </c>
      <c r="U51" s="505">
        <v>1</v>
      </c>
      <c r="V51">
        <f>report!O51</f>
        <v>11.739196807891522</v>
      </c>
      <c r="W51">
        <f>report!P51</f>
        <v>12.421043372475403</v>
      </c>
      <c r="X51">
        <f>report!Q51</f>
        <v>1.4904720887891383</v>
      </c>
      <c r="Y51">
        <f>report!R51</f>
        <v>2.1935431503986029</v>
      </c>
      <c r="Z51">
        <f>report!S51</f>
        <v>0.1070436412282397</v>
      </c>
      <c r="AA51">
        <f>report!T51</f>
        <v>0.70307106160946453</v>
      </c>
      <c r="AB51">
        <f>report!U51</f>
        <v>2.0390139819473863</v>
      </c>
      <c r="AC51" s="30">
        <f>report!V51</f>
        <v>42534</v>
      </c>
      <c r="AD51" s="30">
        <f>report!W51</f>
        <v>42561</v>
      </c>
      <c r="AE51" s="30">
        <f>report!X51</f>
        <v>42547.5</v>
      </c>
      <c r="AF51">
        <f>report!Y51</f>
        <v>27</v>
      </c>
      <c r="AG51">
        <f>report!Z51</f>
        <v>0.95316862627562138</v>
      </c>
      <c r="AH51">
        <f>report!AA51</f>
        <v>0.18264305998323088</v>
      </c>
      <c r="AI51">
        <f>report!AB51</f>
        <v>7.6405168614018344E-3</v>
      </c>
      <c r="AJ51">
        <f>report!AC51</f>
        <v>5.8540471407948755E-2</v>
      </c>
      <c r="AK51">
        <f>report!AD51</f>
        <v>0.12410258857528213</v>
      </c>
      <c r="AL51">
        <f>report!AE51</f>
        <v>3.3932667364742659E-2</v>
      </c>
      <c r="AM51">
        <f>report!AF51</f>
        <v>3851.6</v>
      </c>
      <c r="AO51">
        <f>report!AH51</f>
        <v>182.64305998323087</v>
      </c>
      <c r="AP51">
        <v>1</v>
      </c>
      <c r="AQ51">
        <f>report!AI51</f>
        <v>7.6405168614018342</v>
      </c>
      <c r="AR51">
        <v>1</v>
      </c>
      <c r="AS51">
        <f>report!AJ51</f>
        <v>58.540471407948758</v>
      </c>
      <c r="AT51">
        <v>1</v>
      </c>
      <c r="AU51">
        <f>report!AK51</f>
        <v>124.10258857528213</v>
      </c>
      <c r="AV51">
        <v>1</v>
      </c>
      <c r="AW51">
        <f>report!AL51</f>
        <v>33.932667364742656</v>
      </c>
      <c r="AX51">
        <v>1</v>
      </c>
      <c r="AY51">
        <f>report!AM51</f>
        <v>7.66184702813523</v>
      </c>
      <c r="AZ51">
        <f>report!AN51</f>
        <v>16.242695465043784</v>
      </c>
      <c r="BA51">
        <f>report!AO51</f>
        <v>38.06</v>
      </c>
      <c r="BB51">
        <v>1</v>
      </c>
      <c r="BC51">
        <f>report!AP51</f>
        <v>8.5500000000000007</v>
      </c>
      <c r="BD51">
        <v>1</v>
      </c>
    </row>
    <row r="52" spans="1:56" x14ac:dyDescent="0.25">
      <c r="A52">
        <f>report!A52</f>
        <v>2016</v>
      </c>
      <c r="B52" t="str">
        <f>report!B52</f>
        <v>47_3800</v>
      </c>
      <c r="C52">
        <f>report!C52</f>
        <v>5</v>
      </c>
      <c r="D52" t="str">
        <f>report!D52</f>
        <v>McLane-PARFLUX-Mark78H-13 ; 12419-03, X500x13</v>
      </c>
      <c r="E52">
        <f>report!E52</f>
        <v>3800</v>
      </c>
      <c r="F52" s="399">
        <v>1</v>
      </c>
      <c r="G52">
        <f>report!F52</f>
        <v>540.52857142857135</v>
      </c>
      <c r="H52">
        <f>report!G52</f>
        <v>40.039153439153431</v>
      </c>
      <c r="I52">
        <f>report!H52</f>
        <v>14.624300793650791</v>
      </c>
      <c r="J52" s="505">
        <v>1</v>
      </c>
      <c r="K52" s="505">
        <f>report!I52</f>
        <v>71.694744932853411</v>
      </c>
      <c r="L52" s="505">
        <f>report!J52</f>
        <v>8.603062804858272</v>
      </c>
      <c r="M52" s="360">
        <v>1</v>
      </c>
      <c r="N52" s="505">
        <f>report!K52</f>
        <v>13.008883476257324</v>
      </c>
      <c r="O52" s="360">
        <v>1</v>
      </c>
      <c r="P52" s="505">
        <f>report!L52</f>
        <v>0.67587047815322876</v>
      </c>
      <c r="Q52" s="505">
        <v>1</v>
      </c>
      <c r="R52" s="505">
        <f>report!M52</f>
        <v>4.4058206713990522</v>
      </c>
      <c r="S52" s="360">
        <v>1</v>
      </c>
      <c r="T52" s="505">
        <f>report!N52</f>
        <v>4.8761123826192323</v>
      </c>
      <c r="U52" s="505">
        <v>1</v>
      </c>
      <c r="V52">
        <f>report!O52</f>
        <v>10.430957389519035</v>
      </c>
      <c r="W52">
        <f>report!P52</f>
        <v>10.484855152221192</v>
      </c>
      <c r="X52">
        <f>report!Q52</f>
        <v>1.2581377820491644</v>
      </c>
      <c r="Y52">
        <f>report!R52</f>
        <v>1.9024582494634066</v>
      </c>
      <c r="Z52">
        <f>report!S52</f>
        <v>9.884133170061403E-2</v>
      </c>
      <c r="AA52">
        <f>report!T52</f>
        <v>0.6443204674142422</v>
      </c>
      <c r="AB52">
        <f>report!U52</f>
        <v>1.525454584300808</v>
      </c>
      <c r="AC52" s="30">
        <f>report!V52</f>
        <v>42561</v>
      </c>
      <c r="AD52" s="30">
        <f>report!W52</f>
        <v>42588</v>
      </c>
      <c r="AE52" s="30">
        <f>report!X52</f>
        <v>42574.5</v>
      </c>
      <c r="AF52">
        <f>report!Y52</f>
        <v>27</v>
      </c>
      <c r="AG52">
        <f>report!Z52</f>
        <v>0.71309734187068896</v>
      </c>
      <c r="AH52">
        <f>report!AA52</f>
        <v>0.15840618230336442</v>
      </c>
      <c r="AI52">
        <f>report!AB52</f>
        <v>7.055055795903928E-3</v>
      </c>
      <c r="AJ52">
        <f>report!AC52</f>
        <v>5.3648665063633826E-2</v>
      </c>
      <c r="AK52">
        <f>report!AD52</f>
        <v>0.10475751723973059</v>
      </c>
      <c r="AL52">
        <f>report!AE52</f>
        <v>2.5386163825941225E-2</v>
      </c>
      <c r="AM52">
        <f>report!AF52</f>
        <v>3851.6</v>
      </c>
      <c r="AO52">
        <f>report!AH52</f>
        <v>158.40618230336443</v>
      </c>
      <c r="AP52">
        <v>1</v>
      </c>
      <c r="AQ52">
        <f>report!AI52</f>
        <v>7.055055795903928</v>
      </c>
      <c r="AR52">
        <v>1</v>
      </c>
      <c r="AS52">
        <f>report!AJ52</f>
        <v>53.648665063633828</v>
      </c>
      <c r="AT52">
        <v>1</v>
      </c>
      <c r="AU52">
        <f>report!AK52</f>
        <v>104.75751723973059</v>
      </c>
      <c r="AV52">
        <v>1</v>
      </c>
      <c r="AW52">
        <f>report!AL52</f>
        <v>25.386163825941225</v>
      </c>
      <c r="AX52">
        <v>1</v>
      </c>
      <c r="AY52">
        <f>report!AM52</f>
        <v>7.6042864316936418</v>
      </c>
      <c r="AZ52">
        <f>report!AN52</f>
        <v>14.848573883788619</v>
      </c>
      <c r="BA52">
        <f>report!AO52</f>
        <v>38.03</v>
      </c>
      <c r="BB52">
        <v>1</v>
      </c>
      <c r="BC52">
        <f>report!AP52</f>
        <v>8.57</v>
      </c>
      <c r="BD52">
        <v>1</v>
      </c>
    </row>
    <row r="53" spans="1:56" x14ac:dyDescent="0.25">
      <c r="A53">
        <f>report!A53</f>
        <v>2016</v>
      </c>
      <c r="B53" t="str">
        <f>report!B53</f>
        <v>47_3800</v>
      </c>
      <c r="C53">
        <f>report!C53</f>
        <v>6</v>
      </c>
      <c r="D53" t="str">
        <f>report!D53</f>
        <v>McLane-PARFLUX-Mark78H-13 ; 12419-03, X500x13</v>
      </c>
      <c r="E53">
        <f>report!E53</f>
        <v>3800</v>
      </c>
      <c r="F53" s="399">
        <v>1</v>
      </c>
      <c r="G53">
        <f>report!F53</f>
        <v>436.58571428571423</v>
      </c>
      <c r="H53">
        <f>report!G53</f>
        <v>32.339682539682535</v>
      </c>
      <c r="I53">
        <f>report!H53</f>
        <v>11.812069047619048</v>
      </c>
      <c r="J53" s="505">
        <v>1</v>
      </c>
      <c r="K53" s="505">
        <f>report!I53</f>
        <v>67.77404909635996</v>
      </c>
      <c r="L53" s="505">
        <f>report!J53</f>
        <v>8.1325960704875779</v>
      </c>
      <c r="M53" s="360">
        <v>1</v>
      </c>
      <c r="N53" s="505">
        <f>report!K53</f>
        <v>14.258779525756836</v>
      </c>
      <c r="O53" s="360">
        <v>1</v>
      </c>
      <c r="P53" s="505">
        <f>report!L53</f>
        <v>0.96280694007873535</v>
      </c>
      <c r="Q53" s="505">
        <v>1</v>
      </c>
      <c r="R53" s="505">
        <f>report!M53</f>
        <v>6.126183455269258</v>
      </c>
      <c r="S53" s="360">
        <v>1</v>
      </c>
      <c r="T53" s="505">
        <f>report!N53</f>
        <v>4.4863428943937418</v>
      </c>
      <c r="U53" s="505">
        <v>1</v>
      </c>
      <c r="V53">
        <f>report!O53</f>
        <v>9.5971642764015659</v>
      </c>
      <c r="W53">
        <f>report!P53</f>
        <v>8.0055174756292704</v>
      </c>
      <c r="X53">
        <f>report!Q53</f>
        <v>0.9606278632099462</v>
      </c>
      <c r="Y53">
        <f>report!R53</f>
        <v>1.6842568829301654</v>
      </c>
      <c r="Z53">
        <f>report!S53</f>
        <v>0.11372742055736838</v>
      </c>
      <c r="AA53">
        <f>report!T53</f>
        <v>0.72362901972021909</v>
      </c>
      <c r="AB53">
        <f>report!U53</f>
        <v>1.1336236709419818</v>
      </c>
      <c r="AC53" s="30">
        <f>report!V53</f>
        <v>42588</v>
      </c>
      <c r="AD53" s="30">
        <f>report!W53</f>
        <v>42615</v>
      </c>
      <c r="AE53" s="30">
        <f>report!X53</f>
        <v>42601.5</v>
      </c>
      <c r="AF53">
        <f>report!Y53</f>
        <v>27</v>
      </c>
      <c r="AG53">
        <f>report!Z53</f>
        <v>0.52992992039873965</v>
      </c>
      <c r="AH53">
        <f>report!AA53</f>
        <v>0.14023787534805707</v>
      </c>
      <c r="AI53">
        <f>report!AB53</f>
        <v>8.1175889048799698E-3</v>
      </c>
      <c r="AJ53">
        <f>report!AC53</f>
        <v>6.0252208136571117E-2</v>
      </c>
      <c r="AK53">
        <f>report!AD53</f>
        <v>7.998566721148595E-2</v>
      </c>
      <c r="AL53">
        <f>report!AE53</f>
        <v>1.8865429704476314E-2</v>
      </c>
      <c r="AM53">
        <f>report!AF53</f>
        <v>3851.6</v>
      </c>
      <c r="AO53">
        <f>report!AH53</f>
        <v>140.23787534805706</v>
      </c>
      <c r="AP53">
        <v>1</v>
      </c>
      <c r="AQ53">
        <f>report!AI53</f>
        <v>8.1175889048799696</v>
      </c>
      <c r="AR53">
        <v>1</v>
      </c>
      <c r="AS53">
        <f>report!AJ53</f>
        <v>60.25220813657112</v>
      </c>
      <c r="AT53">
        <v>1</v>
      </c>
      <c r="AU53">
        <f>report!AK53</f>
        <v>79.985667211485946</v>
      </c>
      <c r="AV53">
        <v>1</v>
      </c>
      <c r="AW53">
        <f>report!AL53</f>
        <v>18.865429704476313</v>
      </c>
      <c r="AX53">
        <v>1</v>
      </c>
      <c r="AY53">
        <f>report!AM53</f>
        <v>7.4224266395591805</v>
      </c>
      <c r="AZ53">
        <f>report!AN53</f>
        <v>9.8533774189281456</v>
      </c>
      <c r="BA53">
        <f>report!AO53</f>
        <v>37.799999999999997</v>
      </c>
      <c r="BB53">
        <v>1</v>
      </c>
      <c r="BC53">
        <f>report!AP53</f>
        <v>8.42</v>
      </c>
      <c r="BD53">
        <v>1</v>
      </c>
    </row>
    <row r="54" spans="1:56" x14ac:dyDescent="0.25">
      <c r="A54">
        <f>report!A54</f>
        <v>2016</v>
      </c>
      <c r="B54" t="str">
        <f>report!B54</f>
        <v>47_3800</v>
      </c>
      <c r="C54">
        <f>report!C54</f>
        <v>7</v>
      </c>
      <c r="D54" t="str">
        <f>report!D54</f>
        <v>McLane-PARFLUX-Mark78H-13 ; 12419-03, X500x13</v>
      </c>
      <c r="E54">
        <f>report!E54</f>
        <v>3800</v>
      </c>
      <c r="F54" s="399">
        <v>1</v>
      </c>
      <c r="G54">
        <f>report!F54</f>
        <v>431.51428571428562</v>
      </c>
      <c r="H54">
        <f>report!G54</f>
        <v>31.964021164021158</v>
      </c>
      <c r="I54">
        <f>report!H54</f>
        <v>11.674858730158727</v>
      </c>
      <c r="J54" s="505">
        <v>1</v>
      </c>
      <c r="K54" s="505">
        <f>report!I54</f>
        <v>71.132174589483256</v>
      </c>
      <c r="L54" s="505">
        <f>report!J54</f>
        <v>8.5355567693643621</v>
      </c>
      <c r="M54" s="360">
        <v>1</v>
      </c>
      <c r="N54" s="505">
        <f>report!K54</f>
        <v>13.006121635437012</v>
      </c>
      <c r="O54" s="360">
        <v>1</v>
      </c>
      <c r="P54" s="505">
        <f>report!L54</f>
        <v>0.65928089618682861</v>
      </c>
      <c r="Q54" s="505">
        <v>1</v>
      </c>
      <c r="R54" s="505">
        <f>report!M54</f>
        <v>4.4705648660726496</v>
      </c>
      <c r="S54" s="360">
        <v>1</v>
      </c>
      <c r="T54" s="505">
        <f>report!N54</f>
        <v>4.5666921783010936</v>
      </c>
      <c r="U54" s="505">
        <v>1</v>
      </c>
      <c r="V54">
        <f>report!O54</f>
        <v>9.7690470984020212</v>
      </c>
      <c r="W54">
        <f>report!P54</f>
        <v>8.3045808950120339</v>
      </c>
      <c r="X54">
        <f>report!Q54</f>
        <v>0.99651419465578939</v>
      </c>
      <c r="Y54">
        <f>report!R54</f>
        <v>1.5184463272098809</v>
      </c>
      <c r="Z54">
        <f>report!S54</f>
        <v>7.6970113264736656E-2</v>
      </c>
      <c r="AA54">
        <f>report!T54</f>
        <v>0.52193213255409154</v>
      </c>
      <c r="AB54">
        <f>report!U54</f>
        <v>1.1405224480211062</v>
      </c>
      <c r="AC54" s="30">
        <f>report!V54</f>
        <v>42615</v>
      </c>
      <c r="AD54" s="30">
        <f>report!W54</f>
        <v>42642</v>
      </c>
      <c r="AE54" s="30">
        <f>report!X54</f>
        <v>42628.5</v>
      </c>
      <c r="AF54">
        <f>report!Y54</f>
        <v>27</v>
      </c>
      <c r="AG54">
        <f>report!Z54</f>
        <v>0.53315486045786087</v>
      </c>
      <c r="AH54">
        <f>report!AA54</f>
        <v>0.12643183407242972</v>
      </c>
      <c r="AI54">
        <f>report!AB54</f>
        <v>5.4939409896314533E-3</v>
      </c>
      <c r="AJ54">
        <f>report!AC54</f>
        <v>4.3458129271781144E-2</v>
      </c>
      <c r="AK54">
        <f>report!AD54</f>
        <v>8.2973704800648571E-2</v>
      </c>
      <c r="AL54">
        <f>report!AE54</f>
        <v>1.8980237111351401E-2</v>
      </c>
      <c r="AM54">
        <f>report!AF54</f>
        <v>3851.6</v>
      </c>
      <c r="AO54">
        <f>report!AH54</f>
        <v>126.43183407242972</v>
      </c>
      <c r="AP54">
        <v>1</v>
      </c>
      <c r="AQ54">
        <f>report!AI54</f>
        <v>5.4939409896314535</v>
      </c>
      <c r="AR54">
        <v>1</v>
      </c>
      <c r="AS54">
        <f>report!AJ54</f>
        <v>43.458129271781146</v>
      </c>
      <c r="AT54">
        <v>1</v>
      </c>
      <c r="AU54">
        <f>report!AK54</f>
        <v>82.973704800648576</v>
      </c>
      <c r="AV54">
        <v>1</v>
      </c>
      <c r="AW54">
        <f>report!AL54</f>
        <v>18.9802371113514</v>
      </c>
      <c r="AX54">
        <v>1</v>
      </c>
      <c r="AY54">
        <f>report!AM54</f>
        <v>7.9101922197195682</v>
      </c>
      <c r="AZ54">
        <f>report!AN54</f>
        <v>15.102765930184235</v>
      </c>
      <c r="BA54">
        <f>report!AO54</f>
        <v>36.659999999999997</v>
      </c>
      <c r="BB54">
        <v>1</v>
      </c>
      <c r="BC54">
        <f>report!AP54</f>
        <v>8.5399999999999991</v>
      </c>
      <c r="BD54">
        <v>1</v>
      </c>
    </row>
    <row r="55" spans="1:56" x14ac:dyDescent="0.25">
      <c r="A55">
        <f>report!A55</f>
        <v>2016</v>
      </c>
      <c r="B55" t="str">
        <f>report!B55</f>
        <v>47_3800</v>
      </c>
      <c r="C55">
        <f>report!C55</f>
        <v>8</v>
      </c>
      <c r="D55" t="str">
        <f>report!D55</f>
        <v>McLane-PARFLUX-Mark78H-13 ; 12419-03, X500x13</v>
      </c>
      <c r="E55">
        <f>report!E55</f>
        <v>3800</v>
      </c>
      <c r="F55" s="399">
        <v>1</v>
      </c>
      <c r="G55">
        <f>report!F55</f>
        <v>492.55714285714282</v>
      </c>
      <c r="H55">
        <f>report!G55</f>
        <v>36.48571428571428</v>
      </c>
      <c r="I55">
        <f>report!H55</f>
        <v>13.326407142857143</v>
      </c>
      <c r="J55" s="505">
        <v>1</v>
      </c>
      <c r="K55" s="505">
        <f>report!I55</f>
        <v>72.945855241038089</v>
      </c>
      <c r="L55" s="505">
        <f>report!J55</f>
        <v>8.7531906917375544</v>
      </c>
      <c r="M55" s="360">
        <v>1</v>
      </c>
      <c r="N55" s="505">
        <f>report!K55</f>
        <v>13.050162315368652</v>
      </c>
      <c r="O55" s="360">
        <v>1</v>
      </c>
      <c r="P55" s="505">
        <f>report!L55</f>
        <v>0.61065512895584106</v>
      </c>
      <c r="Q55" s="505">
        <v>1</v>
      </c>
      <c r="R55" s="505">
        <f>report!M55</f>
        <v>4.296971623631098</v>
      </c>
      <c r="S55" s="360">
        <v>1</v>
      </c>
      <c r="T55" s="505">
        <f>report!N55</f>
        <v>4.2328067591536813</v>
      </c>
      <c r="U55" s="505">
        <v>1</v>
      </c>
      <c r="V55">
        <f>report!O55</f>
        <v>9.0548009312048681</v>
      </c>
      <c r="W55">
        <f>report!P55</f>
        <v>9.7210616632599312</v>
      </c>
      <c r="X55">
        <f>report!Q55</f>
        <v>1.1664858295716201</v>
      </c>
      <c r="Y55">
        <f>report!R55</f>
        <v>1.7391177629497392</v>
      </c>
      <c r="Z55">
        <f>report!S55</f>
        <v>8.1378388723394687E-2</v>
      </c>
      <c r="AA55">
        <f>report!T55</f>
        <v>0.57263193337811924</v>
      </c>
      <c r="AB55">
        <f>report!U55</f>
        <v>1.2066796380675806</v>
      </c>
      <c r="AC55" s="30">
        <f>report!V55</f>
        <v>42642</v>
      </c>
      <c r="AD55" s="30">
        <f>report!W55</f>
        <v>42669</v>
      </c>
      <c r="AE55" s="30">
        <f>report!X55</f>
        <v>42655.5</v>
      </c>
      <c r="AF55">
        <f>report!Y55</f>
        <v>27</v>
      </c>
      <c r="AG55">
        <f>report!Z55</f>
        <v>0.56408106229519617</v>
      </c>
      <c r="AH55">
        <f>report!AA55</f>
        <v>0.1448058087385295</v>
      </c>
      <c r="AI55">
        <f>report!AB55</f>
        <v>5.8085930566305986E-3</v>
      </c>
      <c r="AJ55">
        <f>report!AC55</f>
        <v>4.767959478585506E-2</v>
      </c>
      <c r="AK55">
        <f>report!AD55</f>
        <v>9.7126213952674442E-2</v>
      </c>
      <c r="AL55">
        <f>report!AE55</f>
        <v>2.0081205492887014E-2</v>
      </c>
      <c r="AM55">
        <f>report!AF55</f>
        <v>3851.6</v>
      </c>
      <c r="AO55">
        <f>report!AH55</f>
        <v>144.80580873852949</v>
      </c>
      <c r="AP55">
        <v>1</v>
      </c>
      <c r="AQ55">
        <f>report!AI55</f>
        <v>5.808593056630599</v>
      </c>
      <c r="AR55">
        <v>1</v>
      </c>
      <c r="AS55">
        <f>report!AJ55</f>
        <v>47.679594785855059</v>
      </c>
      <c r="AT55">
        <v>1</v>
      </c>
      <c r="AU55">
        <f>report!AK55</f>
        <v>97.126213952674448</v>
      </c>
      <c r="AV55">
        <v>1</v>
      </c>
      <c r="AW55">
        <f>report!AL55</f>
        <v>20.081205492887015</v>
      </c>
      <c r="AX55">
        <v>1</v>
      </c>
      <c r="AY55">
        <f>report!AM55</f>
        <v>8.2084584547419901</v>
      </c>
      <c r="AZ55">
        <f>report!AN55</f>
        <v>16.72112558165929</v>
      </c>
      <c r="BA55">
        <f>report!AO55</f>
        <v>35.29</v>
      </c>
      <c r="BB55">
        <v>1</v>
      </c>
      <c r="BC55">
        <f>report!AP55</f>
        <v>8.25</v>
      </c>
      <c r="BD55">
        <v>1</v>
      </c>
    </row>
    <row r="56" spans="1:56" x14ac:dyDescent="0.25">
      <c r="A56">
        <f>report!A56</f>
        <v>2016</v>
      </c>
      <c r="B56" t="str">
        <f>report!B56</f>
        <v>47_3800</v>
      </c>
      <c r="C56">
        <f>report!C56</f>
        <v>9</v>
      </c>
      <c r="D56" t="str">
        <f>report!D56</f>
        <v>McLane-PARFLUX-Mark78H-13 ; 12419-03, X500x13</v>
      </c>
      <c r="E56">
        <f>report!E56</f>
        <v>3800</v>
      </c>
      <c r="F56" s="399">
        <v>1</v>
      </c>
      <c r="G56">
        <f>report!F56</f>
        <v>561.61428571428576</v>
      </c>
      <c r="H56">
        <f>report!G56</f>
        <v>41.601058201058201</v>
      </c>
      <c r="I56">
        <f>report!H56</f>
        <v>15.194786507936509</v>
      </c>
      <c r="J56" s="505">
        <v>1</v>
      </c>
      <c r="K56" s="505">
        <f>report!I56</f>
        <v>70.479346669192395</v>
      </c>
      <c r="L56" s="505">
        <f>report!J56</f>
        <v>8.4572202106069891</v>
      </c>
      <c r="M56" s="360">
        <v>1</v>
      </c>
      <c r="N56" s="505">
        <f>report!K56</f>
        <v>13.106785774230957</v>
      </c>
      <c r="O56" s="360">
        <v>1</v>
      </c>
      <c r="P56" s="505">
        <f>report!L56</f>
        <v>0.65892082452774048</v>
      </c>
      <c r="Q56" s="505">
        <v>1</v>
      </c>
      <c r="R56" s="505">
        <f>report!M56</f>
        <v>4.6495655636239679</v>
      </c>
      <c r="S56" s="360">
        <v>1</v>
      </c>
      <c r="T56" s="505">
        <f>report!N56</f>
        <v>4.8063167090680476</v>
      </c>
      <c r="U56" s="505">
        <v>1</v>
      </c>
      <c r="V56">
        <f>report!O56</f>
        <v>10.281650802701993</v>
      </c>
      <c r="W56">
        <f>report!P56</f>
        <v>10.709186258572247</v>
      </c>
      <c r="X56">
        <f>report!Q56</f>
        <v>1.2850565555077904</v>
      </c>
      <c r="Y56">
        <f>report!R56</f>
        <v>1.991548116446987</v>
      </c>
      <c r="Z56">
        <f>report!S56</f>
        <v>0.10012161254332512</v>
      </c>
      <c r="AA56">
        <f>report!T56</f>
        <v>0.70649156093919674</v>
      </c>
      <c r="AB56">
        <f>report!U56</f>
        <v>1.5622748889621083</v>
      </c>
      <c r="AC56" s="30">
        <f>report!V56</f>
        <v>42669</v>
      </c>
      <c r="AD56" s="30">
        <f>report!W56</f>
        <v>42696</v>
      </c>
      <c r="AE56" s="30">
        <f>report!X56</f>
        <v>42682.5</v>
      </c>
      <c r="AF56">
        <f>report!Y56</f>
        <v>27</v>
      </c>
      <c r="AG56">
        <f>report!Z56</f>
        <v>0.73030956283816972</v>
      </c>
      <c r="AH56">
        <f>report!AA56</f>
        <v>0.16582415624038194</v>
      </c>
      <c r="AI56">
        <f>report!AB56</f>
        <v>7.1464391536991525E-3</v>
      </c>
      <c r="AJ56">
        <f>report!AC56</f>
        <v>5.8825275681864839E-2</v>
      </c>
      <c r="AK56">
        <f>report!AD56</f>
        <v>0.1069988805585171</v>
      </c>
      <c r="AL56">
        <f>report!AE56</f>
        <v>2.5998916441373077E-2</v>
      </c>
      <c r="AM56">
        <f>report!AF56</f>
        <v>3851.6</v>
      </c>
      <c r="AO56">
        <f>report!AH56</f>
        <v>165.82415624038194</v>
      </c>
      <c r="AP56">
        <v>1</v>
      </c>
      <c r="AQ56">
        <f>report!AI56</f>
        <v>7.1464391536991521</v>
      </c>
      <c r="AR56">
        <v>1</v>
      </c>
      <c r="AS56">
        <f>report!AJ56</f>
        <v>58.825275681864838</v>
      </c>
      <c r="AT56">
        <v>1</v>
      </c>
      <c r="AU56">
        <f>report!AK56</f>
        <v>106.9988805585171</v>
      </c>
      <c r="AV56">
        <v>1</v>
      </c>
      <c r="AW56">
        <f>report!AL56</f>
        <v>25.998916441373076</v>
      </c>
      <c r="AX56">
        <v>1</v>
      </c>
      <c r="AY56">
        <f>report!AM56</f>
        <v>8.2314106951313786</v>
      </c>
      <c r="AZ56">
        <f>report!AN56</f>
        <v>14.972334928945999</v>
      </c>
      <c r="BA56">
        <f>report!AO56</f>
        <v>37.35</v>
      </c>
      <c r="BB56">
        <v>1</v>
      </c>
      <c r="BC56">
        <f>report!AP56</f>
        <v>8.56</v>
      </c>
      <c r="BD56">
        <v>1</v>
      </c>
    </row>
    <row r="57" spans="1:56" x14ac:dyDescent="0.25">
      <c r="A57">
        <f>report!A57</f>
        <v>2016</v>
      </c>
      <c r="B57" t="str">
        <f>report!B57</f>
        <v>47_3800</v>
      </c>
      <c r="C57">
        <f>report!C57</f>
        <v>10</v>
      </c>
      <c r="D57" t="str">
        <f>report!D57</f>
        <v>McLane-PARFLUX-Mark78H-13 ; 12419-03, X500x13</v>
      </c>
      <c r="E57">
        <f>report!E57</f>
        <v>3800</v>
      </c>
      <c r="F57" s="399">
        <v>1</v>
      </c>
      <c r="G57">
        <f>report!F57</f>
        <v>1514.2857142857142</v>
      </c>
      <c r="H57">
        <f>report!G57</f>
        <v>112.16931216931216</v>
      </c>
      <c r="I57">
        <f>report!H57</f>
        <v>40.969841269841268</v>
      </c>
      <c r="J57" s="505">
        <v>1</v>
      </c>
      <c r="K57" s="505">
        <f>report!I57</f>
        <v>68.057700253064866</v>
      </c>
      <c r="L57" s="505">
        <f>report!J57</f>
        <v>8.1666329963192883</v>
      </c>
      <c r="M57" s="360">
        <v>1</v>
      </c>
      <c r="N57" s="505">
        <f>report!K57</f>
        <v>12.285015106201172</v>
      </c>
      <c r="O57" s="360">
        <v>1</v>
      </c>
      <c r="P57" s="505">
        <f>report!L57</f>
        <v>0.62567657232284546</v>
      </c>
      <c r="Q57" s="505">
        <v>1</v>
      </c>
      <c r="R57" s="505">
        <f>report!M57</f>
        <v>4.1183821098818836</v>
      </c>
      <c r="S57" s="360">
        <v>1</v>
      </c>
      <c r="T57" s="505">
        <f>report!N57</f>
        <v>6.8094656510835989</v>
      </c>
      <c r="U57" s="505">
        <v>1</v>
      </c>
      <c r="V57">
        <f>report!O57</f>
        <v>14.566777891549073</v>
      </c>
      <c r="W57">
        <f>report!P57</f>
        <v>27.883131765585034</v>
      </c>
      <c r="X57">
        <f>report!Q57</f>
        <v>3.3458565756824945</v>
      </c>
      <c r="Y57">
        <f>report!R57</f>
        <v>5.0331511889866416</v>
      </c>
      <c r="Z57">
        <f>report!S57</f>
        <v>0.25633869854325336</v>
      </c>
      <c r="AA57">
        <f>report!T57</f>
        <v>1.6872946133041475</v>
      </c>
      <c r="AB57">
        <f>report!U57</f>
        <v>5.9679857802979859</v>
      </c>
      <c r="AC57" s="30">
        <f>report!V57</f>
        <v>42696</v>
      </c>
      <c r="AD57" s="30">
        <f>report!W57</f>
        <v>42723</v>
      </c>
      <c r="AE57" s="30">
        <f>report!X57</f>
        <v>42709.5</v>
      </c>
      <c r="AF57">
        <f>report!Y57</f>
        <v>27</v>
      </c>
      <c r="AG57">
        <f>report!Z57</f>
        <v>2.7898272685733136</v>
      </c>
      <c r="AH57">
        <f>report!AA57</f>
        <v>0.41908003238856301</v>
      </c>
      <c r="AI57">
        <f>report!AB57</f>
        <v>1.8296837868897457E-2</v>
      </c>
      <c r="AJ57">
        <f>report!AC57</f>
        <v>0.14049080876803893</v>
      </c>
      <c r="AK57">
        <f>report!AD57</f>
        <v>0.27858922362052413</v>
      </c>
      <c r="AL57">
        <f>report!AE57</f>
        <v>9.9317453491396007E-2</v>
      </c>
      <c r="AM57">
        <f>report!AF57</f>
        <v>3851.6</v>
      </c>
      <c r="AO57">
        <f>report!AH57</f>
        <v>419.08003238856298</v>
      </c>
      <c r="AP57">
        <v>1</v>
      </c>
      <c r="AQ57">
        <f>report!AI57</f>
        <v>18.296837868897459</v>
      </c>
      <c r="AR57">
        <v>1</v>
      </c>
      <c r="AS57">
        <f>report!AJ57</f>
        <v>140.49080876803893</v>
      </c>
      <c r="AT57">
        <v>1</v>
      </c>
      <c r="AU57">
        <f>report!AK57</f>
        <v>278.58922362052414</v>
      </c>
      <c r="AV57">
        <v>1</v>
      </c>
      <c r="AW57">
        <f>report!AL57</f>
        <v>99.317453491396009</v>
      </c>
      <c r="AX57">
        <v>1</v>
      </c>
      <c r="AY57">
        <f>report!AM57</f>
        <v>7.6784201606146008</v>
      </c>
      <c r="AZ57">
        <f>report!AN57</f>
        <v>15.226085819675655</v>
      </c>
      <c r="BA57">
        <f>report!AO57</f>
        <v>37.78</v>
      </c>
      <c r="BB57">
        <v>1</v>
      </c>
      <c r="BC57">
        <f>report!AP57</f>
        <v>8.4600000000000009</v>
      </c>
      <c r="BD57">
        <v>1</v>
      </c>
    </row>
    <row r="58" spans="1:56" x14ac:dyDescent="0.25">
      <c r="A58">
        <f>report!A58</f>
        <v>2016</v>
      </c>
      <c r="B58" t="str">
        <f>report!B58</f>
        <v>47_3800</v>
      </c>
      <c r="C58">
        <f>report!C58</f>
        <v>11</v>
      </c>
      <c r="D58" t="str">
        <f>report!D58</f>
        <v>McLane-PARFLUX-Mark78H-13 ; 12419-03, X500x13</v>
      </c>
      <c r="E58">
        <f>report!E58</f>
        <v>3800</v>
      </c>
      <c r="F58" s="399">
        <v>1</v>
      </c>
      <c r="G58">
        <f>report!F58</f>
        <v>1724.3857142857141</v>
      </c>
      <c r="H58">
        <f>report!G58</f>
        <v>127.73227513227512</v>
      </c>
      <c r="I58">
        <f>report!H58</f>
        <v>46.654213492063491</v>
      </c>
      <c r="J58" s="505">
        <v>1</v>
      </c>
      <c r="K58" s="505">
        <f>report!I58</f>
        <v>54.23787099162233</v>
      </c>
      <c r="L58" s="505">
        <f>report!J58</f>
        <v>6.508312582459685</v>
      </c>
      <c r="M58" s="360">
        <v>1</v>
      </c>
      <c r="N58" s="505">
        <f>report!K58</f>
        <v>12.907769203186035</v>
      </c>
      <c r="O58" s="360">
        <v>1</v>
      </c>
      <c r="P58" s="505">
        <f>report!L58</f>
        <v>0.88784945011138916</v>
      </c>
      <c r="Q58" s="505">
        <v>1</v>
      </c>
      <c r="R58" s="505">
        <f>report!M58</f>
        <v>6.3994566207263501</v>
      </c>
      <c r="S58" s="360">
        <v>1</v>
      </c>
      <c r="T58" s="505">
        <f>report!N58</f>
        <v>10.657373406950796</v>
      </c>
      <c r="U58" s="505">
        <v>1</v>
      </c>
      <c r="V58">
        <f>report!O58</f>
        <v>22.798204628824259</v>
      </c>
      <c r="W58">
        <f>report!P58</f>
        <v>25.304252125981453</v>
      </c>
      <c r="X58">
        <f>report!Q58</f>
        <v>3.0364020469515722</v>
      </c>
      <c r="Y58">
        <f>report!R58</f>
        <v>6.022018201117235</v>
      </c>
      <c r="Z58">
        <f>report!S58</f>
        <v>0.41421917794307928</v>
      </c>
      <c r="AA58">
        <f>report!T58</f>
        <v>2.9856161541656632</v>
      </c>
      <c r="AB58">
        <f>report!U58</f>
        <v>10.63632305988917</v>
      </c>
      <c r="AC58" s="30">
        <f>report!V58</f>
        <v>42723</v>
      </c>
      <c r="AD58" s="30">
        <f>report!W58</f>
        <v>42750</v>
      </c>
      <c r="AE58" s="30">
        <f>report!X58</f>
        <v>42736.5</v>
      </c>
      <c r="AF58">
        <f>report!Y58</f>
        <v>27</v>
      </c>
      <c r="AG58">
        <f>report!Z58</f>
        <v>4.9721137419252246</v>
      </c>
      <c r="AH58">
        <f>report!AA58</f>
        <v>0.50141700259094379</v>
      </c>
      <c r="AI58">
        <f>report!AB58</f>
        <v>2.9565965591939993E-2</v>
      </c>
      <c r="AJ58">
        <f>report!AC58</f>
        <v>0.2485941843601718</v>
      </c>
      <c r="AK58">
        <f>report!AD58</f>
        <v>0.25282281823077207</v>
      </c>
      <c r="AL58">
        <f>report!AE58</f>
        <v>0.17700654118637324</v>
      </c>
      <c r="AM58">
        <f>report!AF58</f>
        <v>3851.6</v>
      </c>
      <c r="AO58">
        <f>report!AH58</f>
        <v>501.41700259094381</v>
      </c>
      <c r="AP58">
        <v>1</v>
      </c>
      <c r="AQ58">
        <f>report!AI58</f>
        <v>29.565965591939992</v>
      </c>
      <c r="AR58">
        <v>1</v>
      </c>
      <c r="AS58">
        <f>report!AJ58</f>
        <v>248.59418436017179</v>
      </c>
      <c r="AT58">
        <v>1</v>
      </c>
      <c r="AU58">
        <f>report!AK58</f>
        <v>252.82281823077207</v>
      </c>
      <c r="AV58">
        <v>1</v>
      </c>
      <c r="AW58">
        <f>report!AL58</f>
        <v>177.00654118637323</v>
      </c>
      <c r="AX58">
        <v>1</v>
      </c>
      <c r="AY58">
        <f>report!AM58</f>
        <v>8.4081199238066251</v>
      </c>
      <c r="AZ58">
        <f>report!AN58</f>
        <v>8.5511436264301928</v>
      </c>
      <c r="BA58">
        <f>report!AO58</f>
        <v>37.75</v>
      </c>
      <c r="BB58">
        <v>1</v>
      </c>
      <c r="BC58">
        <f>report!AP58</f>
        <v>8.51</v>
      </c>
      <c r="BD58">
        <v>1</v>
      </c>
    </row>
    <row r="59" spans="1:56" x14ac:dyDescent="0.25">
      <c r="A59">
        <f>report!A59</f>
        <v>2016</v>
      </c>
      <c r="B59" t="str">
        <f>report!B59</f>
        <v>47_3800</v>
      </c>
      <c r="C59">
        <f>report!C59</f>
        <v>12</v>
      </c>
      <c r="D59" t="str">
        <f>report!D59</f>
        <v>McLane-PARFLUX-Mark78H-13 ; 12419-03, X500x13</v>
      </c>
      <c r="E59">
        <f>report!E59</f>
        <v>3800</v>
      </c>
      <c r="F59" s="399">
        <v>1</v>
      </c>
      <c r="G59">
        <f>report!F59</f>
        <v>1376.1571428571426</v>
      </c>
      <c r="H59">
        <f>report!G59</f>
        <v>101.93756613756612</v>
      </c>
      <c r="I59">
        <f>report!H59</f>
        <v>37.232696031746023</v>
      </c>
      <c r="J59" s="505">
        <v>1</v>
      </c>
      <c r="K59" s="505">
        <f>report!I59</f>
        <v>53.736415093943798</v>
      </c>
      <c r="L59" s="505">
        <f>report!J59</f>
        <v>6.4481400191060469</v>
      </c>
      <c r="M59" s="360">
        <v>1</v>
      </c>
      <c r="N59" s="505">
        <f>report!K59</f>
        <v>13.821226596832275</v>
      </c>
      <c r="O59" s="360">
        <v>1</v>
      </c>
      <c r="P59" s="505">
        <f>report!L59</f>
        <v>1.2125943303108215</v>
      </c>
      <c r="Q59" s="505">
        <v>1</v>
      </c>
      <c r="R59" s="505">
        <f>report!M59</f>
        <v>7.3730865777262284</v>
      </c>
      <c r="S59" s="360">
        <v>1</v>
      </c>
      <c r="T59" s="505">
        <f>report!N59</f>
        <v>9.0173174623934376</v>
      </c>
      <c r="U59" s="505">
        <v>1</v>
      </c>
      <c r="V59">
        <f>report!O59</f>
        <v>19.289804425604192</v>
      </c>
      <c r="W59">
        <f>report!P59</f>
        <v>20.007516090285385</v>
      </c>
      <c r="X59">
        <f>report!Q59</f>
        <v>2.4008163730151244</v>
      </c>
      <c r="Y59">
        <f>report!R59</f>
        <v>5.1460152866573967</v>
      </c>
      <c r="Z59">
        <f>report!S59</f>
        <v>0.45148156110281451</v>
      </c>
      <c r="AA59">
        <f>report!T59</f>
        <v>2.7451989136422723</v>
      </c>
      <c r="AB59">
        <f>report!U59</f>
        <v>7.1821142469035015</v>
      </c>
      <c r="AC59" s="30">
        <f>report!V59</f>
        <v>42750</v>
      </c>
      <c r="AD59" s="30">
        <f>report!W59</f>
        <v>42777</v>
      </c>
      <c r="AE59" s="30">
        <f>report!X59</f>
        <v>42763.5</v>
      </c>
      <c r="AF59">
        <f>report!Y59</f>
        <v>27</v>
      </c>
      <c r="AG59">
        <f>report!Z59</f>
        <v>3.3573904009905027</v>
      </c>
      <c r="AH59">
        <f>report!AA59</f>
        <v>0.42847754260261423</v>
      </c>
      <c r="AI59">
        <f>report!AB59</f>
        <v>3.2225664604055286E-2</v>
      </c>
      <c r="AJ59">
        <f>report!AC59</f>
        <v>0.2285760960568087</v>
      </c>
      <c r="AK59">
        <f>report!AD59</f>
        <v>0.19990144654580552</v>
      </c>
      <c r="AL59">
        <f>report!AE59</f>
        <v>0.11952262018478116</v>
      </c>
      <c r="AM59">
        <f>report!AF59</f>
        <v>3851.6</v>
      </c>
      <c r="AO59">
        <f>report!AH59</f>
        <v>428.47754260261422</v>
      </c>
      <c r="AP59">
        <v>1</v>
      </c>
      <c r="AQ59">
        <f>report!AI59</f>
        <v>32.225664604055289</v>
      </c>
      <c r="AR59">
        <v>1</v>
      </c>
      <c r="AS59">
        <f>report!AJ59</f>
        <v>228.57609605680869</v>
      </c>
      <c r="AT59">
        <v>1</v>
      </c>
      <c r="AU59">
        <f>report!AK59</f>
        <v>199.90144654580553</v>
      </c>
      <c r="AV59">
        <v>1</v>
      </c>
      <c r="AW59">
        <f>report!AL59</f>
        <v>119.52262018478116</v>
      </c>
      <c r="AX59">
        <v>1</v>
      </c>
      <c r="AY59">
        <f>report!AM59</f>
        <v>7.0929831507041934</v>
      </c>
      <c r="AZ59">
        <f>report!AN59</f>
        <v>6.2031752952784673</v>
      </c>
      <c r="BA59">
        <f>report!AO59</f>
        <v>37.979999999999997</v>
      </c>
      <c r="BB59">
        <v>1</v>
      </c>
      <c r="BC59">
        <f>report!AP59</f>
        <v>8.5299999999999994</v>
      </c>
      <c r="BD59">
        <v>1</v>
      </c>
    </row>
    <row r="60" spans="1:56" x14ac:dyDescent="0.25">
      <c r="A60">
        <f>report!A60</f>
        <v>2016</v>
      </c>
      <c r="B60" t="str">
        <f>report!B60</f>
        <v>47_3800</v>
      </c>
      <c r="C60">
        <f>report!C60</f>
        <v>13</v>
      </c>
      <c r="D60" t="str">
        <f>report!D60</f>
        <v>McLane-PARFLUX-Mark78H-13 ; 12419-03, X500x13</v>
      </c>
      <c r="E60">
        <f>report!E60</f>
        <v>3800</v>
      </c>
      <c r="F60" s="399">
        <v>1</v>
      </c>
      <c r="G60">
        <f>report!F60</f>
        <v>930.34285714285704</v>
      </c>
      <c r="H60">
        <f>report!G60</f>
        <v>68.914285714285711</v>
      </c>
      <c r="I60">
        <f>report!H60</f>
        <v>25.170942857142855</v>
      </c>
      <c r="J60" s="505">
        <v>1</v>
      </c>
      <c r="K60" s="505">
        <f>report!I60</f>
        <v>63.09065403298699</v>
      </c>
      <c r="L60" s="505">
        <f>report!J60</f>
        <v>7.5706086904097711</v>
      </c>
      <c r="M60" s="360">
        <v>1</v>
      </c>
      <c r="N60" s="505">
        <f>report!K60</f>
        <v>13.673782348632813</v>
      </c>
      <c r="O60" s="360">
        <v>1</v>
      </c>
      <c r="P60" s="505">
        <f>report!L60</f>
        <v>0.83917605876922607</v>
      </c>
      <c r="Q60" s="505">
        <v>1</v>
      </c>
      <c r="R60" s="505">
        <f>report!M60</f>
        <v>6.1031736582230414</v>
      </c>
      <c r="S60" s="360">
        <v>1</v>
      </c>
      <c r="T60" s="505">
        <f>report!N60</f>
        <v>7.0630665910621264</v>
      </c>
      <c r="U60" s="505">
        <v>1</v>
      </c>
      <c r="V60">
        <f>report!O60</f>
        <v>15.109279866747</v>
      </c>
      <c r="W60">
        <f>report!P60</f>
        <v>15.880512474840851</v>
      </c>
      <c r="X60">
        <f>report!Q60</f>
        <v>1.9055935874009344</v>
      </c>
      <c r="Y60">
        <f>report!R60</f>
        <v>3.4418199413844515</v>
      </c>
      <c r="Z60">
        <f>report!S60</f>
        <v>0.21122852622362545</v>
      </c>
      <c r="AA60">
        <f>report!T60</f>
        <v>1.5362263539835168</v>
      </c>
      <c r="AB60">
        <f>report!U60</f>
        <v>3.8031482013846771</v>
      </c>
      <c r="AC60" s="30">
        <f>report!V60</f>
        <v>42777</v>
      </c>
      <c r="AD60" s="30">
        <f>report!W60</f>
        <v>42804</v>
      </c>
      <c r="AE60" s="30">
        <f>report!X60</f>
        <v>42790.5</v>
      </c>
      <c r="AF60">
        <f>report!Y60</f>
        <v>27</v>
      </c>
      <c r="AG60">
        <f>report!Z60</f>
        <v>1.7778404555981957</v>
      </c>
      <c r="AH60">
        <f>report!AA60</f>
        <v>0.28657951218854716</v>
      </c>
      <c r="AI60">
        <f>report!AB60</f>
        <v>1.5076982599830511E-2</v>
      </c>
      <c r="AJ60">
        <f>report!AC60</f>
        <v>0.12791226927423122</v>
      </c>
      <c r="AK60">
        <f>report!AD60</f>
        <v>0.15866724291431594</v>
      </c>
      <c r="AL60">
        <f>report!AE60</f>
        <v>6.3290867055827538E-2</v>
      </c>
      <c r="AM60">
        <f>report!AF60</f>
        <v>3851.6</v>
      </c>
      <c r="AO60">
        <f>report!AH60</f>
        <v>286.57951218854714</v>
      </c>
      <c r="AP60">
        <v>1</v>
      </c>
      <c r="AQ60">
        <f>report!AI60</f>
        <v>15.076982599830512</v>
      </c>
      <c r="AR60">
        <v>1</v>
      </c>
      <c r="AS60">
        <f>report!AJ60</f>
        <v>127.91226927423122</v>
      </c>
      <c r="AT60">
        <v>1</v>
      </c>
      <c r="AU60">
        <f>report!AK60</f>
        <v>158.66724291431595</v>
      </c>
      <c r="AV60">
        <v>1</v>
      </c>
      <c r="AW60">
        <f>report!AL60</f>
        <v>63.29086705582754</v>
      </c>
      <c r="AX60">
        <v>1</v>
      </c>
      <c r="AY60">
        <f>report!AM60</f>
        <v>8.4839435495315332</v>
      </c>
      <c r="AZ60">
        <f>report!AN60</f>
        <v>10.523806196877857</v>
      </c>
      <c r="BA60">
        <f>report!AO60</f>
        <v>37.82</v>
      </c>
      <c r="BB60">
        <v>1</v>
      </c>
      <c r="BC60">
        <f>report!AP60</f>
        <v>8.5299999999999994</v>
      </c>
      <c r="BD6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rgb="FFFF0000"/>
  </sheetPr>
  <dimension ref="A1:AK72"/>
  <sheetViews>
    <sheetView tabSelected="1" zoomScale="70" zoomScaleNormal="70" workbookViewId="0">
      <selection activeCell="L26" sqref="L26"/>
    </sheetView>
  </sheetViews>
  <sheetFormatPr defaultColWidth="11.453125" defaultRowHeight="12.5" x14ac:dyDescent="0.25"/>
  <cols>
    <col min="1" max="1" width="26" bestFit="1" customWidth="1"/>
    <col min="2" max="2" width="4" bestFit="1" customWidth="1"/>
    <col min="3" max="3" width="13.1796875" bestFit="1" customWidth="1"/>
    <col min="4" max="4" width="11.54296875" style="5" bestFit="1" customWidth="1"/>
    <col min="5" max="5" width="49.1796875" customWidth="1"/>
    <col min="6" max="6" width="18.26953125" bestFit="1" customWidth="1"/>
    <col min="7" max="7" width="18.26953125" customWidth="1"/>
    <col min="8" max="8" width="14.7265625" bestFit="1" customWidth="1"/>
    <col min="9" max="9" width="10" bestFit="1" customWidth="1"/>
    <col min="10" max="12" width="24.7265625" bestFit="1" customWidth="1"/>
    <col min="13" max="13" width="14.7265625" style="5" bestFit="1" customWidth="1"/>
    <col min="14" max="14" width="35.1796875" style="2" customWidth="1"/>
    <col min="15" max="15" width="29.1796875" style="2" customWidth="1"/>
    <col min="16" max="16" width="12.453125" style="219" bestFit="1" customWidth="1"/>
    <col min="17" max="22" width="12.453125" style="219" customWidth="1"/>
    <col min="23" max="23" width="23.54296875" customWidth="1"/>
    <col min="24" max="24" width="22.7265625" customWidth="1"/>
    <col min="25" max="25" width="14.54296875" style="5" bestFit="1" customWidth="1"/>
    <col min="26" max="26" width="34.81640625" customWidth="1"/>
    <col min="27" max="27" width="27.1796875" customWidth="1"/>
    <col min="28" max="28" width="14.54296875" bestFit="1" customWidth="1"/>
    <col min="29" max="29" width="42" style="90" customWidth="1"/>
    <col min="30" max="30" width="29.1796875" style="90" customWidth="1"/>
    <col min="31" max="31" width="16" style="5" bestFit="1" customWidth="1"/>
    <col min="32" max="32" width="43.1796875" customWidth="1"/>
    <col min="33" max="33" width="34.453125" customWidth="1"/>
    <col min="34" max="34" width="15" bestFit="1" customWidth="1"/>
    <col min="35" max="35" width="44.453125" customWidth="1"/>
    <col min="36" max="36" width="30.453125" customWidth="1"/>
    <col min="37" max="37" width="15" bestFit="1" customWidth="1"/>
  </cols>
  <sheetData>
    <row r="1" spans="1:37" s="20" customFormat="1" x14ac:dyDescent="0.25">
      <c r="A1" s="20" t="s">
        <v>329</v>
      </c>
      <c r="B1" s="20" t="s">
        <v>330</v>
      </c>
      <c r="C1" s="20" t="s">
        <v>331</v>
      </c>
      <c r="D1" s="5" t="s">
        <v>3292</v>
      </c>
      <c r="E1" s="20" t="s">
        <v>62</v>
      </c>
      <c r="F1" s="139" t="s">
        <v>332</v>
      </c>
      <c r="G1" s="139" t="s">
        <v>3300</v>
      </c>
      <c r="H1" s="137" t="s">
        <v>236</v>
      </c>
      <c r="I1" s="501" t="s">
        <v>1285</v>
      </c>
      <c r="J1" s="138" t="s">
        <v>333</v>
      </c>
      <c r="K1" s="138" t="s">
        <v>334</v>
      </c>
      <c r="L1" s="138" t="s">
        <v>335</v>
      </c>
      <c r="M1" s="19" t="s">
        <v>336</v>
      </c>
      <c r="N1" s="26" t="s">
        <v>337</v>
      </c>
      <c r="O1" s="26" t="s">
        <v>3257</v>
      </c>
      <c r="P1" s="513" t="s">
        <v>338</v>
      </c>
      <c r="Q1" s="523" t="s">
        <v>3260</v>
      </c>
      <c r="R1" s="523" t="s">
        <v>3261</v>
      </c>
      <c r="S1" s="523" t="s">
        <v>3262</v>
      </c>
      <c r="T1" s="523" t="s">
        <v>3263</v>
      </c>
      <c r="U1" s="523" t="s">
        <v>3264</v>
      </c>
      <c r="V1" s="513" t="s">
        <v>3265</v>
      </c>
      <c r="W1" s="15" t="s">
        <v>3270</v>
      </c>
      <c r="X1" s="15" t="s">
        <v>3271</v>
      </c>
      <c r="Y1" s="5" t="s">
        <v>3272</v>
      </c>
      <c r="Z1" s="15" t="s">
        <v>3274</v>
      </c>
      <c r="AA1" s="15" t="s">
        <v>3275</v>
      </c>
      <c r="AB1" s="15" t="s">
        <v>3276</v>
      </c>
      <c r="AC1" s="15" t="s">
        <v>3278</v>
      </c>
      <c r="AD1" s="15" t="s">
        <v>3279</v>
      </c>
      <c r="AE1" s="5" t="s">
        <v>3280</v>
      </c>
      <c r="AF1" s="15" t="s">
        <v>3282</v>
      </c>
      <c r="AG1" s="15" t="s">
        <v>3283</v>
      </c>
      <c r="AH1" t="s">
        <v>3284</v>
      </c>
      <c r="AI1" s="336" t="s">
        <v>3287</v>
      </c>
      <c r="AJ1" s="336" t="s">
        <v>3288</v>
      </c>
      <c r="AK1" t="s">
        <v>3289</v>
      </c>
    </row>
    <row r="2" spans="1:37" ht="15.5" x14ac:dyDescent="0.35">
      <c r="D2" s="19"/>
      <c r="F2" s="138" t="s">
        <v>1290</v>
      </c>
      <c r="G2" s="138"/>
      <c r="H2" s="501"/>
      <c r="I2" s="137"/>
      <c r="J2" s="138"/>
      <c r="K2" s="139"/>
      <c r="L2" s="139"/>
      <c r="M2" s="19"/>
      <c r="N2" s="514"/>
      <c r="O2" s="514"/>
      <c r="P2" s="513"/>
      <c r="Q2" s="523"/>
      <c r="R2" s="523"/>
      <c r="S2" s="523"/>
      <c r="T2" s="523"/>
      <c r="U2" s="523"/>
      <c r="V2" s="513"/>
      <c r="W2" s="517"/>
      <c r="X2" s="517"/>
      <c r="Y2" s="19"/>
      <c r="Z2" s="20"/>
      <c r="AA2" s="20"/>
      <c r="AB2" s="20"/>
      <c r="AC2" s="537"/>
      <c r="AD2" s="537"/>
      <c r="AE2" s="19"/>
      <c r="AF2" s="538"/>
      <c r="AG2" s="538"/>
      <c r="AH2" s="20"/>
      <c r="AI2" s="539"/>
      <c r="AJ2" s="539"/>
      <c r="AK2" s="20"/>
    </row>
    <row r="3" spans="1:37" ht="15.5" x14ac:dyDescent="0.35">
      <c r="A3" t="s">
        <v>339</v>
      </c>
      <c r="D3" s="540" t="s">
        <v>3293</v>
      </c>
      <c r="F3" s="510" t="s">
        <v>340</v>
      </c>
      <c r="G3" s="510"/>
      <c r="H3" s="501" t="s">
        <v>3255</v>
      </c>
      <c r="I3" s="137"/>
      <c r="J3" s="138"/>
      <c r="K3" s="139"/>
      <c r="L3" s="139"/>
      <c r="M3" s="19" t="s">
        <v>3256</v>
      </c>
      <c r="N3" s="514" t="s">
        <v>3258</v>
      </c>
      <c r="O3" s="514"/>
      <c r="P3" s="515"/>
      <c r="Q3" s="523" t="s">
        <v>3266</v>
      </c>
      <c r="R3" s="523"/>
      <c r="S3" s="517"/>
      <c r="T3" s="524" t="s">
        <v>3267</v>
      </c>
      <c r="U3" s="524"/>
      <c r="V3" s="515"/>
      <c r="W3" s="517" t="s">
        <v>3273</v>
      </c>
      <c r="X3" s="517"/>
      <c r="Y3" s="533"/>
      <c r="Z3" s="536" t="s">
        <v>3277</v>
      </c>
      <c r="AA3" s="536"/>
      <c r="AB3" s="517"/>
      <c r="AC3" s="517" t="s">
        <v>3281</v>
      </c>
      <c r="AD3" s="517"/>
      <c r="AE3" s="533"/>
      <c r="AF3" s="517" t="s">
        <v>3285</v>
      </c>
      <c r="AG3" s="517"/>
      <c r="AH3" s="517"/>
      <c r="AI3" s="517" t="s">
        <v>3290</v>
      </c>
      <c r="AJ3" s="517"/>
      <c r="AK3" s="517"/>
    </row>
    <row r="4" spans="1:37" ht="14.5" x14ac:dyDescent="0.35">
      <c r="A4" s="17" t="s">
        <v>907</v>
      </c>
      <c r="C4" t="s">
        <v>327</v>
      </c>
      <c r="D4" s="419" t="s">
        <v>906</v>
      </c>
      <c r="F4" s="510" t="s">
        <v>341</v>
      </c>
      <c r="G4" s="510"/>
      <c r="H4" s="501">
        <v>1</v>
      </c>
      <c r="I4" s="137"/>
      <c r="J4" s="138" t="s">
        <v>342</v>
      </c>
      <c r="K4" s="139" t="s">
        <v>342</v>
      </c>
      <c r="L4" s="139" t="s">
        <v>342</v>
      </c>
      <c r="M4" s="19" t="s">
        <v>343</v>
      </c>
      <c r="N4" s="514" t="s">
        <v>3259</v>
      </c>
      <c r="O4" s="514" t="s">
        <v>3259</v>
      </c>
      <c r="P4" s="515" t="s">
        <v>938</v>
      </c>
      <c r="Q4" s="541" t="s">
        <v>3296</v>
      </c>
      <c r="R4" s="541" t="s">
        <v>3296</v>
      </c>
      <c r="S4" s="517"/>
      <c r="T4" s="541" t="s">
        <v>3296</v>
      </c>
      <c r="U4" s="541" t="s">
        <v>3296</v>
      </c>
      <c r="V4" s="515"/>
      <c r="W4" s="514" t="s">
        <v>3259</v>
      </c>
      <c r="X4" s="514" t="s">
        <v>3259</v>
      </c>
      <c r="Y4" s="533"/>
      <c r="Z4" s="514" t="s">
        <v>3259</v>
      </c>
      <c r="AA4" s="514" t="s">
        <v>3259</v>
      </c>
      <c r="AB4" s="517"/>
      <c r="AC4" s="514" t="s">
        <v>3259</v>
      </c>
      <c r="AD4" s="514" t="s">
        <v>3259</v>
      </c>
      <c r="AE4" s="533"/>
      <c r="AF4" s="514" t="s">
        <v>3259</v>
      </c>
      <c r="AG4" s="514" t="s">
        <v>3259</v>
      </c>
      <c r="AH4" s="517"/>
      <c r="AI4" s="514" t="s">
        <v>3259</v>
      </c>
      <c r="AJ4" s="514" t="s">
        <v>3259</v>
      </c>
      <c r="AK4" s="517"/>
    </row>
    <row r="5" spans="1:37" ht="15.5" x14ac:dyDescent="0.35">
      <c r="D5" s="524"/>
      <c r="F5" s="511" t="s">
        <v>3252</v>
      </c>
      <c r="G5" s="511"/>
      <c r="H5" s="137"/>
      <c r="I5" s="137"/>
      <c r="J5" s="139"/>
      <c r="K5" s="139"/>
      <c r="L5" s="139"/>
      <c r="M5"/>
      <c r="N5" s="516">
        <v>5.9999999999999995E-4</v>
      </c>
      <c r="O5" s="516"/>
      <c r="P5" s="517"/>
      <c r="Q5" s="525">
        <v>2.1999999999999999E-2</v>
      </c>
      <c r="R5" s="525"/>
      <c r="S5" s="526"/>
      <c r="T5" s="525">
        <v>2.9000000000000001E-2</v>
      </c>
      <c r="U5" s="525"/>
      <c r="V5" s="517"/>
      <c r="W5" s="534">
        <v>2.1000000000000001E-2</v>
      </c>
      <c r="X5" s="534"/>
      <c r="Y5" s="534"/>
      <c r="Z5" s="534">
        <v>3.7999999999999999E-2</v>
      </c>
      <c r="AA5" s="534"/>
      <c r="AB5" s="534"/>
      <c r="AC5" s="534">
        <v>2.8000000000000001E-2</v>
      </c>
      <c r="AD5" s="534"/>
      <c r="AE5" s="517"/>
      <c r="AF5" s="534">
        <v>1.9E-2</v>
      </c>
      <c r="AG5" s="534"/>
      <c r="AH5" s="533"/>
      <c r="AI5" s="534">
        <v>4.9000000000000002E-2</v>
      </c>
      <c r="AJ5" s="534"/>
      <c r="AK5" s="524"/>
    </row>
    <row r="6" spans="1:37" ht="15.5" x14ac:dyDescent="0.35">
      <c r="C6" t="s">
        <v>315</v>
      </c>
      <c r="D6" s="524">
        <v>3</v>
      </c>
      <c r="F6" s="20" t="s">
        <v>3295</v>
      </c>
      <c r="G6" s="20"/>
      <c r="H6" s="137"/>
      <c r="I6" s="137"/>
      <c r="J6" s="139"/>
      <c r="K6" s="139"/>
      <c r="L6" s="139"/>
      <c r="M6"/>
      <c r="N6" s="516"/>
      <c r="O6" s="516"/>
      <c r="P6" s="517"/>
      <c r="Q6" s="525"/>
      <c r="R6" s="525"/>
      <c r="S6" s="526"/>
      <c r="T6" s="525"/>
      <c r="U6" s="525"/>
      <c r="V6" s="517"/>
      <c r="W6" s="534"/>
      <c r="X6" s="534"/>
      <c r="Y6" s="534"/>
      <c r="Z6" s="534"/>
      <c r="AA6" s="534"/>
      <c r="AB6" s="534"/>
      <c r="AC6" s="534"/>
      <c r="AD6" s="534"/>
      <c r="AE6" s="517"/>
      <c r="AF6" s="534"/>
      <c r="AG6" s="534"/>
      <c r="AH6" s="533"/>
      <c r="AI6" s="534"/>
      <c r="AJ6" s="534"/>
      <c r="AK6" s="524"/>
    </row>
    <row r="7" spans="1:37" ht="14.5" x14ac:dyDescent="0.35">
      <c r="D7" t="s">
        <v>325</v>
      </c>
      <c r="F7" s="510" t="s">
        <v>154</v>
      </c>
      <c r="G7" s="510"/>
      <c r="H7" s="137"/>
      <c r="I7" s="137"/>
      <c r="J7" s="138"/>
      <c r="K7" s="139"/>
      <c r="L7" s="139"/>
      <c r="M7" s="19"/>
      <c r="N7" s="514" t="s">
        <v>22</v>
      </c>
      <c r="O7" s="514"/>
      <c r="P7" s="515"/>
      <c r="Q7" s="517" t="s">
        <v>3250</v>
      </c>
      <c r="R7" s="517"/>
      <c r="S7" s="517"/>
      <c r="T7" s="517" t="s">
        <v>3250</v>
      </c>
      <c r="U7" s="517"/>
      <c r="V7" s="515"/>
      <c r="W7" s="517" t="s">
        <v>22</v>
      </c>
      <c r="X7" s="517"/>
      <c r="Y7" s="533"/>
      <c r="Z7" s="517" t="s">
        <v>22</v>
      </c>
      <c r="AA7" s="517"/>
      <c r="AB7" s="517"/>
      <c r="AC7" s="517" t="s">
        <v>22</v>
      </c>
      <c r="AD7" s="517"/>
      <c r="AE7" s="533"/>
      <c r="AF7" s="517" t="s">
        <v>22</v>
      </c>
      <c r="AG7" s="517"/>
      <c r="AH7" s="517"/>
      <c r="AI7" s="517" t="s">
        <v>22</v>
      </c>
      <c r="AJ7" s="517"/>
      <c r="AK7" s="517"/>
    </row>
    <row r="8" spans="1:37" ht="14.5" x14ac:dyDescent="0.35">
      <c r="D8" t="s">
        <v>3294</v>
      </c>
      <c r="F8" s="510" t="s">
        <v>344</v>
      </c>
      <c r="G8" s="510"/>
      <c r="H8" s="137"/>
      <c r="I8" s="137"/>
      <c r="J8" s="138"/>
      <c r="K8" s="139"/>
      <c r="L8" s="139"/>
      <c r="M8" s="19"/>
      <c r="N8" s="514" t="s">
        <v>345</v>
      </c>
      <c r="O8" s="514"/>
      <c r="P8" s="515"/>
      <c r="Q8" s="527" t="s">
        <v>3268</v>
      </c>
      <c r="R8" s="517"/>
      <c r="S8" s="517"/>
      <c r="T8" s="527" t="s">
        <v>3269</v>
      </c>
      <c r="U8" s="527"/>
      <c r="V8" s="515"/>
      <c r="W8" s="517" t="s">
        <v>346</v>
      </c>
      <c r="X8" s="517"/>
      <c r="Y8" s="533"/>
      <c r="Z8" s="517" t="s">
        <v>347</v>
      </c>
      <c r="AA8" s="517"/>
      <c r="AB8" s="517"/>
      <c r="AC8" s="517" t="s">
        <v>1284</v>
      </c>
      <c r="AD8" s="517"/>
      <c r="AE8" s="533"/>
      <c r="AF8" s="517" t="s">
        <v>3286</v>
      </c>
      <c r="AG8" s="517"/>
      <c r="AH8" s="517"/>
      <c r="AI8" s="517" t="s">
        <v>3291</v>
      </c>
      <c r="AJ8" s="517"/>
      <c r="AK8" s="517"/>
    </row>
    <row r="9" spans="1:37" ht="14.5" x14ac:dyDescent="0.35">
      <c r="F9" s="20" t="s">
        <v>348</v>
      </c>
      <c r="G9" s="20"/>
      <c r="H9" s="141"/>
      <c r="I9" s="141"/>
      <c r="J9" s="138"/>
      <c r="K9" s="139"/>
      <c r="L9" s="139"/>
      <c r="M9" s="19"/>
      <c r="N9" s="514"/>
      <c r="O9" s="514"/>
      <c r="P9" s="515"/>
      <c r="Q9" s="517"/>
      <c r="R9" s="517"/>
      <c r="S9" s="517"/>
      <c r="T9" s="517"/>
      <c r="U9" s="517"/>
      <c r="V9" s="515"/>
      <c r="W9" s="517"/>
      <c r="X9" s="517"/>
      <c r="Y9" s="533"/>
      <c r="Z9" s="517"/>
      <c r="AA9" s="517"/>
      <c r="AB9" s="517"/>
      <c r="AC9" s="517"/>
      <c r="AD9" s="517"/>
      <c r="AE9" s="533"/>
      <c r="AF9" s="517"/>
      <c r="AG9" s="517"/>
      <c r="AH9" s="517"/>
      <c r="AI9" s="517"/>
      <c r="AJ9" s="517"/>
      <c r="AK9" s="517"/>
    </row>
    <row r="10" spans="1:37" ht="15.5" x14ac:dyDescent="0.35">
      <c r="D10" s="540">
        <v>-2</v>
      </c>
      <c r="F10" s="502" t="s">
        <v>3253</v>
      </c>
      <c r="G10" s="502"/>
      <c r="H10" s="141"/>
      <c r="I10" s="141"/>
      <c r="J10" s="138"/>
      <c r="K10" s="139"/>
      <c r="L10" s="139"/>
      <c r="M10" s="19"/>
      <c r="N10" s="289">
        <v>-10</v>
      </c>
      <c r="O10" s="514"/>
      <c r="P10" s="515"/>
      <c r="Q10" s="528">
        <v>20</v>
      </c>
      <c r="R10" s="517"/>
      <c r="S10" s="517"/>
      <c r="T10" s="528">
        <v>2</v>
      </c>
      <c r="U10" s="517"/>
      <c r="V10" s="515"/>
      <c r="W10" s="535">
        <v>-1</v>
      </c>
      <c r="X10" s="517"/>
      <c r="Y10" s="533"/>
      <c r="Z10" s="535">
        <v>-1</v>
      </c>
      <c r="AA10" s="517"/>
      <c r="AB10" s="517"/>
      <c r="AC10" s="535">
        <v>-1</v>
      </c>
      <c r="AD10" s="517"/>
      <c r="AE10" s="533"/>
      <c r="AF10" s="535">
        <v>-1</v>
      </c>
      <c r="AG10" s="517"/>
      <c r="AH10" s="517"/>
      <c r="AI10" s="535">
        <v>-1</v>
      </c>
      <c r="AJ10" s="517"/>
      <c r="AK10" s="517"/>
    </row>
    <row r="11" spans="1:37" ht="15.5" x14ac:dyDescent="0.35">
      <c r="D11" s="540">
        <v>12000</v>
      </c>
      <c r="F11" s="502" t="s">
        <v>3254</v>
      </c>
      <c r="G11" s="502"/>
      <c r="H11" s="141"/>
      <c r="I11" s="141"/>
      <c r="J11" s="138"/>
      <c r="K11" s="139"/>
      <c r="L11" s="139"/>
      <c r="M11" s="19"/>
      <c r="N11" s="289">
        <v>1000</v>
      </c>
      <c r="O11" s="514"/>
      <c r="P11" s="515"/>
      <c r="Q11" s="528">
        <v>60</v>
      </c>
      <c r="R11" s="517"/>
      <c r="S11" s="517"/>
      <c r="T11" s="528">
        <v>12</v>
      </c>
      <c r="U11" s="517"/>
      <c r="V11" s="515"/>
      <c r="W11" s="535">
        <v>100</v>
      </c>
      <c r="X11" s="517"/>
      <c r="Y11" s="533"/>
      <c r="Z11" s="535">
        <v>100</v>
      </c>
      <c r="AA11" s="517"/>
      <c r="AB11" s="517"/>
      <c r="AC11" s="535">
        <v>100</v>
      </c>
      <c r="AD11" s="517"/>
      <c r="AE11" s="533"/>
      <c r="AF11" s="535">
        <v>100</v>
      </c>
      <c r="AG11" s="517"/>
      <c r="AH11" s="517"/>
      <c r="AI11" s="535">
        <v>100</v>
      </c>
      <c r="AJ11" s="517"/>
      <c r="AK11" s="517"/>
    </row>
    <row r="12" spans="1:37" ht="14.5" x14ac:dyDescent="0.35">
      <c r="G12" s="543"/>
      <c r="H12" s="137"/>
      <c r="I12" s="137"/>
      <c r="J12" s="139"/>
      <c r="K12" s="139"/>
      <c r="L12" s="139"/>
      <c r="N12" s="518"/>
      <c r="O12" s="519"/>
      <c r="P12" s="426"/>
      <c r="Q12" s="426"/>
      <c r="R12" s="520"/>
      <c r="S12" s="426"/>
      <c r="T12" s="426"/>
      <c r="U12" s="520"/>
      <c r="V12" s="426"/>
      <c r="W12" s="140"/>
      <c r="X12" s="530"/>
      <c r="Y12" s="425"/>
      <c r="Z12" s="140"/>
      <c r="AA12" s="530"/>
      <c r="AB12" s="140"/>
      <c r="AC12" s="142"/>
      <c r="AD12" s="529"/>
      <c r="AE12" s="425"/>
      <c r="AF12" s="140"/>
      <c r="AG12" s="530"/>
      <c r="AH12" s="140"/>
      <c r="AI12" s="140"/>
      <c r="AJ12" s="140"/>
      <c r="AK12" s="140"/>
    </row>
    <row r="13" spans="1:37" s="567" customFormat="1" x14ac:dyDescent="0.25">
      <c r="A13" s="556">
        <f>report!A6</f>
        <v>2016</v>
      </c>
      <c r="B13" s="556">
        <v>47</v>
      </c>
      <c r="C13" s="556">
        <v>1000</v>
      </c>
      <c r="D13" s="557">
        <f>report!AF6</f>
        <v>983.3</v>
      </c>
      <c r="E13" s="557" t="str">
        <f>report!D6</f>
        <v>McLane-PARFLUX-Mark78H-21 ; 12419-01, S250x21</v>
      </c>
      <c r="F13" s="557"/>
      <c r="G13" s="558"/>
      <c r="H13" s="559">
        <f>report!C6</f>
        <v>1</v>
      </c>
      <c r="I13" s="559">
        <f>report_47_flagged!F6</f>
        <v>1</v>
      </c>
      <c r="J13" s="577">
        <f>report_47_flagged!AC6</f>
        <v>42453</v>
      </c>
      <c r="K13" s="577">
        <f>report_47_flagged!AD6</f>
        <v>42470</v>
      </c>
      <c r="L13" s="577">
        <f>report_47_flagged!AE6</f>
        <v>42461.5</v>
      </c>
      <c r="M13" s="557">
        <f>report!Y6</f>
        <v>17</v>
      </c>
      <c r="N13" s="560">
        <f>report_47_flagged!H6</f>
        <v>62.373109243697478</v>
      </c>
      <c r="O13" s="561">
        <f>$N$5*N13</f>
        <v>3.7423865546218481E-2</v>
      </c>
      <c r="P13" s="562">
        <f>report_47_flagged!J6</f>
        <v>2</v>
      </c>
      <c r="Q13" s="563">
        <f>report_47!AO6</f>
        <v>36.92</v>
      </c>
      <c r="R13" s="564">
        <f>$Q$5*Q13</f>
        <v>0.81223999999999996</v>
      </c>
      <c r="S13" s="562">
        <f>report_47_flagged!BB6</f>
        <v>1</v>
      </c>
      <c r="T13" s="563">
        <f>report_47!AP6</f>
        <v>8.33</v>
      </c>
      <c r="U13" s="564">
        <f>$T$5*T13</f>
        <v>0.24157000000000001</v>
      </c>
      <c r="V13" s="562">
        <f>report_47_flagged!BD6</f>
        <v>1</v>
      </c>
      <c r="W13" s="565">
        <f>(report_47_flagged!N6/100)*report_47_flagged!H6</f>
        <v>10.71534702563887</v>
      </c>
      <c r="X13" s="565">
        <f>W13*SQRT(($W$5)^2+($N$5)^2)</f>
        <v>0.22511411463366404</v>
      </c>
      <c r="Y13" s="557">
        <f>report_47_flagged!AP6</f>
        <v>2</v>
      </c>
      <c r="Z13" s="565">
        <f>(report_47_flagged!P6/100)*report_47_flagged!H6</f>
        <v>1.1824744577007134</v>
      </c>
      <c r="AA13" s="565">
        <f>Z13*SQRT(($Z$5)^2+($N$5)^2)</f>
        <v>4.4939630238365308E-2</v>
      </c>
      <c r="AB13" s="557">
        <f>report_47_flagged!AR6</f>
        <v>2</v>
      </c>
      <c r="AC13" s="565">
        <f>(report_47_flagged!R6/100)*report_47_flagged!H6</f>
        <v>6.8518586896303137</v>
      </c>
      <c r="AD13" s="565">
        <f>AC13*SQRT(($AC$5)^2+($N$5)^2)</f>
        <v>0.19189608591732224</v>
      </c>
      <c r="AE13" s="557">
        <f>report_47_flagged!AT6</f>
        <v>2</v>
      </c>
      <c r="AF13" s="565">
        <f>(report_47_flagged!L6/100)*report_47_flagged!H6</f>
        <v>3.863488336008555</v>
      </c>
      <c r="AG13" s="565">
        <f>AF13*SQRT(($AF$5)^2+($N$5)^2)</f>
        <v>7.3442870732136137E-2</v>
      </c>
      <c r="AH13" s="557">
        <f>report_47_flagged!AV6</f>
        <v>2</v>
      </c>
      <c r="AI13" s="565">
        <f>(report_47_flagged!T6/100)*report_47_flagged!H6</f>
        <v>2.6655455163571942</v>
      </c>
      <c r="AJ13" s="565">
        <f>AI13*SQRT(($AI$5)^2+($N$5)^2)</f>
        <v>0.13062152173434649</v>
      </c>
      <c r="AK13" s="566">
        <f>report_47_flagged!AX6</f>
        <v>2</v>
      </c>
    </row>
    <row r="14" spans="1:37" s="567" customFormat="1" x14ac:dyDescent="0.25">
      <c r="A14" s="556">
        <f>report!A7</f>
        <v>2016</v>
      </c>
      <c r="B14" s="556">
        <v>47</v>
      </c>
      <c r="C14" s="556">
        <v>1000</v>
      </c>
      <c r="D14" s="557">
        <f>report!AF7</f>
        <v>983.3</v>
      </c>
      <c r="E14" s="557" t="str">
        <f>report!D7</f>
        <v>McLane-PARFLUX-Mark78H-21 ; 12419-01, S250x21</v>
      </c>
      <c r="F14" s="557"/>
      <c r="G14" s="558"/>
      <c r="H14" s="559">
        <f>report!C7</f>
        <v>2</v>
      </c>
      <c r="I14" s="559">
        <f>report_47_flagged!F7</f>
        <v>1</v>
      </c>
      <c r="J14" s="577">
        <f>report_47_flagged!AC7</f>
        <v>42470</v>
      </c>
      <c r="K14" s="577">
        <f>report_47_flagged!AD7</f>
        <v>42487</v>
      </c>
      <c r="L14" s="577">
        <f>report_47_flagged!AE7</f>
        <v>42478.5</v>
      </c>
      <c r="M14" s="557">
        <f>report!Y7</f>
        <v>17</v>
      </c>
      <c r="N14" s="560">
        <f>report_47_flagged!H7</f>
        <v>24.929411764705875</v>
      </c>
      <c r="O14" s="561">
        <f>$N$5*N14</f>
        <v>1.4957647058823523E-2</v>
      </c>
      <c r="P14" s="562">
        <f>report_47_flagged!J7</f>
        <v>1</v>
      </c>
      <c r="Q14" s="563">
        <f>report_47!AO7</f>
        <v>36.15</v>
      </c>
      <c r="R14" s="564">
        <f t="shared" ref="R14:R67" si="0">$Q$5*Q14</f>
        <v>0.7952999999999999</v>
      </c>
      <c r="S14" s="562">
        <f>report_47_flagged!BB7</f>
        <v>1</v>
      </c>
      <c r="T14" s="563">
        <f>report_47!AP7</f>
        <v>8.44</v>
      </c>
      <c r="U14" s="564">
        <f t="shared" ref="U14:U67" si="1">$T$5*T14</f>
        <v>0.24476000000000001</v>
      </c>
      <c r="V14" s="562">
        <f>report_47_flagged!BD7</f>
        <v>1</v>
      </c>
      <c r="W14" s="565">
        <f>(report_47_flagged!N7/100)*report_47_flagged!H7</f>
        <v>4.7124732441621653</v>
      </c>
      <c r="X14" s="565">
        <f t="shared" ref="X14:X67" si="2">W14*SQRT(($W$5)^2+($N$5)^2)</f>
        <v>9.9002322515182067E-2</v>
      </c>
      <c r="Y14" s="557">
        <f>report_47_flagged!AP7</f>
        <v>1</v>
      </c>
      <c r="Z14" s="565">
        <f>(report_47_flagged!P7/100)*report_47_flagged!H7</f>
        <v>0.37410421037673941</v>
      </c>
      <c r="AA14" s="565">
        <f>Z14*SQRT(($Z$5)^2+($N$5)^2)</f>
        <v>1.4217731956457594E-2</v>
      </c>
      <c r="AB14" s="557">
        <f>report_47_flagged!AR7</f>
        <v>1</v>
      </c>
      <c r="AC14" s="565">
        <f>(report_47_flagged!R7/100)*report_47_flagged!H7</f>
        <v>2.8427438633348436</v>
      </c>
      <c r="AD14" s="565">
        <f t="shared" ref="AD14:AD67" si="3">AC14*SQRT(($AC$5)^2+($N$5)^2)</f>
        <v>7.9615100857965346E-2</v>
      </c>
      <c r="AE14" s="557">
        <f>report_47_flagged!AT7</f>
        <v>1</v>
      </c>
      <c r="AF14" s="565">
        <f>(report_47_flagged!L7/100)*report_47_flagged!H7</f>
        <v>1.8697293808273219</v>
      </c>
      <c r="AG14" s="565">
        <f t="shared" ref="AG14:AG67" si="4">AF14*SQRT(($AF$5)^2+($N$5)^2)</f>
        <v>3.5542567047593093E-2</v>
      </c>
      <c r="AH14" s="557">
        <f>report_47_flagged!AV7</f>
        <v>1</v>
      </c>
      <c r="AI14" s="565">
        <f>(report_47_flagged!T7/100)*report_47_flagged!H7</f>
        <v>0.30777916753158097</v>
      </c>
      <c r="AJ14" s="565">
        <f t="shared" ref="AJ14:AJ67" si="5">AI14*SQRT(($AI$5)^2+($N$5)^2)</f>
        <v>1.5082309784020269E-2</v>
      </c>
      <c r="AK14" s="557">
        <f>report_47_flagged!AX7</f>
        <v>1</v>
      </c>
    </row>
    <row r="15" spans="1:37" s="567" customFormat="1" x14ac:dyDescent="0.25">
      <c r="A15" s="556">
        <f>report!A8</f>
        <v>2016</v>
      </c>
      <c r="B15" s="556">
        <v>47</v>
      </c>
      <c r="C15" s="556">
        <v>1000</v>
      </c>
      <c r="D15" s="557">
        <f>report!AF8</f>
        <v>983.3</v>
      </c>
      <c r="E15" s="557" t="str">
        <f>report!D8</f>
        <v>McLane-PARFLUX-Mark78H-21 ; 12419-01, S250x21</v>
      </c>
      <c r="F15" s="557"/>
      <c r="G15" s="558"/>
      <c r="H15" s="559">
        <f>report!C8</f>
        <v>3</v>
      </c>
      <c r="I15" s="559">
        <f>report_47_flagged!F8</f>
        <v>1</v>
      </c>
      <c r="J15" s="577">
        <f>report_47_flagged!AC8</f>
        <v>42487</v>
      </c>
      <c r="K15" s="577">
        <f>report_47_flagged!AD8</f>
        <v>42504</v>
      </c>
      <c r="L15" s="577">
        <f>report_47_flagged!AE8</f>
        <v>42495.5</v>
      </c>
      <c r="M15" s="557">
        <f>report!Y8</f>
        <v>17</v>
      </c>
      <c r="N15" s="560">
        <f>report_47_flagged!H8</f>
        <v>20.620168067226892</v>
      </c>
      <c r="O15" s="561">
        <f t="shared" ref="O15:O67" si="6">$N$5*N15</f>
        <v>1.2372100840336134E-2</v>
      </c>
      <c r="P15" s="562">
        <f>report_47_flagged!J8</f>
        <v>1</v>
      </c>
      <c r="Q15" s="563">
        <f>report_47!AO8</f>
        <v>34.619999999999997</v>
      </c>
      <c r="R15" s="564">
        <f t="shared" si="0"/>
        <v>0.76163999999999987</v>
      </c>
      <c r="S15" s="562">
        <f>report_47_flagged!BB8</f>
        <v>1</v>
      </c>
      <c r="T15" s="563">
        <f>report_47!AP8</f>
        <v>7.99</v>
      </c>
      <c r="U15" s="564">
        <f t="shared" si="1"/>
        <v>0.23171000000000003</v>
      </c>
      <c r="V15" s="562">
        <f>report_47_flagged!BD8</f>
        <v>1</v>
      </c>
      <c r="W15" s="565">
        <f>(report_47_flagged!N8/100)*report_47_flagged!H8</f>
        <v>3.1974316047700517</v>
      </c>
      <c r="X15" s="565">
        <f t="shared" si="2"/>
        <v>6.7173464665890345E-2</v>
      </c>
      <c r="Y15" s="557">
        <f>report_47_flagged!AP8</f>
        <v>1</v>
      </c>
      <c r="Z15" s="565">
        <f>(report_47_flagged!P8/100)*report_47_flagged!H8</f>
        <v>0.15817123286062931</v>
      </c>
      <c r="AA15" s="565">
        <f t="shared" ref="AA15:AA67" si="7">Z15*SQRT(($Z$5)^2+($N$5)^2)</f>
        <v>6.0112560341680941E-3</v>
      </c>
      <c r="AB15" s="557">
        <f>report_47_flagged!AR8</f>
        <v>1</v>
      </c>
      <c r="AC15" s="565">
        <f>(report_47_flagged!R8/100)*report_47_flagged!H8</f>
        <v>1.09557146815519</v>
      </c>
      <c r="AD15" s="565">
        <f t="shared" si="3"/>
        <v>3.0683043259466039E-2</v>
      </c>
      <c r="AE15" s="557">
        <f>report_47_flagged!AT8</f>
        <v>1</v>
      </c>
      <c r="AF15" s="565">
        <f>(report_47_flagged!L8/100)*report_47_flagged!H8</f>
        <v>2.1018601366148615</v>
      </c>
      <c r="AG15" s="565">
        <f t="shared" si="4"/>
        <v>3.9955249993045006E-2</v>
      </c>
      <c r="AH15" s="557">
        <f>report_47_flagged!AV8</f>
        <v>1</v>
      </c>
      <c r="AI15" s="565">
        <f>(report_47_flagged!T8/100)*report_47_flagged!H8</f>
        <v>0.15597676504765309</v>
      </c>
      <c r="AJ15" s="565">
        <f t="shared" si="5"/>
        <v>7.6434344417305698E-3</v>
      </c>
      <c r="AK15" s="557">
        <f>report_47_flagged!AX8</f>
        <v>1</v>
      </c>
    </row>
    <row r="16" spans="1:37" s="567" customFormat="1" x14ac:dyDescent="0.25">
      <c r="A16" s="556">
        <f>report!A9</f>
        <v>2016</v>
      </c>
      <c r="B16" s="556">
        <v>47</v>
      </c>
      <c r="C16" s="556">
        <v>1000</v>
      </c>
      <c r="D16" s="557">
        <f>report!AF9</f>
        <v>983.3</v>
      </c>
      <c r="E16" s="557" t="str">
        <f>report!D9</f>
        <v>McLane-PARFLUX-Mark78H-21 ; 12419-01, S250x21</v>
      </c>
      <c r="F16" s="557"/>
      <c r="G16" s="558"/>
      <c r="H16" s="559">
        <f>report!C9</f>
        <v>4</v>
      </c>
      <c r="I16" s="559">
        <f>report_47_flagged!F9</f>
        <v>1</v>
      </c>
      <c r="J16" s="577">
        <f>report_47_flagged!AC9</f>
        <v>42504</v>
      </c>
      <c r="K16" s="577">
        <f>report_47_flagged!AD9</f>
        <v>42521</v>
      </c>
      <c r="L16" s="577">
        <f>report_47_flagged!AE9</f>
        <v>42512.5</v>
      </c>
      <c r="M16" s="557">
        <f>report!Y9</f>
        <v>17</v>
      </c>
      <c r="N16" s="560">
        <f>report_47_flagged!H9</f>
        <v>26.285714285714281</v>
      </c>
      <c r="O16" s="561">
        <f t="shared" si="6"/>
        <v>1.5771428571428568E-2</v>
      </c>
      <c r="P16" s="562">
        <f>report_47_flagged!J9</f>
        <v>1</v>
      </c>
      <c r="Q16" s="563">
        <f>report_47!AO9</f>
        <v>35.79</v>
      </c>
      <c r="R16" s="564">
        <f t="shared" si="0"/>
        <v>0.78737999999999997</v>
      </c>
      <c r="S16" s="562">
        <f>report_47_flagged!BB9</f>
        <v>1</v>
      </c>
      <c r="T16" s="563">
        <f>report_47!AP9</f>
        <v>8.33</v>
      </c>
      <c r="U16" s="564">
        <f t="shared" si="1"/>
        <v>0.24157000000000001</v>
      </c>
      <c r="V16" s="562">
        <f>report_47_flagged!BD9</f>
        <v>1</v>
      </c>
      <c r="W16" s="565">
        <f>(report_47_flagged!N9/100)*report_47_flagged!H9</f>
        <v>4.1234809330531519</v>
      </c>
      <c r="X16" s="565">
        <f t="shared" si="2"/>
        <v>8.6628436506255929E-2</v>
      </c>
      <c r="Y16" s="557">
        <f>report_47_flagged!AP9</f>
        <v>1</v>
      </c>
      <c r="Z16" s="565">
        <f>(report_47_flagged!P9/100)*report_47_flagged!H9</f>
        <v>0.35223133768354137</v>
      </c>
      <c r="AA16" s="565">
        <f t="shared" si="7"/>
        <v>1.3386459192228511E-2</v>
      </c>
      <c r="AB16" s="557">
        <f>report_47_flagged!AR9</f>
        <v>1</v>
      </c>
      <c r="AC16" s="565">
        <f>(report_47_flagged!R9/100)*report_47_flagged!H9</f>
        <v>1.6582962397824716</v>
      </c>
      <c r="AD16" s="565">
        <f t="shared" si="3"/>
        <v>4.6442953966238161E-2</v>
      </c>
      <c r="AE16" s="557">
        <f>report_47_flagged!AT9</f>
        <v>1</v>
      </c>
      <c r="AF16" s="565">
        <f>(report_47_flagged!L9/100)*report_47_flagged!H9</f>
        <v>2.4651846932706807</v>
      </c>
      <c r="AG16" s="565">
        <f t="shared" si="4"/>
        <v>4.6861857733927009E-2</v>
      </c>
      <c r="AH16" s="557">
        <f>report_47_flagged!AV9</f>
        <v>1</v>
      </c>
      <c r="AI16" s="565">
        <f>(report_47_flagged!T9/100)*report_47_flagged!H9</f>
        <v>0.47244779573323703</v>
      </c>
      <c r="AJ16" s="565">
        <f t="shared" si="5"/>
        <v>2.3151677448393443E-2</v>
      </c>
      <c r="AK16" s="557">
        <f>report_47_flagged!AX9</f>
        <v>1</v>
      </c>
    </row>
    <row r="17" spans="1:37" s="589" customFormat="1" x14ac:dyDescent="0.25">
      <c r="A17" s="580">
        <f>report!A10</f>
        <v>2016</v>
      </c>
      <c r="B17" s="580">
        <v>47</v>
      </c>
      <c r="C17" s="580">
        <v>1000</v>
      </c>
      <c r="D17" s="579">
        <f>report!AF10</f>
        <v>983.3</v>
      </c>
      <c r="E17" s="579" t="str">
        <f>report!D10</f>
        <v>McLane-PARFLUX-Mark78H-21 ; 12419-01, S250x21</v>
      </c>
      <c r="F17" s="579"/>
      <c r="G17" s="581"/>
      <c r="H17" s="582">
        <f>report!C10</f>
        <v>5</v>
      </c>
      <c r="I17" s="582">
        <f>report_47_flagged!F10</f>
        <v>1</v>
      </c>
      <c r="J17" s="578">
        <f>report_47_flagged!AC10</f>
        <v>42521</v>
      </c>
      <c r="K17" s="578">
        <f>report_47_flagged!AD10</f>
        <v>42538</v>
      </c>
      <c r="L17" s="578">
        <f>report_47_flagged!AE10</f>
        <v>42529.5</v>
      </c>
      <c r="M17" s="579">
        <f>report!Y10</f>
        <v>17</v>
      </c>
      <c r="N17" s="583">
        <f>report_47_flagged!H10</f>
        <v>40.001680672268918</v>
      </c>
      <c r="O17" s="584">
        <f t="shared" si="6"/>
        <v>2.4001008403361349E-2</v>
      </c>
      <c r="P17" s="585">
        <f>report_47_flagged!J10</f>
        <v>1</v>
      </c>
      <c r="Q17" s="586">
        <f>report_47!AO10</f>
        <v>37.15</v>
      </c>
      <c r="R17" s="587">
        <f t="shared" si="0"/>
        <v>0.81729999999999992</v>
      </c>
      <c r="S17" s="585">
        <f>report_47_flagged!BB10</f>
        <v>1</v>
      </c>
      <c r="T17" s="586">
        <f>report_47!AP10</f>
        <v>8.39</v>
      </c>
      <c r="U17" s="587">
        <f t="shared" si="1"/>
        <v>0.24331000000000003</v>
      </c>
      <c r="V17" s="585">
        <f>report_47_flagged!BD10</f>
        <v>1</v>
      </c>
      <c r="W17" s="588">
        <f>(report_47_flagged!N10/100)*report_47_flagged!H10</f>
        <v>6.2829896957092943</v>
      </c>
      <c r="X17" s="588">
        <f t="shared" si="2"/>
        <v>0.13199662682111812</v>
      </c>
      <c r="Y17" s="579">
        <f>report_47_flagged!AP10</f>
        <v>1</v>
      </c>
      <c r="Z17" s="588">
        <f>(report_47_flagged!P10/100)*report_47_flagged!H10</f>
        <v>0.4493109653737366</v>
      </c>
      <c r="AA17" s="588">
        <f t="shared" si="7"/>
        <v>1.7075944866666443E-2</v>
      </c>
      <c r="AB17" s="579">
        <f>report_47_flagged!AR10</f>
        <v>1</v>
      </c>
      <c r="AC17" s="588">
        <f>(report_47_flagged!R10/100)*report_47_flagged!H10</f>
        <v>3.0391116749308873</v>
      </c>
      <c r="AD17" s="588">
        <f t="shared" si="3"/>
        <v>8.5114661802276656E-2</v>
      </c>
      <c r="AE17" s="579">
        <f>report_47_flagged!AT10</f>
        <v>1</v>
      </c>
      <c r="AF17" s="588">
        <f>(report_47_flagged!L10/100)*report_47_flagged!H10</f>
        <v>3.243878020778407</v>
      </c>
      <c r="AG17" s="588">
        <f t="shared" si="4"/>
        <v>6.1664406213007047E-2</v>
      </c>
      <c r="AH17" s="579">
        <f>report_47_flagged!AV10</f>
        <v>1</v>
      </c>
      <c r="AI17" s="588">
        <f>(report_47_flagged!T10/100)*report_47_flagged!H10</f>
        <v>1.6715143478579875</v>
      </c>
      <c r="AJ17" s="588">
        <f t="shared" si="5"/>
        <v>8.1910343071682962E-2</v>
      </c>
      <c r="AK17" s="579">
        <f>report_47_flagged!AX10</f>
        <v>1</v>
      </c>
    </row>
    <row r="18" spans="1:37" s="589" customFormat="1" x14ac:dyDescent="0.25">
      <c r="A18" s="580">
        <f>report!A11</f>
        <v>2016</v>
      </c>
      <c r="B18" s="580">
        <v>47</v>
      </c>
      <c r="C18" s="580">
        <v>1000</v>
      </c>
      <c r="D18" s="579">
        <f>report!AF11</f>
        <v>983.3</v>
      </c>
      <c r="E18" s="579" t="str">
        <f>report!D11</f>
        <v>McLane-PARFLUX-Mark78H-21 ; 12419-01, S250x21</v>
      </c>
      <c r="F18" s="579"/>
      <c r="G18" s="581"/>
      <c r="H18" s="582">
        <f>report!C11</f>
        <v>6</v>
      </c>
      <c r="I18" s="582">
        <f>report_47_flagged!F11</f>
        <v>1</v>
      </c>
      <c r="J18" s="578">
        <f>report_47_flagged!AC11</f>
        <v>42538</v>
      </c>
      <c r="K18" s="578">
        <f>report_47_flagged!AD11</f>
        <v>42555</v>
      </c>
      <c r="L18" s="578">
        <f>report_47_flagged!AE11</f>
        <v>42546.5</v>
      </c>
      <c r="M18" s="579">
        <f>report!Y11</f>
        <v>17</v>
      </c>
      <c r="N18" s="583">
        <f>report_47_flagged!H11</f>
        <v>7.8067226890756309</v>
      </c>
      <c r="O18" s="584">
        <f t="shared" si="6"/>
        <v>4.6840336134453785E-3</v>
      </c>
      <c r="P18" s="585">
        <f>report_47_flagged!J11</f>
        <v>1</v>
      </c>
      <c r="Q18" s="586">
        <f>report_47!AO11</f>
        <v>37.35</v>
      </c>
      <c r="R18" s="587">
        <f t="shared" si="0"/>
        <v>0.82169999999999999</v>
      </c>
      <c r="S18" s="585">
        <f>report_47_flagged!BB11</f>
        <v>1</v>
      </c>
      <c r="T18" s="586">
        <f>report_47!AP11</f>
        <v>8.5</v>
      </c>
      <c r="U18" s="587">
        <f t="shared" si="1"/>
        <v>0.24650000000000002</v>
      </c>
      <c r="V18" s="585">
        <f>report_47_flagged!BD11</f>
        <v>1</v>
      </c>
      <c r="W18" s="588">
        <f>(report_47_flagged!N11/100)*report_47_flagged!H11</f>
        <v>1.3893120284841842</v>
      </c>
      <c r="X18" s="588">
        <f t="shared" si="2"/>
        <v>2.9187458557691462E-2</v>
      </c>
      <c r="Y18" s="579">
        <f>report_47_flagged!AP11</f>
        <v>1</v>
      </c>
      <c r="Z18" s="588">
        <f>(report_47_flagged!P11/100)*report_47_flagged!H11</f>
        <v>0.15324131783317119</v>
      </c>
      <c r="AA18" s="588">
        <f t="shared" si="7"/>
        <v>5.8238959123508979E-3</v>
      </c>
      <c r="AB18" s="579">
        <f>report_47_flagged!AR11</f>
        <v>1</v>
      </c>
      <c r="AC18" s="588">
        <f>(report_47_flagged!R11/100)*report_47_flagged!H11</f>
        <v>0.83243562379278191</v>
      </c>
      <c r="AD18" s="588">
        <f t="shared" si="3"/>
        <v>2.3313548223890489E-2</v>
      </c>
      <c r="AE18" s="579">
        <f>report_47_flagged!AT11</f>
        <v>1</v>
      </c>
      <c r="AF18" s="588">
        <f>(report_47_flagged!L11/100)*report_47_flagged!H11</f>
        <v>0.55687640469140232</v>
      </c>
      <c r="AG18" s="588">
        <f t="shared" si="4"/>
        <v>1.0585926045730098E-2</v>
      </c>
      <c r="AH18" s="579">
        <f>report_47_flagged!AV11</f>
        <v>1</v>
      </c>
      <c r="AI18" s="588">
        <f>(report_47_flagged!T11/100)*report_47_flagged!H11</f>
        <v>0.26851064863005403</v>
      </c>
      <c r="AJ18" s="588">
        <f t="shared" si="5"/>
        <v>1.3158008111550143E-2</v>
      </c>
      <c r="AK18" s="579">
        <f>report_47_flagged!AX11</f>
        <v>1</v>
      </c>
    </row>
    <row r="19" spans="1:37" s="589" customFormat="1" x14ac:dyDescent="0.25">
      <c r="A19" s="580">
        <f>report!A12</f>
        <v>2016</v>
      </c>
      <c r="B19" s="580">
        <v>47</v>
      </c>
      <c r="C19" s="580">
        <v>1000</v>
      </c>
      <c r="D19" s="579">
        <f>report!AF12</f>
        <v>983.3</v>
      </c>
      <c r="E19" s="579" t="str">
        <f>report!D12</f>
        <v>McLane-PARFLUX-Mark78H-21 ; 12419-01, S250x21</v>
      </c>
      <c r="F19" s="579"/>
      <c r="G19" s="581"/>
      <c r="H19" s="582">
        <f>report!C12</f>
        <v>7</v>
      </c>
      <c r="I19" s="582">
        <f>report_47_flagged!F12</f>
        <v>1</v>
      </c>
      <c r="J19" s="578">
        <f>report_47_flagged!AC12</f>
        <v>42555</v>
      </c>
      <c r="K19" s="578">
        <f>report_47_flagged!AD12</f>
        <v>42572</v>
      </c>
      <c r="L19" s="578">
        <f>report_47_flagged!AE12</f>
        <v>42563.5</v>
      </c>
      <c r="M19" s="579">
        <f>report!Y12</f>
        <v>17</v>
      </c>
      <c r="N19" s="583">
        <f>report_47_flagged!H12</f>
        <v>1.6621848739495799</v>
      </c>
      <c r="O19" s="584">
        <f t="shared" si="6"/>
        <v>9.973109243697478E-4</v>
      </c>
      <c r="P19" s="585">
        <f>report_47_flagged!J12</f>
        <v>2</v>
      </c>
      <c r="Q19" s="586">
        <f>report_47!AO12</f>
        <v>37.72</v>
      </c>
      <c r="R19" s="587">
        <f t="shared" si="0"/>
        <v>0.82983999999999991</v>
      </c>
      <c r="S19" s="585">
        <f>report_47_flagged!BB12</f>
        <v>1</v>
      </c>
      <c r="T19" s="586">
        <f>report_47!AP12</f>
        <v>8.61</v>
      </c>
      <c r="U19" s="587">
        <f t="shared" si="1"/>
        <v>0.24969</v>
      </c>
      <c r="V19" s="585">
        <f>report_47_flagged!BD12</f>
        <v>1</v>
      </c>
      <c r="W19" s="588">
        <f>(report_47_flagged!N12/100)*report_47_flagged!H12</f>
        <v>0.26949246388924225</v>
      </c>
      <c r="X19" s="588">
        <f t="shared" si="2"/>
        <v>5.6616512058557797E-3</v>
      </c>
      <c r="Y19" s="579">
        <f>report_47_flagged!AP12</f>
        <v>2</v>
      </c>
      <c r="Z19" s="588">
        <f>(report_47_flagged!P12/100)*report_47_flagged!H12</f>
        <v>2.0292904751641409E-2</v>
      </c>
      <c r="AA19" s="588">
        <f t="shared" si="7"/>
        <v>7.7122649885766001E-4</v>
      </c>
      <c r="AB19" s="579">
        <f>report_47_flagged!AR12</f>
        <v>2</v>
      </c>
      <c r="AC19" s="590" t="s">
        <v>900</v>
      </c>
      <c r="AD19" s="590" t="s">
        <v>900</v>
      </c>
      <c r="AE19" s="579">
        <f>report_47_flagged!AT12</f>
        <v>9</v>
      </c>
      <c r="AF19" s="590" t="s">
        <v>900</v>
      </c>
      <c r="AG19" s="590" t="s">
        <v>900</v>
      </c>
      <c r="AH19" s="579">
        <f>report_47_flagged!AV12</f>
        <v>9</v>
      </c>
      <c r="AI19" s="588">
        <f>(report_47_flagged!T12/100)*report_47_flagged!H12</f>
        <v>2.9147361304946006E-2</v>
      </c>
      <c r="AJ19" s="588">
        <f t="shared" si="5"/>
        <v>1.4283277718686173E-3</v>
      </c>
      <c r="AK19" s="579">
        <f>report_47_flagged!AX12</f>
        <v>2</v>
      </c>
    </row>
    <row r="20" spans="1:37" s="589" customFormat="1" x14ac:dyDescent="0.25">
      <c r="A20" s="580">
        <f>report!A13</f>
        <v>2016</v>
      </c>
      <c r="B20" s="580">
        <v>47</v>
      </c>
      <c r="C20" s="580">
        <v>1000</v>
      </c>
      <c r="D20" s="579">
        <f>report!AF13</f>
        <v>983.3</v>
      </c>
      <c r="E20" s="579" t="str">
        <f>report!D13</f>
        <v>McLane-PARFLUX-Mark78H-21 ; 12419-01, S250x21</v>
      </c>
      <c r="F20" s="579"/>
      <c r="G20" s="581"/>
      <c r="H20" s="582">
        <f>report!C13</f>
        <v>8</v>
      </c>
      <c r="I20" s="582">
        <f>report_47_flagged!F13</f>
        <v>1</v>
      </c>
      <c r="J20" s="578">
        <f>report_47_flagged!AC13</f>
        <v>42572</v>
      </c>
      <c r="K20" s="578">
        <f>report_47_flagged!AD13</f>
        <v>42589</v>
      </c>
      <c r="L20" s="578">
        <f>report_47_flagged!AE13</f>
        <v>42580.5</v>
      </c>
      <c r="M20" s="579">
        <f>report!Y13</f>
        <v>17</v>
      </c>
      <c r="N20" s="583">
        <f>report_47_flagged!H13</f>
        <v>21.164705882352944</v>
      </c>
      <c r="O20" s="584">
        <f t="shared" si="6"/>
        <v>1.2698823529411766E-2</v>
      </c>
      <c r="P20" s="585">
        <f>report_47_flagged!J13</f>
        <v>1</v>
      </c>
      <c r="Q20" s="586">
        <f>report_47!AO13</f>
        <v>37.97</v>
      </c>
      <c r="R20" s="587">
        <f t="shared" si="0"/>
        <v>0.83533999999999997</v>
      </c>
      <c r="S20" s="585">
        <f>report_47_flagged!BB13</f>
        <v>1</v>
      </c>
      <c r="T20" s="586">
        <f>report_47!AP13</f>
        <v>8.58</v>
      </c>
      <c r="U20" s="587">
        <f t="shared" si="1"/>
        <v>0.24882000000000001</v>
      </c>
      <c r="V20" s="585">
        <f>report_47_flagged!BD13</f>
        <v>1</v>
      </c>
      <c r="W20" s="588">
        <f>(report_47_flagged!N13/100)*report_47_flagged!H13</f>
        <v>3.5617341750649847</v>
      </c>
      <c r="X20" s="588">
        <f t="shared" si="2"/>
        <v>7.4826940598539615E-2</v>
      </c>
      <c r="Y20" s="579">
        <f>report_47_flagged!AP13</f>
        <v>1</v>
      </c>
      <c r="Z20" s="588">
        <f>(report_47_flagged!P13/100)*report_47_flagged!H13</f>
        <v>0.29560831009640415</v>
      </c>
      <c r="AA20" s="588">
        <f t="shared" si="7"/>
        <v>1.1234515946290971E-2</v>
      </c>
      <c r="AB20" s="579">
        <f>report_47_flagged!AR13</f>
        <v>1</v>
      </c>
      <c r="AC20" s="588">
        <f>(report_47_flagged!R13/100)*report_47_flagged!H13</f>
        <v>1.9970296126765268</v>
      </c>
      <c r="AD20" s="588">
        <f t="shared" si="3"/>
        <v>5.5929665729035634E-2</v>
      </c>
      <c r="AE20" s="579">
        <f>report_47_flagged!AT13</f>
        <v>1</v>
      </c>
      <c r="AF20" s="588">
        <f>(report_47_flagged!L13/100)*report_47_flagged!H13</f>
        <v>1.5647045623884581</v>
      </c>
      <c r="AG20" s="588">
        <f t="shared" si="4"/>
        <v>2.9744206508515447E-2</v>
      </c>
      <c r="AH20" s="579">
        <f>report_47_flagged!AV13</f>
        <v>1</v>
      </c>
      <c r="AI20" s="588">
        <f>(report_47_flagged!T13/100)*report_47_flagged!H13</f>
        <v>0.86870906671503245</v>
      </c>
      <c r="AJ20" s="588">
        <f t="shared" si="5"/>
        <v>4.2569935325589739E-2</v>
      </c>
      <c r="AK20" s="579">
        <f>report_47_flagged!AX13</f>
        <v>1</v>
      </c>
    </row>
    <row r="21" spans="1:37" s="567" customFormat="1" x14ac:dyDescent="0.25">
      <c r="A21" s="556">
        <f>report!A14</f>
        <v>2016</v>
      </c>
      <c r="B21" s="556">
        <v>47</v>
      </c>
      <c r="C21" s="556">
        <v>1000</v>
      </c>
      <c r="D21" s="557">
        <f>report!AF14</f>
        <v>983.3</v>
      </c>
      <c r="E21" s="557" t="str">
        <f>report!D14</f>
        <v>McLane-PARFLUX-Mark78H-21 ; 12419-01, S250x21</v>
      </c>
      <c r="F21" s="557"/>
      <c r="G21" s="558"/>
      <c r="H21" s="559">
        <f>report!C14</f>
        <v>9</v>
      </c>
      <c r="I21" s="559">
        <f>report_47_flagged!F14</f>
        <v>1</v>
      </c>
      <c r="J21" s="577">
        <f>report_47_flagged!AC14</f>
        <v>42589</v>
      </c>
      <c r="K21" s="577">
        <f>report_47_flagged!AD14</f>
        <v>42606</v>
      </c>
      <c r="L21" s="577">
        <f>report_47_flagged!AE14</f>
        <v>42597.5</v>
      </c>
      <c r="M21" s="557">
        <f>report!Y14</f>
        <v>17</v>
      </c>
      <c r="N21" s="560">
        <f>report_47_flagged!H14</f>
        <v>14.643697478991596</v>
      </c>
      <c r="O21" s="561">
        <f t="shared" si="6"/>
        <v>8.7862184873949561E-3</v>
      </c>
      <c r="P21" s="562">
        <f>report_47_flagged!J14</f>
        <v>1</v>
      </c>
      <c r="Q21" s="563">
        <f>report_47!AO14</f>
        <v>38.25</v>
      </c>
      <c r="R21" s="564">
        <f t="shared" si="0"/>
        <v>0.84149999999999991</v>
      </c>
      <c r="S21" s="562">
        <f>report_47_flagged!BB14</f>
        <v>1</v>
      </c>
      <c r="T21" s="563">
        <f>report_47!AP14</f>
        <v>8.58</v>
      </c>
      <c r="U21" s="564">
        <f t="shared" si="1"/>
        <v>0.24882000000000001</v>
      </c>
      <c r="V21" s="562">
        <f>report_47_flagged!BD14</f>
        <v>1</v>
      </c>
      <c r="W21" s="565">
        <f>(report_47_flagged!N14/100)*report_47_flagged!H14</f>
        <v>2.4326545255003857</v>
      </c>
      <c r="X21" s="565">
        <f t="shared" si="2"/>
        <v>5.1106592106376039E-2</v>
      </c>
      <c r="Y21" s="557">
        <f>report_47_flagged!AP14</f>
        <v>1</v>
      </c>
      <c r="Z21" s="565">
        <f>(report_47_flagged!P14/100)*report_47_flagged!H14</f>
        <v>0.19626608544237473</v>
      </c>
      <c r="AA21" s="565">
        <f t="shared" si="7"/>
        <v>7.4590408703306844E-3</v>
      </c>
      <c r="AB21" s="557">
        <f>report_47_flagged!AR14</f>
        <v>1</v>
      </c>
      <c r="AC21" s="565">
        <f>(report_47_flagged!R14/100)*report_47_flagged!H14</f>
        <v>1.3570360405566813</v>
      </c>
      <c r="AD21" s="565">
        <f t="shared" si="3"/>
        <v>3.8005731937477812E-2</v>
      </c>
      <c r="AE21" s="557">
        <f>report_47_flagged!AT14</f>
        <v>1</v>
      </c>
      <c r="AF21" s="565">
        <f>(report_47_flagged!L14/100)*report_47_flagged!H14</f>
        <v>1.0756184849437045</v>
      </c>
      <c r="AG21" s="565">
        <f t="shared" si="4"/>
        <v>2.0446938744593041E-2</v>
      </c>
      <c r="AH21" s="557">
        <f>report_47_flagged!AV14</f>
        <v>1</v>
      </c>
      <c r="AI21" s="565">
        <f>(report_47_flagged!T14/100)*report_47_flagged!H14</f>
        <v>0.67888894950213363</v>
      </c>
      <c r="AJ21" s="565">
        <f t="shared" si="5"/>
        <v>3.3268052309903776E-2</v>
      </c>
      <c r="AK21" s="557">
        <f>report_47_flagged!AX14</f>
        <v>1</v>
      </c>
    </row>
    <row r="22" spans="1:37" s="589" customFormat="1" x14ac:dyDescent="0.25">
      <c r="A22" s="580">
        <f>report!A15</f>
        <v>2016</v>
      </c>
      <c r="B22" s="580">
        <v>47</v>
      </c>
      <c r="C22" s="580">
        <v>1000</v>
      </c>
      <c r="D22" s="579">
        <f>report!AF15</f>
        <v>983.3</v>
      </c>
      <c r="E22" s="579" t="str">
        <f>report!D15</f>
        <v>McLane-PARFLUX-Mark78H-21 ; 12419-01, S250x21</v>
      </c>
      <c r="F22" s="579"/>
      <c r="G22" s="581"/>
      <c r="H22" s="582">
        <f>report!C15</f>
        <v>10</v>
      </c>
      <c r="I22" s="582">
        <f>report_47_flagged!F15</f>
        <v>1</v>
      </c>
      <c r="J22" s="578">
        <f>report_47_flagged!AC15</f>
        <v>42606</v>
      </c>
      <c r="K22" s="578">
        <f>report_47_flagged!AD15</f>
        <v>42623</v>
      </c>
      <c r="L22" s="578">
        <f>report_47_flagged!AE15</f>
        <v>42614.5</v>
      </c>
      <c r="M22" s="579">
        <f>report!Y15</f>
        <v>17</v>
      </c>
      <c r="N22" s="583">
        <f>report_47_flagged!H15</f>
        <v>7.1243697478991583</v>
      </c>
      <c r="O22" s="584">
        <f t="shared" si="6"/>
        <v>4.2746218487394946E-3</v>
      </c>
      <c r="P22" s="585">
        <f>report_47_flagged!J15</f>
        <v>1</v>
      </c>
      <c r="Q22" s="586">
        <f>report_47!AO15</f>
        <v>37.880000000000003</v>
      </c>
      <c r="R22" s="587">
        <f t="shared" si="0"/>
        <v>0.83335999999999999</v>
      </c>
      <c r="S22" s="585">
        <f>report_47_flagged!BB15</f>
        <v>1</v>
      </c>
      <c r="T22" s="586">
        <f>report_47!AP15</f>
        <v>8.59</v>
      </c>
      <c r="U22" s="587">
        <f t="shared" si="1"/>
        <v>0.24911</v>
      </c>
      <c r="V22" s="585">
        <f>report_47_flagged!BD15</f>
        <v>1</v>
      </c>
      <c r="W22" s="588">
        <f>(report_47_flagged!N15/100)*report_47_flagged!H15</f>
        <v>1.2510146942138669</v>
      </c>
      <c r="X22" s="588">
        <f t="shared" si="2"/>
        <v>2.6282029374113322E-2</v>
      </c>
      <c r="Y22" s="579">
        <f>report_47_flagged!AP15</f>
        <v>1</v>
      </c>
      <c r="Z22" s="588">
        <f>(report_47_flagged!P15/100)*report_47_flagged!H15</f>
        <v>0.10863487427575245</v>
      </c>
      <c r="AA22" s="588">
        <f t="shared" si="7"/>
        <v>4.1286397766566096E-3</v>
      </c>
      <c r="AB22" s="579">
        <f>report_47_flagged!AR15</f>
        <v>1</v>
      </c>
      <c r="AC22" s="588">
        <f>(report_47_flagged!R15/100)*report_47_flagged!H15</f>
        <v>0.75349240508565074</v>
      </c>
      <c r="AD22" s="588">
        <f t="shared" si="3"/>
        <v>2.1102630666215209E-2</v>
      </c>
      <c r="AE22" s="579">
        <f>report_47_flagged!AT15</f>
        <v>1</v>
      </c>
      <c r="AF22" s="588">
        <f>(report_47_flagged!L15/100)*report_47_flagged!H15</f>
        <v>0.49752228912821628</v>
      </c>
      <c r="AG22" s="588">
        <f t="shared" si="4"/>
        <v>9.4576356879983968E-3</v>
      </c>
      <c r="AH22" s="579">
        <f>report_47_flagged!AV15</f>
        <v>1</v>
      </c>
      <c r="AI22" s="588">
        <f>(report_47_flagged!T15/100)*report_47_flagged!H15</f>
        <v>0.30219453254829171</v>
      </c>
      <c r="AJ22" s="588">
        <f t="shared" si="5"/>
        <v>1.4808642155622376E-2</v>
      </c>
      <c r="AK22" s="579">
        <f>report_47_flagged!AX15</f>
        <v>1</v>
      </c>
    </row>
    <row r="23" spans="1:37" s="589" customFormat="1" x14ac:dyDescent="0.25">
      <c r="A23" s="580">
        <f>report!A16</f>
        <v>2016</v>
      </c>
      <c r="B23" s="580">
        <v>47</v>
      </c>
      <c r="C23" s="580">
        <v>1000</v>
      </c>
      <c r="D23" s="579">
        <f>report!AF16</f>
        <v>983.3</v>
      </c>
      <c r="E23" s="579" t="str">
        <f>report!D16</f>
        <v>McLane-PARFLUX-Mark78H-21 ; 12419-01, S250x21</v>
      </c>
      <c r="F23" s="579"/>
      <c r="G23" s="581"/>
      <c r="H23" s="582">
        <f>report!C16</f>
        <v>11</v>
      </c>
      <c r="I23" s="582">
        <f>report_47_flagged!F16</f>
        <v>1</v>
      </c>
      <c r="J23" s="578">
        <f>report_47_flagged!AC16</f>
        <v>42623</v>
      </c>
      <c r="K23" s="578">
        <f>report_47_flagged!AD16</f>
        <v>42640</v>
      </c>
      <c r="L23" s="578">
        <f>report_47_flagged!AE16</f>
        <v>42631.5</v>
      </c>
      <c r="M23" s="579">
        <f>report!Y16</f>
        <v>17</v>
      </c>
      <c r="N23" s="583">
        <f>report_47_flagged!H16</f>
        <v>17.334453781512604</v>
      </c>
      <c r="O23" s="584">
        <f t="shared" si="6"/>
        <v>1.0400672268907561E-2</v>
      </c>
      <c r="P23" s="585">
        <f>report_47_flagged!J16</f>
        <v>1</v>
      </c>
      <c r="Q23" s="586">
        <f>report_47!AO16</f>
        <v>38.200000000000003</v>
      </c>
      <c r="R23" s="587">
        <f t="shared" si="0"/>
        <v>0.84040000000000004</v>
      </c>
      <c r="S23" s="585">
        <f>report_47_flagged!BB16</f>
        <v>1</v>
      </c>
      <c r="T23" s="586">
        <f>report_47!AP16</f>
        <v>8.6</v>
      </c>
      <c r="U23" s="587">
        <f t="shared" si="1"/>
        <v>0.24940000000000001</v>
      </c>
      <c r="V23" s="585">
        <f>report_47_flagged!BD16</f>
        <v>1</v>
      </c>
      <c r="W23" s="588">
        <f>(report_47_flagged!N16/100)*report_47_flagged!H16</f>
        <v>2.9725205244817654</v>
      </c>
      <c r="X23" s="588">
        <f t="shared" si="2"/>
        <v>6.2448404563846677E-2</v>
      </c>
      <c r="Y23" s="579">
        <f>report_47_flagged!AP16</f>
        <v>1</v>
      </c>
      <c r="Z23" s="588">
        <f>(report_47_flagged!P16/100)*report_47_flagged!H16</f>
        <v>0.26313200880499443</v>
      </c>
      <c r="AA23" s="588">
        <f t="shared" si="7"/>
        <v>1.0000262671692888E-2</v>
      </c>
      <c r="AB23" s="579">
        <f>report_47_flagged!AR16</f>
        <v>1</v>
      </c>
      <c r="AC23" s="588">
        <f>(report_47_flagged!R16/100)*report_47_flagged!H16</f>
        <v>1.7346658976053997</v>
      </c>
      <c r="AD23" s="588">
        <f t="shared" si="3"/>
        <v>4.858179527673457E-2</v>
      </c>
      <c r="AE23" s="579">
        <f>report_47_flagged!AT16</f>
        <v>1</v>
      </c>
      <c r="AF23" s="588">
        <f>(report_47_flagged!L16/100)*report_47_flagged!H16</f>
        <v>1.2378546268763653</v>
      </c>
      <c r="AG23" s="588">
        <f t="shared" si="4"/>
        <v>2.3530962032301629E-2</v>
      </c>
      <c r="AH23" s="579">
        <f>report_47_flagged!AV16</f>
        <v>1</v>
      </c>
      <c r="AI23" s="588">
        <f>(report_47_flagged!T16/100)*report_47_flagged!H16</f>
        <v>0.72771801840328998</v>
      </c>
      <c r="AJ23" s="588">
        <f t="shared" si="5"/>
        <v>3.5660856051427124E-2</v>
      </c>
      <c r="AK23" s="579">
        <f>report_47_flagged!AX16</f>
        <v>1</v>
      </c>
    </row>
    <row r="24" spans="1:37" s="567" customFormat="1" x14ac:dyDescent="0.25">
      <c r="A24" s="556">
        <f>report!A17</f>
        <v>2016</v>
      </c>
      <c r="B24" s="556">
        <v>47</v>
      </c>
      <c r="C24" s="556">
        <v>1000</v>
      </c>
      <c r="D24" s="557">
        <f>report!AF17</f>
        <v>983.3</v>
      </c>
      <c r="E24" s="557" t="str">
        <f>report!D17</f>
        <v>McLane-PARFLUX-Mark78H-21 ; 12419-01, S250x21</v>
      </c>
      <c r="F24" s="557"/>
      <c r="G24" s="558"/>
      <c r="H24" s="559">
        <f>report!C17</f>
        <v>12</v>
      </c>
      <c r="I24" s="559">
        <f>report_47_flagged!F17</f>
        <v>1</v>
      </c>
      <c r="J24" s="577">
        <f>report_47_flagged!AC17</f>
        <v>42640</v>
      </c>
      <c r="K24" s="577">
        <f>report_47_flagged!AD17</f>
        <v>42657</v>
      </c>
      <c r="L24" s="577">
        <f>report_47_flagged!AE17</f>
        <v>42648.5</v>
      </c>
      <c r="M24" s="557">
        <f>report!Y17</f>
        <v>17</v>
      </c>
      <c r="N24" s="560">
        <f>report_47_flagged!H17</f>
        <v>2.0991596638655476</v>
      </c>
      <c r="O24" s="561">
        <f t="shared" si="6"/>
        <v>1.2594957983193284E-3</v>
      </c>
      <c r="P24" s="562">
        <f>report_47_flagged!J17</f>
        <v>2</v>
      </c>
      <c r="Q24" s="563">
        <f>report_47!AO17</f>
        <v>38.299999999999997</v>
      </c>
      <c r="R24" s="564">
        <f t="shared" si="0"/>
        <v>0.8425999999999999</v>
      </c>
      <c r="S24" s="562">
        <f>report_47_flagged!BB17</f>
        <v>1</v>
      </c>
      <c r="T24" s="563">
        <f>report_47!AP17</f>
        <v>8.65</v>
      </c>
      <c r="U24" s="564">
        <f t="shared" si="1"/>
        <v>0.25085000000000002</v>
      </c>
      <c r="V24" s="562">
        <f>report_47_flagged!BD17</f>
        <v>1</v>
      </c>
      <c r="W24" s="565">
        <f>(report_47_flagged!N17/100)*report_47_flagged!H17</f>
        <v>0.33388825511130987</v>
      </c>
      <c r="X24" s="565">
        <f t="shared" si="2"/>
        <v>7.0145146728442156E-3</v>
      </c>
      <c r="Y24" s="557">
        <f>report_47_flagged!AP17</f>
        <v>2</v>
      </c>
      <c r="Z24" s="565">
        <f>(report_47_flagged!P17/100)*report_47_flagged!H17</f>
        <v>2.7073743683951258E-2</v>
      </c>
      <c r="AA24" s="565">
        <f t="shared" si="7"/>
        <v>1.028930496047123E-3</v>
      </c>
      <c r="AB24" s="557">
        <f>report_47_flagged!AR17</f>
        <v>2</v>
      </c>
      <c r="AC24" s="565">
        <f>(report_47_flagged!R17/100)*report_47_flagged!H17</f>
        <v>0.17133768320572368</v>
      </c>
      <c r="AD24" s="565">
        <f t="shared" si="3"/>
        <v>4.7985564598814652E-3</v>
      </c>
      <c r="AE24" s="557">
        <f>report_47_flagged!AT17</f>
        <v>2</v>
      </c>
      <c r="AF24" s="565">
        <f>(report_47_flagged!L17/100)*report_47_flagged!H17</f>
        <v>0.16255057190558622</v>
      </c>
      <c r="AG24" s="565">
        <f t="shared" si="4"/>
        <v>3.0900004352621747E-3</v>
      </c>
      <c r="AH24" s="557">
        <f>report_47_flagged!AV17</f>
        <v>2</v>
      </c>
      <c r="AI24" s="565">
        <f>(report_47_flagged!T17/100)*report_47_flagged!H17</f>
        <v>8.8316257049452437E-2</v>
      </c>
      <c r="AJ24" s="565">
        <f t="shared" si="5"/>
        <v>4.3278210103298454E-3</v>
      </c>
      <c r="AK24" s="557">
        <f>report_47_flagged!AX17</f>
        <v>2</v>
      </c>
    </row>
    <row r="25" spans="1:37" s="567" customFormat="1" x14ac:dyDescent="0.25">
      <c r="A25" s="556">
        <f>report!A18</f>
        <v>2016</v>
      </c>
      <c r="B25" s="556">
        <v>47</v>
      </c>
      <c r="C25" s="556">
        <v>1000</v>
      </c>
      <c r="D25" s="557">
        <f>report!AF18</f>
        <v>983.3</v>
      </c>
      <c r="E25" s="557" t="str">
        <f>report!D18</f>
        <v>McLane-PARFLUX-Mark78H-21 ; 12419-01, S250x21</v>
      </c>
      <c r="F25" s="557"/>
      <c r="G25" s="558"/>
      <c r="H25" s="559">
        <f>report!C18</f>
        <v>13</v>
      </c>
      <c r="I25" s="559">
        <f>report_47_flagged!F18</f>
        <v>1</v>
      </c>
      <c r="J25" s="577">
        <f>report_47_flagged!AC18</f>
        <v>42657</v>
      </c>
      <c r="K25" s="577">
        <f>report_47_flagged!AD18</f>
        <v>42674</v>
      </c>
      <c r="L25" s="577">
        <f>report_47_flagged!AE18</f>
        <v>42665.5</v>
      </c>
      <c r="M25" s="557">
        <f>report!Y18</f>
        <v>17</v>
      </c>
      <c r="N25" s="560">
        <f>report_47_flagged!H18</f>
        <v>1.6941176470588231</v>
      </c>
      <c r="O25" s="561">
        <f t="shared" si="6"/>
        <v>1.0164705882352938E-3</v>
      </c>
      <c r="P25" s="562">
        <f>report_47_flagged!J18</f>
        <v>2</v>
      </c>
      <c r="Q25" s="563">
        <f>report_47!AO18</f>
        <v>38.24</v>
      </c>
      <c r="R25" s="564">
        <f t="shared" si="0"/>
        <v>0.84128000000000003</v>
      </c>
      <c r="S25" s="562">
        <f>report_47_flagged!BB18</f>
        <v>1</v>
      </c>
      <c r="T25" s="563">
        <f>report_47!AP18</f>
        <v>8.6</v>
      </c>
      <c r="U25" s="564">
        <f t="shared" si="1"/>
        <v>0.24940000000000001</v>
      </c>
      <c r="V25" s="562">
        <f>report_47_flagged!BD18</f>
        <v>1</v>
      </c>
      <c r="W25" s="565">
        <f>(report_47_flagged!N18/100)*report_47_flagged!H18</f>
        <v>0.28660628733915433</v>
      </c>
      <c r="X25" s="565">
        <f t="shared" si="2"/>
        <v>6.0211881582947135E-3</v>
      </c>
      <c r="Y25" s="557">
        <f>report_47_flagged!AP18</f>
        <v>3</v>
      </c>
      <c r="Z25" s="565">
        <f>(report_47_flagged!P18/100)*report_47_flagged!H18</f>
        <v>2.6495208515840411E-2</v>
      </c>
      <c r="AA25" s="565">
        <f t="shared" si="7"/>
        <v>1.0069434193999483E-3</v>
      </c>
      <c r="AB25" s="557">
        <f>report_47_flagged!AR18</f>
        <v>3</v>
      </c>
      <c r="AC25" s="568" t="s">
        <v>900</v>
      </c>
      <c r="AD25" s="568" t="s">
        <v>900</v>
      </c>
      <c r="AE25" s="557">
        <f>report_47_flagged!AT18</f>
        <v>9</v>
      </c>
      <c r="AF25" s="568" t="s">
        <v>900</v>
      </c>
      <c r="AG25" s="568" t="s">
        <v>900</v>
      </c>
      <c r="AH25" s="557">
        <f>report_47_flagged!AV18</f>
        <v>9</v>
      </c>
      <c r="AI25" s="565">
        <f>(report_47_flagged!T18/100)*report_47_flagged!H18</f>
        <v>6.5896231067277183E-2</v>
      </c>
      <c r="AJ25" s="565">
        <f t="shared" si="5"/>
        <v>3.2291573810110954E-3</v>
      </c>
      <c r="AK25" s="557">
        <f>report_47_flagged!AX18</f>
        <v>2</v>
      </c>
    </row>
    <row r="26" spans="1:37" s="567" customFormat="1" x14ac:dyDescent="0.25">
      <c r="A26" s="556">
        <f>report!A19</f>
        <v>2016</v>
      </c>
      <c r="B26" s="556">
        <v>47</v>
      </c>
      <c r="C26" s="556">
        <v>1000</v>
      </c>
      <c r="D26" s="557">
        <f>report!AF19</f>
        <v>983.3</v>
      </c>
      <c r="E26" s="557" t="str">
        <f>report!D19</f>
        <v>McLane-PARFLUX-Mark78H-21 ; 12419-01, S250x21</v>
      </c>
      <c r="F26" s="557"/>
      <c r="G26" s="558"/>
      <c r="H26" s="559">
        <f>report!C19</f>
        <v>14</v>
      </c>
      <c r="I26" s="559">
        <f>report_47_flagged!F19</f>
        <v>1</v>
      </c>
      <c r="J26" s="577">
        <f>report_47_flagged!AC19</f>
        <v>42674</v>
      </c>
      <c r="K26" s="577">
        <f>report_47_flagged!AD19</f>
        <v>42691</v>
      </c>
      <c r="L26" s="577">
        <f>report_47_flagged!AE19</f>
        <v>42682.5</v>
      </c>
      <c r="M26" s="557">
        <f>report!Y19</f>
        <v>17</v>
      </c>
      <c r="N26" s="560">
        <f>report_47_flagged!H19</f>
        <v>3.6336134453781508</v>
      </c>
      <c r="O26" s="561">
        <f t="shared" si="6"/>
        <v>2.1801680672268904E-3</v>
      </c>
      <c r="P26" s="562">
        <f>report_47_flagged!J19</f>
        <v>1</v>
      </c>
      <c r="Q26" s="563">
        <f>report_47!AO19</f>
        <v>38.33</v>
      </c>
      <c r="R26" s="564">
        <f t="shared" si="0"/>
        <v>0.8432599999999999</v>
      </c>
      <c r="S26" s="562">
        <f>report_47_flagged!BB19</f>
        <v>1</v>
      </c>
      <c r="T26" s="563">
        <f>report_47!AP19</f>
        <v>8.4700000000000006</v>
      </c>
      <c r="U26" s="564">
        <f t="shared" si="1"/>
        <v>0.24563000000000004</v>
      </c>
      <c r="V26" s="562">
        <f>report_47_flagged!BD19</f>
        <v>1</v>
      </c>
      <c r="W26" s="565">
        <f>(report_47_flagged!N19/100)*report_47_flagged!H19</f>
        <v>0.37951999763681105</v>
      </c>
      <c r="X26" s="565">
        <f t="shared" si="2"/>
        <v>7.9731723153116611E-3</v>
      </c>
      <c r="Y26" s="557">
        <f>report_47_flagged!AP19</f>
        <v>3</v>
      </c>
      <c r="Z26" s="565">
        <f>(report_47_flagged!P19/100)*report_47_flagged!H19</f>
        <v>2.8929701047785139E-2</v>
      </c>
      <c r="AA26" s="565">
        <f t="shared" si="7"/>
        <v>1.0994656667019263E-3</v>
      </c>
      <c r="AB26" s="557">
        <f>report_47_flagged!AR19</f>
        <v>1</v>
      </c>
      <c r="AC26" s="565">
        <f>(report_47_flagged!R19/100)*report_47_flagged!H19</f>
        <v>0.20822230043279585</v>
      </c>
      <c r="AD26" s="565">
        <f t="shared" si="3"/>
        <v>5.8315628304223136E-3</v>
      </c>
      <c r="AE26" s="557">
        <f>report_47_flagged!AT19</f>
        <v>3</v>
      </c>
      <c r="AF26" s="565">
        <f>(report_47_flagged!L19/100)*report_47_flagged!H19</f>
        <v>0.17129769720401516</v>
      </c>
      <c r="AG26" s="565">
        <f t="shared" si="4"/>
        <v>3.2562786627859581E-3</v>
      </c>
      <c r="AH26" s="557">
        <f>report_47_flagged!AV19</f>
        <v>3</v>
      </c>
      <c r="AI26" s="565">
        <f>(report_47_flagged!T19/100)*report_47_flagged!H19</f>
        <v>9.262266367983657E-2</v>
      </c>
      <c r="AJ26" s="565">
        <f t="shared" si="5"/>
        <v>4.5388507540786585E-3</v>
      </c>
      <c r="AK26" s="557">
        <f>report_47_flagged!AX19</f>
        <v>1</v>
      </c>
    </row>
    <row r="27" spans="1:37" s="567" customFormat="1" x14ac:dyDescent="0.25">
      <c r="A27" s="556">
        <f>report!A20</f>
        <v>2016</v>
      </c>
      <c r="B27" s="556">
        <v>47</v>
      </c>
      <c r="C27" s="556">
        <v>1000</v>
      </c>
      <c r="D27" s="557">
        <f>report!AF20</f>
        <v>983.3</v>
      </c>
      <c r="E27" s="557" t="str">
        <f>report!D20</f>
        <v>McLane-PARFLUX-Mark78H-21 ; 12419-01, S250x21</v>
      </c>
      <c r="F27" s="557"/>
      <c r="G27" s="558"/>
      <c r="H27" s="559">
        <f>report!C20</f>
        <v>15</v>
      </c>
      <c r="I27" s="559">
        <f>report_47_flagged!F20</f>
        <v>1</v>
      </c>
      <c r="J27" s="577">
        <f>report_47_flagged!AC20</f>
        <v>42691</v>
      </c>
      <c r="K27" s="577">
        <f>report_47_flagged!AD20</f>
        <v>42708</v>
      </c>
      <c r="L27" s="577">
        <f>report_47_flagged!AE20</f>
        <v>42699.5</v>
      </c>
      <c r="M27" s="557">
        <f>report!Y20</f>
        <v>17</v>
      </c>
      <c r="N27" s="560">
        <f>report_47_flagged!H20</f>
        <v>1.6084033613445379</v>
      </c>
      <c r="O27" s="561">
        <f t="shared" si="6"/>
        <v>9.6504201680672262E-4</v>
      </c>
      <c r="P27" s="562">
        <f>report_47_flagged!J20</f>
        <v>2</v>
      </c>
      <c r="Q27" s="563">
        <f>report_47!AO20</f>
        <v>38.090000000000003</v>
      </c>
      <c r="R27" s="564">
        <f t="shared" si="0"/>
        <v>0.83798000000000006</v>
      </c>
      <c r="S27" s="562">
        <f>report_47_flagged!BB20</f>
        <v>1</v>
      </c>
      <c r="T27" s="563">
        <f>report_47!AP20</f>
        <v>8.5399999999999991</v>
      </c>
      <c r="U27" s="564">
        <f t="shared" si="1"/>
        <v>0.24765999999999999</v>
      </c>
      <c r="V27" s="562">
        <f>report_47_flagged!BD20</f>
        <v>1</v>
      </c>
      <c r="W27" s="565">
        <f>(report_47_flagged!N20/100)*report_47_flagged!H20</f>
        <v>0.2351628041147184</v>
      </c>
      <c r="X27" s="565">
        <f t="shared" si="2"/>
        <v>4.9404341563915244E-3</v>
      </c>
      <c r="Y27" s="557">
        <f>report_47_flagged!AP20</f>
        <v>2</v>
      </c>
      <c r="Z27" s="565">
        <f>(report_47_flagged!P20/100)*report_47_flagged!H20</f>
        <v>1.7909531148541876E-2</v>
      </c>
      <c r="AA27" s="565">
        <f t="shared" si="7"/>
        <v>6.8064701297900377E-4</v>
      </c>
      <c r="AB27" s="557">
        <f>report_47_flagged!AR20</f>
        <v>2</v>
      </c>
      <c r="AC27" s="568" t="s">
        <v>900</v>
      </c>
      <c r="AD27" s="568" t="s">
        <v>900</v>
      </c>
      <c r="AE27" s="557">
        <f>report_47_flagged!AT20</f>
        <v>9</v>
      </c>
      <c r="AF27" s="568" t="s">
        <v>900</v>
      </c>
      <c r="AG27" s="568" t="s">
        <v>900</v>
      </c>
      <c r="AH27" s="557">
        <f>report_47_flagged!AV20</f>
        <v>9</v>
      </c>
      <c r="AI27" s="565">
        <f>(report_47_flagged!T20/100)*report_47_flagged!H20</f>
        <v>5.5791745549436354E-2</v>
      </c>
      <c r="AJ27" s="565">
        <f t="shared" si="5"/>
        <v>2.734000473509926E-3</v>
      </c>
      <c r="AK27" s="557">
        <f>report_47_flagged!AX20</f>
        <v>2</v>
      </c>
    </row>
    <row r="28" spans="1:37" s="567" customFormat="1" x14ac:dyDescent="0.25">
      <c r="A28" s="556">
        <f>report!A21</f>
        <v>2016</v>
      </c>
      <c r="B28" s="556">
        <v>47</v>
      </c>
      <c r="C28" s="556">
        <v>1000</v>
      </c>
      <c r="D28" s="557">
        <f>report!AF21</f>
        <v>983.3</v>
      </c>
      <c r="E28" s="557" t="str">
        <f>report!D21</f>
        <v>McLane-PARFLUX-Mark78H-21 ; 12419-01, S250x21</v>
      </c>
      <c r="F28" s="557"/>
      <c r="G28" s="558"/>
      <c r="H28" s="559">
        <f>report!C21</f>
        <v>16</v>
      </c>
      <c r="I28" s="559">
        <f>report_47_flagged!F21</f>
        <v>1</v>
      </c>
      <c r="J28" s="577">
        <f>report_47_flagged!AC21</f>
        <v>42708</v>
      </c>
      <c r="K28" s="577">
        <f>report_47_flagged!AD21</f>
        <v>42725</v>
      </c>
      <c r="L28" s="577">
        <f>report_47_flagged!AE21</f>
        <v>42716.5</v>
      </c>
      <c r="M28" s="557">
        <f>report!Y21</f>
        <v>17</v>
      </c>
      <c r="N28" s="560">
        <f>report_47_flagged!H21</f>
        <v>0.84537815126050442</v>
      </c>
      <c r="O28" s="561">
        <f t="shared" si="6"/>
        <v>5.0722689075630265E-4</v>
      </c>
      <c r="P28" s="562">
        <f>report_47_flagged!J21</f>
        <v>2</v>
      </c>
      <c r="Q28" s="563">
        <f>report_47!AO21</f>
        <v>38.130000000000003</v>
      </c>
      <c r="R28" s="564">
        <f t="shared" si="0"/>
        <v>0.83886000000000005</v>
      </c>
      <c r="S28" s="562">
        <f>report_47_flagged!BB21</f>
        <v>1</v>
      </c>
      <c r="T28" s="563">
        <f>report_47!AP21</f>
        <v>8.57</v>
      </c>
      <c r="U28" s="564">
        <f t="shared" si="1"/>
        <v>0.24853000000000003</v>
      </c>
      <c r="V28" s="562">
        <f>report_47_flagged!BD21</f>
        <v>1</v>
      </c>
      <c r="W28" s="568" t="s">
        <v>900</v>
      </c>
      <c r="X28" s="568" t="s">
        <v>900</v>
      </c>
      <c r="Y28" s="557">
        <f>report_47_flagged!AP21</f>
        <v>9</v>
      </c>
      <c r="Z28" s="568" t="s">
        <v>900</v>
      </c>
      <c r="AA28" s="568" t="s">
        <v>900</v>
      </c>
      <c r="AB28" s="557">
        <f>report_47_flagged!AR21</f>
        <v>9</v>
      </c>
      <c r="AC28" s="568" t="s">
        <v>900</v>
      </c>
      <c r="AD28" s="568" t="s">
        <v>900</v>
      </c>
      <c r="AE28" s="557">
        <f>report_47_flagged!AT21</f>
        <v>9</v>
      </c>
      <c r="AF28" s="568" t="s">
        <v>900</v>
      </c>
      <c r="AG28" s="568" t="s">
        <v>900</v>
      </c>
      <c r="AH28" s="557">
        <f>report_47_flagged!AV21</f>
        <v>9</v>
      </c>
      <c r="AI28" s="568" t="s">
        <v>900</v>
      </c>
      <c r="AJ28" s="568" t="s">
        <v>900</v>
      </c>
      <c r="AK28" s="557">
        <f>report_47_flagged!AX21</f>
        <v>9</v>
      </c>
    </row>
    <row r="29" spans="1:37" s="567" customFormat="1" x14ac:dyDescent="0.25">
      <c r="A29" s="556">
        <f>report!A22</f>
        <v>2016</v>
      </c>
      <c r="B29" s="556">
        <v>47</v>
      </c>
      <c r="C29" s="556">
        <v>1000</v>
      </c>
      <c r="D29" s="557">
        <f>report!AF22</f>
        <v>983.3</v>
      </c>
      <c r="E29" s="557" t="str">
        <f>report!D22</f>
        <v>McLane-PARFLUX-Mark78H-21 ; 12419-01, S250x21</v>
      </c>
      <c r="F29" s="557"/>
      <c r="G29" s="558"/>
      <c r="H29" s="559">
        <f>report!C22</f>
        <v>17</v>
      </c>
      <c r="I29" s="559">
        <f>report_47_flagged!F22</f>
        <v>1</v>
      </c>
      <c r="J29" s="577">
        <f>report_47_flagged!AC22</f>
        <v>42725</v>
      </c>
      <c r="K29" s="577">
        <f>report_47_flagged!AD22</f>
        <v>42742</v>
      </c>
      <c r="L29" s="577">
        <f>report_47_flagged!AE22</f>
        <v>42733.5</v>
      </c>
      <c r="M29" s="557">
        <f>report!Y22</f>
        <v>17</v>
      </c>
      <c r="N29" s="560">
        <f>report_47_flagged!H22</f>
        <v>0.63361344537815179</v>
      </c>
      <c r="O29" s="561">
        <f t="shared" si="6"/>
        <v>3.8016806722689106E-4</v>
      </c>
      <c r="P29" s="562">
        <f>report_47_flagged!J22</f>
        <v>2</v>
      </c>
      <c r="Q29" s="563">
        <f>report_47!AO22</f>
        <v>38.270000000000003</v>
      </c>
      <c r="R29" s="564">
        <f t="shared" si="0"/>
        <v>0.84194000000000002</v>
      </c>
      <c r="S29" s="562">
        <f>report_47_flagged!BB22</f>
        <v>1</v>
      </c>
      <c r="T29" s="563">
        <f>report_47!AP22</f>
        <v>8.6300000000000008</v>
      </c>
      <c r="U29" s="564">
        <f t="shared" si="1"/>
        <v>0.25027000000000005</v>
      </c>
      <c r="V29" s="562">
        <f>report_47_flagged!BD22</f>
        <v>1</v>
      </c>
      <c r="W29" s="568" t="s">
        <v>900</v>
      </c>
      <c r="X29" s="568" t="s">
        <v>900</v>
      </c>
      <c r="Y29" s="557">
        <f>report_47_flagged!AP22</f>
        <v>9</v>
      </c>
      <c r="Z29" s="568" t="s">
        <v>900</v>
      </c>
      <c r="AA29" s="568" t="s">
        <v>900</v>
      </c>
      <c r="AB29" s="557">
        <f>report_47_flagged!AR22</f>
        <v>9</v>
      </c>
      <c r="AC29" s="568" t="s">
        <v>900</v>
      </c>
      <c r="AD29" s="568" t="s">
        <v>900</v>
      </c>
      <c r="AE29" s="557">
        <f>report_47_flagged!AT22</f>
        <v>9</v>
      </c>
      <c r="AF29" s="568" t="s">
        <v>900</v>
      </c>
      <c r="AG29" s="568" t="s">
        <v>900</v>
      </c>
      <c r="AH29" s="557">
        <f>report_47_flagged!AV22</f>
        <v>9</v>
      </c>
      <c r="AI29" s="568" t="s">
        <v>900</v>
      </c>
      <c r="AJ29" s="568" t="s">
        <v>900</v>
      </c>
      <c r="AK29" s="557">
        <f>report_47_flagged!AX22</f>
        <v>9</v>
      </c>
    </row>
    <row r="30" spans="1:37" s="567" customFormat="1" x14ac:dyDescent="0.25">
      <c r="A30" s="556">
        <f>report!A23</f>
        <v>2016</v>
      </c>
      <c r="B30" s="556">
        <v>47</v>
      </c>
      <c r="C30" s="556">
        <v>1000</v>
      </c>
      <c r="D30" s="557">
        <f>report!AF23</f>
        <v>983.3</v>
      </c>
      <c r="E30" s="557" t="str">
        <f>report!D23</f>
        <v>McLane-PARFLUX-Mark78H-21 ; 12419-01, S250x21</v>
      </c>
      <c r="F30" s="557"/>
      <c r="G30" s="558"/>
      <c r="H30" s="559">
        <f>report!C23</f>
        <v>18</v>
      </c>
      <c r="I30" s="559">
        <f>report_47_flagged!F23</f>
        <v>1</v>
      </c>
      <c r="J30" s="577">
        <f>report_47_flagged!AC23</f>
        <v>42742</v>
      </c>
      <c r="K30" s="577">
        <f>report_47_flagged!AD23</f>
        <v>42759</v>
      </c>
      <c r="L30" s="577">
        <f>report_47_flagged!AE23</f>
        <v>42750.5</v>
      </c>
      <c r="M30" s="557">
        <f>report!Y23</f>
        <v>17</v>
      </c>
      <c r="N30" s="560">
        <f>report_47_flagged!H23</f>
        <v>0.34453781512605114</v>
      </c>
      <c r="O30" s="561">
        <f t="shared" si="6"/>
        <v>2.0672268907563065E-4</v>
      </c>
      <c r="P30" s="562">
        <f>report_47_flagged!J23</f>
        <v>2</v>
      </c>
      <c r="Q30" s="563">
        <f>report_47!AO23</f>
        <v>38.18</v>
      </c>
      <c r="R30" s="564">
        <f t="shared" si="0"/>
        <v>0.83995999999999993</v>
      </c>
      <c r="S30" s="562">
        <f>report_47_flagged!BB23</f>
        <v>1</v>
      </c>
      <c r="T30" s="563">
        <f>report_47!AP23</f>
        <v>8.66</v>
      </c>
      <c r="U30" s="564">
        <f t="shared" si="1"/>
        <v>0.25114000000000003</v>
      </c>
      <c r="V30" s="562">
        <f>report_47_flagged!BD23</f>
        <v>1</v>
      </c>
      <c r="W30" s="568" t="s">
        <v>900</v>
      </c>
      <c r="X30" s="568" t="s">
        <v>900</v>
      </c>
      <c r="Y30" s="557">
        <f>report_47_flagged!AP23</f>
        <v>9</v>
      </c>
      <c r="Z30" s="568" t="s">
        <v>900</v>
      </c>
      <c r="AA30" s="568" t="s">
        <v>900</v>
      </c>
      <c r="AB30" s="557">
        <f>report_47_flagged!AR23</f>
        <v>9</v>
      </c>
      <c r="AC30" s="568" t="s">
        <v>900</v>
      </c>
      <c r="AD30" s="568" t="s">
        <v>900</v>
      </c>
      <c r="AE30" s="557">
        <f>report_47_flagged!AT23</f>
        <v>9</v>
      </c>
      <c r="AF30" s="568" t="s">
        <v>900</v>
      </c>
      <c r="AG30" s="568" t="s">
        <v>900</v>
      </c>
      <c r="AH30" s="557">
        <f>report_47_flagged!AV23</f>
        <v>9</v>
      </c>
      <c r="AI30" s="568" t="s">
        <v>900</v>
      </c>
      <c r="AJ30" s="568" t="s">
        <v>900</v>
      </c>
      <c r="AK30" s="557">
        <f>report_47_flagged!AX23</f>
        <v>9</v>
      </c>
    </row>
    <row r="31" spans="1:37" s="567" customFormat="1" x14ac:dyDescent="0.25">
      <c r="A31" s="556">
        <f>report!A24</f>
        <v>2016</v>
      </c>
      <c r="B31" s="556">
        <v>47</v>
      </c>
      <c r="C31" s="556">
        <v>1000</v>
      </c>
      <c r="D31" s="557">
        <f>report!AF24</f>
        <v>983.3</v>
      </c>
      <c r="E31" s="557" t="str">
        <f>report!D24</f>
        <v>McLane-PARFLUX-Mark78H-21 ; 12419-01, S250x21</v>
      </c>
      <c r="F31" s="557"/>
      <c r="G31" s="558"/>
      <c r="H31" s="559">
        <f>report!C24</f>
        <v>19</v>
      </c>
      <c r="I31" s="559">
        <f>report_47_flagged!F24</f>
        <v>1</v>
      </c>
      <c r="J31" s="577">
        <f>report_47_flagged!AC24</f>
        <v>42759</v>
      </c>
      <c r="K31" s="577">
        <f>report_47_flagged!AD24</f>
        <v>42776</v>
      </c>
      <c r="L31" s="577">
        <f>report_47_flagged!AE24</f>
        <v>42767.5</v>
      </c>
      <c r="M31" s="557">
        <f>report!Y24</f>
        <v>17</v>
      </c>
      <c r="N31" s="560">
        <f>report_47_flagged!H24</f>
        <v>0.45042016806722807</v>
      </c>
      <c r="O31" s="561">
        <f t="shared" si="6"/>
        <v>2.702521008403368E-4</v>
      </c>
      <c r="P31" s="562">
        <f>report_47_flagged!J24</f>
        <v>2</v>
      </c>
      <c r="Q31" s="563">
        <f>report_47!AO24</f>
        <v>37.950000000000003</v>
      </c>
      <c r="R31" s="564">
        <f t="shared" si="0"/>
        <v>0.83489999999999998</v>
      </c>
      <c r="S31" s="562">
        <f>report_47_flagged!BB24</f>
        <v>1</v>
      </c>
      <c r="T31" s="563">
        <f>report_47!AP24</f>
        <v>8.6300000000000008</v>
      </c>
      <c r="U31" s="564">
        <f t="shared" si="1"/>
        <v>0.25027000000000005</v>
      </c>
      <c r="V31" s="562">
        <f>report_47_flagged!BD24</f>
        <v>1</v>
      </c>
      <c r="W31" s="568" t="s">
        <v>900</v>
      </c>
      <c r="X31" s="568" t="s">
        <v>900</v>
      </c>
      <c r="Y31" s="557">
        <f>report_47_flagged!AP24</f>
        <v>9</v>
      </c>
      <c r="Z31" s="568" t="s">
        <v>900</v>
      </c>
      <c r="AA31" s="568" t="s">
        <v>900</v>
      </c>
      <c r="AB31" s="557">
        <f>report_47_flagged!AR24</f>
        <v>9</v>
      </c>
      <c r="AC31" s="568" t="s">
        <v>900</v>
      </c>
      <c r="AD31" s="568" t="s">
        <v>900</v>
      </c>
      <c r="AE31" s="557">
        <f>report_47_flagged!AT24</f>
        <v>9</v>
      </c>
      <c r="AF31" s="568" t="s">
        <v>900</v>
      </c>
      <c r="AG31" s="568" t="s">
        <v>900</v>
      </c>
      <c r="AH31" s="557">
        <f>report_47_flagged!AV24</f>
        <v>9</v>
      </c>
      <c r="AI31" s="568" t="s">
        <v>900</v>
      </c>
      <c r="AJ31" s="568" t="s">
        <v>900</v>
      </c>
      <c r="AK31" s="557">
        <f>report_47_flagged!AX24</f>
        <v>9</v>
      </c>
    </row>
    <row r="32" spans="1:37" s="567" customFormat="1" x14ac:dyDescent="0.25">
      <c r="A32" s="556">
        <f>report!A25</f>
        <v>2016</v>
      </c>
      <c r="B32" s="556">
        <v>47</v>
      </c>
      <c r="C32" s="556">
        <v>1000</v>
      </c>
      <c r="D32" s="557">
        <f>report!AF25</f>
        <v>983.3</v>
      </c>
      <c r="E32" s="557" t="str">
        <f>report!D25</f>
        <v>McLane-PARFLUX-Mark78H-21 ; 12419-01, S250x21</v>
      </c>
      <c r="F32" s="557"/>
      <c r="G32" s="558"/>
      <c r="H32" s="559">
        <f>report!C25</f>
        <v>20</v>
      </c>
      <c r="I32" s="559">
        <f>report_47_flagged!F25</f>
        <v>1</v>
      </c>
      <c r="J32" s="577">
        <f>report_47_flagged!AC25</f>
        <v>42776</v>
      </c>
      <c r="K32" s="577">
        <f>report_47_flagged!AD25</f>
        <v>42793</v>
      </c>
      <c r="L32" s="577">
        <f>report_47_flagged!AE25</f>
        <v>42784.5</v>
      </c>
      <c r="M32" s="557">
        <f>report!Y25</f>
        <v>17</v>
      </c>
      <c r="N32" s="560">
        <f>report_47_flagged!H25</f>
        <v>0.26050420168067179</v>
      </c>
      <c r="O32" s="561">
        <f t="shared" si="6"/>
        <v>1.5630252100840307E-4</v>
      </c>
      <c r="P32" s="562">
        <f>report_47_flagged!J25</f>
        <v>2</v>
      </c>
      <c r="Q32" s="563">
        <f>report_47!AO25</f>
        <v>38.11</v>
      </c>
      <c r="R32" s="564">
        <f t="shared" si="0"/>
        <v>0.83841999999999994</v>
      </c>
      <c r="S32" s="562">
        <f>report_47_flagged!BB25</f>
        <v>1</v>
      </c>
      <c r="T32" s="563">
        <f>report_47!AP25</f>
        <v>8.65</v>
      </c>
      <c r="U32" s="564">
        <f t="shared" si="1"/>
        <v>0.25085000000000002</v>
      </c>
      <c r="V32" s="562">
        <f>report_47_flagged!BD25</f>
        <v>1</v>
      </c>
      <c r="W32" s="568" t="s">
        <v>900</v>
      </c>
      <c r="X32" s="568" t="s">
        <v>900</v>
      </c>
      <c r="Y32" s="557">
        <f>report_47_flagged!AP25</f>
        <v>9</v>
      </c>
      <c r="Z32" s="568" t="s">
        <v>900</v>
      </c>
      <c r="AA32" s="568" t="s">
        <v>900</v>
      </c>
      <c r="AB32" s="557">
        <f>report_47_flagged!AR25</f>
        <v>9</v>
      </c>
      <c r="AC32" s="568" t="s">
        <v>900</v>
      </c>
      <c r="AD32" s="568" t="s">
        <v>900</v>
      </c>
      <c r="AE32" s="557">
        <f>report_47_flagged!AT25</f>
        <v>9</v>
      </c>
      <c r="AF32" s="568" t="s">
        <v>900</v>
      </c>
      <c r="AG32" s="568" t="s">
        <v>900</v>
      </c>
      <c r="AH32" s="557">
        <f>report_47_flagged!AV25</f>
        <v>9</v>
      </c>
      <c r="AI32" s="568" t="s">
        <v>900</v>
      </c>
      <c r="AJ32" s="568" t="s">
        <v>900</v>
      </c>
      <c r="AK32" s="557">
        <f>report_47_flagged!AX25</f>
        <v>9</v>
      </c>
    </row>
    <row r="33" spans="1:37" s="576" customFormat="1" x14ac:dyDescent="0.25">
      <c r="A33" s="569">
        <f>report!A26</f>
        <v>2016</v>
      </c>
      <c r="B33" s="569">
        <v>47</v>
      </c>
      <c r="C33" s="569">
        <v>1000</v>
      </c>
      <c r="D33" s="570">
        <f>report!AF26</f>
        <v>983.3</v>
      </c>
      <c r="E33" s="570" t="str">
        <f>report!D26</f>
        <v>McLane-PARFLUX-Mark78H-21 ; 12419-01, S250x21</v>
      </c>
      <c r="F33" s="570"/>
      <c r="G33" s="570"/>
      <c r="H33" s="571">
        <f>report!C26</f>
        <v>21</v>
      </c>
      <c r="I33" s="571">
        <f>report_47_flagged!F26</f>
        <v>1</v>
      </c>
      <c r="J33" s="577">
        <f>report_47_flagged!AC26</f>
        <v>42793</v>
      </c>
      <c r="K33" s="577">
        <f>report_47_flagged!AD26</f>
        <v>42810</v>
      </c>
      <c r="L33" s="577">
        <f>report_47_flagged!AE26</f>
        <v>42801.5</v>
      </c>
      <c r="M33" s="570">
        <f>report!Y26</f>
        <v>17</v>
      </c>
      <c r="N33" s="572">
        <f>report_47_flagged!H26</f>
        <v>0.17983193277310927</v>
      </c>
      <c r="O33" s="572">
        <f t="shared" si="6"/>
        <v>1.0789915966386555E-4</v>
      </c>
      <c r="P33" s="573">
        <f>report_47_flagged!J26</f>
        <v>2</v>
      </c>
      <c r="Q33" s="574">
        <f>report_47!AO26</f>
        <v>38.35</v>
      </c>
      <c r="R33" s="574">
        <f t="shared" si="0"/>
        <v>0.84370000000000001</v>
      </c>
      <c r="S33" s="573">
        <f>report_47_flagged!BB26</f>
        <v>1</v>
      </c>
      <c r="T33" s="574">
        <f>report_47!AP26</f>
        <v>8.6199999999999992</v>
      </c>
      <c r="U33" s="574">
        <f t="shared" si="1"/>
        <v>0.24997999999999998</v>
      </c>
      <c r="V33" s="573">
        <f>report_47_flagged!BD26</f>
        <v>1</v>
      </c>
      <c r="W33" s="575" t="s">
        <v>900</v>
      </c>
      <c r="X33" s="575" t="s">
        <v>900</v>
      </c>
      <c r="Y33" s="570">
        <f>report_47_flagged!AP26</f>
        <v>9</v>
      </c>
      <c r="Z33" s="575" t="s">
        <v>900</v>
      </c>
      <c r="AA33" s="575" t="s">
        <v>900</v>
      </c>
      <c r="AB33" s="570">
        <f>report_47_flagged!AR26</f>
        <v>9</v>
      </c>
      <c r="AC33" s="575" t="s">
        <v>900</v>
      </c>
      <c r="AD33" s="575" t="s">
        <v>900</v>
      </c>
      <c r="AE33" s="570">
        <f>report_47_flagged!AT26</f>
        <v>9</v>
      </c>
      <c r="AF33" s="575" t="s">
        <v>900</v>
      </c>
      <c r="AG33" s="575" t="s">
        <v>900</v>
      </c>
      <c r="AH33" s="570">
        <f>report_47_flagged!AV26</f>
        <v>9</v>
      </c>
      <c r="AI33" s="575" t="s">
        <v>900</v>
      </c>
      <c r="AJ33" s="575" t="s">
        <v>900</v>
      </c>
      <c r="AK33" s="570">
        <f>report_47_flagged!AX26</f>
        <v>9</v>
      </c>
    </row>
    <row r="34" spans="1:37" x14ac:dyDescent="0.25">
      <c r="A34" s="17">
        <f>report!A27</f>
        <v>2016</v>
      </c>
      <c r="B34" s="17">
        <v>47</v>
      </c>
      <c r="C34" s="17">
        <v>2000</v>
      </c>
      <c r="D34" s="1">
        <f>report!AF27</f>
        <v>2010.7</v>
      </c>
      <c r="E34" s="1" t="str">
        <f>report!D27</f>
        <v>McLane-PARFLUX-Mark78H-21 ; 12419-02, O250x21</v>
      </c>
      <c r="F34" s="1"/>
      <c r="G34" s="544"/>
      <c r="H34" s="399">
        <f>report!C27</f>
        <v>1</v>
      </c>
      <c r="I34" s="399">
        <f>report_47_flagged!F27</f>
        <v>1</v>
      </c>
      <c r="J34" s="578">
        <f>report_47_flagged!AC27</f>
        <v>42453</v>
      </c>
      <c r="K34" s="578">
        <f>report_47_flagged!AD27</f>
        <v>42470</v>
      </c>
      <c r="L34" s="578">
        <f>report_47_flagged!AE27</f>
        <v>42461.5</v>
      </c>
      <c r="M34" s="579">
        <f>report!Y27</f>
        <v>17</v>
      </c>
      <c r="N34" s="430">
        <f>report_47_flagged!H27</f>
        <v>30.694117647058821</v>
      </c>
      <c r="O34" s="512">
        <f t="shared" si="6"/>
        <v>1.8416470588235291E-2</v>
      </c>
      <c r="P34" s="427">
        <f>report_47_flagged!J27</f>
        <v>1</v>
      </c>
      <c r="Q34" s="504">
        <f>report_47!AO27</f>
        <v>38.04</v>
      </c>
      <c r="R34" s="521">
        <f t="shared" si="0"/>
        <v>0.83687999999999996</v>
      </c>
      <c r="S34" s="427">
        <f>report_47_flagged!BB27</f>
        <v>1</v>
      </c>
      <c r="T34" s="504">
        <f>report_47!AP27</f>
        <v>8.5500000000000007</v>
      </c>
      <c r="U34" s="521">
        <f t="shared" si="1"/>
        <v>0.24795000000000003</v>
      </c>
      <c r="V34" s="427">
        <f>report_47_flagged!BD27</f>
        <v>1</v>
      </c>
      <c r="W34" s="2">
        <f>(report_47_flagged!N27/100)*report_47_flagged!H27</f>
        <v>4.3898970158520871</v>
      </c>
      <c r="X34" s="2">
        <f t="shared" si="2"/>
        <v>9.2225457345613715E-2</v>
      </c>
      <c r="Y34" s="1">
        <f>report_47_flagged!AP27</f>
        <v>1</v>
      </c>
      <c r="Z34" s="2">
        <f>(report_47_flagged!P27/100)*report_47_flagged!H27</f>
        <v>0.29063338236247793</v>
      </c>
      <c r="AA34" s="2">
        <f t="shared" si="7"/>
        <v>1.1045445128423191E-2</v>
      </c>
      <c r="AB34" s="1">
        <f>report_47_flagged!AR27</f>
        <v>1</v>
      </c>
      <c r="AC34" s="2">
        <f>(report_47_flagged!R27/100)*report_47_flagged!H27</f>
        <v>1.9061535478623464</v>
      </c>
      <c r="AD34" s="2">
        <f t="shared" si="3"/>
        <v>5.3384551778013531E-2</v>
      </c>
      <c r="AE34" s="1">
        <f>report_47_flagged!AT27</f>
        <v>1</v>
      </c>
      <c r="AF34" s="2">
        <f>(report_47_flagged!L27/100)*report_47_flagged!H27</f>
        <v>2.4837434679897399</v>
      </c>
      <c r="AG34" s="2">
        <f t="shared" si="4"/>
        <v>4.7214650229748766E-2</v>
      </c>
      <c r="AH34" s="1">
        <f>report_47_flagged!AV27</f>
        <v>1</v>
      </c>
      <c r="AI34" s="2">
        <f>(report_47_flagged!T27/100)*report_47_flagged!H27</f>
        <v>0.49731146021592099</v>
      </c>
      <c r="AJ34" s="2">
        <f t="shared" si="5"/>
        <v>2.4370088340531889E-2</v>
      </c>
      <c r="AK34" s="1">
        <f>report_47_flagged!AX27</f>
        <v>3</v>
      </c>
    </row>
    <row r="35" spans="1:37" x14ac:dyDescent="0.25">
      <c r="A35" s="17">
        <f>report!A28</f>
        <v>2016</v>
      </c>
      <c r="B35" s="17">
        <v>47</v>
      </c>
      <c r="C35" s="17">
        <v>2000</v>
      </c>
      <c r="D35" s="1">
        <f>report!AF28</f>
        <v>2010.7</v>
      </c>
      <c r="E35" s="1" t="str">
        <f>report!D28</f>
        <v>McLane-PARFLUX-Mark78H-21 ; 12419-02, O250x21</v>
      </c>
      <c r="F35" s="1"/>
      <c r="G35" s="544"/>
      <c r="H35" s="399">
        <f>report!C28</f>
        <v>2</v>
      </c>
      <c r="I35" s="399">
        <f>report_47_flagged!F28</f>
        <v>1</v>
      </c>
      <c r="J35" s="578">
        <f>report_47_flagged!AC28</f>
        <v>42470</v>
      </c>
      <c r="K35" s="578">
        <f>report_47_flagged!AD28</f>
        <v>42487</v>
      </c>
      <c r="L35" s="578">
        <f>report_47_flagged!AE28</f>
        <v>42478.5</v>
      </c>
      <c r="M35" s="579">
        <f>report!Y28</f>
        <v>17</v>
      </c>
      <c r="N35" s="430">
        <f>report_47_flagged!H28</f>
        <v>30.739495798319325</v>
      </c>
      <c r="O35" s="512">
        <f t="shared" si="6"/>
        <v>1.8443697478991595E-2</v>
      </c>
      <c r="P35" s="427">
        <f>report_47_flagged!J28</f>
        <v>1</v>
      </c>
      <c r="Q35" s="504">
        <f>report_47!AO28</f>
        <v>37.17</v>
      </c>
      <c r="R35" s="521">
        <f t="shared" si="0"/>
        <v>0.81774000000000002</v>
      </c>
      <c r="S35" s="427">
        <f>report_47_flagged!BB28</f>
        <v>1</v>
      </c>
      <c r="T35" s="504">
        <f>report_47!AP28</f>
        <v>8.51</v>
      </c>
      <c r="U35" s="521">
        <f t="shared" si="1"/>
        <v>0.24679000000000001</v>
      </c>
      <c r="V35" s="427">
        <f>report_47_flagged!BD28</f>
        <v>1</v>
      </c>
      <c r="W35" s="2">
        <f>(report_47_flagged!N28/100)*report_47_flagged!H28</f>
        <v>4.1595485445230942</v>
      </c>
      <c r="X35" s="2">
        <f t="shared" si="2"/>
        <v>8.7386165435013888E-2</v>
      </c>
      <c r="Y35" s="1">
        <f>report_47_flagged!AP28</f>
        <v>1</v>
      </c>
      <c r="Z35" s="2">
        <f>(report_47_flagged!P28/100)*report_47_flagged!H28</f>
        <v>0.22425751933530597</v>
      </c>
      <c r="AA35" s="2">
        <f t="shared" si="7"/>
        <v>8.5228479410017696E-3</v>
      </c>
      <c r="AB35" s="1">
        <f>report_47_flagged!AR28</f>
        <v>1</v>
      </c>
      <c r="AC35" s="2">
        <f>(report_47_flagged!R28/100)*report_47_flagged!H28</f>
        <v>1.4103751039911476</v>
      </c>
      <c r="AD35" s="2">
        <f t="shared" si="3"/>
        <v>3.9499568568268299E-2</v>
      </c>
      <c r="AE35" s="1">
        <f>report_47_flagged!AT28</f>
        <v>1</v>
      </c>
      <c r="AF35" s="2">
        <f>(report_47_flagged!L28/100)*report_47_flagged!H28</f>
        <v>2.7491734405319468</v>
      </c>
      <c r="AG35" s="2">
        <f t="shared" si="4"/>
        <v>5.226033368119444E-2</v>
      </c>
      <c r="AH35" s="1">
        <f>report_47_flagged!AV28</f>
        <v>1</v>
      </c>
      <c r="AI35" s="2">
        <f>(report_47_flagged!T28/100)*report_47_flagged!H28</f>
        <v>1.2405087274789341</v>
      </c>
      <c r="AJ35" s="2">
        <f t="shared" si="5"/>
        <v>6.0789484446500987E-2</v>
      </c>
      <c r="AK35" s="1">
        <f>report_47_flagged!AX28</f>
        <v>1</v>
      </c>
    </row>
    <row r="36" spans="1:37" x14ac:dyDescent="0.25">
      <c r="A36" s="17">
        <f>report!A29</f>
        <v>2016</v>
      </c>
      <c r="B36" s="17">
        <v>47</v>
      </c>
      <c r="C36" s="17">
        <v>2000</v>
      </c>
      <c r="D36" s="1">
        <f>report!AF29</f>
        <v>2010.7</v>
      </c>
      <c r="E36" s="1" t="str">
        <f>report!D29</f>
        <v>McLane-PARFLUX-Mark78H-21 ; 12419-02, O250x21</v>
      </c>
      <c r="F36" s="1"/>
      <c r="G36" s="544"/>
      <c r="H36" s="399">
        <f>report!C29</f>
        <v>3</v>
      </c>
      <c r="I36" s="399">
        <f>report_47_flagged!F29</f>
        <v>1</v>
      </c>
      <c r="J36" s="578">
        <f>report_47_flagged!AC29</f>
        <v>42487</v>
      </c>
      <c r="K36" s="578">
        <f>report_47_flagged!AD29</f>
        <v>42504</v>
      </c>
      <c r="L36" s="578">
        <f>report_47_flagged!AE29</f>
        <v>42495.5</v>
      </c>
      <c r="M36" s="579">
        <f>report!Y29</f>
        <v>17</v>
      </c>
      <c r="N36" s="430">
        <f>report_47_flagged!H29</f>
        <v>38.583193277310926</v>
      </c>
      <c r="O36" s="512">
        <f t="shared" si="6"/>
        <v>2.3149915966386554E-2</v>
      </c>
      <c r="P36" s="427">
        <f>report_47_flagged!J29</f>
        <v>1</v>
      </c>
      <c r="Q36" s="504">
        <f>report_47!AO29</f>
        <v>36.270000000000003</v>
      </c>
      <c r="R36" s="521">
        <f t="shared" si="0"/>
        <v>0.79793999999999998</v>
      </c>
      <c r="S36" s="427">
        <f>report_47_flagged!BB29</f>
        <v>1</v>
      </c>
      <c r="T36" s="504">
        <f>report_47!AP29</f>
        <v>8.4499999999999993</v>
      </c>
      <c r="U36" s="521">
        <f t="shared" si="1"/>
        <v>0.24504999999999999</v>
      </c>
      <c r="V36" s="427">
        <f>report_47_flagged!BD29</f>
        <v>1</v>
      </c>
      <c r="W36" s="2">
        <f>(report_47_flagged!N29/100)*report_47_flagged!H29</f>
        <v>5.6855318108887234</v>
      </c>
      <c r="X36" s="2">
        <f t="shared" si="2"/>
        <v>0.11944489121699144</v>
      </c>
      <c r="Y36" s="1">
        <f>report_47_flagged!AP29</f>
        <v>1</v>
      </c>
      <c r="Z36" s="2">
        <f>(report_47_flagged!P29/100)*report_47_flagged!H29</f>
        <v>0.41209875292537596</v>
      </c>
      <c r="AA36" s="2">
        <f t="shared" si="7"/>
        <v>1.5661704536238871E-2</v>
      </c>
      <c r="AB36" s="1">
        <f>report_47_flagged!AR29</f>
        <v>1</v>
      </c>
      <c r="AC36" s="2">
        <f>(report_47_flagged!R29/100)*report_47_flagged!H29</f>
        <v>2.1837170047632632</v>
      </c>
      <c r="AD36" s="2">
        <f t="shared" si="3"/>
        <v>6.1158112702960322E-2</v>
      </c>
      <c r="AE36" s="1">
        <f>report_47_flagged!AT29</f>
        <v>1</v>
      </c>
      <c r="AF36" s="2">
        <f>(report_47_flagged!L29/100)*report_47_flagged!H29</f>
        <v>3.5018148061254601</v>
      </c>
      <c r="AG36" s="2">
        <f t="shared" si="4"/>
        <v>6.6567648137344629E-2</v>
      </c>
      <c r="AH36" s="1">
        <f>report_47_flagged!AV29</f>
        <v>1</v>
      </c>
      <c r="AI36" s="2">
        <f>(report_47_flagged!T29/100)*report_47_flagged!H29</f>
        <v>1.22429189147734</v>
      </c>
      <c r="AJ36" s="2">
        <f t="shared" si="5"/>
        <v>5.9994799912605104E-2</v>
      </c>
      <c r="AK36" s="1">
        <f>report_47_flagged!AX29</f>
        <v>1</v>
      </c>
    </row>
    <row r="37" spans="1:37" x14ac:dyDescent="0.25">
      <c r="A37" s="17">
        <f>report!A30</f>
        <v>2016</v>
      </c>
      <c r="B37" s="17">
        <v>47</v>
      </c>
      <c r="C37" s="17">
        <v>2000</v>
      </c>
      <c r="D37" s="1">
        <f>report!AF30</f>
        <v>2010.7</v>
      </c>
      <c r="E37" s="1" t="str">
        <f>report!D30</f>
        <v>McLane-PARFLUX-Mark78H-21 ; 12419-02, O250x21</v>
      </c>
      <c r="F37" s="1"/>
      <c r="G37" s="544"/>
      <c r="H37" s="399">
        <f>report!C30</f>
        <v>4</v>
      </c>
      <c r="I37" s="399">
        <f>report_47_flagged!F30</f>
        <v>1</v>
      </c>
      <c r="J37" s="578">
        <f>report_47_flagged!AC30</f>
        <v>42504</v>
      </c>
      <c r="K37" s="578">
        <f>report_47_flagged!AD30</f>
        <v>42521</v>
      </c>
      <c r="L37" s="578">
        <f>report_47_flagged!AE30</f>
        <v>42512.5</v>
      </c>
      <c r="M37" s="579">
        <f>report!Y30</f>
        <v>17</v>
      </c>
      <c r="N37" s="430">
        <f>report_47_flagged!H30</f>
        <v>46.351260504201683</v>
      </c>
      <c r="O37" s="512">
        <f t="shared" si="6"/>
        <v>2.7810756302521007E-2</v>
      </c>
      <c r="P37" s="427">
        <f>report_47_flagged!J30</f>
        <v>1</v>
      </c>
      <c r="Q37" s="504">
        <f>report_47!AO30</f>
        <v>37.07</v>
      </c>
      <c r="R37" s="521">
        <f t="shared" si="0"/>
        <v>0.81553999999999993</v>
      </c>
      <c r="S37" s="427">
        <f>report_47_flagged!BB30</f>
        <v>1</v>
      </c>
      <c r="T37" s="504">
        <f>report_47!AP30</f>
        <v>8.5299999999999994</v>
      </c>
      <c r="U37" s="521">
        <f t="shared" si="1"/>
        <v>0.24737000000000001</v>
      </c>
      <c r="V37" s="427">
        <f>report_47_flagged!BD30</f>
        <v>1</v>
      </c>
      <c r="W37" s="2">
        <f>(report_47_flagged!N30/100)*report_47_flagged!H30</f>
        <v>6.0563418882193698</v>
      </c>
      <c r="X37" s="2">
        <f t="shared" si="2"/>
        <v>0.12723508056464367</v>
      </c>
      <c r="Y37" s="1">
        <f>report_47_flagged!AP30</f>
        <v>1</v>
      </c>
      <c r="Z37" s="2">
        <f>(report_47_flagged!P30/100)*report_47_flagged!H30</f>
        <v>0.2758935887743445</v>
      </c>
      <c r="AA37" s="2">
        <f t="shared" si="7"/>
        <v>1.0485263156350354E-2</v>
      </c>
      <c r="AB37" s="1">
        <f>report_47_flagged!AR30</f>
        <v>1</v>
      </c>
      <c r="AC37" s="2">
        <f>(report_47_flagged!R30/100)*report_47_flagged!H30</f>
        <v>1.747875716840237</v>
      </c>
      <c r="AD37" s="2">
        <f t="shared" si="3"/>
        <v>4.8951755125830262E-2</v>
      </c>
      <c r="AE37" s="1">
        <f>report_47_flagged!AT30</f>
        <v>1</v>
      </c>
      <c r="AF37" s="2">
        <f>(report_47_flagged!L30/100)*report_47_flagged!H30</f>
        <v>4.3084661713791315</v>
      </c>
      <c r="AG37" s="2">
        <f t="shared" si="4"/>
        <v>8.1901664133218283E-2</v>
      </c>
      <c r="AH37" s="1">
        <f>report_47_flagged!AV30</f>
        <v>1</v>
      </c>
      <c r="AI37" s="2">
        <f>(report_47_flagged!T30/100)*report_47_flagged!H30</f>
        <v>2.1873471308918302</v>
      </c>
      <c r="AJ37" s="2">
        <f t="shared" si="5"/>
        <v>0.10718804426525526</v>
      </c>
      <c r="AK37" s="1">
        <f>report_47_flagged!AX30</f>
        <v>1</v>
      </c>
    </row>
    <row r="38" spans="1:37" x14ac:dyDescent="0.25">
      <c r="A38" s="17">
        <f>report!A31</f>
        <v>2016</v>
      </c>
      <c r="B38" s="17">
        <v>47</v>
      </c>
      <c r="C38" s="17">
        <v>2000</v>
      </c>
      <c r="D38" s="1">
        <f>report!AF31</f>
        <v>2010.7</v>
      </c>
      <c r="E38" s="1" t="str">
        <f>report!D31</f>
        <v>McLane-PARFLUX-Mark78H-21 ; 12419-02, O250x21</v>
      </c>
      <c r="F38" s="1"/>
      <c r="G38" s="544"/>
      <c r="H38" s="399">
        <f>report!C31</f>
        <v>5</v>
      </c>
      <c r="I38" s="399">
        <f>report_47_flagged!F31</f>
        <v>1</v>
      </c>
      <c r="J38" s="578">
        <f>report_47_flagged!AC31</f>
        <v>42521</v>
      </c>
      <c r="K38" s="578">
        <f>report_47_flagged!AD31</f>
        <v>42538</v>
      </c>
      <c r="L38" s="578">
        <f>report_47_flagged!AE31</f>
        <v>42529.5</v>
      </c>
      <c r="M38" s="579">
        <f>report!Y31</f>
        <v>17</v>
      </c>
      <c r="N38" s="430">
        <f>report_47_flagged!H31</f>
        <v>62.966386554621842</v>
      </c>
      <c r="O38" s="512">
        <f t="shared" si="6"/>
        <v>3.7779831932773102E-2</v>
      </c>
      <c r="P38" s="427">
        <f>report_47_flagged!J31</f>
        <v>1</v>
      </c>
      <c r="Q38" s="504">
        <f>report_47!AO31</f>
        <v>37.82</v>
      </c>
      <c r="R38" s="521">
        <f t="shared" si="0"/>
        <v>0.83204</v>
      </c>
      <c r="S38" s="427">
        <f>report_47_flagged!BB31</f>
        <v>1</v>
      </c>
      <c r="T38" s="504">
        <f>report_47!AP31</f>
        <v>8.5399999999999991</v>
      </c>
      <c r="U38" s="521">
        <f t="shared" si="1"/>
        <v>0.24765999999999999</v>
      </c>
      <c r="V38" s="427">
        <f>report_47_flagged!BD31</f>
        <v>1</v>
      </c>
      <c r="W38" s="2">
        <f>(report_47_flagged!N31/100)*report_47_flagged!H31</f>
        <v>7.9572697925166915</v>
      </c>
      <c r="X38" s="2">
        <f t="shared" si="2"/>
        <v>0.16717085689875677</v>
      </c>
      <c r="Y38" s="1">
        <f>report_47_flagged!AP31</f>
        <v>1</v>
      </c>
      <c r="Z38" s="2">
        <f>(report_47_flagged!P31/100)*report_47_flagged!H31</f>
        <v>0.36897744902041774</v>
      </c>
      <c r="AA38" s="2">
        <f t="shared" si="7"/>
        <v>1.4022890741771713E-2</v>
      </c>
      <c r="AB38" s="1">
        <f>report_47_flagged!AR31</f>
        <v>1</v>
      </c>
      <c r="AC38" s="2">
        <f>(report_47_flagged!R31/100)*report_47_flagged!H31</f>
        <v>2.4706186638236112</v>
      </c>
      <c r="AD38" s="2">
        <f t="shared" si="3"/>
        <v>6.9193203312781004E-2</v>
      </c>
      <c r="AE38" s="1">
        <f>report_47_flagged!AT31</f>
        <v>1</v>
      </c>
      <c r="AF38" s="2">
        <f>(report_47_flagged!L31/100)*report_47_flagged!H31</f>
        <v>5.4866511286930804</v>
      </c>
      <c r="AG38" s="2">
        <f t="shared" si="4"/>
        <v>0.10429833729308882</v>
      </c>
      <c r="AH38" s="1">
        <f>report_47_flagged!AV31</f>
        <v>1</v>
      </c>
      <c r="AI38" s="2">
        <f>(report_47_flagged!T31/100)*report_47_flagged!H31</f>
        <v>3.4899355141873625</v>
      </c>
      <c r="AJ38" s="2">
        <f t="shared" si="5"/>
        <v>0.1710196598859372</v>
      </c>
      <c r="AK38" s="1">
        <f>report_47_flagged!AX31</f>
        <v>1</v>
      </c>
    </row>
    <row r="39" spans="1:37" x14ac:dyDescent="0.25">
      <c r="A39" s="17">
        <f>report!A32</f>
        <v>2016</v>
      </c>
      <c r="B39" s="17">
        <v>47</v>
      </c>
      <c r="C39" s="17">
        <v>2000</v>
      </c>
      <c r="D39" s="1">
        <f>report!AF32</f>
        <v>2010.7</v>
      </c>
      <c r="E39" s="1" t="str">
        <f>report!D32</f>
        <v>McLane-PARFLUX-Mark78H-21 ; 12419-02, O250x21</v>
      </c>
      <c r="F39" s="1"/>
      <c r="G39" s="544"/>
      <c r="H39" s="399">
        <f>report!C32</f>
        <v>6</v>
      </c>
      <c r="I39" s="399">
        <f>report_47_flagged!F32</f>
        <v>1</v>
      </c>
      <c r="J39" s="578">
        <f>report_47_flagged!AC32</f>
        <v>42538</v>
      </c>
      <c r="K39" s="578">
        <f>report_47_flagged!AD32</f>
        <v>42555</v>
      </c>
      <c r="L39" s="578">
        <f>report_47_flagged!AE32</f>
        <v>42546.5</v>
      </c>
      <c r="M39" s="579">
        <f>report!Y32</f>
        <v>17</v>
      </c>
      <c r="N39" s="430">
        <f>report_47_flagged!H32</f>
        <v>45.324369747899162</v>
      </c>
      <c r="O39" s="512">
        <f t="shared" si="6"/>
        <v>2.7194621848739494E-2</v>
      </c>
      <c r="P39" s="427">
        <f>report_47_flagged!J32</f>
        <v>1</v>
      </c>
      <c r="Q39" s="504">
        <f>report_47!AO32</f>
        <v>38.28</v>
      </c>
      <c r="R39" s="521">
        <f t="shared" si="0"/>
        <v>0.84216000000000002</v>
      </c>
      <c r="S39" s="427">
        <f>report_47_flagged!BB32</f>
        <v>1</v>
      </c>
      <c r="T39" s="504">
        <f>report_47!AP32</f>
        <v>8.5500000000000007</v>
      </c>
      <c r="U39" s="521">
        <f t="shared" si="1"/>
        <v>0.24795000000000003</v>
      </c>
      <c r="V39" s="427">
        <f>report_47_flagged!BD32</f>
        <v>1</v>
      </c>
      <c r="W39" s="2">
        <f>(report_47_flagged!N32/100)*report_47_flagged!H32</f>
        <v>5.7475529597947581</v>
      </c>
      <c r="X39" s="2">
        <f t="shared" si="2"/>
        <v>0.12074786684541838</v>
      </c>
      <c r="Y39" s="1">
        <f>report_47_flagged!AP32</f>
        <v>1</v>
      </c>
      <c r="Z39" s="2">
        <f>(report_47_flagged!P32/100)*report_47_flagged!H32</f>
        <v>0.32657688503105103</v>
      </c>
      <c r="AA39" s="2">
        <f t="shared" si="7"/>
        <v>1.2411468477915452E-2</v>
      </c>
      <c r="AB39" s="1">
        <f>report_47_flagged!AR32</f>
        <v>1</v>
      </c>
      <c r="AC39" s="2">
        <f>(report_47_flagged!R32/100)*report_47_flagged!H32</f>
        <v>2.0965580877313506</v>
      </c>
      <c r="AD39" s="2">
        <f t="shared" si="3"/>
        <v>5.8717102783049216E-2</v>
      </c>
      <c r="AE39" s="1">
        <f>report_47_flagged!AT32</f>
        <v>1</v>
      </c>
      <c r="AF39" s="2">
        <f>(report_47_flagged!L32/100)*report_47_flagged!H32</f>
        <v>3.6509948720634076</v>
      </c>
      <c r="AG39" s="2">
        <f t="shared" si="4"/>
        <v>6.9403482322833915E-2</v>
      </c>
      <c r="AH39" s="1">
        <f>report_47_flagged!AV32</f>
        <v>1</v>
      </c>
      <c r="AI39" s="2">
        <f>(report_47_flagged!T32/100)*report_47_flagged!H32</f>
        <v>3.0603935220811471</v>
      </c>
      <c r="AJ39" s="2">
        <f t="shared" si="5"/>
        <v>0.14997052442251643</v>
      </c>
      <c r="AK39" s="1">
        <f>report_47_flagged!AX32</f>
        <v>3</v>
      </c>
    </row>
    <row r="40" spans="1:37" x14ac:dyDescent="0.25">
      <c r="A40" s="17">
        <f>report!A33</f>
        <v>2016</v>
      </c>
      <c r="B40" s="17">
        <v>47</v>
      </c>
      <c r="C40" s="17">
        <v>2000</v>
      </c>
      <c r="D40" s="1">
        <f>report!AF33</f>
        <v>2010.7</v>
      </c>
      <c r="E40" s="1" t="str">
        <f>report!D33</f>
        <v>McLane-PARFLUX-Mark78H-21 ; 12419-02, O250x21</v>
      </c>
      <c r="F40" s="1"/>
      <c r="G40" s="544"/>
      <c r="H40" s="399">
        <f>report!C33</f>
        <v>7</v>
      </c>
      <c r="I40" s="399">
        <f>report_47_flagged!F33</f>
        <v>1</v>
      </c>
      <c r="J40" s="578">
        <f>report_47_flagged!AC33</f>
        <v>42555</v>
      </c>
      <c r="K40" s="578">
        <f>report_47_flagged!AD33</f>
        <v>42572</v>
      </c>
      <c r="L40" s="578">
        <f>report_47_flagged!AE33</f>
        <v>42563.5</v>
      </c>
      <c r="M40" s="579">
        <f>report!Y33</f>
        <v>17</v>
      </c>
      <c r="N40" s="430">
        <f>report_47_flagged!H33</f>
        <v>31.332773109243689</v>
      </c>
      <c r="O40" s="512">
        <f t="shared" si="6"/>
        <v>1.8799663865546212E-2</v>
      </c>
      <c r="P40" s="427">
        <f>report_47_flagged!J33</f>
        <v>1</v>
      </c>
      <c r="Q40" s="504">
        <f>report_47!AO33</f>
        <v>38.21</v>
      </c>
      <c r="R40" s="521">
        <f t="shared" si="0"/>
        <v>0.84061999999999992</v>
      </c>
      <c r="S40" s="427">
        <f>report_47_flagged!BB33</f>
        <v>1</v>
      </c>
      <c r="T40" s="504">
        <f>report_47!AP33</f>
        <v>8.48</v>
      </c>
      <c r="U40" s="521">
        <f t="shared" si="1"/>
        <v>0.24592000000000003</v>
      </c>
      <c r="V40" s="427">
        <f>report_47_flagged!BD33</f>
        <v>1</v>
      </c>
      <c r="W40" s="2">
        <f>(report_47_flagged!N33/100)*report_47_flagged!H33</f>
        <v>4.0986960311697302</v>
      </c>
      <c r="X40" s="2">
        <f t="shared" si="2"/>
        <v>8.6107741168025762E-2</v>
      </c>
      <c r="Y40" s="1">
        <f>report_47_flagged!AP33</f>
        <v>1</v>
      </c>
      <c r="Z40" s="2">
        <f>(report_47_flagged!P33/100)*report_47_flagged!H33</f>
        <v>0.22907820677456731</v>
      </c>
      <c r="AA40" s="2">
        <f t="shared" si="7"/>
        <v>8.7060568971058933E-3</v>
      </c>
      <c r="AB40" s="1">
        <f>report_47_flagged!AR33</f>
        <v>1</v>
      </c>
      <c r="AC40" s="2">
        <f>(report_47_flagged!R33/100)*report_47_flagged!H33</f>
        <v>1.5978059824158319</v>
      </c>
      <c r="AD40" s="2">
        <f t="shared" si="3"/>
        <v>4.4748837938662009E-2</v>
      </c>
      <c r="AE40" s="1">
        <f>report_47_flagged!AT33</f>
        <v>1</v>
      </c>
      <c r="AF40" s="2">
        <f>(report_47_flagged!L33/100)*report_47_flagged!H33</f>
        <v>2.5008900487538983</v>
      </c>
      <c r="AG40" s="2">
        <f t="shared" si="4"/>
        <v>4.7540597665081577E-2</v>
      </c>
      <c r="AH40" s="1">
        <f>report_47_flagged!AV33</f>
        <v>1</v>
      </c>
      <c r="AI40" s="2">
        <f>(report_47_flagged!T33/100)*report_47_flagged!H33</f>
        <v>1.7681957979986807</v>
      </c>
      <c r="AJ40" s="2">
        <f t="shared" si="5"/>
        <v>8.6648089271612563E-2</v>
      </c>
      <c r="AK40" s="1">
        <f>report_47_flagged!AX33</f>
        <v>3</v>
      </c>
    </row>
    <row r="41" spans="1:37" x14ac:dyDescent="0.25">
      <c r="A41" s="17">
        <f>report!A34</f>
        <v>2016</v>
      </c>
      <c r="B41" s="17">
        <v>47</v>
      </c>
      <c r="C41" s="17">
        <v>2000</v>
      </c>
      <c r="D41" s="1">
        <f>report!AF34</f>
        <v>2010.7</v>
      </c>
      <c r="E41" s="1" t="str">
        <f>report!D34</f>
        <v>McLane-PARFLUX-Mark78H-21 ; 12419-02, O250x21</v>
      </c>
      <c r="F41" s="1"/>
      <c r="G41" s="544"/>
      <c r="H41" s="399">
        <f>report!C34</f>
        <v>8</v>
      </c>
      <c r="I41" s="399">
        <f>report_47_flagged!F34</f>
        <v>1</v>
      </c>
      <c r="J41" s="578">
        <f>report_47_flagged!AC34</f>
        <v>42572</v>
      </c>
      <c r="K41" s="578">
        <f>report_47_flagged!AD34</f>
        <v>42589</v>
      </c>
      <c r="L41" s="578">
        <f>report_47_flagged!AE34</f>
        <v>42580.5</v>
      </c>
      <c r="M41" s="579">
        <f>report!Y34</f>
        <v>17</v>
      </c>
      <c r="N41" s="430">
        <f>report_47_flagged!H34</f>
        <v>41.70420168067227</v>
      </c>
      <c r="O41" s="512">
        <f t="shared" si="6"/>
        <v>2.502252100840336E-2</v>
      </c>
      <c r="P41" s="427">
        <f>report_47_flagged!J34</f>
        <v>1</v>
      </c>
      <c r="Q41" s="504">
        <f>report_47!AO34</f>
        <v>38.18</v>
      </c>
      <c r="R41" s="521">
        <f t="shared" si="0"/>
        <v>0.83995999999999993</v>
      </c>
      <c r="S41" s="427">
        <f>report_47_flagged!BB34</f>
        <v>1</v>
      </c>
      <c r="T41" s="504">
        <f>report_47!AP34</f>
        <v>8.52</v>
      </c>
      <c r="U41" s="521">
        <f t="shared" si="1"/>
        <v>0.24707999999999999</v>
      </c>
      <c r="V41" s="427">
        <f>report_47_flagged!BD34</f>
        <v>1</v>
      </c>
      <c r="W41" s="2">
        <f>(report_47_flagged!N34/100)*report_47_flagged!H34</f>
        <v>5.9238972737929396</v>
      </c>
      <c r="X41" s="2">
        <f t="shared" si="2"/>
        <v>0.12445260865372344</v>
      </c>
      <c r="Y41" s="1">
        <f>report_47_flagged!AP34</f>
        <v>1</v>
      </c>
      <c r="Z41" s="2">
        <f>(report_47_flagged!P34/100)*report_47_flagged!H34</f>
        <v>0.45115092642567739</v>
      </c>
      <c r="AA41" s="2">
        <f t="shared" si="7"/>
        <v>1.7145872101702028E-2</v>
      </c>
      <c r="AB41" s="1">
        <f>report_47_flagged!AR34</f>
        <v>1</v>
      </c>
      <c r="AC41" s="2">
        <f>(report_47_flagged!R34/100)*report_47_flagged!H34</f>
        <v>2.7220875978692067</v>
      </c>
      <c r="AD41" s="2">
        <f t="shared" si="3"/>
        <v>7.6235949866527389E-2</v>
      </c>
      <c r="AE41" s="1">
        <f>report_47_flagged!AT34</f>
        <v>1</v>
      </c>
      <c r="AF41" s="2">
        <f>(report_47_flagged!L34/100)*report_47_flagged!H34</f>
        <v>3.2018096759237338</v>
      </c>
      <c r="AG41" s="2">
        <f t="shared" si="4"/>
        <v>6.0864709217863883E-2</v>
      </c>
      <c r="AH41" s="1">
        <f>report_47_flagged!AV34</f>
        <v>1</v>
      </c>
      <c r="AI41" s="2">
        <f>(report_47_flagged!T34/100)*report_47_flagged!H34</f>
        <v>2.2274855295460863</v>
      </c>
      <c r="AJ41" s="2">
        <f t="shared" si="5"/>
        <v>0.10915497324096599</v>
      </c>
      <c r="AK41" s="1">
        <f>report_47_flagged!AX34</f>
        <v>1</v>
      </c>
    </row>
    <row r="42" spans="1:37" x14ac:dyDescent="0.25">
      <c r="A42" s="17">
        <f>report!A35</f>
        <v>2016</v>
      </c>
      <c r="B42" s="17">
        <v>47</v>
      </c>
      <c r="C42" s="17">
        <v>2000</v>
      </c>
      <c r="D42" s="1">
        <f>report!AF35</f>
        <v>2010.7</v>
      </c>
      <c r="E42" s="1" t="str">
        <f>report!D35</f>
        <v>McLane-PARFLUX-Mark78H-21 ; 12419-02, O250x21</v>
      </c>
      <c r="F42" s="1"/>
      <c r="G42" s="544"/>
      <c r="H42" s="399">
        <f>report!C35</f>
        <v>9</v>
      </c>
      <c r="I42" s="399">
        <f>report_47_flagged!F35</f>
        <v>1</v>
      </c>
      <c r="J42" s="578">
        <f>report_47_flagged!AC35</f>
        <v>42589</v>
      </c>
      <c r="K42" s="578">
        <f>report_47_flagged!AD35</f>
        <v>42606</v>
      </c>
      <c r="L42" s="578">
        <f>report_47_flagged!AE35</f>
        <v>42597.5</v>
      </c>
      <c r="M42" s="579">
        <f>report!Y35</f>
        <v>17</v>
      </c>
      <c r="N42" s="430">
        <f>report_47_flagged!H35</f>
        <v>28.01176470588236</v>
      </c>
      <c r="O42" s="512">
        <f t="shared" si="6"/>
        <v>1.6807058823529415E-2</v>
      </c>
      <c r="P42" s="427">
        <f>report_47_flagged!J35</f>
        <v>1</v>
      </c>
      <c r="Q42" s="504">
        <f>report_47!AO35</f>
        <v>38.25</v>
      </c>
      <c r="R42" s="521">
        <f t="shared" si="0"/>
        <v>0.84149999999999991</v>
      </c>
      <c r="S42" s="427">
        <f>report_47_flagged!BB35</f>
        <v>1</v>
      </c>
      <c r="T42" s="504">
        <f>report_47!AP35</f>
        <v>8.6</v>
      </c>
      <c r="U42" s="521">
        <f t="shared" si="1"/>
        <v>0.24940000000000001</v>
      </c>
      <c r="V42" s="427">
        <f>report_47_flagged!BD35</f>
        <v>1</v>
      </c>
      <c r="W42" s="2">
        <f>(report_47_flagged!N35/100)*report_47_flagged!H35</f>
        <v>3.8168238667880798</v>
      </c>
      <c r="X42" s="2">
        <f t="shared" si="2"/>
        <v>8.0186010161757526E-2</v>
      </c>
      <c r="Y42" s="1">
        <f>report_47_flagged!AP35</f>
        <v>1</v>
      </c>
      <c r="Z42" s="2">
        <f>(report_47_flagged!P35/100)*report_47_flagged!H35</f>
        <v>0.23692692373780647</v>
      </c>
      <c r="AA42" s="2">
        <f t="shared" si="7"/>
        <v>9.004345317525057E-3</v>
      </c>
      <c r="AB42" s="1">
        <f>report_47_flagged!AR35</f>
        <v>1</v>
      </c>
      <c r="AC42" s="2">
        <f>(report_47_flagged!R35/100)*report_47_flagged!H35</f>
        <v>1.5893789799162494</v>
      </c>
      <c r="AD42" s="2">
        <f t="shared" si="3"/>
        <v>4.451282770130368E-2</v>
      </c>
      <c r="AE42" s="1">
        <f>report_47_flagged!AT35</f>
        <v>1</v>
      </c>
      <c r="AF42" s="2">
        <f>(report_47_flagged!L35/100)*report_47_flagged!H35</f>
        <v>2.2274448868718304</v>
      </c>
      <c r="AG42" s="2">
        <f t="shared" si="4"/>
        <v>4.2342549701727177E-2</v>
      </c>
      <c r="AH42" s="1">
        <f>report_47_flagged!AV35</f>
        <v>1</v>
      </c>
      <c r="AI42" s="2">
        <f>(report_47_flagged!T35/100)*report_47_flagged!H35</f>
        <v>1.5493834348678444</v>
      </c>
      <c r="AJ42" s="2">
        <f t="shared" si="5"/>
        <v>7.5925479707811674E-2</v>
      </c>
      <c r="AK42" s="1">
        <f>report_47_flagged!AX35</f>
        <v>3</v>
      </c>
    </row>
    <row r="43" spans="1:37" x14ac:dyDescent="0.25">
      <c r="A43" s="17">
        <f>report!A36</f>
        <v>2016</v>
      </c>
      <c r="B43" s="17">
        <v>47</v>
      </c>
      <c r="C43" s="17">
        <v>2000</v>
      </c>
      <c r="D43" s="1">
        <f>report!AF36</f>
        <v>2010.7</v>
      </c>
      <c r="E43" s="1" t="str">
        <f>report!D36</f>
        <v>McLane-PARFLUX-Mark78H-21 ; 12419-02, O250x21</v>
      </c>
      <c r="F43" s="1"/>
      <c r="G43" s="544"/>
      <c r="H43" s="399">
        <f>report!C36</f>
        <v>10</v>
      </c>
      <c r="I43" s="399">
        <f>report_47_flagged!F36</f>
        <v>1</v>
      </c>
      <c r="J43" s="578">
        <f>report_47_flagged!AC36</f>
        <v>42606</v>
      </c>
      <c r="K43" s="578">
        <f>report_47_flagged!AD36</f>
        <v>42623</v>
      </c>
      <c r="L43" s="578">
        <f>report_47_flagged!AE36</f>
        <v>42614.5</v>
      </c>
      <c r="M43" s="579">
        <f>report!Y36</f>
        <v>17</v>
      </c>
      <c r="N43" s="430">
        <f>report_47_flagged!H36</f>
        <v>40.939495798319321</v>
      </c>
      <c r="O43" s="512">
        <f t="shared" si="6"/>
        <v>2.4563697478991592E-2</v>
      </c>
      <c r="P43" s="427">
        <f>report_47_flagged!J36</f>
        <v>1</v>
      </c>
      <c r="Q43" s="504">
        <f>report_47!AO36</f>
        <v>38.229999999999997</v>
      </c>
      <c r="R43" s="521">
        <f t="shared" si="0"/>
        <v>0.84105999999999992</v>
      </c>
      <c r="S43" s="427">
        <f>report_47_flagged!BB36</f>
        <v>1</v>
      </c>
      <c r="T43" s="504">
        <f>report_47!AP36</f>
        <v>8.49</v>
      </c>
      <c r="U43" s="521">
        <f t="shared" si="1"/>
        <v>0.24621000000000001</v>
      </c>
      <c r="V43" s="427">
        <f>report_47_flagged!BD36</f>
        <v>1</v>
      </c>
      <c r="W43" s="2">
        <f>(report_47_flagged!N36/100)*report_47_flagged!H36</f>
        <v>5.7359307230300249</v>
      </c>
      <c r="X43" s="2">
        <f t="shared" si="2"/>
        <v>0.12050370027450887</v>
      </c>
      <c r="Y43" s="1">
        <f>report_47_flagged!AP36</f>
        <v>1</v>
      </c>
      <c r="Z43" s="2">
        <f>(report_47_flagged!P36/100)*report_47_flagged!H36</f>
        <v>0.39811018018161543</v>
      </c>
      <c r="AA43" s="2">
        <f t="shared" si="7"/>
        <v>1.5130072514444972E-2</v>
      </c>
      <c r="AB43" s="1">
        <f>report_47_flagged!AR36</f>
        <v>1</v>
      </c>
      <c r="AC43" s="2">
        <f>(report_47_flagged!R36/100)*report_47_flagged!H36</f>
        <v>2.6066529276303965</v>
      </c>
      <c r="AD43" s="2">
        <f t="shared" si="3"/>
        <v>7.3003037104985943E-2</v>
      </c>
      <c r="AE43" s="1">
        <f>report_47_flagged!AT36</f>
        <v>1</v>
      </c>
      <c r="AF43" s="2">
        <f>(report_47_flagged!L36/100)*report_47_flagged!H36</f>
        <v>3.1292777953996285</v>
      </c>
      <c r="AG43" s="2">
        <f t="shared" si="4"/>
        <v>5.9485916514999411E-2</v>
      </c>
      <c r="AH43" s="1">
        <f>report_47_flagged!AV36</f>
        <v>1</v>
      </c>
      <c r="AI43" s="2">
        <f>(report_47_flagged!T36/100)*report_47_flagged!H36</f>
        <v>2.4556306403229846</v>
      </c>
      <c r="AJ43" s="2">
        <f t="shared" si="5"/>
        <v>0.1203349217217017</v>
      </c>
      <c r="AK43" s="1">
        <f>report_47_flagged!AX36</f>
        <v>3</v>
      </c>
    </row>
    <row r="44" spans="1:37" x14ac:dyDescent="0.25">
      <c r="A44" s="17">
        <f>report!A37</f>
        <v>2016</v>
      </c>
      <c r="B44" s="17">
        <v>47</v>
      </c>
      <c r="C44" s="17">
        <v>2000</v>
      </c>
      <c r="D44" s="1">
        <f>report!AF37</f>
        <v>2010.7</v>
      </c>
      <c r="E44" s="1" t="str">
        <f>report!D37</f>
        <v>McLane-PARFLUX-Mark78H-21 ; 12419-02, O250x21</v>
      </c>
      <c r="F44" s="1"/>
      <c r="G44" s="544"/>
      <c r="H44" s="399">
        <f>report!C37</f>
        <v>11</v>
      </c>
      <c r="I44" s="399">
        <f>report_47_flagged!F37</f>
        <v>1</v>
      </c>
      <c r="J44" s="578">
        <f>report_47_flagged!AC37</f>
        <v>42623</v>
      </c>
      <c r="K44" s="578">
        <f>report_47_flagged!AD37</f>
        <v>42640</v>
      </c>
      <c r="L44" s="578">
        <f>report_47_flagged!AE37</f>
        <v>42631.5</v>
      </c>
      <c r="M44" s="579">
        <f>report!Y37</f>
        <v>17</v>
      </c>
      <c r="N44" s="430">
        <f>report_47_flagged!H37</f>
        <v>36.359663865546224</v>
      </c>
      <c r="O44" s="512">
        <f t="shared" si="6"/>
        <v>2.1815798319327732E-2</v>
      </c>
      <c r="P44" s="427">
        <f>report_47_flagged!J37</f>
        <v>1</v>
      </c>
      <c r="Q44" s="504">
        <f>report_47!AO37</f>
        <v>38.049999999999997</v>
      </c>
      <c r="R44" s="521">
        <f t="shared" si="0"/>
        <v>0.83709999999999984</v>
      </c>
      <c r="S44" s="427">
        <f>report_47_flagged!BB37</f>
        <v>1</v>
      </c>
      <c r="T44" s="504">
        <f>report_47!AP37</f>
        <v>8.36</v>
      </c>
      <c r="U44" s="521">
        <f t="shared" si="1"/>
        <v>0.24243999999999999</v>
      </c>
      <c r="V44" s="427">
        <f>report_47_flagged!BD37</f>
        <v>1</v>
      </c>
      <c r="W44" s="2">
        <f>(report_47_flagged!N37/100)*report_47_flagged!H37</f>
        <v>5.3675217972122331</v>
      </c>
      <c r="X44" s="2">
        <f t="shared" si="2"/>
        <v>0.11276395568572671</v>
      </c>
      <c r="Y44" s="1">
        <f>report_47_flagged!AP37</f>
        <v>1</v>
      </c>
      <c r="Z44" s="2">
        <f>(report_47_flagged!P37/100)*report_47_flagged!H37</f>
        <v>0.44855731028067974</v>
      </c>
      <c r="AA44" s="2">
        <f t="shared" si="7"/>
        <v>1.7047302403407582E-2</v>
      </c>
      <c r="AB44" s="1">
        <f>report_47_flagged!AR37</f>
        <v>1</v>
      </c>
      <c r="AC44" s="2">
        <f>(report_47_flagged!R37/100)*report_47_flagged!H37</f>
        <v>2.7335646232103259</v>
      </c>
      <c r="AD44" s="2">
        <f t="shared" si="3"/>
        <v>7.6557380348488108E-2</v>
      </c>
      <c r="AE44" s="1">
        <f>report_47_flagged!AT37</f>
        <v>1</v>
      </c>
      <c r="AF44" s="2">
        <f>(report_47_flagged!L37/100)*report_47_flagged!H37</f>
        <v>2.6339571740019072</v>
      </c>
      <c r="AG44" s="2">
        <f t="shared" si="4"/>
        <v>5.0070133366587791E-2</v>
      </c>
      <c r="AH44" s="1">
        <f>report_47_flagged!AV37</f>
        <v>1</v>
      </c>
      <c r="AI44" s="2">
        <f>(report_47_flagged!T37/100)*report_47_flagged!H37</f>
        <v>1.9522310256503277</v>
      </c>
      <c r="AJ44" s="2">
        <f t="shared" si="5"/>
        <v>9.5666491448978985E-2</v>
      </c>
      <c r="AK44" s="1">
        <f>report_47_flagged!AX37</f>
        <v>1</v>
      </c>
    </row>
    <row r="45" spans="1:37" x14ac:dyDescent="0.25">
      <c r="A45" s="17">
        <f>report!A38</f>
        <v>2016</v>
      </c>
      <c r="B45" s="17">
        <v>47</v>
      </c>
      <c r="C45" s="17">
        <v>2000</v>
      </c>
      <c r="D45" s="1">
        <f>report!AF38</f>
        <v>2010.7</v>
      </c>
      <c r="E45" s="1" t="str">
        <f>report!D38</f>
        <v>McLane-PARFLUX-Mark78H-21 ; 12419-02, O250x21</v>
      </c>
      <c r="F45" s="1"/>
      <c r="G45" s="544"/>
      <c r="H45" s="399">
        <f>report!C38</f>
        <v>12</v>
      </c>
      <c r="I45" s="399">
        <f>report_47_flagged!F38</f>
        <v>1</v>
      </c>
      <c r="J45" s="578">
        <f>report_47_flagged!AC38</f>
        <v>42640</v>
      </c>
      <c r="K45" s="578">
        <f>report_47_flagged!AD38</f>
        <v>42657</v>
      </c>
      <c r="L45" s="578">
        <f>report_47_flagged!AE38</f>
        <v>42648.5</v>
      </c>
      <c r="M45" s="579">
        <f>report!Y38</f>
        <v>17</v>
      </c>
      <c r="N45" s="430">
        <f>report_47_flagged!H38</f>
        <v>42.820168067226895</v>
      </c>
      <c r="O45" s="512">
        <f t="shared" si="6"/>
        <v>2.5692100840336136E-2</v>
      </c>
      <c r="P45" s="427">
        <f>report_47_flagged!J38</f>
        <v>1</v>
      </c>
      <c r="Q45" s="504">
        <f>report_47!AO38</f>
        <v>38</v>
      </c>
      <c r="R45" s="521">
        <f t="shared" si="0"/>
        <v>0.83599999999999997</v>
      </c>
      <c r="S45" s="427">
        <f>report_47_flagged!BB38</f>
        <v>1</v>
      </c>
      <c r="T45" s="504">
        <f>report_47!AP38</f>
        <v>8.57</v>
      </c>
      <c r="U45" s="521">
        <f t="shared" si="1"/>
        <v>0.24853000000000003</v>
      </c>
      <c r="V45" s="427">
        <f>report_47_flagged!BD38</f>
        <v>1</v>
      </c>
      <c r="W45" s="2">
        <f>(report_47_flagged!N38/100)*report_47_flagged!H38</f>
        <v>5.8850921933791218</v>
      </c>
      <c r="X45" s="2">
        <f t="shared" si="2"/>
        <v>0.1236373694179112</v>
      </c>
      <c r="Y45" s="1">
        <f>report_47_flagged!AP38</f>
        <v>1</v>
      </c>
      <c r="Z45" s="2">
        <f>(report_47_flagged!P38/100)*report_47_flagged!H38</f>
        <v>0.37349938415679618</v>
      </c>
      <c r="AA45" s="2">
        <f t="shared" si="7"/>
        <v>1.4194745695311988E-2</v>
      </c>
      <c r="AB45" s="1">
        <f>report_47_flagged!AR38</f>
        <v>1</v>
      </c>
      <c r="AC45" s="2">
        <f>(report_47_flagged!R38/100)*report_47_flagged!H38</f>
        <v>2.4152495750959826</v>
      </c>
      <c r="AD45" s="2">
        <f t="shared" si="3"/>
        <v>6.7642512925117138E-2</v>
      </c>
      <c r="AE45" s="1">
        <f>report_47_flagged!AT38</f>
        <v>1</v>
      </c>
      <c r="AF45" s="2">
        <f>(report_47_flagged!L38/100)*report_47_flagged!H38</f>
        <v>3.4698426182831397</v>
      </c>
      <c r="AG45" s="2">
        <f t="shared" si="4"/>
        <v>6.5959873749405609E-2</v>
      </c>
      <c r="AH45" s="1">
        <f>report_47_flagged!AV38</f>
        <v>1</v>
      </c>
      <c r="AI45" s="2">
        <f>(report_47_flagged!T38/100)*report_47_flagged!H38</f>
        <v>2.2150694842348764</v>
      </c>
      <c r="AJ45" s="2">
        <f t="shared" si="5"/>
        <v>0.10854654141246387</v>
      </c>
      <c r="AK45" s="1">
        <f>report_47_flagged!AX38</f>
        <v>1</v>
      </c>
    </row>
    <row r="46" spans="1:37" x14ac:dyDescent="0.25">
      <c r="A46" s="17">
        <f>report!A39</f>
        <v>2016</v>
      </c>
      <c r="B46" s="17">
        <v>47</v>
      </c>
      <c r="C46" s="17">
        <v>2000</v>
      </c>
      <c r="D46" s="1">
        <f>report!AF39</f>
        <v>2010.7</v>
      </c>
      <c r="E46" s="1" t="str">
        <f>report!D39</f>
        <v>McLane-PARFLUX-Mark78H-21 ; 12419-02, O250x21</v>
      </c>
      <c r="F46" s="1"/>
      <c r="G46" s="544"/>
      <c r="H46" s="399">
        <f>report!C39</f>
        <v>13</v>
      </c>
      <c r="I46" s="399">
        <f>report_47_flagged!F39</f>
        <v>1</v>
      </c>
      <c r="J46" s="578">
        <f>report_47_flagged!AC39</f>
        <v>42657</v>
      </c>
      <c r="K46" s="578">
        <f>report_47_flagged!AD39</f>
        <v>42674</v>
      </c>
      <c r="L46" s="578">
        <f>report_47_flagged!AE39</f>
        <v>42665.5</v>
      </c>
      <c r="M46" s="579">
        <f>report!Y39</f>
        <v>17</v>
      </c>
      <c r="N46" s="430">
        <f>report_47_flagged!H39</f>
        <v>60.937815126050417</v>
      </c>
      <c r="O46" s="512">
        <f t="shared" si="6"/>
        <v>3.6562689075630248E-2</v>
      </c>
      <c r="P46" s="427">
        <f>report_47_flagged!J39</f>
        <v>1</v>
      </c>
      <c r="Q46" s="504">
        <f>report_47!AO39</f>
        <v>38.08</v>
      </c>
      <c r="R46" s="521">
        <f t="shared" si="0"/>
        <v>0.83775999999999995</v>
      </c>
      <c r="S46" s="427">
        <f>report_47_flagged!BB39</f>
        <v>1</v>
      </c>
      <c r="T46" s="504">
        <f>report_47!AP39</f>
        <v>8.52</v>
      </c>
      <c r="U46" s="521">
        <f t="shared" si="1"/>
        <v>0.24707999999999999</v>
      </c>
      <c r="V46" s="427">
        <f>report_47_flagged!BD39</f>
        <v>1</v>
      </c>
      <c r="W46" s="2">
        <f>(report_47_flagged!N39/100)*report_47_flagged!H39</f>
        <v>8.0872660218246839</v>
      </c>
      <c r="X46" s="2">
        <f t="shared" si="2"/>
        <v>0.16990189174031281</v>
      </c>
      <c r="Y46" s="1">
        <f>report_47_flagged!AP39</f>
        <v>1</v>
      </c>
      <c r="Z46" s="2">
        <f>(report_47_flagged!P39/100)*report_47_flagged!H39</f>
        <v>0.44186273728699244</v>
      </c>
      <c r="AA46" s="2">
        <f t="shared" si="7"/>
        <v>1.6792876920488441E-2</v>
      </c>
      <c r="AB46" s="1">
        <f>report_47_flagged!AR39</f>
        <v>1</v>
      </c>
      <c r="AC46" s="2">
        <f>(report_47_flagged!R39/100)*report_47_flagged!H39</f>
        <v>2.9465585810088748</v>
      </c>
      <c r="AD46" s="2">
        <f t="shared" si="3"/>
        <v>8.2522580256571165E-2</v>
      </c>
      <c r="AE46" s="1">
        <f>report_47_flagged!AT39</f>
        <v>1</v>
      </c>
      <c r="AF46" s="2">
        <f>(report_47_flagged!L39/100)*report_47_flagged!H39</f>
        <v>5.1407074408158095</v>
      </c>
      <c r="AG46" s="2">
        <f t="shared" si="4"/>
        <v>9.7722130678830635E-2</v>
      </c>
      <c r="AH46" s="1">
        <f>report_47_flagged!AV39</f>
        <v>1</v>
      </c>
      <c r="AI46" s="2">
        <f>(report_47_flagged!T39/100)*report_47_flagged!H39</f>
        <v>3.0917567097072109</v>
      </c>
      <c r="AJ46" s="2">
        <f t="shared" si="5"/>
        <v>0.15150743582358489</v>
      </c>
      <c r="AK46" s="1">
        <f>report_47_flagged!AX39</f>
        <v>1</v>
      </c>
    </row>
    <row r="47" spans="1:37" x14ac:dyDescent="0.25">
      <c r="A47" s="17">
        <f>report!A40</f>
        <v>2016</v>
      </c>
      <c r="B47" s="17">
        <v>47</v>
      </c>
      <c r="C47" s="17">
        <v>2000</v>
      </c>
      <c r="D47" s="1">
        <f>report!AF40</f>
        <v>2010.7</v>
      </c>
      <c r="E47" s="1" t="str">
        <f>report!D40</f>
        <v>McLane-PARFLUX-Mark78H-21 ; 12419-02, O250x21</v>
      </c>
      <c r="F47" s="1"/>
      <c r="G47" s="544"/>
      <c r="H47" s="399">
        <f>report!C40</f>
        <v>14</v>
      </c>
      <c r="I47" s="399">
        <f>report_47_flagged!F40</f>
        <v>1</v>
      </c>
      <c r="J47" s="578">
        <f>report_47_flagged!AC40</f>
        <v>42674</v>
      </c>
      <c r="K47" s="578">
        <f>report_47_flagged!AD40</f>
        <v>42691</v>
      </c>
      <c r="L47" s="578">
        <f>report_47_flagged!AE40</f>
        <v>42682.5</v>
      </c>
      <c r="M47" s="579">
        <f>report!Y40</f>
        <v>17</v>
      </c>
      <c r="N47" s="430">
        <f>report_47_flagged!H40</f>
        <v>85.277310924369758</v>
      </c>
      <c r="O47" s="512">
        <f t="shared" si="6"/>
        <v>5.116638655462185E-2</v>
      </c>
      <c r="P47" s="427">
        <f>report_47_flagged!J40</f>
        <v>1</v>
      </c>
      <c r="Q47" s="504">
        <f>report_47!AO40</f>
        <v>38.28</v>
      </c>
      <c r="R47" s="521">
        <f t="shared" si="0"/>
        <v>0.84216000000000002</v>
      </c>
      <c r="S47" s="427">
        <f>report_47_flagged!BB40</f>
        <v>1</v>
      </c>
      <c r="T47" s="504">
        <f>report_47!AP40</f>
        <v>8.5</v>
      </c>
      <c r="U47" s="521">
        <f t="shared" si="1"/>
        <v>0.24650000000000002</v>
      </c>
      <c r="V47" s="427">
        <f>report_47_flagged!BD40</f>
        <v>1</v>
      </c>
      <c r="W47" s="2">
        <f>(report_47_flagged!N40/100)*report_47_flagged!H40</f>
        <v>11.292701771199203</v>
      </c>
      <c r="X47" s="2">
        <f t="shared" si="2"/>
        <v>0.237243512035855</v>
      </c>
      <c r="Y47" s="1">
        <f>report_47_flagged!AP40</f>
        <v>1</v>
      </c>
      <c r="Z47" s="2">
        <f>(report_47_flagged!P40/100)*report_47_flagged!H40</f>
        <v>0.62193288616773468</v>
      </c>
      <c r="AA47" s="2">
        <f t="shared" si="7"/>
        <v>2.3636395488663822E-2</v>
      </c>
      <c r="AB47" s="1">
        <f>report_47_flagged!AR40</f>
        <v>1</v>
      </c>
      <c r="AC47" s="2">
        <f>(report_47_flagged!R40/100)*report_47_flagged!H40</f>
        <v>4.3394234879604632</v>
      </c>
      <c r="AD47" s="2">
        <f t="shared" si="3"/>
        <v>0.12153175075509852</v>
      </c>
      <c r="AE47" s="1">
        <f>report_47_flagged!AT40</f>
        <v>1</v>
      </c>
      <c r="AF47" s="2">
        <f>(report_47_flagged!L40/100)*report_47_flagged!H40</f>
        <v>6.953278283238741</v>
      </c>
      <c r="AG47" s="2">
        <f t="shared" si="4"/>
        <v>0.13217814412973075</v>
      </c>
      <c r="AH47" s="1">
        <f>report_47_flagged!AV40</f>
        <v>1</v>
      </c>
      <c r="AI47" s="2">
        <f>(report_47_flagged!T40/100)*report_47_flagged!H40</f>
        <v>4.7193765582790315</v>
      </c>
      <c r="AJ47" s="2">
        <f t="shared" si="5"/>
        <v>0.23126678719118995</v>
      </c>
      <c r="AK47" s="1">
        <f>report_47_flagged!AX40</f>
        <v>1</v>
      </c>
    </row>
    <row r="48" spans="1:37" x14ac:dyDescent="0.25">
      <c r="A48" s="17">
        <f>report!A41</f>
        <v>2016</v>
      </c>
      <c r="B48" s="17">
        <v>47</v>
      </c>
      <c r="C48" s="17">
        <v>2000</v>
      </c>
      <c r="D48" s="1">
        <f>report!AF41</f>
        <v>2010.7</v>
      </c>
      <c r="E48" s="1" t="str">
        <f>report!D41</f>
        <v>McLane-PARFLUX-Mark78H-21 ; 12419-02, O250x21</v>
      </c>
      <c r="F48" s="1"/>
      <c r="G48" s="544"/>
      <c r="H48" s="399">
        <f>report!C41</f>
        <v>15</v>
      </c>
      <c r="I48" s="399">
        <f>report_47_flagged!F41</f>
        <v>1</v>
      </c>
      <c r="J48" s="578">
        <f>report_47_flagged!AC41</f>
        <v>42691</v>
      </c>
      <c r="K48" s="578">
        <f>report_47_flagged!AD41</f>
        <v>42708</v>
      </c>
      <c r="L48" s="578">
        <f>report_47_flagged!AE41</f>
        <v>42699.5</v>
      </c>
      <c r="M48" s="579">
        <f>report!Y41</f>
        <v>17</v>
      </c>
      <c r="N48" s="430">
        <f>report_47_flagged!H41</f>
        <v>142.43025210084033</v>
      </c>
      <c r="O48" s="512">
        <f t="shared" si="6"/>
        <v>8.5458151260504198E-2</v>
      </c>
      <c r="P48" s="427">
        <f>report_47_flagged!J41</f>
        <v>1</v>
      </c>
      <c r="Q48" s="504">
        <f>report_47!AO41</f>
        <v>37.79</v>
      </c>
      <c r="R48" s="521">
        <f t="shared" si="0"/>
        <v>0.8313799999999999</v>
      </c>
      <c r="S48" s="427">
        <f>report_47_flagged!BB41</f>
        <v>1</v>
      </c>
      <c r="T48" s="504">
        <f>report_47!AP41</f>
        <v>8.51</v>
      </c>
      <c r="U48" s="521">
        <f t="shared" si="1"/>
        <v>0.24679000000000001</v>
      </c>
      <c r="V48" s="427">
        <f>report_47_flagged!BD41</f>
        <v>1</v>
      </c>
      <c r="W48" s="2">
        <f>(report_47_flagged!N41/100)*report_47_flagged!H41</f>
        <v>18.085188893839092</v>
      </c>
      <c r="X48" s="2">
        <f t="shared" si="2"/>
        <v>0.37994395105243234</v>
      </c>
      <c r="Y48" s="1">
        <f>report_47_flagged!AP41</f>
        <v>1</v>
      </c>
      <c r="Z48" s="2">
        <f>(report_47_flagged!P41/100)*report_47_flagged!H41</f>
        <v>0.93028704325090938</v>
      </c>
      <c r="AA48" s="2">
        <f t="shared" si="7"/>
        <v>3.5355313991754227E-2</v>
      </c>
      <c r="AB48" s="1">
        <f>report_47_flagged!AR41</f>
        <v>1</v>
      </c>
      <c r="AC48" s="2">
        <f>(report_47_flagged!R41/100)*report_47_flagged!H41</f>
        <v>6.5322102018376809</v>
      </c>
      <c r="AD48" s="2">
        <f t="shared" si="3"/>
        <v>0.18294387361183076</v>
      </c>
      <c r="AE48" s="1">
        <f>report_47_flagged!AT41</f>
        <v>1</v>
      </c>
      <c r="AF48" s="2">
        <f>(report_47_flagged!L41/100)*report_47_flagged!H41</f>
        <v>11.55297869200141</v>
      </c>
      <c r="AG48" s="2">
        <f t="shared" si="4"/>
        <v>0.21961601714692069</v>
      </c>
      <c r="AH48" s="1">
        <f>report_47_flagged!AV41</f>
        <v>1</v>
      </c>
      <c r="AI48" s="2">
        <f>(report_47_flagged!T41/100)*report_47_flagged!H41</f>
        <v>10.10368749541389</v>
      </c>
      <c r="AJ48" s="2">
        <f t="shared" si="5"/>
        <v>0.495117801470848</v>
      </c>
      <c r="AK48" s="1">
        <f>report_47_flagged!AX41</f>
        <v>1</v>
      </c>
    </row>
    <row r="49" spans="1:37" x14ac:dyDescent="0.25">
      <c r="A49" s="17">
        <f>report!A42</f>
        <v>2016</v>
      </c>
      <c r="B49" s="17">
        <v>47</v>
      </c>
      <c r="C49" s="17">
        <v>2000</v>
      </c>
      <c r="D49" s="1">
        <f>report!AF42</f>
        <v>2010.7</v>
      </c>
      <c r="E49" s="1" t="str">
        <f>report!D42</f>
        <v>McLane-PARFLUX-Mark78H-21 ; 12419-02, O250x21</v>
      </c>
      <c r="F49" s="1"/>
      <c r="G49" s="544"/>
      <c r="H49" s="399">
        <f>report!C42</f>
        <v>16</v>
      </c>
      <c r="I49" s="399">
        <f>report_47_flagged!F42</f>
        <v>1</v>
      </c>
      <c r="J49" s="578">
        <f>report_47_flagged!AC42</f>
        <v>42708</v>
      </c>
      <c r="K49" s="578">
        <f>report_47_flagged!AD42</f>
        <v>42725</v>
      </c>
      <c r="L49" s="578">
        <f>report_47_flagged!AE42</f>
        <v>42716.5</v>
      </c>
      <c r="M49" s="579">
        <f>report!Y42</f>
        <v>17</v>
      </c>
      <c r="N49" s="430">
        <f>report_47_flagged!H42</f>
        <v>160.65210084033612</v>
      </c>
      <c r="O49" s="512">
        <f t="shared" si="6"/>
        <v>9.6391260504201659E-2</v>
      </c>
      <c r="P49" s="427">
        <f>report_47_flagged!J42</f>
        <v>1</v>
      </c>
      <c r="Q49" s="504">
        <f>report_47!AO42</f>
        <v>37.36</v>
      </c>
      <c r="R49" s="521">
        <f t="shared" si="0"/>
        <v>0.82191999999999998</v>
      </c>
      <c r="S49" s="427">
        <f>report_47_flagged!BB42</f>
        <v>1</v>
      </c>
      <c r="T49" s="504">
        <f>report_47!AP42</f>
        <v>8.42</v>
      </c>
      <c r="U49" s="521">
        <f t="shared" si="1"/>
        <v>0.24418000000000001</v>
      </c>
      <c r="V49" s="427">
        <f>report_47_flagged!BD42</f>
        <v>1</v>
      </c>
      <c r="W49" s="2">
        <f>(report_47_flagged!N42/100)*report_47_flagged!H42</f>
        <v>19.687722863557958</v>
      </c>
      <c r="X49" s="2">
        <f t="shared" si="2"/>
        <v>0.41361089761986047</v>
      </c>
      <c r="Y49" s="1">
        <f>report_47_flagged!AP42</f>
        <v>1</v>
      </c>
      <c r="Z49" s="2">
        <f>(report_47_flagged!P42/100)*report_47_flagged!H42</f>
        <v>1.3151717801234299</v>
      </c>
      <c r="AA49" s="2">
        <f t="shared" si="7"/>
        <v>4.998275701752096E-2</v>
      </c>
      <c r="AB49" s="1">
        <f>report_47_flagged!AR42</f>
        <v>1</v>
      </c>
      <c r="AC49" s="2">
        <f>(report_47_flagged!R42/100)*report_47_flagged!H42</f>
        <v>7.5378982818535087</v>
      </c>
      <c r="AD49" s="2">
        <f t="shared" si="3"/>
        <v>0.21110960424793013</v>
      </c>
      <c r="AE49" s="1">
        <f>report_47_flagged!AT42</f>
        <v>1</v>
      </c>
      <c r="AF49" s="2">
        <f>(report_47_flagged!L42/100)*report_47_flagged!H42</f>
        <v>12.149824581704449</v>
      </c>
      <c r="AG49" s="2">
        <f t="shared" si="4"/>
        <v>0.23096174197179561</v>
      </c>
      <c r="AH49" s="1">
        <f>report_47_flagged!AV42</f>
        <v>1</v>
      </c>
      <c r="AI49" s="2">
        <f>(report_47_flagged!T42/100)*report_47_flagged!H42</f>
        <v>14.542611479906901</v>
      </c>
      <c r="AJ49" s="2">
        <f t="shared" si="5"/>
        <v>0.71264138235119323</v>
      </c>
      <c r="AK49" s="1">
        <f>report_47_flagged!AX42</f>
        <v>1</v>
      </c>
    </row>
    <row r="50" spans="1:37" x14ac:dyDescent="0.25">
      <c r="A50" s="17">
        <f>report!A43</f>
        <v>2016</v>
      </c>
      <c r="B50" s="17">
        <v>47</v>
      </c>
      <c r="C50" s="17">
        <v>2000</v>
      </c>
      <c r="D50" s="1">
        <f>report!AF43</f>
        <v>2010.7</v>
      </c>
      <c r="E50" s="1" t="str">
        <f>report!D43</f>
        <v>McLane-PARFLUX-Mark78H-21 ; 12419-02, O250x21</v>
      </c>
      <c r="F50" s="1"/>
      <c r="G50" s="544"/>
      <c r="H50" s="399">
        <f>report!C43</f>
        <v>17</v>
      </c>
      <c r="I50" s="399">
        <f>report_47_flagged!F43</f>
        <v>1</v>
      </c>
      <c r="J50" s="578">
        <f>report_47_flagged!AC43</f>
        <v>42725</v>
      </c>
      <c r="K50" s="578">
        <f>report_47_flagged!AD43</f>
        <v>42742</v>
      </c>
      <c r="L50" s="578">
        <f>report_47_flagged!AE43</f>
        <v>42733.5</v>
      </c>
      <c r="M50" s="579">
        <f>report!Y43</f>
        <v>17</v>
      </c>
      <c r="N50" s="430">
        <f>report_47_flagged!H43</f>
        <v>186.3596638655462</v>
      </c>
      <c r="O50" s="512">
        <f t="shared" si="6"/>
        <v>0.11181579831932771</v>
      </c>
      <c r="P50" s="427">
        <f>report_47_flagged!J43</f>
        <v>1</v>
      </c>
      <c r="Q50" s="504">
        <f>report_47!AO43</f>
        <v>37.35</v>
      </c>
      <c r="R50" s="521">
        <f t="shared" si="0"/>
        <v>0.82169999999999999</v>
      </c>
      <c r="S50" s="427">
        <f>report_47_flagged!BB43</f>
        <v>1</v>
      </c>
      <c r="T50" s="504">
        <f>report_47!AP43</f>
        <v>8.42</v>
      </c>
      <c r="U50" s="521">
        <f t="shared" si="1"/>
        <v>0.24418000000000001</v>
      </c>
      <c r="V50" s="427">
        <f>report_47_flagged!BD43</f>
        <v>1</v>
      </c>
      <c r="W50" s="2">
        <f>(report_47_flagged!N43/100)*report_47_flagged!H43</f>
        <v>23.147194456148544</v>
      </c>
      <c r="X50" s="2">
        <f t="shared" si="2"/>
        <v>0.48628944762882848</v>
      </c>
      <c r="Y50" s="1">
        <f>report_47_flagged!AP43</f>
        <v>1</v>
      </c>
      <c r="Z50" s="2">
        <f>(report_47_flagged!P43/100)*report_47_flagged!H43</f>
        <v>1.6115165864319358</v>
      </c>
      <c r="AA50" s="2">
        <f t="shared" si="7"/>
        <v>6.1245263308320662E-2</v>
      </c>
      <c r="AB50" s="1">
        <f>report_47_flagged!AR43</f>
        <v>1</v>
      </c>
      <c r="AC50" s="2">
        <f>(report_47_flagged!R43/100)*report_47_flagged!H43</f>
        <v>11.922290714814737</v>
      </c>
      <c r="AD50" s="2">
        <f t="shared" si="3"/>
        <v>0.3339007745159468</v>
      </c>
      <c r="AE50" s="1">
        <f>report_47_flagged!AT43</f>
        <v>1</v>
      </c>
      <c r="AF50" s="2">
        <f>(report_47_flagged!L43/100)*report_47_flagged!H43</f>
        <v>11.224903741333808</v>
      </c>
      <c r="AG50" s="2">
        <f t="shared" si="4"/>
        <v>0.21337948578023733</v>
      </c>
      <c r="AH50" s="1">
        <f>report_47_flagged!AV43</f>
        <v>1</v>
      </c>
      <c r="AI50" s="2">
        <f>(report_47_flagged!T43/100)*report_47_flagged!H43</f>
        <v>23.344910814070559</v>
      </c>
      <c r="AJ50" s="2">
        <f t="shared" si="5"/>
        <v>1.1439863834903927</v>
      </c>
      <c r="AK50" s="1">
        <f>report_47_flagged!AX43</f>
        <v>1</v>
      </c>
    </row>
    <row r="51" spans="1:37" x14ac:dyDescent="0.25">
      <c r="A51" s="17">
        <f>report!A44</f>
        <v>2016</v>
      </c>
      <c r="B51" s="17">
        <v>47</v>
      </c>
      <c r="C51" s="17">
        <v>2000</v>
      </c>
      <c r="D51" s="1">
        <f>report!AF44</f>
        <v>2010.7</v>
      </c>
      <c r="E51" s="1" t="str">
        <f>report!D44</f>
        <v>McLane-PARFLUX-Mark78H-21 ; 12419-02, O250x21</v>
      </c>
      <c r="F51" s="1"/>
      <c r="G51" s="544"/>
      <c r="H51" s="399">
        <f>report!C44</f>
        <v>18</v>
      </c>
      <c r="I51" s="399">
        <f>report_47_flagged!F44</f>
        <v>1</v>
      </c>
      <c r="J51" s="578">
        <f>report_47_flagged!AC44</f>
        <v>42742</v>
      </c>
      <c r="K51" s="578">
        <f>report_47_flagged!AD44</f>
        <v>42759</v>
      </c>
      <c r="L51" s="578">
        <f>report_47_flagged!AE44</f>
        <v>42750.5</v>
      </c>
      <c r="M51" s="579">
        <f>report!Y44</f>
        <v>17</v>
      </c>
      <c r="N51" s="430">
        <f>report_47_flagged!H44</f>
        <v>83.961344537815108</v>
      </c>
      <c r="O51" s="512">
        <f t="shared" si="6"/>
        <v>5.0376806722689058E-2</v>
      </c>
      <c r="P51" s="427">
        <f>report_47_flagged!J44</f>
        <v>1</v>
      </c>
      <c r="Q51" s="504">
        <f>report_47!AO44</f>
        <v>38.1</v>
      </c>
      <c r="R51" s="521">
        <f t="shared" si="0"/>
        <v>0.83819999999999995</v>
      </c>
      <c r="S51" s="427">
        <f>report_47_flagged!BB44</f>
        <v>1</v>
      </c>
      <c r="T51" s="504">
        <f>report_47!AP44</f>
        <v>8.49</v>
      </c>
      <c r="U51" s="521">
        <f t="shared" si="1"/>
        <v>0.24621000000000001</v>
      </c>
      <c r="V51" s="427">
        <f>report_47_flagged!BD44</f>
        <v>1</v>
      </c>
      <c r="W51" s="2">
        <f>(report_47_flagged!N44/100)*report_47_flagged!H44</f>
        <v>13.951802659876204</v>
      </c>
      <c r="X51" s="2">
        <f t="shared" si="2"/>
        <v>0.2931074183418127</v>
      </c>
      <c r="Y51" s="1">
        <f>report_47_flagged!AP44</f>
        <v>2</v>
      </c>
      <c r="Z51" s="2">
        <f>(report_47_flagged!P44/100)*report_47_flagged!H44</f>
        <v>1.3319267643519808</v>
      </c>
      <c r="AA51" s="2">
        <f t="shared" si="7"/>
        <v>5.0619525778974661E-2</v>
      </c>
      <c r="AB51" s="1">
        <f>report_47_flagged!AR44</f>
        <v>2</v>
      </c>
      <c r="AC51" s="2">
        <f>(report_47_flagged!R44/100)*report_47_flagged!H44</f>
        <v>9.6052303736499809</v>
      </c>
      <c r="AD51" s="2">
        <f t="shared" si="3"/>
        <v>0.26900819128496339</v>
      </c>
      <c r="AE51" s="1">
        <f>report_47_flagged!AT44</f>
        <v>2</v>
      </c>
      <c r="AF51" s="2">
        <f>(report_47_flagged!L44/100)*report_47_flagged!H44</f>
        <v>4.3465722862262233</v>
      </c>
      <c r="AG51" s="2">
        <f t="shared" si="4"/>
        <v>8.2626041230655117E-2</v>
      </c>
      <c r="AH51" s="1">
        <f>report_47_flagged!AV44</f>
        <v>1</v>
      </c>
      <c r="AI51" s="2">
        <f>(report_47_flagged!T44/100)*report_47_flagged!H44</f>
        <v>8.3708912627521279</v>
      </c>
      <c r="AJ51" s="2">
        <f t="shared" si="5"/>
        <v>0.41020442093508996</v>
      </c>
      <c r="AK51" s="1">
        <f>report_47_flagged!AX44</f>
        <v>1</v>
      </c>
    </row>
    <row r="52" spans="1:37" x14ac:dyDescent="0.25">
      <c r="A52" s="17">
        <f>report!A45</f>
        <v>2016</v>
      </c>
      <c r="B52" s="17">
        <v>47</v>
      </c>
      <c r="C52" s="17">
        <v>2000</v>
      </c>
      <c r="D52" s="1">
        <f>report!AF45</f>
        <v>2010.7</v>
      </c>
      <c r="E52" s="1" t="str">
        <f>report!D45</f>
        <v>McLane-PARFLUX-Mark78H-21 ; 12419-02, O250x21</v>
      </c>
      <c r="F52" s="1"/>
      <c r="G52" s="544"/>
      <c r="H52" s="399">
        <f>report!C45</f>
        <v>19</v>
      </c>
      <c r="I52" s="399">
        <f>report_47_flagged!F45</f>
        <v>1</v>
      </c>
      <c r="J52" s="578">
        <f>report_47_flagged!AC45</f>
        <v>42759</v>
      </c>
      <c r="K52" s="578">
        <f>report_47_flagged!AD45</f>
        <v>42776</v>
      </c>
      <c r="L52" s="578">
        <f>report_47_flagged!AE45</f>
        <v>42767.5</v>
      </c>
      <c r="M52" s="579">
        <f>report!Y45</f>
        <v>17</v>
      </c>
      <c r="N52" s="430">
        <f>report_47_flagged!H45</f>
        <v>0.76638655462184913</v>
      </c>
      <c r="O52" s="512">
        <f t="shared" si="6"/>
        <v>4.5983193277310941E-4</v>
      </c>
      <c r="P52" s="427">
        <f>report_47_flagged!J45</f>
        <v>2</v>
      </c>
      <c r="Q52" s="504">
        <f>report_47!AO45</f>
        <v>38.67</v>
      </c>
      <c r="R52" s="521">
        <f t="shared" si="0"/>
        <v>0.85073999999999994</v>
      </c>
      <c r="S52" s="427">
        <f>report_47_flagged!BB45</f>
        <v>1</v>
      </c>
      <c r="T52" s="504">
        <f>report_47!AP45</f>
        <v>8.65</v>
      </c>
      <c r="U52" s="521">
        <f t="shared" si="1"/>
        <v>0.25085000000000002</v>
      </c>
      <c r="V52" s="427">
        <f>report_47_flagged!BD45</f>
        <v>1</v>
      </c>
      <c r="W52" s="64" t="s">
        <v>900</v>
      </c>
      <c r="X52" s="64" t="s">
        <v>900</v>
      </c>
      <c r="Y52" s="1">
        <f>report_47_flagged!AP45</f>
        <v>9</v>
      </c>
      <c r="Z52" s="64" t="s">
        <v>900</v>
      </c>
      <c r="AA52" s="64" t="s">
        <v>900</v>
      </c>
      <c r="AB52" s="1">
        <f>report_47_flagged!AR45</f>
        <v>9</v>
      </c>
      <c r="AC52" s="64" t="s">
        <v>900</v>
      </c>
      <c r="AD52" s="64" t="s">
        <v>900</v>
      </c>
      <c r="AE52" s="1">
        <f>report_47_flagged!AT45</f>
        <v>9</v>
      </c>
      <c r="AF52" s="64" t="s">
        <v>900</v>
      </c>
      <c r="AG52" s="64" t="s">
        <v>900</v>
      </c>
      <c r="AH52" s="1">
        <f>report_47_flagged!AV45</f>
        <v>9</v>
      </c>
      <c r="AI52" s="64" t="s">
        <v>900</v>
      </c>
      <c r="AJ52" s="64" t="s">
        <v>900</v>
      </c>
      <c r="AK52" s="1">
        <f>report_47_flagged!AX45</f>
        <v>9</v>
      </c>
    </row>
    <row r="53" spans="1:37" x14ac:dyDescent="0.25">
      <c r="A53" s="17">
        <f>report!A46</f>
        <v>2016</v>
      </c>
      <c r="B53" s="17">
        <v>47</v>
      </c>
      <c r="C53" s="17">
        <v>2000</v>
      </c>
      <c r="D53" s="1">
        <f>report!AF46</f>
        <v>2010.7</v>
      </c>
      <c r="E53" s="1" t="str">
        <f>report!D46</f>
        <v>McLane-PARFLUX-Mark78H-21 ; 12419-02, O250x21</v>
      </c>
      <c r="F53" s="1"/>
      <c r="G53" s="544"/>
      <c r="H53" s="399">
        <f>report!C46</f>
        <v>20</v>
      </c>
      <c r="I53" s="399">
        <f>report_47_flagged!F46</f>
        <v>1</v>
      </c>
      <c r="J53" s="578">
        <f>report_47_flagged!AC46</f>
        <v>42776</v>
      </c>
      <c r="K53" s="578">
        <f>report_47_flagged!AD46</f>
        <v>42793</v>
      </c>
      <c r="L53" s="578">
        <f>report_47_flagged!AE46</f>
        <v>42784.5</v>
      </c>
      <c r="M53" s="579">
        <f>report!Y46</f>
        <v>17</v>
      </c>
      <c r="N53" s="430">
        <f>report_47_flagged!H46</f>
        <v>0.26386554621848746</v>
      </c>
      <c r="O53" s="512">
        <f t="shared" si="6"/>
        <v>1.5831932773109245E-4</v>
      </c>
      <c r="P53" s="427">
        <f>report_47_flagged!J46</f>
        <v>2</v>
      </c>
      <c r="Q53" s="504">
        <f>report_47!AO46</f>
        <v>38.72</v>
      </c>
      <c r="R53" s="521">
        <f t="shared" si="0"/>
        <v>0.85183999999999993</v>
      </c>
      <c r="S53" s="427">
        <f>report_47_flagged!BB46</f>
        <v>1</v>
      </c>
      <c r="T53" s="504">
        <f>report_47!AP46</f>
        <v>8.6</v>
      </c>
      <c r="U53" s="521">
        <f t="shared" si="1"/>
        <v>0.24940000000000001</v>
      </c>
      <c r="V53" s="427">
        <f>report_47_flagged!BD46</f>
        <v>1</v>
      </c>
      <c r="W53" s="64" t="s">
        <v>900</v>
      </c>
      <c r="X53" s="64" t="s">
        <v>900</v>
      </c>
      <c r="Y53" s="1">
        <f>report_47_flagged!AP46</f>
        <v>9</v>
      </c>
      <c r="Z53" s="64" t="s">
        <v>900</v>
      </c>
      <c r="AA53" s="64" t="s">
        <v>900</v>
      </c>
      <c r="AB53" s="1">
        <f>report_47_flagged!AR46</f>
        <v>9</v>
      </c>
      <c r="AC53" s="64" t="s">
        <v>900</v>
      </c>
      <c r="AD53" s="64" t="s">
        <v>900</v>
      </c>
      <c r="AE53" s="1">
        <f>report_47_flagged!AT46</f>
        <v>9</v>
      </c>
      <c r="AF53" s="64" t="s">
        <v>900</v>
      </c>
      <c r="AG53" s="64" t="s">
        <v>900</v>
      </c>
      <c r="AH53" s="1">
        <f>report_47_flagged!AV46</f>
        <v>9</v>
      </c>
      <c r="AI53" s="64" t="s">
        <v>900</v>
      </c>
      <c r="AJ53" s="64" t="s">
        <v>900</v>
      </c>
      <c r="AK53" s="1">
        <f>report_47_flagged!AX46</f>
        <v>9</v>
      </c>
    </row>
    <row r="54" spans="1:37" x14ac:dyDescent="0.25">
      <c r="A54" s="17">
        <f>report!A47</f>
        <v>2016</v>
      </c>
      <c r="B54" s="17">
        <v>47</v>
      </c>
      <c r="C54" s="17">
        <v>2000</v>
      </c>
      <c r="D54" s="1">
        <f>report!AF47</f>
        <v>2010.7</v>
      </c>
      <c r="E54" s="1" t="str">
        <f>report!D47</f>
        <v>McLane-PARFLUX-Mark78H-21 ; 12419-02, O250x21</v>
      </c>
      <c r="F54" s="1"/>
      <c r="G54" s="544"/>
      <c r="H54" s="399">
        <f>report!C47</f>
        <v>21</v>
      </c>
      <c r="I54" s="399">
        <f>report_47_flagged!F47</f>
        <v>1</v>
      </c>
      <c r="J54" s="578">
        <f>report_47_flagged!AC47</f>
        <v>42793</v>
      </c>
      <c r="K54" s="578">
        <f>report_47_flagged!AD47</f>
        <v>42810</v>
      </c>
      <c r="L54" s="578">
        <f>report_47_flagged!AE47</f>
        <v>42801.5</v>
      </c>
      <c r="M54" s="579">
        <f>report!Y47</f>
        <v>17</v>
      </c>
      <c r="N54" s="430">
        <f>report_47_flagged!H47</f>
        <v>0.17815126050420207</v>
      </c>
      <c r="O54" s="512">
        <f t="shared" si="6"/>
        <v>1.0689075630252124E-4</v>
      </c>
      <c r="P54" s="427">
        <f>report_47_flagged!J47</f>
        <v>2</v>
      </c>
      <c r="Q54" s="504">
        <f>report_47!AO47</f>
        <v>38.67</v>
      </c>
      <c r="R54" s="521">
        <f t="shared" si="0"/>
        <v>0.85073999999999994</v>
      </c>
      <c r="S54" s="427">
        <f>report_47_flagged!BB47</f>
        <v>1</v>
      </c>
      <c r="T54" s="504">
        <f>report_47!AP47</f>
        <v>8.57</v>
      </c>
      <c r="U54" s="521">
        <f t="shared" si="1"/>
        <v>0.24853000000000003</v>
      </c>
      <c r="V54" s="427">
        <f>report_47_flagged!BD47</f>
        <v>1</v>
      </c>
      <c r="W54" s="64" t="s">
        <v>900</v>
      </c>
      <c r="X54" s="64" t="s">
        <v>900</v>
      </c>
      <c r="Y54" s="1">
        <f>report_47_flagged!AP47</f>
        <v>9</v>
      </c>
      <c r="Z54" s="64" t="s">
        <v>900</v>
      </c>
      <c r="AA54" s="64" t="s">
        <v>900</v>
      </c>
      <c r="AB54" s="1">
        <f>report_47_flagged!AR47</f>
        <v>9</v>
      </c>
      <c r="AC54" s="64" t="s">
        <v>900</v>
      </c>
      <c r="AD54" s="64" t="s">
        <v>900</v>
      </c>
      <c r="AE54" s="1">
        <f>report_47_flagged!AT47</f>
        <v>9</v>
      </c>
      <c r="AF54" s="64" t="s">
        <v>900</v>
      </c>
      <c r="AG54" s="64" t="s">
        <v>900</v>
      </c>
      <c r="AH54" s="1">
        <f>report_47_flagged!AV47</f>
        <v>9</v>
      </c>
      <c r="AI54" s="64" t="s">
        <v>900</v>
      </c>
      <c r="AJ54" s="64" t="s">
        <v>900</v>
      </c>
      <c r="AK54" s="1">
        <f>report_47_flagged!AX47</f>
        <v>9</v>
      </c>
    </row>
    <row r="55" spans="1:37" x14ac:dyDescent="0.25">
      <c r="A55" s="17">
        <f>report!A48</f>
        <v>2016</v>
      </c>
      <c r="B55" s="17">
        <v>47</v>
      </c>
      <c r="C55" s="17">
        <v>3800</v>
      </c>
      <c r="D55" s="1">
        <f>report!AF48</f>
        <v>3851.6</v>
      </c>
      <c r="E55" s="1" t="str">
        <f>report!D48</f>
        <v>McLane-PARFLUX-Mark78H-13 ; 12419-03, X500x13</v>
      </c>
      <c r="F55" s="1"/>
      <c r="G55" s="544"/>
      <c r="H55" s="399">
        <f>report!C48</f>
        <v>1</v>
      </c>
      <c r="I55" s="399">
        <f>report_47_flagged!F48</f>
        <v>1</v>
      </c>
      <c r="J55" s="578">
        <f>report_47_flagged!AC48</f>
        <v>42453</v>
      </c>
      <c r="K55" s="578">
        <f>report_47_flagged!AD48</f>
        <v>42480</v>
      </c>
      <c r="L55" s="578">
        <f>report_47_flagged!AE48</f>
        <v>42466.5</v>
      </c>
      <c r="M55" s="579">
        <f>report!Y48</f>
        <v>27</v>
      </c>
      <c r="N55" s="430">
        <f>report_47_flagged!H48</f>
        <v>33.429629629629638</v>
      </c>
      <c r="O55" s="512">
        <f t="shared" si="6"/>
        <v>2.0057777777777782E-2</v>
      </c>
      <c r="P55" s="427">
        <f>report_47_flagged!J48</f>
        <v>1</v>
      </c>
      <c r="Q55" s="504">
        <f>report_47!AO48</f>
        <v>36.65</v>
      </c>
      <c r="R55" s="521">
        <f t="shared" si="0"/>
        <v>0.80629999999999991</v>
      </c>
      <c r="S55" s="427">
        <f>report_47_flagged!BB48</f>
        <v>1</v>
      </c>
      <c r="T55" s="504">
        <f>report_47!AP48</f>
        <v>8.5299999999999994</v>
      </c>
      <c r="U55" s="521">
        <f t="shared" si="1"/>
        <v>0.24737000000000001</v>
      </c>
      <c r="V55" s="427">
        <f>report_47_flagged!BD48</f>
        <v>1</v>
      </c>
      <c r="W55" s="2">
        <f>(report_47_flagged!N48/100)*report_47_flagged!H48</f>
        <v>4.3392917027650064</v>
      </c>
      <c r="X55" s="2">
        <f t="shared" si="2"/>
        <v>9.1162312099444864E-2</v>
      </c>
      <c r="Y55" s="1">
        <f>report_47_flagged!AP48</f>
        <v>1</v>
      </c>
      <c r="Z55" s="2">
        <f>(report_47_flagged!P48/100)*report_47_flagged!H48</f>
        <v>0.20077911413157432</v>
      </c>
      <c r="AA55" s="2">
        <f t="shared" si="7"/>
        <v>7.6305573366923594E-3</v>
      </c>
      <c r="AB55" s="1">
        <f>report_47_flagged!AR48</f>
        <v>1</v>
      </c>
      <c r="AC55" s="2">
        <f>(report_47_flagged!R48/100)*report_47_flagged!H48</f>
        <v>1.3822812069485517</v>
      </c>
      <c r="AD55" s="2">
        <f t="shared" si="3"/>
        <v>3.871275886817957E-2</v>
      </c>
      <c r="AE55" s="1">
        <f>report_47_flagged!AT48</f>
        <v>1</v>
      </c>
      <c r="AF55" s="2">
        <f>(report_47_flagged!L48/100)*report_47_flagged!H48</f>
        <v>2.9570104958164549</v>
      </c>
      <c r="AG55" s="2">
        <f t="shared" si="4"/>
        <v>5.6211206223591617E-2</v>
      </c>
      <c r="AH55" s="1">
        <f>report_47_flagged!AV48</f>
        <v>1</v>
      </c>
      <c r="AI55" s="2">
        <f>(report_47_flagged!T48/100)*report_47_flagged!H48</f>
        <v>1.3587385073152694</v>
      </c>
      <c r="AJ55" s="2">
        <f t="shared" si="5"/>
        <v>6.6583177955679612E-2</v>
      </c>
      <c r="AK55" s="1">
        <f>report_47_flagged!AX48</f>
        <v>1</v>
      </c>
    </row>
    <row r="56" spans="1:37" x14ac:dyDescent="0.25">
      <c r="A56" s="17">
        <f>report!A49</f>
        <v>2016</v>
      </c>
      <c r="B56" s="17">
        <v>47</v>
      </c>
      <c r="C56" s="17">
        <v>3800</v>
      </c>
      <c r="D56" s="1">
        <f>report!AF49</f>
        <v>3851.6</v>
      </c>
      <c r="E56" s="1" t="str">
        <f>report!D49</f>
        <v>McLane-PARFLUX-Mark78H-13 ; 12419-03, X500x13</v>
      </c>
      <c r="F56" s="1"/>
      <c r="G56" s="544"/>
      <c r="H56" s="399">
        <f>report!C49</f>
        <v>2</v>
      </c>
      <c r="I56" s="399">
        <f>report_47_flagged!F49</f>
        <v>1</v>
      </c>
      <c r="J56" s="578">
        <f>report_47_flagged!AC49</f>
        <v>42480</v>
      </c>
      <c r="K56" s="578">
        <f>report_47_flagged!AD49</f>
        <v>42507</v>
      </c>
      <c r="L56" s="578">
        <f>report_47_flagged!AE49</f>
        <v>42493.5</v>
      </c>
      <c r="M56" s="579">
        <f>report!Y49</f>
        <v>27</v>
      </c>
      <c r="N56" s="430">
        <f>report_47_flagged!H49</f>
        <v>41.075132275132269</v>
      </c>
      <c r="O56" s="512">
        <f t="shared" si="6"/>
        <v>2.4645079365079359E-2</v>
      </c>
      <c r="P56" s="427">
        <f>report_47_flagged!J49</f>
        <v>1</v>
      </c>
      <c r="Q56" s="504">
        <f>report_47!AO49</f>
        <v>35.68</v>
      </c>
      <c r="R56" s="521">
        <f t="shared" si="0"/>
        <v>0.78495999999999999</v>
      </c>
      <c r="S56" s="427">
        <f>report_47_flagged!BB49</f>
        <v>1</v>
      </c>
      <c r="T56" s="504">
        <f>report_47!AP49</f>
        <v>8.3699999999999992</v>
      </c>
      <c r="U56" s="521">
        <f t="shared" si="1"/>
        <v>0.24273</v>
      </c>
      <c r="V56" s="427">
        <f>report_47_flagged!BD49</f>
        <v>1</v>
      </c>
      <c r="W56" s="2">
        <f>(report_47_flagged!N49/100)*report_47_flagged!H49</f>
        <v>5.3532119121248751</v>
      </c>
      <c r="X56" s="2">
        <f t="shared" si="2"/>
        <v>0.11246332546775596</v>
      </c>
      <c r="Y56" s="1">
        <f>report_47_flagged!AP49</f>
        <v>1</v>
      </c>
      <c r="Z56" s="2">
        <f>(report_47_flagged!P49/100)*report_47_flagged!H49</f>
        <v>0.21561745473064439</v>
      </c>
      <c r="AA56" s="2">
        <f t="shared" si="7"/>
        <v>8.1944845619533295E-3</v>
      </c>
      <c r="AB56" s="1">
        <f>report_47_flagged!AR49</f>
        <v>1</v>
      </c>
      <c r="AC56" s="2">
        <f>(report_47_flagged!R49/100)*report_47_flagged!H49</f>
        <v>1.5140056201473731</v>
      </c>
      <c r="AD56" s="2">
        <f t="shared" si="3"/>
        <v>4.2401889140358855E-2</v>
      </c>
      <c r="AE56" s="1">
        <f>report_47_flagged!AT49</f>
        <v>1</v>
      </c>
      <c r="AF56" s="2">
        <f>(report_47_flagged!L49/100)*report_47_flagged!H49</f>
        <v>3.8392062919775021</v>
      </c>
      <c r="AG56" s="2">
        <f t="shared" si="4"/>
        <v>7.2981281912451221E-2</v>
      </c>
      <c r="AH56" s="1">
        <f>report_47_flagged!AV49</f>
        <v>1</v>
      </c>
      <c r="AI56" s="2">
        <f>(report_47_flagged!T49/100)*report_47_flagged!H49</f>
        <v>1.4206037106992384</v>
      </c>
      <c r="AJ56" s="2">
        <f t="shared" si="5"/>
        <v>6.9614800172906832E-2</v>
      </c>
      <c r="AK56" s="1">
        <f>report_47_flagged!AX49</f>
        <v>1</v>
      </c>
    </row>
    <row r="57" spans="1:37" x14ac:dyDescent="0.25">
      <c r="A57" s="17">
        <f>report!A50</f>
        <v>2016</v>
      </c>
      <c r="B57" s="17">
        <v>47</v>
      </c>
      <c r="C57" s="17">
        <v>3800</v>
      </c>
      <c r="D57" s="1">
        <f>report!AF50</f>
        <v>3851.6</v>
      </c>
      <c r="E57" s="1" t="str">
        <f>report!D50</f>
        <v>McLane-PARFLUX-Mark78H-13 ; 12419-03, X500x13</v>
      </c>
      <c r="F57" s="1"/>
      <c r="G57" s="544"/>
      <c r="H57" s="399">
        <f>report!C50</f>
        <v>3</v>
      </c>
      <c r="I57" s="399">
        <f>report_47_flagged!F50</f>
        <v>1</v>
      </c>
      <c r="J57" s="578">
        <f>report_47_flagged!AC50</f>
        <v>42507</v>
      </c>
      <c r="K57" s="578">
        <f>report_47_flagged!AD50</f>
        <v>42534</v>
      </c>
      <c r="L57" s="578">
        <f>report_47_flagged!AE50</f>
        <v>42520.5</v>
      </c>
      <c r="M57" s="579">
        <f>report!Y50</f>
        <v>27</v>
      </c>
      <c r="N57" s="430">
        <f>report_47_flagged!H50</f>
        <v>52.603174603174601</v>
      </c>
      <c r="O57" s="512">
        <f t="shared" si="6"/>
        <v>3.1561904761904756E-2</v>
      </c>
      <c r="P57" s="427">
        <f>report_47_flagged!J50</f>
        <v>1</v>
      </c>
      <c r="Q57" s="504">
        <f>report_47!AO50</f>
        <v>37.44</v>
      </c>
      <c r="R57" s="521">
        <f t="shared" si="0"/>
        <v>0.82367999999999986</v>
      </c>
      <c r="S57" s="427">
        <f>report_47_flagged!BB50</f>
        <v>1</v>
      </c>
      <c r="T57" s="504">
        <f>report_47!AP50</f>
        <v>8.4600000000000009</v>
      </c>
      <c r="U57" s="521">
        <f t="shared" si="1"/>
        <v>0.24534000000000003</v>
      </c>
      <c r="V57" s="427">
        <f>report_47_flagged!BD50</f>
        <v>1</v>
      </c>
      <c r="W57" s="2">
        <f>(report_47_flagged!N50/100)*report_47_flagged!H50</f>
        <v>6.4711497561136877</v>
      </c>
      <c r="X57" s="2">
        <f t="shared" si="2"/>
        <v>0.13594960056111946</v>
      </c>
      <c r="Y57" s="1">
        <f>report_47_flagged!AP50</f>
        <v>1</v>
      </c>
      <c r="Z57" s="2">
        <f>(report_47_flagged!P50/100)*report_47_flagged!H50</f>
        <v>0.257838726885735</v>
      </c>
      <c r="AA57" s="2">
        <f t="shared" si="7"/>
        <v>9.7990928868829149E-3</v>
      </c>
      <c r="AB57" s="1">
        <f>report_47_flagged!AR50</f>
        <v>1</v>
      </c>
      <c r="AC57" s="2">
        <f>(report_47_flagged!R50/100)*report_47_flagged!H50</f>
        <v>1.6467839545122416</v>
      </c>
      <c r="AD57" s="2">
        <f t="shared" si="3"/>
        <v>4.6120535979617371E-2</v>
      </c>
      <c r="AE57" s="1">
        <f>report_47_flagged!AT50</f>
        <v>1</v>
      </c>
      <c r="AF57" s="2">
        <f>(report_47_flagged!L50/100)*report_47_flagged!H50</f>
        <v>4.8243658016014468</v>
      </c>
      <c r="AG57" s="2">
        <f t="shared" si="4"/>
        <v>9.1708643359747641E-2</v>
      </c>
      <c r="AH57" s="1">
        <f>report_47_flagged!AV50</f>
        <v>1</v>
      </c>
      <c r="AI57" s="2">
        <f>(report_47_flagged!T50/100)*report_47_flagged!H50</f>
        <v>2.4421243242705155</v>
      </c>
      <c r="AJ57" s="2">
        <f t="shared" si="5"/>
        <v>0.11967306262195181</v>
      </c>
      <c r="AK57" s="1">
        <f>report_47_flagged!AX50</f>
        <v>1</v>
      </c>
    </row>
    <row r="58" spans="1:37" x14ac:dyDescent="0.25">
      <c r="A58" s="17">
        <f>report!A51</f>
        <v>2016</v>
      </c>
      <c r="B58" s="17">
        <v>47</v>
      </c>
      <c r="C58" s="17">
        <v>3800</v>
      </c>
      <c r="D58" s="1">
        <f>report!AF51</f>
        <v>3851.6</v>
      </c>
      <c r="E58" s="1" t="str">
        <f>report!D51</f>
        <v>McLane-PARFLUX-Mark78H-13 ; 12419-03, X500x13</v>
      </c>
      <c r="F58" s="1"/>
      <c r="G58" s="544"/>
      <c r="H58" s="399">
        <f>report!C51</f>
        <v>4</v>
      </c>
      <c r="I58" s="399">
        <f>report_47_flagged!F51</f>
        <v>1</v>
      </c>
      <c r="J58" s="578">
        <f>report_47_flagged!AC51</f>
        <v>42534</v>
      </c>
      <c r="K58" s="578">
        <f>report_47_flagged!AD51</f>
        <v>42561</v>
      </c>
      <c r="L58" s="578">
        <f>report_47_flagged!AE51</f>
        <v>42547.5</v>
      </c>
      <c r="M58" s="579">
        <f>report!Y51</f>
        <v>27</v>
      </c>
      <c r="N58" s="430">
        <f>report_47_flagged!H51</f>
        <v>47.55449735449735</v>
      </c>
      <c r="O58" s="512">
        <f t="shared" si="6"/>
        <v>2.8532698412698409E-2</v>
      </c>
      <c r="P58" s="427">
        <f>report_47_flagged!J51</f>
        <v>1</v>
      </c>
      <c r="Q58" s="504">
        <f>report_47!AO51</f>
        <v>38.06</v>
      </c>
      <c r="R58" s="521">
        <f t="shared" si="0"/>
        <v>0.83731999999999995</v>
      </c>
      <c r="S58" s="427">
        <f>report_47_flagged!BB51</f>
        <v>1</v>
      </c>
      <c r="T58" s="504">
        <f>report_47!AP51</f>
        <v>8.5500000000000007</v>
      </c>
      <c r="U58" s="521">
        <f t="shared" si="1"/>
        <v>0.24795000000000003</v>
      </c>
      <c r="V58" s="427">
        <f>report_47_flagged!BD51</f>
        <v>1</v>
      </c>
      <c r="W58" s="2">
        <f>(report_47_flagged!N51/100)*report_47_flagged!H51</f>
        <v>6.0055938409270428</v>
      </c>
      <c r="X58" s="2">
        <f t="shared" si="2"/>
        <v>0.12616893667697818</v>
      </c>
      <c r="Y58" s="1">
        <f>report_47_flagged!AP51</f>
        <v>1</v>
      </c>
      <c r="Z58" s="2">
        <f>(report_47_flagged!P51/100)*report_47_flagged!H51</f>
        <v>0.29306951739422227</v>
      </c>
      <c r="AA58" s="2">
        <f t="shared" si="7"/>
        <v>1.1138029798497333E-2</v>
      </c>
      <c r="AB58" s="1">
        <f>report_47_flagged!AR51</f>
        <v>1</v>
      </c>
      <c r="AC58" s="2">
        <f>(report_47_flagged!R51/100)*report_47_flagged!H51</f>
        <v>1.9249036594372742</v>
      </c>
      <c r="AD58" s="2">
        <f t="shared" si="3"/>
        <v>5.3909675424709147E-2</v>
      </c>
      <c r="AE58" s="1">
        <f>report_47_flagged!AT51</f>
        <v>1</v>
      </c>
      <c r="AF58" s="2">
        <f>(report_47_flagged!L51/100)*report_47_flagged!H51</f>
        <v>4.0806901814897687</v>
      </c>
      <c r="AG58" s="2">
        <f t="shared" si="4"/>
        <v>7.7571762985228443E-2</v>
      </c>
      <c r="AH58" s="1">
        <f>report_47_flagged!AV51</f>
        <v>1</v>
      </c>
      <c r="AI58" s="2">
        <f>(report_47_flagged!T51/100)*report_47_flagged!H51</f>
        <v>2.6096334737183335</v>
      </c>
      <c r="AJ58" s="2">
        <f t="shared" si="5"/>
        <v>0.12788162626156366</v>
      </c>
      <c r="AK58" s="1">
        <f>report_47_flagged!AX51</f>
        <v>1</v>
      </c>
    </row>
    <row r="59" spans="1:37" x14ac:dyDescent="0.25">
      <c r="A59" s="17">
        <f>report!A52</f>
        <v>2016</v>
      </c>
      <c r="B59" s="17">
        <v>47</v>
      </c>
      <c r="C59" s="17">
        <v>3800</v>
      </c>
      <c r="D59" s="1">
        <f>report!AF52</f>
        <v>3851.6</v>
      </c>
      <c r="E59" s="1" t="str">
        <f>report!D52</f>
        <v>McLane-PARFLUX-Mark78H-13 ; 12419-03, X500x13</v>
      </c>
      <c r="F59" s="1"/>
      <c r="G59" s="544"/>
      <c r="H59" s="399">
        <f>report!C52</f>
        <v>5</v>
      </c>
      <c r="I59" s="399">
        <f>report_47_flagged!F52</f>
        <v>1</v>
      </c>
      <c r="J59" s="578">
        <f>report_47_flagged!AC52</f>
        <v>42561</v>
      </c>
      <c r="K59" s="578">
        <f>report_47_flagged!AD52</f>
        <v>42588</v>
      </c>
      <c r="L59" s="578">
        <f>report_47_flagged!AE52</f>
        <v>42574.5</v>
      </c>
      <c r="M59" s="579">
        <f>report!Y52</f>
        <v>27</v>
      </c>
      <c r="N59" s="430">
        <f>report_47_flagged!H52</f>
        <v>40.039153439153431</v>
      </c>
      <c r="O59" s="512">
        <f t="shared" si="6"/>
        <v>2.4023492063492056E-2</v>
      </c>
      <c r="P59" s="427">
        <f>report_47_flagged!J52</f>
        <v>1</v>
      </c>
      <c r="Q59" s="504">
        <f>report_47!AO52</f>
        <v>38.03</v>
      </c>
      <c r="R59" s="521">
        <f t="shared" si="0"/>
        <v>0.83665999999999996</v>
      </c>
      <c r="S59" s="427">
        <f>report_47_flagged!BB52</f>
        <v>1</v>
      </c>
      <c r="T59" s="504">
        <f>report_47!AP52</f>
        <v>8.57</v>
      </c>
      <c r="U59" s="521">
        <f t="shared" si="1"/>
        <v>0.24853000000000003</v>
      </c>
      <c r="V59" s="427">
        <f>report_47_flagged!BD52</f>
        <v>1</v>
      </c>
      <c r="W59" s="2">
        <f>(report_47_flagged!N52/100)*report_47_flagged!H52</f>
        <v>5.2086468157793471</v>
      </c>
      <c r="X59" s="2">
        <f t="shared" si="2"/>
        <v>0.10942621956788301</v>
      </c>
      <c r="Y59" s="1">
        <f>report_47_flagged!AP52</f>
        <v>1</v>
      </c>
      <c r="Z59" s="2">
        <f>(report_47_flagged!P52/100)*report_47_flagged!H52</f>
        <v>0.27061281779771124</v>
      </c>
      <c r="AA59" s="2">
        <f t="shared" si="7"/>
        <v>1.0284568846618842E-2</v>
      </c>
      <c r="AB59" s="1">
        <f>report_47_flagged!AR52</f>
        <v>1</v>
      </c>
      <c r="AC59" s="2">
        <f>(report_47_flagged!R52/100)*report_47_flagged!H52</f>
        <v>1.7640532988754063</v>
      </c>
      <c r="AD59" s="2">
        <f t="shared" si="3"/>
        <v>4.9404831409620764E-2</v>
      </c>
      <c r="AE59" s="1">
        <f>report_47_flagged!AT52</f>
        <v>1</v>
      </c>
      <c r="AF59" s="2">
        <f>(report_47_flagged!L52/100)*report_47_flagged!H52</f>
        <v>3.4445935169039403</v>
      </c>
      <c r="AG59" s="2">
        <f t="shared" si="4"/>
        <v>6.5479901680792887E-2</v>
      </c>
      <c r="AH59" s="1">
        <f>report_47_flagged!AV52</f>
        <v>1</v>
      </c>
      <c r="AI59" s="2">
        <f>(report_47_flagged!T52/100)*report_47_flagged!H52</f>
        <v>1.9523541187424747</v>
      </c>
      <c r="AJ59" s="2">
        <f t="shared" si="5"/>
        <v>9.5672523462655951E-2</v>
      </c>
      <c r="AK59" s="1">
        <f>report_47_flagged!AX52</f>
        <v>1</v>
      </c>
    </row>
    <row r="60" spans="1:37" x14ac:dyDescent="0.25">
      <c r="A60" s="17">
        <f>report!A53</f>
        <v>2016</v>
      </c>
      <c r="B60" s="17">
        <v>47</v>
      </c>
      <c r="C60" s="17">
        <v>3800</v>
      </c>
      <c r="D60" s="1">
        <f>report!AF53</f>
        <v>3851.6</v>
      </c>
      <c r="E60" s="1" t="str">
        <f>report!D53</f>
        <v>McLane-PARFLUX-Mark78H-13 ; 12419-03, X500x13</v>
      </c>
      <c r="F60" s="1"/>
      <c r="G60" s="544"/>
      <c r="H60" s="399">
        <f>report!C53</f>
        <v>6</v>
      </c>
      <c r="I60" s="399">
        <f>report_47_flagged!F53</f>
        <v>1</v>
      </c>
      <c r="J60" s="578">
        <f>report_47_flagged!AC53</f>
        <v>42588</v>
      </c>
      <c r="K60" s="578">
        <f>report_47_flagged!AD53</f>
        <v>42615</v>
      </c>
      <c r="L60" s="578">
        <f>report_47_flagged!AE53</f>
        <v>42601.5</v>
      </c>
      <c r="M60" s="579">
        <f>report!Y53</f>
        <v>27</v>
      </c>
      <c r="N60" s="430">
        <f>report_47_flagged!H53</f>
        <v>32.339682539682535</v>
      </c>
      <c r="O60" s="512">
        <f t="shared" si="6"/>
        <v>1.9403809523809518E-2</v>
      </c>
      <c r="P60" s="427">
        <f>report_47_flagged!J53</f>
        <v>1</v>
      </c>
      <c r="Q60" s="504">
        <f>report_47!AO53</f>
        <v>37.799999999999997</v>
      </c>
      <c r="R60" s="521">
        <f t="shared" si="0"/>
        <v>0.83159999999999989</v>
      </c>
      <c r="S60" s="427">
        <f>report_47_flagged!BB53</f>
        <v>1</v>
      </c>
      <c r="T60" s="504">
        <f>report_47!AP53</f>
        <v>8.42</v>
      </c>
      <c r="U60" s="521">
        <f t="shared" si="1"/>
        <v>0.24418000000000001</v>
      </c>
      <c r="V60" s="427">
        <f>report_47_flagged!BD53</f>
        <v>1</v>
      </c>
      <c r="W60" s="2">
        <f>(report_47_flagged!N53/100)*report_47_flagged!H53</f>
        <v>4.611244032663012</v>
      </c>
      <c r="X60" s="2">
        <f t="shared" si="2"/>
        <v>9.6875641571749244E-2</v>
      </c>
      <c r="Y60" s="1">
        <f>report_47_flagged!AP53</f>
        <v>1</v>
      </c>
      <c r="Z60" s="2">
        <f>(report_47_flagged!P53/100)*report_47_flagged!H53</f>
        <v>0.31136870789149451</v>
      </c>
      <c r="AA60" s="2">
        <f t="shared" si="7"/>
        <v>1.1833485712367874E-2</v>
      </c>
      <c r="AB60" s="1">
        <f>report_47_flagged!AR53</f>
        <v>1</v>
      </c>
      <c r="AC60" s="2">
        <f>(report_47_flagged!R53/100)*report_47_flagged!H53</f>
        <v>1.9811882812326325</v>
      </c>
      <c r="AD60" s="2">
        <f t="shared" si="3"/>
        <v>5.5486006623163685E-2</v>
      </c>
      <c r="AE60" s="1">
        <f>report_47_flagged!AT53</f>
        <v>1</v>
      </c>
      <c r="AF60" s="2">
        <f>(report_47_flagged!L53/100)*report_47_flagged!H53</f>
        <v>2.6300557514303793</v>
      </c>
      <c r="AG60" s="2">
        <f t="shared" si="4"/>
        <v>4.9995969386093374E-2</v>
      </c>
      <c r="AH60" s="1">
        <f>report_47_flagged!AV53</f>
        <v>1</v>
      </c>
      <c r="AI60" s="2">
        <f>(report_47_flagged!T53/100)*report_47_flagged!H53</f>
        <v>1.450869049688541</v>
      </c>
      <c r="AJ60" s="2">
        <f t="shared" si="5"/>
        <v>7.1097912958011794E-2</v>
      </c>
      <c r="AK60" s="1">
        <f>report_47_flagged!AX53</f>
        <v>1</v>
      </c>
    </row>
    <row r="61" spans="1:37" x14ac:dyDescent="0.25">
      <c r="A61" s="17">
        <f>report!A54</f>
        <v>2016</v>
      </c>
      <c r="B61" s="17">
        <v>47</v>
      </c>
      <c r="C61" s="17">
        <v>3800</v>
      </c>
      <c r="D61" s="1">
        <f>report!AF54</f>
        <v>3851.6</v>
      </c>
      <c r="E61" s="1" t="str">
        <f>report!D54</f>
        <v>McLane-PARFLUX-Mark78H-13 ; 12419-03, X500x13</v>
      </c>
      <c r="F61" s="1"/>
      <c r="G61" s="544"/>
      <c r="H61" s="399">
        <f>report!C54</f>
        <v>7</v>
      </c>
      <c r="I61" s="399">
        <f>report_47_flagged!F54</f>
        <v>1</v>
      </c>
      <c r="J61" s="578">
        <f>report_47_flagged!AC54</f>
        <v>42615</v>
      </c>
      <c r="K61" s="578">
        <f>report_47_flagged!AD54</f>
        <v>42642</v>
      </c>
      <c r="L61" s="578">
        <f>report_47_flagged!AE54</f>
        <v>42628.5</v>
      </c>
      <c r="M61" s="579">
        <f>report!Y54</f>
        <v>27</v>
      </c>
      <c r="N61" s="430">
        <f>report_47_flagged!H54</f>
        <v>31.964021164021158</v>
      </c>
      <c r="O61" s="512">
        <f t="shared" si="6"/>
        <v>1.9178412698412695E-2</v>
      </c>
      <c r="P61" s="427">
        <f>report_47_flagged!J54</f>
        <v>1</v>
      </c>
      <c r="Q61" s="504">
        <f>report_47!AO54</f>
        <v>36.659999999999997</v>
      </c>
      <c r="R61" s="521">
        <f t="shared" si="0"/>
        <v>0.8065199999999999</v>
      </c>
      <c r="S61" s="427">
        <f>report_47_flagged!BB54</f>
        <v>1</v>
      </c>
      <c r="T61" s="504">
        <f>report_47!AP54</f>
        <v>8.5399999999999991</v>
      </c>
      <c r="U61" s="521">
        <f t="shared" si="1"/>
        <v>0.24765999999999999</v>
      </c>
      <c r="V61" s="427">
        <f>report_47_flagged!BD54</f>
        <v>1</v>
      </c>
      <c r="W61" s="2">
        <f>(report_47_flagged!N54/100)*report_47_flagged!H54</f>
        <v>4.1572794721694217</v>
      </c>
      <c r="X61" s="2">
        <f t="shared" si="2"/>
        <v>8.7338495470362765E-2</v>
      </c>
      <c r="Y61" s="1">
        <f>report_47_flagged!AP54</f>
        <v>1</v>
      </c>
      <c r="Z61" s="2">
        <f>(report_47_flagged!P54/100)*report_47_flagged!H54</f>
        <v>0.21073268518750626</v>
      </c>
      <c r="AA61" s="2">
        <f t="shared" si="7"/>
        <v>8.0088401823739958E-3</v>
      </c>
      <c r="AB61" s="1">
        <f>report_47_flagged!AR54</f>
        <v>1</v>
      </c>
      <c r="AC61" s="2">
        <f>(report_47_flagged!R54/100)*report_47_flagged!H54</f>
        <v>1.4289722999427559</v>
      </c>
      <c r="AD61" s="2">
        <f t="shared" si="3"/>
        <v>4.0020409594594783E-2</v>
      </c>
      <c r="AE61" s="1">
        <f>report_47_flagged!AT54</f>
        <v>1</v>
      </c>
      <c r="AF61" s="2">
        <f>(report_47_flagged!L54/100)*report_47_flagged!H54</f>
        <v>2.7283071722266654</v>
      </c>
      <c r="AG61" s="2">
        <f t="shared" si="4"/>
        <v>5.1863676952216171E-2</v>
      </c>
      <c r="AH61" s="1">
        <f>report_47_flagged!AV54</f>
        <v>1</v>
      </c>
      <c r="AI61" s="2">
        <f>(report_47_flagged!T54/100)*report_47_flagged!H54</f>
        <v>1.4596984543678604</v>
      </c>
      <c r="AJ61" s="2">
        <f t="shared" si="5"/>
        <v>7.1530586220630549E-2</v>
      </c>
      <c r="AK61" s="1">
        <f>report_47_flagged!AX54</f>
        <v>1</v>
      </c>
    </row>
    <row r="62" spans="1:37" x14ac:dyDescent="0.25">
      <c r="A62" s="17">
        <f>report!A55</f>
        <v>2016</v>
      </c>
      <c r="B62" s="17">
        <v>47</v>
      </c>
      <c r="C62" s="17">
        <v>3800</v>
      </c>
      <c r="D62" s="1">
        <f>report!AF55</f>
        <v>3851.6</v>
      </c>
      <c r="E62" s="1" t="str">
        <f>report!D55</f>
        <v>McLane-PARFLUX-Mark78H-13 ; 12419-03, X500x13</v>
      </c>
      <c r="F62" s="1"/>
      <c r="G62" s="544"/>
      <c r="H62" s="399">
        <f>report!C55</f>
        <v>8</v>
      </c>
      <c r="I62" s="399">
        <f>report_47_flagged!F55</f>
        <v>1</v>
      </c>
      <c r="J62" s="578">
        <f>report_47_flagged!AC55</f>
        <v>42642</v>
      </c>
      <c r="K62" s="578">
        <f>report_47_flagged!AD55</f>
        <v>42669</v>
      </c>
      <c r="L62" s="578">
        <f>report_47_flagged!AE55</f>
        <v>42655.5</v>
      </c>
      <c r="M62" s="579">
        <f>report!Y55</f>
        <v>27</v>
      </c>
      <c r="N62" s="430">
        <f>report_47_flagged!H55</f>
        <v>36.48571428571428</v>
      </c>
      <c r="O62" s="512">
        <f t="shared" si="6"/>
        <v>2.1891428571428565E-2</v>
      </c>
      <c r="P62" s="427">
        <f>report_47_flagged!J55</f>
        <v>1</v>
      </c>
      <c r="Q62" s="504">
        <f>report_47!AO55</f>
        <v>35.29</v>
      </c>
      <c r="R62" s="521">
        <f t="shared" si="0"/>
        <v>0.77637999999999996</v>
      </c>
      <c r="S62" s="427">
        <f>report_47_flagged!BB55</f>
        <v>1</v>
      </c>
      <c r="T62" s="504">
        <f>report_47!AP55</f>
        <v>8.25</v>
      </c>
      <c r="U62" s="521">
        <f t="shared" si="1"/>
        <v>0.23925000000000002</v>
      </c>
      <c r="V62" s="427">
        <f>report_47_flagged!BD55</f>
        <v>1</v>
      </c>
      <c r="W62" s="2">
        <f>(report_47_flagged!N55/100)*report_47_flagged!H55</f>
        <v>4.7614449362073614</v>
      </c>
      <c r="X62" s="2">
        <f t="shared" si="2"/>
        <v>0.10003114771986175</v>
      </c>
      <c r="Y62" s="1">
        <f>report_47_flagged!AP55</f>
        <v>1</v>
      </c>
      <c r="Z62" s="2">
        <f>(report_47_flagged!P55/100)*report_47_flagged!H55</f>
        <v>0.22280188562188824</v>
      </c>
      <c r="AA62" s="2">
        <f t="shared" si="7"/>
        <v>8.4675269652145294E-3</v>
      </c>
      <c r="AB62" s="1">
        <f>report_47_flagged!AR55</f>
        <v>1</v>
      </c>
      <c r="AC62" s="2">
        <f>(report_47_flagged!R55/100)*report_47_flagged!H55</f>
        <v>1.5677807895362605</v>
      </c>
      <c r="AD62" s="2">
        <f t="shared" si="3"/>
        <v>4.3907939541089645E-2</v>
      </c>
      <c r="AE62" s="1">
        <f>report_47_flagged!AT55</f>
        <v>1</v>
      </c>
      <c r="AF62" s="2">
        <f>(report_47_flagged!L55/100)*report_47_flagged!H55</f>
        <v>3.1936641466711015</v>
      </c>
      <c r="AG62" s="2">
        <f t="shared" si="4"/>
        <v>6.0709867013121019E-2</v>
      </c>
      <c r="AH62" s="1">
        <f>report_47_flagged!AV55</f>
        <v>1</v>
      </c>
      <c r="AI62" s="2">
        <f>(report_47_flagged!T55/100)*report_47_flagged!H55</f>
        <v>1.5443697804112144</v>
      </c>
      <c r="AJ62" s="2">
        <f t="shared" si="5"/>
        <v>7.5679792222620959E-2</v>
      </c>
      <c r="AK62" s="1">
        <f>report_47_flagged!AX55</f>
        <v>1</v>
      </c>
    </row>
    <row r="63" spans="1:37" x14ac:dyDescent="0.25">
      <c r="A63" s="17">
        <f>report!A56</f>
        <v>2016</v>
      </c>
      <c r="B63" s="17">
        <v>47</v>
      </c>
      <c r="C63" s="17">
        <v>3800</v>
      </c>
      <c r="D63" s="1">
        <f>report!AF56</f>
        <v>3851.6</v>
      </c>
      <c r="E63" s="1" t="str">
        <f>report!D56</f>
        <v>McLane-PARFLUX-Mark78H-13 ; 12419-03, X500x13</v>
      </c>
      <c r="F63" s="1"/>
      <c r="G63" s="544"/>
      <c r="H63" s="399">
        <f>report!C56</f>
        <v>9</v>
      </c>
      <c r="I63" s="399">
        <f>report_47_flagged!F56</f>
        <v>1</v>
      </c>
      <c r="J63" s="578">
        <f>report_47_flagged!AC56</f>
        <v>42669</v>
      </c>
      <c r="K63" s="578">
        <f>report_47_flagged!AD56</f>
        <v>42696</v>
      </c>
      <c r="L63" s="578">
        <f>report_47_flagged!AE56</f>
        <v>42682.5</v>
      </c>
      <c r="M63" s="579">
        <f>report!Y56</f>
        <v>27</v>
      </c>
      <c r="N63" s="430">
        <f>report_47_flagged!H56</f>
        <v>41.601058201058201</v>
      </c>
      <c r="O63" s="512">
        <f t="shared" si="6"/>
        <v>2.4960634920634918E-2</v>
      </c>
      <c r="P63" s="427">
        <f>report_47_flagged!J56</f>
        <v>1</v>
      </c>
      <c r="Q63" s="504">
        <f>report_47!AO56</f>
        <v>37.35</v>
      </c>
      <c r="R63" s="521">
        <f t="shared" si="0"/>
        <v>0.82169999999999999</v>
      </c>
      <c r="S63" s="427">
        <f>report_47_flagged!BB56</f>
        <v>1</v>
      </c>
      <c r="T63" s="504">
        <f>report_47!AP56</f>
        <v>8.56</v>
      </c>
      <c r="U63" s="521">
        <f t="shared" si="1"/>
        <v>0.24824000000000002</v>
      </c>
      <c r="V63" s="427">
        <f>report_47_flagged!BD56</f>
        <v>1</v>
      </c>
      <c r="W63" s="2">
        <f>(report_47_flagged!N56/100)*report_47_flagged!H56</f>
        <v>5.4525615782258363</v>
      </c>
      <c r="X63" s="2">
        <f t="shared" si="2"/>
        <v>0.11455051985072412</v>
      </c>
      <c r="Y63" s="1">
        <f>report_47_flagged!AP56</f>
        <v>1</v>
      </c>
      <c r="Z63" s="2">
        <f>(report_47_flagged!P56/100)*report_47_flagged!H56</f>
        <v>0.27411803571067794</v>
      </c>
      <c r="AA63" s="2">
        <f t="shared" si="7"/>
        <v>1.0417783729940649E-2</v>
      </c>
      <c r="AB63" s="1">
        <f>report_47_flagged!AR56</f>
        <v>1</v>
      </c>
      <c r="AC63" s="2">
        <f>(report_47_flagged!R56/100)*report_47_flagged!H56</f>
        <v>1.9342684762195665</v>
      </c>
      <c r="AD63" s="2">
        <f t="shared" si="3"/>
        <v>5.4171950490097535E-2</v>
      </c>
      <c r="AE63" s="1">
        <f>report_47_flagged!AT56</f>
        <v>1</v>
      </c>
      <c r="AF63" s="2">
        <f>(report_47_flagged!L56/100)*report_47_flagged!H56</f>
        <v>3.5182931020062704</v>
      </c>
      <c r="AG63" s="2">
        <f t="shared" si="4"/>
        <v>6.688089183035148E-2</v>
      </c>
      <c r="AH63" s="1">
        <f>report_47_flagged!AV56</f>
        <v>1</v>
      </c>
      <c r="AI63" s="2">
        <f>(report_47_flagged!T56/100)*report_47_flagged!H56</f>
        <v>1.9994786114665837</v>
      </c>
      <c r="AJ63" s="2">
        <f t="shared" si="5"/>
        <v>9.7981796710030281E-2</v>
      </c>
      <c r="AK63" s="1">
        <f>report_47_flagged!AX56</f>
        <v>1</v>
      </c>
    </row>
    <row r="64" spans="1:37" x14ac:dyDescent="0.25">
      <c r="A64" s="17">
        <f>report!A57</f>
        <v>2016</v>
      </c>
      <c r="B64" s="17">
        <v>47</v>
      </c>
      <c r="C64" s="17">
        <v>3800</v>
      </c>
      <c r="D64" s="1">
        <f>report!AF57</f>
        <v>3851.6</v>
      </c>
      <c r="E64" s="1" t="str">
        <f>report!D57</f>
        <v>McLane-PARFLUX-Mark78H-13 ; 12419-03, X500x13</v>
      </c>
      <c r="F64" s="1"/>
      <c r="G64" s="544"/>
      <c r="H64" s="399">
        <f>report!C57</f>
        <v>10</v>
      </c>
      <c r="I64" s="399">
        <f>report_47_flagged!F57</f>
        <v>1</v>
      </c>
      <c r="J64" s="578">
        <f>report_47_flagged!AC57</f>
        <v>42696</v>
      </c>
      <c r="K64" s="578">
        <f>report_47_flagged!AD57</f>
        <v>42723</v>
      </c>
      <c r="L64" s="578">
        <f>report_47_flagged!AE57</f>
        <v>42709.5</v>
      </c>
      <c r="M64" s="579">
        <f>report!Y57</f>
        <v>27</v>
      </c>
      <c r="N64" s="430">
        <f>report_47_flagged!H57</f>
        <v>112.16931216931216</v>
      </c>
      <c r="O64" s="512">
        <f t="shared" si="6"/>
        <v>6.7301587301587293E-2</v>
      </c>
      <c r="P64" s="427">
        <f>report_47_flagged!J57</f>
        <v>1</v>
      </c>
      <c r="Q64" s="504">
        <f>report_47!AO57</f>
        <v>37.78</v>
      </c>
      <c r="R64" s="521">
        <f t="shared" si="0"/>
        <v>0.83116000000000001</v>
      </c>
      <c r="S64" s="427">
        <f>report_47_flagged!BB57</f>
        <v>1</v>
      </c>
      <c r="T64" s="504">
        <f>report_47!AP57</f>
        <v>8.4600000000000009</v>
      </c>
      <c r="U64" s="521">
        <f t="shared" si="1"/>
        <v>0.24534000000000003</v>
      </c>
      <c r="V64" s="427">
        <f>report_47_flagged!BD57</f>
        <v>1</v>
      </c>
      <c r="W64" s="2">
        <f>(report_47_flagged!N57/100)*report_47_flagged!H57</f>
        <v>13.780016944521948</v>
      </c>
      <c r="X64" s="2">
        <f t="shared" si="2"/>
        <v>0.28949844617076181</v>
      </c>
      <c r="Y64" s="1">
        <f>report_47_flagged!AP57</f>
        <v>1</v>
      </c>
      <c r="Z64" s="2">
        <f>(report_47_flagged!P57/100)*report_47_flagged!H57</f>
        <v>0.70181710757906468</v>
      </c>
      <c r="AA64" s="2">
        <f t="shared" si="7"/>
        <v>2.6672374277656407E-2</v>
      </c>
      <c r="AB64" s="1">
        <f>report_47_flagged!AR57</f>
        <v>1</v>
      </c>
      <c r="AC64" s="2">
        <f>(report_47_flagged!R57/100)*report_47_flagged!H57</f>
        <v>4.6195608851585153</v>
      </c>
      <c r="AD64" s="2">
        <f t="shared" si="3"/>
        <v>0.12937739855322508</v>
      </c>
      <c r="AE64" s="1">
        <f>report_47_flagged!AT57</f>
        <v>1</v>
      </c>
      <c r="AF64" s="2">
        <f>(report_47_flagged!L57/100)*report_47_flagged!H57</f>
        <v>9.1604560593634332</v>
      </c>
      <c r="AG64" s="2">
        <f t="shared" si="4"/>
        <v>0.17413542677089944</v>
      </c>
      <c r="AH64" s="1">
        <f>report_47_flagged!AV57</f>
        <v>1</v>
      </c>
      <c r="AI64" s="2">
        <f>(report_47_flagged!T57/100)*report_47_flagged!H57</f>
        <v>7.638130783226047</v>
      </c>
      <c r="AJ64" s="2">
        <f t="shared" si="5"/>
        <v>0.37429646576601378</v>
      </c>
      <c r="AK64" s="1">
        <f>report_47_flagged!AX57</f>
        <v>1</v>
      </c>
    </row>
    <row r="65" spans="1:37" x14ac:dyDescent="0.25">
      <c r="A65" s="17">
        <f>report!A58</f>
        <v>2016</v>
      </c>
      <c r="B65" s="17">
        <v>47</v>
      </c>
      <c r="C65" s="17">
        <v>3800</v>
      </c>
      <c r="D65" s="1">
        <f>report!AF58</f>
        <v>3851.6</v>
      </c>
      <c r="E65" s="1" t="str">
        <f>report!D58</f>
        <v>McLane-PARFLUX-Mark78H-13 ; 12419-03, X500x13</v>
      </c>
      <c r="F65" s="1"/>
      <c r="G65" s="544"/>
      <c r="H65" s="399">
        <f>report!C58</f>
        <v>11</v>
      </c>
      <c r="I65" s="399">
        <f>report_47_flagged!F58</f>
        <v>1</v>
      </c>
      <c r="J65" s="578">
        <f>report_47_flagged!AC58</f>
        <v>42723</v>
      </c>
      <c r="K65" s="578">
        <f>report_47_flagged!AD58</f>
        <v>42750</v>
      </c>
      <c r="L65" s="578">
        <f>report_47_flagged!AE58</f>
        <v>42736.5</v>
      </c>
      <c r="M65" s="579">
        <f>report!Y58</f>
        <v>27</v>
      </c>
      <c r="N65" s="430">
        <f>report_47_flagged!H58</f>
        <v>127.73227513227512</v>
      </c>
      <c r="O65" s="512">
        <f t="shared" si="6"/>
        <v>7.6639365079365071E-2</v>
      </c>
      <c r="P65" s="427">
        <f>report_47_flagged!J58</f>
        <v>1</v>
      </c>
      <c r="Q65" s="504">
        <f>report_47!AO58</f>
        <v>37.75</v>
      </c>
      <c r="R65" s="521">
        <f t="shared" si="0"/>
        <v>0.8304999999999999</v>
      </c>
      <c r="S65" s="427">
        <f>report_47_flagged!BB58</f>
        <v>1</v>
      </c>
      <c r="T65" s="504">
        <f>report_47!AP58</f>
        <v>8.51</v>
      </c>
      <c r="U65" s="521">
        <f t="shared" si="1"/>
        <v>0.24679000000000001</v>
      </c>
      <c r="V65" s="427">
        <f>report_47_flagged!BD58</f>
        <v>1</v>
      </c>
      <c r="W65" s="2">
        <f>(report_47_flagged!N58/100)*report_47_flagged!H58</f>
        <v>16.487387272052661</v>
      </c>
      <c r="X65" s="2">
        <f t="shared" si="2"/>
        <v>0.34637642434629284</v>
      </c>
      <c r="Y65" s="1">
        <f>report_47_flagged!AP58</f>
        <v>1</v>
      </c>
      <c r="Z65" s="2">
        <f>(report_47_flagged!P58/100)*report_47_flagged!H58</f>
        <v>1.1340703023766714</v>
      </c>
      <c r="AA65" s="2">
        <f t="shared" si="7"/>
        <v>4.3100043067499406E-2</v>
      </c>
      <c r="AB65" s="1">
        <f>report_47_flagged!AR58</f>
        <v>1</v>
      </c>
      <c r="AC65" s="2">
        <f>(report_47_flagged!R58/100)*report_47_flagged!H58</f>
        <v>8.1741715377567772</v>
      </c>
      <c r="AD65" s="2">
        <f t="shared" si="3"/>
        <v>0.2289293452718501</v>
      </c>
      <c r="AE65" s="1">
        <f>report_47_flagged!AT58</f>
        <v>1</v>
      </c>
      <c r="AF65" s="2">
        <f>(report_47_flagged!L58/100)*report_47_flagged!H58</f>
        <v>8.3132157342958859</v>
      </c>
      <c r="AG65" s="2">
        <f t="shared" si="4"/>
        <v>0.1580298361073921</v>
      </c>
      <c r="AH65" s="1">
        <f>report_47_flagged!AV58</f>
        <v>1</v>
      </c>
      <c r="AI65" s="2">
        <f>(report_47_flagged!T58/100)*report_47_flagged!H58</f>
        <v>13.612905522040313</v>
      </c>
      <c r="AJ65" s="2">
        <f t="shared" si="5"/>
        <v>0.66708237529736336</v>
      </c>
      <c r="AK65" s="1">
        <f>report_47_flagged!AX58</f>
        <v>1</v>
      </c>
    </row>
    <row r="66" spans="1:37" x14ac:dyDescent="0.25">
      <c r="A66" s="17">
        <f>report!A59</f>
        <v>2016</v>
      </c>
      <c r="B66" s="17">
        <v>47</v>
      </c>
      <c r="C66" s="17">
        <v>3800</v>
      </c>
      <c r="D66" s="1">
        <f>report!AF59</f>
        <v>3851.6</v>
      </c>
      <c r="E66" s="1" t="str">
        <f>report!D59</f>
        <v>McLane-PARFLUX-Mark78H-13 ; 12419-03, X500x13</v>
      </c>
      <c r="F66" s="1"/>
      <c r="G66" s="544"/>
      <c r="H66" s="399">
        <f>report!C59</f>
        <v>12</v>
      </c>
      <c r="I66" s="399">
        <f>report_47_flagged!F59</f>
        <v>1</v>
      </c>
      <c r="J66" s="578">
        <f>report_47_flagged!AC59</f>
        <v>42750</v>
      </c>
      <c r="K66" s="578">
        <f>report_47_flagged!AD59</f>
        <v>42777</v>
      </c>
      <c r="L66" s="578">
        <f>report_47_flagged!AE59</f>
        <v>42763.5</v>
      </c>
      <c r="M66" s="579">
        <f>report!Y59</f>
        <v>27</v>
      </c>
      <c r="N66" s="430">
        <f>report_47_flagged!H59</f>
        <v>101.93756613756612</v>
      </c>
      <c r="O66" s="512">
        <f t="shared" si="6"/>
        <v>6.1162539682539666E-2</v>
      </c>
      <c r="P66" s="427">
        <f>report_47_flagged!J59</f>
        <v>1</v>
      </c>
      <c r="Q66" s="504">
        <f>report_47!AO59</f>
        <v>37.979999999999997</v>
      </c>
      <c r="R66" s="521">
        <f t="shared" si="0"/>
        <v>0.83555999999999986</v>
      </c>
      <c r="S66" s="427">
        <f>report_47_flagged!BB59</f>
        <v>1</v>
      </c>
      <c r="T66" s="504">
        <f>report_47!AP59</f>
        <v>8.5299999999999994</v>
      </c>
      <c r="U66" s="521">
        <f t="shared" si="1"/>
        <v>0.24737000000000001</v>
      </c>
      <c r="V66" s="427">
        <f>report_47_flagged!BD59</f>
        <v>1</v>
      </c>
      <c r="W66" s="2">
        <f>(report_47_flagged!N59/100)*report_47_flagged!H59</f>
        <v>14.089022003168781</v>
      </c>
      <c r="X66" s="2">
        <f t="shared" si="2"/>
        <v>0.29599020047682056</v>
      </c>
      <c r="Y66" s="1">
        <f>report_47_flagged!AP59</f>
        <v>1</v>
      </c>
      <c r="Z66" s="2">
        <f>(report_47_flagged!P59/100)*report_47_flagged!H59</f>
        <v>1.2360891474409708</v>
      </c>
      <c r="AA66" s="2">
        <f t="shared" si="7"/>
        <v>4.6977242396988084E-2</v>
      </c>
      <c r="AB66" s="1">
        <f>report_47_flagged!AR59</f>
        <v>1</v>
      </c>
      <c r="AC66" s="2">
        <f>(report_47_flagged!R59/100)*report_47_flagged!H59</f>
        <v>7.5159450065496856</v>
      </c>
      <c r="AD66" s="2">
        <f t="shared" si="3"/>
        <v>0.21049477142742193</v>
      </c>
      <c r="AE66" s="1">
        <f>report_47_flagged!AT59</f>
        <v>1</v>
      </c>
      <c r="AF66" s="2">
        <f>(report_47_flagged!L59/100)*report_47_flagged!H59</f>
        <v>6.5730769966190952</v>
      </c>
      <c r="AG66" s="2">
        <f t="shared" si="4"/>
        <v>0.12495071867456647</v>
      </c>
      <c r="AH66" s="1">
        <f>report_47_flagged!AV59</f>
        <v>1</v>
      </c>
      <c r="AI66" s="2">
        <f>(report_47_flagged!T59/100)*report_47_flagged!H59</f>
        <v>9.1920339520616086</v>
      </c>
      <c r="AJ66" s="2">
        <f t="shared" si="5"/>
        <v>0.45044342904072565</v>
      </c>
      <c r="AK66" s="1">
        <f>report_47_flagged!AX59</f>
        <v>1</v>
      </c>
    </row>
    <row r="67" spans="1:37" x14ac:dyDescent="0.25">
      <c r="A67" s="17">
        <f>report!A60</f>
        <v>2016</v>
      </c>
      <c r="B67" s="17">
        <v>47</v>
      </c>
      <c r="C67" s="17">
        <v>3800</v>
      </c>
      <c r="D67" s="1">
        <f>report!AF60</f>
        <v>3851.6</v>
      </c>
      <c r="E67" s="1" t="str">
        <f>report!D60</f>
        <v>McLane-PARFLUX-Mark78H-13 ; 12419-03, X500x13</v>
      </c>
      <c r="F67" s="1"/>
      <c r="G67" s="544"/>
      <c r="H67" s="399">
        <f>report!C60</f>
        <v>13</v>
      </c>
      <c r="I67" s="399">
        <f>report_47_flagged!F60</f>
        <v>1</v>
      </c>
      <c r="J67" s="578">
        <f>report_47_flagged!AC60</f>
        <v>42777</v>
      </c>
      <c r="K67" s="578">
        <f>report_47_flagged!AD60</f>
        <v>42804</v>
      </c>
      <c r="L67" s="578">
        <f>report_47_flagged!AE60</f>
        <v>42790.5</v>
      </c>
      <c r="M67" s="579">
        <f>report!Y60</f>
        <v>27</v>
      </c>
      <c r="N67" s="430">
        <f>report_47_flagged!H60</f>
        <v>68.914285714285711</v>
      </c>
      <c r="O67" s="512">
        <f t="shared" si="6"/>
        <v>4.1348571428571422E-2</v>
      </c>
      <c r="P67" s="427">
        <f>report_47_flagged!J60</f>
        <v>1</v>
      </c>
      <c r="Q67" s="504">
        <f>report_47!AO60</f>
        <v>37.82</v>
      </c>
      <c r="R67" s="521">
        <f t="shared" si="0"/>
        <v>0.83204</v>
      </c>
      <c r="S67" s="427">
        <f>report_47_flagged!BB60</f>
        <v>1</v>
      </c>
      <c r="T67" s="504">
        <f>report_47!AP60</f>
        <v>8.5299999999999994</v>
      </c>
      <c r="U67" s="521">
        <f t="shared" si="1"/>
        <v>0.24737000000000001</v>
      </c>
      <c r="V67" s="427">
        <f>report_47_flagged!BD60</f>
        <v>1</v>
      </c>
      <c r="W67" s="2">
        <f>(report_47_flagged!N60/100)*report_47_flagged!H60</f>
        <v>9.4231894356863837</v>
      </c>
      <c r="X67" s="2">
        <f t="shared" si="2"/>
        <v>0.1979677318675884</v>
      </c>
      <c r="Y67" s="1">
        <f>report_47_flagged!AP60</f>
        <v>1</v>
      </c>
      <c r="Z67" s="2">
        <f>(report_47_flagged!P60/100)*report_47_flagged!H60</f>
        <v>0.57831218678610663</v>
      </c>
      <c r="AA67" s="2">
        <f t="shared" si="7"/>
        <v>2.1978602300673108E-2</v>
      </c>
      <c r="AB67" s="1">
        <f>report_47_flagged!AR60</f>
        <v>1</v>
      </c>
      <c r="AC67" s="2">
        <f>(report_47_flagged!R60/100)*report_47_flagged!H60</f>
        <v>4.20595853246685</v>
      </c>
      <c r="AD67" s="2">
        <f t="shared" si="3"/>
        <v>0.11779387411074878</v>
      </c>
      <c r="AE67" s="1">
        <f>report_47_flagged!AT60</f>
        <v>1</v>
      </c>
      <c r="AF67" s="2">
        <f>(report_47_flagged!L60/100)*report_47_flagged!H60</f>
        <v>5.2172309032195328</v>
      </c>
      <c r="AG67" s="2">
        <f t="shared" si="4"/>
        <v>9.9176801242971208E-2</v>
      </c>
      <c r="AH67" s="1">
        <f>report_47_flagged!AV60</f>
        <v>1</v>
      </c>
      <c r="AI67" s="2">
        <f>(report_47_flagged!T60/100)*report_47_flagged!H60</f>
        <v>4.8674618907548144</v>
      </c>
      <c r="AJ67" s="2">
        <f t="shared" si="5"/>
        <v>0.23852351244904949</v>
      </c>
      <c r="AK67" s="1">
        <f>report_47_flagged!AX60</f>
        <v>1</v>
      </c>
    </row>
    <row r="68" spans="1:37" x14ac:dyDescent="0.25">
      <c r="A68" s="17"/>
      <c r="B68" s="17"/>
      <c r="C68" s="17"/>
      <c r="D68" s="1"/>
      <c r="E68" s="1"/>
      <c r="F68" s="1"/>
      <c r="G68" s="544"/>
      <c r="H68" s="399"/>
      <c r="I68" s="399"/>
      <c r="J68" s="400"/>
      <c r="K68" s="400"/>
      <c r="L68" s="400"/>
      <c r="M68" s="1"/>
      <c r="N68" s="430"/>
      <c r="O68" s="512"/>
      <c r="P68" s="427"/>
      <c r="Q68" s="427"/>
      <c r="R68" s="522"/>
      <c r="S68" s="427"/>
      <c r="T68" s="427"/>
      <c r="U68" s="522"/>
      <c r="V68" s="427"/>
      <c r="W68" s="431"/>
      <c r="X68" s="531"/>
      <c r="Y68" s="1"/>
      <c r="Z68" s="401"/>
      <c r="AA68" s="532"/>
      <c r="AB68" s="401"/>
      <c r="AC68" s="431"/>
      <c r="AD68" s="531"/>
      <c r="AE68" s="1"/>
      <c r="AF68" s="401"/>
      <c r="AG68" s="532"/>
      <c r="AH68" s="401"/>
      <c r="AI68" s="401"/>
      <c r="AJ68" s="532"/>
      <c r="AK68" s="401"/>
    </row>
    <row r="69" spans="1:37" x14ac:dyDescent="0.25">
      <c r="A69" s="17"/>
      <c r="B69" s="17"/>
      <c r="C69" s="17"/>
      <c r="D69" s="1"/>
      <c r="E69" s="1"/>
      <c r="F69" s="1"/>
      <c r="G69" s="544"/>
      <c r="H69" s="399"/>
      <c r="I69" s="399"/>
      <c r="J69" s="400"/>
      <c r="K69" s="400"/>
      <c r="L69" s="400"/>
      <c r="M69" s="1"/>
      <c r="N69" s="430"/>
      <c r="O69" s="512"/>
      <c r="P69" s="427"/>
      <c r="Q69" s="427"/>
      <c r="R69" s="522"/>
      <c r="S69" s="427"/>
      <c r="T69" s="427"/>
      <c r="U69" s="522"/>
      <c r="V69" s="427"/>
      <c r="W69" s="431"/>
      <c r="X69" s="531"/>
      <c r="Y69" s="1"/>
      <c r="Z69" s="401"/>
      <c r="AA69" s="532"/>
      <c r="AB69" s="401"/>
      <c r="AC69" s="431"/>
      <c r="AD69" s="531"/>
      <c r="AE69" s="1"/>
      <c r="AF69" s="401"/>
      <c r="AG69" s="532"/>
      <c r="AH69" s="401"/>
      <c r="AI69" s="401"/>
      <c r="AJ69" s="532"/>
      <c r="AK69" s="401"/>
    </row>
    <row r="70" spans="1:37" x14ac:dyDescent="0.25">
      <c r="A70" s="143"/>
      <c r="B70" s="143"/>
      <c r="C70" s="143"/>
      <c r="D70" s="1"/>
      <c r="E70" s="1"/>
      <c r="F70" s="1"/>
      <c r="G70" s="544"/>
      <c r="H70" s="399"/>
      <c r="I70" s="399"/>
      <c r="J70" s="400"/>
      <c r="K70" s="400"/>
      <c r="L70" s="400"/>
      <c r="M70" s="1"/>
      <c r="N70" s="430"/>
      <c r="O70" s="512"/>
      <c r="P70" s="427"/>
      <c r="Q70" s="427"/>
      <c r="R70" s="522"/>
      <c r="S70" s="427"/>
      <c r="T70" s="427"/>
      <c r="U70" s="522"/>
      <c r="V70" s="427"/>
      <c r="W70" s="431"/>
      <c r="X70" s="531"/>
      <c r="Y70" s="1"/>
      <c r="Z70" s="401"/>
      <c r="AA70" s="532"/>
      <c r="AB70" s="401"/>
      <c r="AC70" s="431"/>
      <c r="AD70" s="531"/>
      <c r="AE70" s="1"/>
      <c r="AF70" s="401"/>
      <c r="AG70" s="532"/>
      <c r="AH70" s="401"/>
      <c r="AI70" s="401"/>
      <c r="AJ70" s="532"/>
      <c r="AK70" s="401"/>
    </row>
    <row r="71" spans="1:37" x14ac:dyDescent="0.25">
      <c r="A71" s="17"/>
      <c r="B71" s="17"/>
      <c r="C71" s="17"/>
      <c r="D71" s="1"/>
      <c r="E71" s="1"/>
      <c r="F71" s="1"/>
      <c r="G71" s="544"/>
      <c r="H71" s="399"/>
      <c r="I71" s="399"/>
      <c r="J71" s="400"/>
      <c r="K71" s="400"/>
      <c r="L71" s="400"/>
      <c r="M71" s="1"/>
      <c r="N71" s="430"/>
      <c r="O71" s="512"/>
      <c r="P71" s="427"/>
      <c r="Q71" s="427"/>
      <c r="R71" s="522"/>
      <c r="S71" s="427"/>
      <c r="T71" s="427"/>
      <c r="U71" s="522"/>
      <c r="V71" s="427"/>
      <c r="W71" s="401"/>
      <c r="X71" s="532"/>
      <c r="Y71" s="1"/>
      <c r="Z71" s="401"/>
      <c r="AA71" s="532"/>
      <c r="AB71" s="401"/>
      <c r="AC71" s="431"/>
      <c r="AD71" s="531"/>
      <c r="AE71" s="1"/>
      <c r="AF71" s="401"/>
      <c r="AG71" s="532"/>
      <c r="AH71" s="401"/>
      <c r="AI71" s="401"/>
      <c r="AJ71" s="532"/>
      <c r="AK71" s="401"/>
    </row>
    <row r="72" spans="1:37" x14ac:dyDescent="0.25">
      <c r="A72" s="17"/>
      <c r="B72" s="17"/>
      <c r="C72" s="17"/>
      <c r="D72" s="1"/>
      <c r="E72" s="1"/>
      <c r="F72" s="1"/>
      <c r="G72" s="544"/>
      <c r="H72" s="399"/>
      <c r="I72" s="399"/>
      <c r="J72" s="400"/>
      <c r="K72" s="400"/>
      <c r="L72" s="400"/>
      <c r="M72" s="1"/>
      <c r="N72" s="430"/>
      <c r="O72" s="512"/>
      <c r="P72" s="427"/>
      <c r="Q72" s="427"/>
      <c r="R72" s="522"/>
      <c r="S72" s="427"/>
      <c r="T72" s="427"/>
      <c r="U72" s="522"/>
      <c r="V72" s="427"/>
      <c r="W72" s="401"/>
      <c r="X72" s="532"/>
      <c r="Y72" s="1"/>
      <c r="Z72" s="401"/>
      <c r="AA72" s="532"/>
      <c r="AB72" s="401"/>
      <c r="AC72" s="431"/>
      <c r="AD72" s="531"/>
      <c r="AE72" s="1"/>
      <c r="AF72" s="401"/>
      <c r="AG72" s="532"/>
      <c r="AH72" s="401"/>
      <c r="AI72" s="401"/>
      <c r="AJ72" s="532"/>
      <c r="AK72" s="401"/>
    </row>
  </sheetData>
  <pageMargins left="0.74803149606299002" right="0.74803149606299002" top="0.98425196850394003" bottom="0.98425196850394003" header="0.51181102362205" footer="0.51181102362205"/>
  <pageSetup paperSize="9" scale="52" orientation="landscape" r:id="rId1"/>
  <headerFooter alignWithMargins="0">
    <oddHeader>&amp;F</oddHeader>
  </headerFooter>
  <rowBreaks count="1" manualBreakCount="1">
    <brk id="33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A4E0-8D21-400B-B94D-7CF9A8D08E11}">
  <dimension ref="A1"/>
  <sheetViews>
    <sheetView topLeftCell="A136" workbookViewId="0">
      <selection activeCell="AF187" sqref="AF187"/>
    </sheetView>
  </sheetViews>
  <sheetFormatPr defaultRowHeight="12.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14</vt:i4>
      </vt:variant>
    </vt:vector>
  </HeadingPairs>
  <TitlesOfParts>
    <vt:vector size="38" baseType="lpstr">
      <vt:lpstr>sal_pH</vt:lpstr>
      <vt:lpstr>PIC raw data</vt:lpstr>
      <vt:lpstr>BSi_results</vt:lpstr>
      <vt:lpstr>samp_list_BSi</vt:lpstr>
      <vt:lpstr>BSi calibration data</vt:lpstr>
      <vt:lpstr>mass_filt_1</vt:lpstr>
      <vt:lpstr>silica_estimates</vt:lpstr>
      <vt:lpstr>stats</vt:lpstr>
      <vt:lpstr>labels</vt:lpstr>
      <vt:lpstr>graph_mf</vt:lpstr>
      <vt:lpstr>brine</vt:lpstr>
      <vt:lpstr>samp_list</vt:lpstr>
      <vt:lpstr>notes</vt:lpstr>
      <vt:lpstr>logs</vt:lpstr>
      <vt:lpstr>depths</vt:lpstr>
      <vt:lpstr>PIC</vt:lpstr>
      <vt:lpstr>CHN</vt:lpstr>
      <vt:lpstr>main</vt:lpstr>
      <vt:lpstr>sample_archive</vt:lpstr>
      <vt:lpstr>report</vt:lpstr>
      <vt:lpstr>report_47</vt:lpstr>
      <vt:lpstr>report_47_flagged</vt:lpstr>
      <vt:lpstr>netcdf_format</vt:lpstr>
      <vt:lpstr>quick plots</vt:lpstr>
      <vt:lpstr>BSi_results!Print_Area</vt:lpstr>
      <vt:lpstr>CHN!Print_Area</vt:lpstr>
      <vt:lpstr>graph_mf!Print_Area</vt:lpstr>
      <vt:lpstr>labels!Print_Area</vt:lpstr>
      <vt:lpstr>logs!Print_Area</vt:lpstr>
      <vt:lpstr>main!Print_Area</vt:lpstr>
      <vt:lpstr>mass_filt_1!Print_Area</vt:lpstr>
      <vt:lpstr>netcdf_format!Print_Area</vt:lpstr>
      <vt:lpstr>silica_estimates!Print_Area</vt:lpstr>
      <vt:lpstr>BSi_results!Print_Titles</vt:lpstr>
      <vt:lpstr>CHN!Print_Titles</vt:lpstr>
      <vt:lpstr>mass_filt_1!Print_Titles</vt:lpstr>
      <vt:lpstr>netcdf_format!Print_Titles</vt:lpstr>
      <vt:lpstr>stats!Print_Titles</vt:lpstr>
    </vt:vector>
  </TitlesOfParts>
  <Company>University of Tasmania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</dc:creator>
  <cp:lastModifiedBy>Cathryn Wynn-Edwards</cp:lastModifiedBy>
  <cp:lastPrinted>2019-11-15T03:27:52Z</cp:lastPrinted>
  <dcterms:created xsi:type="dcterms:W3CDTF">1999-01-28T06:28:08Z</dcterms:created>
  <dcterms:modified xsi:type="dcterms:W3CDTF">2024-05-30T02:39:18Z</dcterms:modified>
</cp:coreProperties>
</file>